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isolutionsllp-my.sharepoint.com/personal/anuradha_infisolutions_org/Documents/3572/PRR/PRR (17102025)/ERR/"/>
    </mc:Choice>
  </mc:AlternateContent>
  <xr:revisionPtr revIDLastSave="30" documentId="8_{A3657596-CA13-43CA-9A28-188770FF1459}" xr6:coauthVersionLast="47" xr6:coauthVersionMax="47" xr10:uidLastSave="{B6DCF897-A213-42A9-875F-B7DC1B8732F1}"/>
  <bookViews>
    <workbookView xWindow="-108" yWindow="-108" windowWidth="23256" windowHeight="12456" firstSheet="3" activeTab="8" xr2:uid="{944E43A5-1A31-4679-8C35-78A4CB54AFA2}"/>
  </bookViews>
  <sheets>
    <sheet name="Key Data" sheetId="1" r:id="rId1"/>
    <sheet name="Database" sheetId="2" r:id="rId2"/>
    <sheet name="Baseline" sheetId="18" r:id="rId3"/>
    <sheet name="SOC" sheetId="19" r:id="rId4"/>
    <sheet name="Leakage" sheetId="26" r:id="rId5"/>
    <sheet name="GHG Emission" sheetId="21" r:id="rId6"/>
    <sheet name="Final Calculation" sheetId="22" r:id="rId7"/>
    <sheet name="Vintage Period " sheetId="24" r:id="rId8"/>
    <sheet name="LTA" sheetId="25" r:id="rId9"/>
    <sheet name="i=17 2024 Non Harvesting" sheetId="32" r:id="rId10"/>
    <sheet name="i=16 2023 Non Harvesting" sheetId="31" r:id="rId11"/>
    <sheet name="i=15 2022 Non Harvesting" sheetId="30" r:id="rId12"/>
    <sheet name="i=14 2021 Non Harvesting" sheetId="29" r:id="rId13"/>
    <sheet name="i=13 2020 Non Harvesting" sheetId="28" r:id="rId14"/>
    <sheet name="i=12 2019Non Harvesting" sheetId="27" r:id="rId15"/>
    <sheet name="i=11 (2023 Harvesting)" sheetId="13" r:id="rId16"/>
    <sheet name="i=10 (2022 Harvesting)" sheetId="12" r:id="rId17"/>
    <sheet name="i=9 2021 Harvesting" sheetId="11" r:id="rId18"/>
    <sheet name="i=8 2020 Harvesting" sheetId="10" r:id="rId19"/>
    <sheet name="i=7 2019 Harvesting" sheetId="9" r:id="rId20"/>
    <sheet name="i=6 2024 Mango" sheetId="8" r:id="rId21"/>
    <sheet name="i=5 2023 Mango" sheetId="7" r:id="rId22"/>
    <sheet name="i=4 (2022 Mango" sheetId="6" r:id="rId23"/>
    <sheet name="i=3 2021 Mango" sheetId="5" r:id="rId24"/>
    <sheet name="i=2 2020 Mango" sheetId="4" r:id="rId25"/>
    <sheet name="i=1 2019 Mango" sheetId="3" r:id="rId26"/>
  </sheets>
  <externalReferences>
    <externalReference r:id="rId27"/>
  </externalReferences>
  <definedNames>
    <definedName name="_xlnm._FilterDatabase" localSheetId="1" hidden="1">Database!$H$4:$H$77</definedName>
    <definedName name="_xlnm._FilterDatabase" localSheetId="25" hidden="1">'i=1 2019 Mango'!$H$1:$H$609</definedName>
    <definedName name="_xlnm._FilterDatabase" localSheetId="16" hidden="1">'i=15 2022 Non Harvesting'!$G$25:$G$84</definedName>
    <definedName name="_xlnm._FilterDatabase" localSheetId="15" hidden="1">'i=16 2023 Non Harvesting'!$H$2:$H$48</definedName>
    <definedName name="_xlnm._FilterDatabase" localSheetId="14" hidden="1">'i=12 2019Non Harvesting'!$H$1:$H$211</definedName>
    <definedName name="_xlnm._FilterDatabase" localSheetId="24" hidden="1">'i=2 2020 Mango'!$H$1:$H$239</definedName>
    <definedName name="_xlnm._FilterDatabase" localSheetId="23" hidden="1">'i=3 2021 Mango'!$H$1:$H$172</definedName>
    <definedName name="_xlnm._FilterDatabase" localSheetId="22" hidden="1">'i=4 (2022 Mango'!$H$1:$H$83</definedName>
    <definedName name="_xlnm._FilterDatabase" localSheetId="21" hidden="1">'i=5 2023 Mango'!$H$1:$H$87</definedName>
    <definedName name="_xlnm._FilterDatabase" localSheetId="19" hidden="1">'i=7 2019 Harvesting'!$H$1:$H$434</definedName>
    <definedName name="_xlnm._FilterDatabase" localSheetId="18" hidden="1">'i=8 2020 Harvesting'!$H$1:$H$459</definedName>
    <definedName name="_xlnm._FilterDatabase" localSheetId="17" hidden="1">'i=9 2021 Harvesting'!$H$1:$H$277</definedName>
    <definedName name="_ftnref1" localSheetId="0">'Key Data'!#REF!</definedName>
    <definedName name="FI_Cropland">'[1]IPCC Tables'!$B$15:$F$15</definedName>
    <definedName name="FI_Grassland">'[1]IPCC Tables'!$J$15:$M$15</definedName>
    <definedName name="FLU">'[1]IPCC Tables'!$J$2:$M$2</definedName>
    <definedName name="FMG_Cropland">'[1]IPCC Tables'!$P$2:$S$2</definedName>
    <definedName name="FMG_Grassland">'[1]IPCC Tables'!$V$2:$Z$2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I36" i="25" l="1"/>
  <c r="I39" i="25"/>
  <c r="I40" i="25"/>
  <c r="H36" i="25"/>
  <c r="H37" i="25"/>
  <c r="I37" i="25" s="1"/>
  <c r="H38" i="25"/>
  <c r="I38" i="25" s="1"/>
  <c r="H39" i="25"/>
  <c r="H40" i="25"/>
  <c r="H41" i="25"/>
  <c r="I41" i="25" s="1"/>
  <c r="E21" i="1" l="1"/>
  <c r="O37" i="10"/>
  <c r="L37" i="10"/>
  <c r="L103" i="12"/>
  <c r="O103" i="12" s="1"/>
  <c r="L104" i="12"/>
  <c r="L105" i="12"/>
  <c r="L106" i="12"/>
  <c r="L107" i="12"/>
  <c r="O107" i="12" s="1"/>
  <c r="L108" i="12"/>
  <c r="O108" i="12" s="1"/>
  <c r="L109" i="12"/>
  <c r="L113" i="12"/>
  <c r="O113" i="12" s="1"/>
  <c r="L114" i="12"/>
  <c r="L115" i="12"/>
  <c r="L116" i="12"/>
  <c r="O116" i="12" s="1"/>
  <c r="L117" i="12"/>
  <c r="L119" i="12"/>
  <c r="O119" i="12" s="1"/>
  <c r="L120" i="12"/>
  <c r="L121" i="12"/>
  <c r="O121" i="12" s="1"/>
  <c r="L123" i="12"/>
  <c r="O123" i="12" s="1"/>
  <c r="L124" i="12"/>
  <c r="O124" i="12" s="1"/>
  <c r="L125" i="12"/>
  <c r="L126" i="12"/>
  <c r="O126" i="12" s="1"/>
  <c r="L127" i="12"/>
  <c r="O127" i="12" s="1"/>
  <c r="L128" i="12"/>
  <c r="L130" i="12"/>
  <c r="L132" i="12"/>
  <c r="O132" i="12" s="1"/>
  <c r="L135" i="12"/>
  <c r="O135" i="12" s="1"/>
  <c r="L137" i="12"/>
  <c r="L138" i="12"/>
  <c r="L139" i="12"/>
  <c r="O139" i="12" s="1"/>
  <c r="L140" i="12"/>
  <c r="O140" i="12" s="1"/>
  <c r="L142" i="12"/>
  <c r="O142" i="12" s="1"/>
  <c r="L143" i="12"/>
  <c r="O143" i="12" s="1"/>
  <c r="L144" i="12"/>
  <c r="L145" i="12"/>
  <c r="O145" i="12" s="1"/>
  <c r="L146" i="12"/>
  <c r="L147" i="12"/>
  <c r="L148" i="12"/>
  <c r="O148" i="12" s="1"/>
  <c r="L149" i="12"/>
  <c r="L150" i="12"/>
  <c r="O150" i="12" s="1"/>
  <c r="L152" i="12"/>
  <c r="L153" i="12"/>
  <c r="O153" i="12" s="1"/>
  <c r="L154" i="12"/>
  <c r="L155" i="12"/>
  <c r="O155" i="12" s="1"/>
  <c r="L156" i="12"/>
  <c r="O156" i="12" s="1"/>
  <c r="L157" i="12"/>
  <c r="L158" i="12"/>
  <c r="O158" i="12" s="1"/>
  <c r="L159" i="12"/>
  <c r="O159" i="12" s="1"/>
  <c r="L160" i="12"/>
  <c r="L162" i="12"/>
  <c r="L163" i="12"/>
  <c r="O163" i="12" s="1"/>
  <c r="L165" i="12"/>
  <c r="L167" i="12"/>
  <c r="O167" i="12" s="1"/>
  <c r="L168" i="12"/>
  <c r="L170" i="12"/>
  <c r="L171" i="12"/>
  <c r="O171" i="12" s="1"/>
  <c r="L172" i="12"/>
  <c r="O172" i="12" s="1"/>
  <c r="L173" i="12"/>
  <c r="L174" i="12"/>
  <c r="O174" i="12" s="1"/>
  <c r="L175" i="12"/>
  <c r="O175" i="12" s="1"/>
  <c r="L177" i="12"/>
  <c r="O177" i="12" s="1"/>
  <c r="L178" i="12"/>
  <c r="L180" i="12"/>
  <c r="O180" i="12" s="1"/>
  <c r="L181" i="12"/>
  <c r="L183" i="12"/>
  <c r="O183" i="12" s="1"/>
  <c r="L185" i="12"/>
  <c r="O185" i="12" s="1"/>
  <c r="L186" i="12"/>
  <c r="L187" i="12"/>
  <c r="O187" i="12" s="1"/>
  <c r="L188" i="12"/>
  <c r="O188" i="12" s="1"/>
  <c r="L189" i="12"/>
  <c r="L190" i="12"/>
  <c r="O190" i="12" s="1"/>
  <c r="L191" i="12"/>
  <c r="O191" i="12" s="1"/>
  <c r="L192" i="12"/>
  <c r="L193" i="12"/>
  <c r="O193" i="12" s="1"/>
  <c r="L194" i="12"/>
  <c r="L195" i="12"/>
  <c r="O195" i="12" s="1"/>
  <c r="L197" i="12"/>
  <c r="L198" i="12"/>
  <c r="O198" i="12" s="1"/>
  <c r="L199" i="12"/>
  <c r="O199" i="12" s="1"/>
  <c r="L200" i="12"/>
  <c r="L201" i="12"/>
  <c r="L202" i="12"/>
  <c r="L203" i="12"/>
  <c r="O203" i="12" s="1"/>
  <c r="L204" i="12"/>
  <c r="O204" i="12" s="1"/>
  <c r="L205" i="12"/>
  <c r="L206" i="12"/>
  <c r="O206" i="12" s="1"/>
  <c r="L207" i="12"/>
  <c r="O207" i="12" s="1"/>
  <c r="L208" i="12"/>
  <c r="L209" i="12"/>
  <c r="O209" i="12" s="1"/>
  <c r="L210" i="12"/>
  <c r="L211" i="12"/>
  <c r="L212" i="12"/>
  <c r="O212" i="12" s="1"/>
  <c r="L213" i="12"/>
  <c r="L214" i="12"/>
  <c r="O214" i="12" s="1"/>
  <c r="L215" i="12"/>
  <c r="O215" i="12" s="1"/>
  <c r="L216" i="12"/>
  <c r="L217" i="12"/>
  <c r="O217" i="12" s="1"/>
  <c r="L218" i="12"/>
  <c r="L219" i="12"/>
  <c r="O219" i="12" s="1"/>
  <c r="L220" i="12"/>
  <c r="O220" i="12" s="1"/>
  <c r="L221" i="12"/>
  <c r="L222" i="12"/>
  <c r="O222" i="12" s="1"/>
  <c r="L223" i="12"/>
  <c r="O223" i="12" s="1"/>
  <c r="L224" i="12"/>
  <c r="L225" i="12"/>
  <c r="O225" i="12" s="1"/>
  <c r="L227" i="12"/>
  <c r="O227" i="12" s="1"/>
  <c r="L228" i="12"/>
  <c r="O228" i="12" s="1"/>
  <c r="L229" i="12"/>
  <c r="L230" i="12"/>
  <c r="O230" i="12" s="1"/>
  <c r="L232" i="12"/>
  <c r="L233" i="12"/>
  <c r="L234" i="12"/>
  <c r="L235" i="12"/>
  <c r="O235" i="12" s="1"/>
  <c r="L236" i="12"/>
  <c r="O236" i="12" s="1"/>
  <c r="L239" i="12"/>
  <c r="O239" i="12" s="1"/>
  <c r="L240" i="12"/>
  <c r="L241" i="12"/>
  <c r="O241" i="12" s="1"/>
  <c r="L243" i="12"/>
  <c r="L244" i="12"/>
  <c r="O244" i="12" s="1"/>
  <c r="L245" i="12"/>
  <c r="L246" i="12"/>
  <c r="O246" i="12" s="1"/>
  <c r="L247" i="12"/>
  <c r="O247" i="12" s="1"/>
  <c r="L248" i="12"/>
  <c r="L249" i="12"/>
  <c r="O249" i="12" s="1"/>
  <c r="L250" i="12"/>
  <c r="L251" i="12"/>
  <c r="O251" i="12" s="1"/>
  <c r="L252" i="12"/>
  <c r="O252" i="12" s="1"/>
  <c r="L253" i="12"/>
  <c r="L254" i="12"/>
  <c r="O254" i="12" s="1"/>
  <c r="L255" i="12"/>
  <c r="O255" i="12" s="1"/>
  <c r="L256" i="12"/>
  <c r="L257" i="12"/>
  <c r="O257" i="12" s="1"/>
  <c r="L258" i="12"/>
  <c r="O104" i="12"/>
  <c r="O105" i="12"/>
  <c r="O106" i="12"/>
  <c r="O109" i="12"/>
  <c r="O114" i="12"/>
  <c r="O115" i="12"/>
  <c r="O117" i="12"/>
  <c r="O120" i="12"/>
  <c r="O125" i="12"/>
  <c r="O128" i="12"/>
  <c r="O130" i="12"/>
  <c r="O137" i="12"/>
  <c r="O138" i="12"/>
  <c r="O144" i="12"/>
  <c r="O146" i="12"/>
  <c r="O147" i="12"/>
  <c r="O149" i="12"/>
  <c r="O152" i="12"/>
  <c r="O154" i="12"/>
  <c r="O157" i="12"/>
  <c r="O160" i="12"/>
  <c r="O162" i="12"/>
  <c r="O165" i="12"/>
  <c r="O168" i="12"/>
  <c r="O170" i="12"/>
  <c r="O173" i="12"/>
  <c r="O178" i="12"/>
  <c r="O181" i="12"/>
  <c r="O186" i="12"/>
  <c r="O189" i="12"/>
  <c r="O192" i="12"/>
  <c r="O194" i="12"/>
  <c r="O197" i="12"/>
  <c r="O200" i="12"/>
  <c r="O201" i="12"/>
  <c r="O202" i="12"/>
  <c r="O205" i="12"/>
  <c r="O208" i="12"/>
  <c r="O210" i="12"/>
  <c r="O211" i="12"/>
  <c r="O213" i="12"/>
  <c r="O216" i="12"/>
  <c r="O218" i="12"/>
  <c r="O221" i="12"/>
  <c r="O224" i="12"/>
  <c r="O229" i="12"/>
  <c r="O232" i="12"/>
  <c r="O233" i="12"/>
  <c r="O234" i="12"/>
  <c r="O240" i="12"/>
  <c r="O243" i="12"/>
  <c r="O245" i="12"/>
  <c r="O248" i="12"/>
  <c r="O250" i="12"/>
  <c r="O253" i="12"/>
  <c r="O256" i="12"/>
  <c r="O258" i="12"/>
  <c r="E23" i="24"/>
  <c r="F23" i="24"/>
  <c r="G23" i="24"/>
  <c r="H23" i="24"/>
  <c r="I23" i="24"/>
  <c r="D23" i="24"/>
  <c r="I34" i="19" l="1"/>
  <c r="G34" i="19"/>
  <c r="F34" i="19"/>
  <c r="E34" i="19"/>
  <c r="D34" i="19"/>
  <c r="C34" i="19"/>
  <c r="AX22" i="19"/>
  <c r="AW22" i="19"/>
  <c r="AV22" i="19"/>
  <c r="AU22" i="19"/>
  <c r="AT22" i="19"/>
  <c r="AS22" i="19"/>
  <c r="AR22" i="19"/>
  <c r="AQ22" i="19"/>
  <c r="AP22" i="19"/>
  <c r="AO22" i="19"/>
  <c r="AN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A22" i="19"/>
  <c r="AX21" i="19"/>
  <c r="AW21" i="19"/>
  <c r="AV21" i="19"/>
  <c r="AU21" i="19"/>
  <c r="AT21" i="19"/>
  <c r="AS21" i="19"/>
  <c r="AR21" i="19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AW20" i="19"/>
  <c r="AV20" i="19"/>
  <c r="AU20" i="19"/>
  <c r="AT20" i="19"/>
  <c r="AS20" i="19"/>
  <c r="AQ20" i="19"/>
  <c r="AP20" i="19"/>
  <c r="AO20" i="19"/>
  <c r="AN20" i="19"/>
  <c r="AM20" i="19"/>
  <c r="AK20" i="19"/>
  <c r="AJ20" i="19"/>
  <c r="AI20" i="19"/>
  <c r="AH20" i="19"/>
  <c r="AG20" i="19"/>
  <c r="AE20" i="19"/>
  <c r="AD20" i="19"/>
  <c r="AC20" i="19"/>
  <c r="AB20" i="19"/>
  <c r="AA20" i="19"/>
  <c r="AV19" i="19"/>
  <c r="AU19" i="19"/>
  <c r="AT19" i="19"/>
  <c r="AS19" i="19"/>
  <c r="AP19" i="19"/>
  <c r="AO19" i="19"/>
  <c r="AN19" i="19"/>
  <c r="AM19" i="19"/>
  <c r="AJ19" i="19"/>
  <c r="AI19" i="19"/>
  <c r="AH19" i="19"/>
  <c r="AG19" i="19"/>
  <c r="AD19" i="19"/>
  <c r="AC19" i="19"/>
  <c r="AB19" i="19"/>
  <c r="AA19" i="19"/>
  <c r="AU18" i="19"/>
  <c r="AT18" i="19"/>
  <c r="AS18" i="19"/>
  <c r="AO18" i="19"/>
  <c r="AN18" i="19"/>
  <c r="AM18" i="19"/>
  <c r="AI18" i="19"/>
  <c r="AH18" i="19"/>
  <c r="AG18" i="19"/>
  <c r="AC18" i="19"/>
  <c r="AB18" i="19"/>
  <c r="AA18" i="19"/>
  <c r="AT17" i="19"/>
  <c r="AS17" i="19"/>
  <c r="AN17" i="19"/>
  <c r="AM17" i="19"/>
  <c r="AH17" i="19"/>
  <c r="AG17" i="19"/>
  <c r="AB17" i="19"/>
  <c r="AA17" i="19"/>
  <c r="AS16" i="19"/>
  <c r="AM16" i="19"/>
  <c r="AG16" i="19"/>
  <c r="AA16" i="19"/>
  <c r="H10" i="19"/>
  <c r="J10" i="19" s="1"/>
  <c r="H9" i="19"/>
  <c r="J9" i="19" s="1"/>
  <c r="R22" i="19" s="1"/>
  <c r="H8" i="19"/>
  <c r="J8" i="19" s="1"/>
  <c r="H7" i="19"/>
  <c r="J7" i="19" s="1"/>
  <c r="O85" i="30"/>
  <c r="P88" i="30"/>
  <c r="O142" i="27"/>
  <c r="O17" i="27"/>
  <c r="O34" i="27"/>
  <c r="O49" i="27"/>
  <c r="O66" i="27"/>
  <c r="O81" i="27"/>
  <c r="O98" i="27"/>
  <c r="O106" i="27"/>
  <c r="O113" i="27"/>
  <c r="O267" i="29"/>
  <c r="O275" i="29"/>
  <c r="O282" i="29"/>
  <c r="O18" i="29"/>
  <c r="P18" i="29" s="1"/>
  <c r="O35" i="29"/>
  <c r="O51" i="29"/>
  <c r="O57" i="29"/>
  <c r="O59" i="29"/>
  <c r="O76" i="29"/>
  <c r="P76" i="29" s="1"/>
  <c r="O81" i="29"/>
  <c r="P81" i="29" s="1"/>
  <c r="O99" i="29"/>
  <c r="O100" i="29"/>
  <c r="P100" i="29" s="1"/>
  <c r="O121" i="29"/>
  <c r="O137" i="29"/>
  <c r="O145" i="29"/>
  <c r="P145" i="29" s="1"/>
  <c r="O156" i="29"/>
  <c r="O164" i="29"/>
  <c r="O179" i="29"/>
  <c r="O187" i="29"/>
  <c r="P187" i="29" s="1"/>
  <c r="O204" i="29"/>
  <c r="O209" i="29"/>
  <c r="O220" i="29"/>
  <c r="O228" i="29"/>
  <c r="O251" i="29"/>
  <c r="O302" i="29"/>
  <c r="P302" i="29" s="1"/>
  <c r="O313" i="29"/>
  <c r="O320" i="29"/>
  <c r="O321" i="29"/>
  <c r="P321" i="29" s="1"/>
  <c r="O336" i="29"/>
  <c r="O342" i="29"/>
  <c r="O344" i="29"/>
  <c r="O353" i="29"/>
  <c r="O355" i="29"/>
  <c r="P355" i="29" s="1"/>
  <c r="O361" i="29"/>
  <c r="O363" i="29"/>
  <c r="O364" i="29"/>
  <c r="P364" i="29" s="1"/>
  <c r="O369" i="29"/>
  <c r="O372" i="29"/>
  <c r="O377" i="29"/>
  <c r="P204" i="29"/>
  <c r="P229" i="29"/>
  <c r="P372" i="29"/>
  <c r="P117" i="29"/>
  <c r="P237" i="29"/>
  <c r="P179" i="29"/>
  <c r="O4" i="29"/>
  <c r="O2" i="32"/>
  <c r="G34" i="2"/>
  <c r="J24" i="32"/>
  <c r="N24" i="32" s="1"/>
  <c r="O24" i="32" s="1"/>
  <c r="P24" i="32" s="1"/>
  <c r="J23" i="32"/>
  <c r="N23" i="32" s="1"/>
  <c r="O23" i="32" s="1"/>
  <c r="P23" i="32" s="1"/>
  <c r="J22" i="32"/>
  <c r="N22" i="32" s="1"/>
  <c r="O22" i="32" s="1"/>
  <c r="P22" i="32" s="1"/>
  <c r="J21" i="32"/>
  <c r="N21" i="32" s="1"/>
  <c r="O21" i="32" s="1"/>
  <c r="P21" i="32" s="1"/>
  <c r="J20" i="32"/>
  <c r="N20" i="32" s="1"/>
  <c r="O20" i="32" s="1"/>
  <c r="P20" i="32" s="1"/>
  <c r="J19" i="32"/>
  <c r="N19" i="32" s="1"/>
  <c r="O19" i="32" s="1"/>
  <c r="P19" i="32" s="1"/>
  <c r="J18" i="32"/>
  <c r="N18" i="32" s="1"/>
  <c r="O18" i="32" s="1"/>
  <c r="P18" i="32" s="1"/>
  <c r="J17" i="32"/>
  <c r="N17" i="32" s="1"/>
  <c r="O17" i="32" s="1"/>
  <c r="P17" i="32" s="1"/>
  <c r="J16" i="32"/>
  <c r="N16" i="32" s="1"/>
  <c r="O16" i="32" s="1"/>
  <c r="P16" i="32" s="1"/>
  <c r="J15" i="32"/>
  <c r="N15" i="32" s="1"/>
  <c r="O15" i="32" s="1"/>
  <c r="P15" i="32" s="1"/>
  <c r="J14" i="32"/>
  <c r="N14" i="32" s="1"/>
  <c r="O14" i="32" s="1"/>
  <c r="P14" i="32" s="1"/>
  <c r="J13" i="32"/>
  <c r="N13" i="32" s="1"/>
  <c r="O13" i="32" s="1"/>
  <c r="P13" i="32" s="1"/>
  <c r="J12" i="32"/>
  <c r="N12" i="32" s="1"/>
  <c r="O12" i="32" s="1"/>
  <c r="P12" i="32" s="1"/>
  <c r="J11" i="32"/>
  <c r="N11" i="32" s="1"/>
  <c r="O11" i="32" s="1"/>
  <c r="P11" i="32" s="1"/>
  <c r="J10" i="32"/>
  <c r="N10" i="32" s="1"/>
  <c r="O10" i="32" s="1"/>
  <c r="P10" i="32" s="1"/>
  <c r="J9" i="32"/>
  <c r="N9" i="32" s="1"/>
  <c r="O9" i="32" s="1"/>
  <c r="P9" i="32" s="1"/>
  <c r="J8" i="32"/>
  <c r="N8" i="32" s="1"/>
  <c r="O8" i="32" s="1"/>
  <c r="P8" i="32" s="1"/>
  <c r="J7" i="32"/>
  <c r="N7" i="32" s="1"/>
  <c r="O7" i="32" s="1"/>
  <c r="P7" i="32" s="1"/>
  <c r="N6" i="32"/>
  <c r="O6" i="32" s="1"/>
  <c r="P6" i="32" s="1"/>
  <c r="J6" i="32"/>
  <c r="J5" i="32"/>
  <c r="N5" i="32" s="1"/>
  <c r="J4" i="32"/>
  <c r="N4" i="32" s="1"/>
  <c r="O4" i="32" s="1"/>
  <c r="P4" i="32" s="1"/>
  <c r="J3" i="32"/>
  <c r="N3" i="32" s="1"/>
  <c r="O3" i="32" s="1"/>
  <c r="P3" i="32" s="1"/>
  <c r="J2" i="32"/>
  <c r="N2" i="32" s="1"/>
  <c r="K89" i="30"/>
  <c r="L89" i="30" s="1"/>
  <c r="O89" i="30" s="1"/>
  <c r="P89" i="30" s="1"/>
  <c r="I89" i="30"/>
  <c r="J89" i="30" s="1"/>
  <c r="K88" i="30"/>
  <c r="L88" i="30" s="1"/>
  <c r="O88" i="30" s="1"/>
  <c r="I88" i="30"/>
  <c r="J88" i="30" s="1"/>
  <c r="K87" i="30"/>
  <c r="L87" i="30" s="1"/>
  <c r="O87" i="30" s="1"/>
  <c r="P87" i="30" s="1"/>
  <c r="J87" i="30"/>
  <c r="P86" i="30"/>
  <c r="L86" i="30"/>
  <c r="O86" i="30" s="1"/>
  <c r="J86" i="30"/>
  <c r="P85" i="30"/>
  <c r="L85" i="30"/>
  <c r="J85" i="30"/>
  <c r="K84" i="30"/>
  <c r="L84" i="30" s="1"/>
  <c r="O84" i="30" s="1"/>
  <c r="P84" i="30" s="1"/>
  <c r="I84" i="30"/>
  <c r="J84" i="30" s="1"/>
  <c r="K83" i="30"/>
  <c r="L83" i="30" s="1"/>
  <c r="O83" i="30" s="1"/>
  <c r="P83" i="30" s="1"/>
  <c r="I83" i="30"/>
  <c r="J83" i="30" s="1"/>
  <c r="L82" i="30"/>
  <c r="O82" i="30" s="1"/>
  <c r="P82" i="30" s="1"/>
  <c r="J82" i="30"/>
  <c r="K81" i="30"/>
  <c r="L81" i="30" s="1"/>
  <c r="O81" i="30" s="1"/>
  <c r="P81" i="30" s="1"/>
  <c r="J81" i="30"/>
  <c r="K80" i="30"/>
  <c r="L80" i="30" s="1"/>
  <c r="O80" i="30" s="1"/>
  <c r="P80" i="30" s="1"/>
  <c r="I80" i="30"/>
  <c r="J80" i="30" s="1"/>
  <c r="K79" i="30"/>
  <c r="L79" i="30" s="1"/>
  <c r="O79" i="30" s="1"/>
  <c r="P79" i="30" s="1"/>
  <c r="I79" i="30"/>
  <c r="J79" i="30" s="1"/>
  <c r="K78" i="30"/>
  <c r="L78" i="30" s="1"/>
  <c r="O78" i="30" s="1"/>
  <c r="P78" i="30" s="1"/>
  <c r="J78" i="30"/>
  <c r="K77" i="30"/>
  <c r="L77" i="30" s="1"/>
  <c r="O77" i="30" s="1"/>
  <c r="P77" i="30" s="1"/>
  <c r="J77" i="30"/>
  <c r="K76" i="30"/>
  <c r="L76" i="30" s="1"/>
  <c r="O76" i="30" s="1"/>
  <c r="P76" i="30" s="1"/>
  <c r="I76" i="30"/>
  <c r="J76" i="30" s="1"/>
  <c r="L75" i="30"/>
  <c r="O75" i="30" s="1"/>
  <c r="P75" i="30" s="1"/>
  <c r="J75" i="30"/>
  <c r="J74" i="30"/>
  <c r="N74" i="30" s="1"/>
  <c r="O74" i="30" s="1"/>
  <c r="P74" i="30" s="1"/>
  <c r="J73" i="30"/>
  <c r="N73" i="30" s="1"/>
  <c r="O73" i="30" s="1"/>
  <c r="P73" i="30" s="1"/>
  <c r="J72" i="30"/>
  <c r="N72" i="30" s="1"/>
  <c r="O72" i="30" s="1"/>
  <c r="P72" i="30" s="1"/>
  <c r="J71" i="30"/>
  <c r="N71" i="30" s="1"/>
  <c r="O71" i="30" s="1"/>
  <c r="P71" i="30" s="1"/>
  <c r="J70" i="30"/>
  <c r="N70" i="30" s="1"/>
  <c r="O70" i="30" s="1"/>
  <c r="P70" i="30" s="1"/>
  <c r="J69" i="30"/>
  <c r="N69" i="30" s="1"/>
  <c r="O69" i="30" s="1"/>
  <c r="P69" i="30" s="1"/>
  <c r="J68" i="30"/>
  <c r="N68" i="30" s="1"/>
  <c r="O68" i="30" s="1"/>
  <c r="P68" i="30" s="1"/>
  <c r="J67" i="30"/>
  <c r="N67" i="30" s="1"/>
  <c r="O67" i="30" s="1"/>
  <c r="P67" i="30" s="1"/>
  <c r="J66" i="30"/>
  <c r="N66" i="30" s="1"/>
  <c r="O66" i="30" s="1"/>
  <c r="P66" i="30" s="1"/>
  <c r="J65" i="30"/>
  <c r="N65" i="30" s="1"/>
  <c r="O65" i="30" s="1"/>
  <c r="P65" i="30" s="1"/>
  <c r="J64" i="30"/>
  <c r="N64" i="30" s="1"/>
  <c r="O64" i="30" s="1"/>
  <c r="P64" i="30" s="1"/>
  <c r="J63" i="30"/>
  <c r="N63" i="30" s="1"/>
  <c r="O63" i="30" s="1"/>
  <c r="P63" i="30" s="1"/>
  <c r="J62" i="30"/>
  <c r="N62" i="30" s="1"/>
  <c r="O62" i="30" s="1"/>
  <c r="P62" i="30" s="1"/>
  <c r="J61" i="30"/>
  <c r="N61" i="30" s="1"/>
  <c r="O61" i="30" s="1"/>
  <c r="P61" i="30" s="1"/>
  <c r="J60" i="30"/>
  <c r="N60" i="30" s="1"/>
  <c r="O60" i="30" s="1"/>
  <c r="P60" i="30" s="1"/>
  <c r="J59" i="30"/>
  <c r="N59" i="30" s="1"/>
  <c r="O59" i="30" s="1"/>
  <c r="P59" i="30" s="1"/>
  <c r="J58" i="30"/>
  <c r="N58" i="30" s="1"/>
  <c r="O58" i="30" s="1"/>
  <c r="P58" i="30" s="1"/>
  <c r="J57" i="30"/>
  <c r="N57" i="30" s="1"/>
  <c r="O57" i="30" s="1"/>
  <c r="P57" i="30" s="1"/>
  <c r="J56" i="30"/>
  <c r="N56" i="30" s="1"/>
  <c r="O56" i="30" s="1"/>
  <c r="P56" i="30" s="1"/>
  <c r="J55" i="30"/>
  <c r="N55" i="30" s="1"/>
  <c r="O55" i="30" s="1"/>
  <c r="P55" i="30" s="1"/>
  <c r="J54" i="30"/>
  <c r="N54" i="30" s="1"/>
  <c r="O54" i="30" s="1"/>
  <c r="P54" i="30" s="1"/>
  <c r="J53" i="30"/>
  <c r="N53" i="30" s="1"/>
  <c r="O53" i="30" s="1"/>
  <c r="P53" i="30" s="1"/>
  <c r="J52" i="30"/>
  <c r="N52" i="30" s="1"/>
  <c r="O52" i="30" s="1"/>
  <c r="P52" i="30" s="1"/>
  <c r="J51" i="30"/>
  <c r="N51" i="30" s="1"/>
  <c r="O51" i="30" s="1"/>
  <c r="P51" i="30" s="1"/>
  <c r="J50" i="30"/>
  <c r="N50" i="30" s="1"/>
  <c r="O50" i="30" s="1"/>
  <c r="P50" i="30" s="1"/>
  <c r="J49" i="30"/>
  <c r="N49" i="30" s="1"/>
  <c r="O49" i="30" s="1"/>
  <c r="P49" i="30" s="1"/>
  <c r="J48" i="30"/>
  <c r="N48" i="30" s="1"/>
  <c r="O48" i="30" s="1"/>
  <c r="P48" i="30" s="1"/>
  <c r="J47" i="30"/>
  <c r="N47" i="30" s="1"/>
  <c r="O47" i="30" s="1"/>
  <c r="P47" i="30" s="1"/>
  <c r="J46" i="30"/>
  <c r="N46" i="30" s="1"/>
  <c r="O46" i="30" s="1"/>
  <c r="P46" i="30" s="1"/>
  <c r="J45" i="30"/>
  <c r="N45" i="30" s="1"/>
  <c r="O45" i="30" s="1"/>
  <c r="P45" i="30" s="1"/>
  <c r="J44" i="30"/>
  <c r="N44" i="30" s="1"/>
  <c r="O44" i="30" s="1"/>
  <c r="P44" i="30" s="1"/>
  <c r="J43" i="30"/>
  <c r="N43" i="30" s="1"/>
  <c r="O43" i="30" s="1"/>
  <c r="P43" i="30" s="1"/>
  <c r="J42" i="30"/>
  <c r="N42" i="30" s="1"/>
  <c r="O42" i="30" s="1"/>
  <c r="P42" i="30" s="1"/>
  <c r="J41" i="30"/>
  <c r="N41" i="30" s="1"/>
  <c r="O41" i="30" s="1"/>
  <c r="P41" i="30" s="1"/>
  <c r="J40" i="30"/>
  <c r="N40" i="30" s="1"/>
  <c r="O40" i="30" s="1"/>
  <c r="P40" i="30" s="1"/>
  <c r="J39" i="30"/>
  <c r="N39" i="30" s="1"/>
  <c r="O39" i="30" s="1"/>
  <c r="P39" i="30" s="1"/>
  <c r="J38" i="30"/>
  <c r="N38" i="30" s="1"/>
  <c r="O38" i="30" s="1"/>
  <c r="P38" i="30" s="1"/>
  <c r="J37" i="30"/>
  <c r="N37" i="30" s="1"/>
  <c r="O37" i="30" s="1"/>
  <c r="P37" i="30" s="1"/>
  <c r="J36" i="30"/>
  <c r="N36" i="30" s="1"/>
  <c r="O36" i="30" s="1"/>
  <c r="P36" i="30" s="1"/>
  <c r="J35" i="30"/>
  <c r="N35" i="30" s="1"/>
  <c r="O35" i="30" s="1"/>
  <c r="P35" i="30" s="1"/>
  <c r="J34" i="30"/>
  <c r="N34" i="30" s="1"/>
  <c r="O34" i="30" s="1"/>
  <c r="P34" i="30" s="1"/>
  <c r="J33" i="30"/>
  <c r="N33" i="30" s="1"/>
  <c r="O33" i="30" s="1"/>
  <c r="P33" i="30" s="1"/>
  <c r="J32" i="30"/>
  <c r="N32" i="30" s="1"/>
  <c r="O32" i="30" s="1"/>
  <c r="P32" i="30" s="1"/>
  <c r="J31" i="30"/>
  <c r="N31" i="30" s="1"/>
  <c r="O31" i="30" s="1"/>
  <c r="P31" i="30" s="1"/>
  <c r="J30" i="30"/>
  <c r="N30" i="30" s="1"/>
  <c r="O30" i="30" s="1"/>
  <c r="P30" i="30" s="1"/>
  <c r="J29" i="30"/>
  <c r="N29" i="30" s="1"/>
  <c r="O29" i="30" s="1"/>
  <c r="P29" i="30" s="1"/>
  <c r="J28" i="30"/>
  <c r="N28" i="30" s="1"/>
  <c r="O28" i="30" s="1"/>
  <c r="P28" i="30" s="1"/>
  <c r="J27" i="30"/>
  <c r="N27" i="30" s="1"/>
  <c r="O27" i="30" s="1"/>
  <c r="P27" i="30" s="1"/>
  <c r="I26" i="30"/>
  <c r="J26" i="30" s="1"/>
  <c r="N26" i="30" s="1"/>
  <c r="O26" i="30" s="1"/>
  <c r="P26" i="30" s="1"/>
  <c r="J25" i="30"/>
  <c r="N25" i="30" s="1"/>
  <c r="O25" i="30" s="1"/>
  <c r="P25" i="30" s="1"/>
  <c r="N24" i="30"/>
  <c r="O24" i="30" s="1"/>
  <c r="P24" i="30" s="1"/>
  <c r="J24" i="30"/>
  <c r="I23" i="30"/>
  <c r="J23" i="30" s="1"/>
  <c r="N23" i="30" s="1"/>
  <c r="O23" i="30" s="1"/>
  <c r="P23" i="30" s="1"/>
  <c r="J22" i="30"/>
  <c r="N22" i="30" s="1"/>
  <c r="O22" i="30" s="1"/>
  <c r="P22" i="30" s="1"/>
  <c r="J21" i="30"/>
  <c r="N21" i="30" s="1"/>
  <c r="O21" i="30" s="1"/>
  <c r="P21" i="30" s="1"/>
  <c r="J20" i="30"/>
  <c r="N20" i="30" s="1"/>
  <c r="O20" i="30" s="1"/>
  <c r="P20" i="30" s="1"/>
  <c r="J19" i="30"/>
  <c r="N19" i="30" s="1"/>
  <c r="O19" i="30" s="1"/>
  <c r="P19" i="30" s="1"/>
  <c r="J18" i="30"/>
  <c r="N18" i="30" s="1"/>
  <c r="O18" i="30" s="1"/>
  <c r="P18" i="30" s="1"/>
  <c r="J17" i="30"/>
  <c r="N17" i="30" s="1"/>
  <c r="O17" i="30" s="1"/>
  <c r="P17" i="30" s="1"/>
  <c r="J16" i="30"/>
  <c r="N16" i="30" s="1"/>
  <c r="O16" i="30" s="1"/>
  <c r="P16" i="30" s="1"/>
  <c r="I15" i="30"/>
  <c r="J15" i="30" s="1"/>
  <c r="N15" i="30" s="1"/>
  <c r="O15" i="30" s="1"/>
  <c r="P15" i="30" s="1"/>
  <c r="N14" i="30"/>
  <c r="O14" i="30" s="1"/>
  <c r="P14" i="30" s="1"/>
  <c r="J14" i="30"/>
  <c r="I13" i="30"/>
  <c r="J13" i="30" s="1"/>
  <c r="N13" i="30" s="1"/>
  <c r="O13" i="30" s="1"/>
  <c r="P13" i="30" s="1"/>
  <c r="J12" i="30"/>
  <c r="N12" i="30" s="1"/>
  <c r="O12" i="30" s="1"/>
  <c r="P12" i="30" s="1"/>
  <c r="I11" i="30"/>
  <c r="J11" i="30" s="1"/>
  <c r="N11" i="30" s="1"/>
  <c r="O11" i="30" s="1"/>
  <c r="P11" i="30" s="1"/>
  <c r="J10" i="30"/>
  <c r="N10" i="30" s="1"/>
  <c r="O10" i="30" s="1"/>
  <c r="P10" i="30" s="1"/>
  <c r="J9" i="30"/>
  <c r="N9" i="30" s="1"/>
  <c r="O9" i="30" s="1"/>
  <c r="P9" i="30" s="1"/>
  <c r="J8" i="30"/>
  <c r="N8" i="30" s="1"/>
  <c r="O8" i="30" s="1"/>
  <c r="P8" i="30" s="1"/>
  <c r="N7" i="30"/>
  <c r="O7" i="30" s="1"/>
  <c r="P7" i="30" s="1"/>
  <c r="J7" i="30"/>
  <c r="I6" i="30"/>
  <c r="J6" i="30" s="1"/>
  <c r="N6" i="30" s="1"/>
  <c r="O6" i="30" s="1"/>
  <c r="P6" i="30" s="1"/>
  <c r="J5" i="30"/>
  <c r="N5" i="30" s="1"/>
  <c r="O5" i="30" s="1"/>
  <c r="P5" i="30" s="1"/>
  <c r="J4" i="30"/>
  <c r="N4" i="30" s="1"/>
  <c r="O4" i="30" s="1"/>
  <c r="P4" i="30" s="1"/>
  <c r="J3" i="30"/>
  <c r="N3" i="30" s="1"/>
  <c r="O3" i="30" s="1"/>
  <c r="P3" i="30" s="1"/>
  <c r="J2" i="30"/>
  <c r="N2" i="30" s="1"/>
  <c r="L379" i="29"/>
  <c r="O379" i="29" s="1"/>
  <c r="L378" i="29"/>
  <c r="O378" i="29" s="1"/>
  <c r="L377" i="29"/>
  <c r="L376" i="29"/>
  <c r="O376" i="29" s="1"/>
  <c r="L375" i="29"/>
  <c r="O375" i="29" s="1"/>
  <c r="L374" i="29"/>
  <c r="O374" i="29" s="1"/>
  <c r="L373" i="29"/>
  <c r="O373" i="29" s="1"/>
  <c r="L372" i="29"/>
  <c r="L371" i="29"/>
  <c r="O371" i="29" s="1"/>
  <c r="P371" i="29" s="1"/>
  <c r="L370" i="29"/>
  <c r="O370" i="29" s="1"/>
  <c r="L369" i="29"/>
  <c r="L368" i="29"/>
  <c r="O368" i="29" s="1"/>
  <c r="L367" i="29"/>
  <c r="O367" i="29" s="1"/>
  <c r="L366" i="29"/>
  <c r="O366" i="29" s="1"/>
  <c r="L365" i="29"/>
  <c r="O365" i="29" s="1"/>
  <c r="L364" i="29"/>
  <c r="P363" i="29"/>
  <c r="L363" i="29"/>
  <c r="L362" i="29"/>
  <c r="O362" i="29" s="1"/>
  <c r="L361" i="29"/>
  <c r="L360" i="29"/>
  <c r="O360" i="29" s="1"/>
  <c r="L359" i="29"/>
  <c r="O359" i="29" s="1"/>
  <c r="L358" i="29"/>
  <c r="O358" i="29" s="1"/>
  <c r="L357" i="29"/>
  <c r="O357" i="29" s="1"/>
  <c r="L356" i="29"/>
  <c r="O356" i="29" s="1"/>
  <c r="L355" i="29"/>
  <c r="L354" i="29"/>
  <c r="O354" i="29" s="1"/>
  <c r="L353" i="29"/>
  <c r="L352" i="29"/>
  <c r="O352" i="29" s="1"/>
  <c r="P352" i="29" s="1"/>
  <c r="L351" i="29"/>
  <c r="O351" i="29" s="1"/>
  <c r="L350" i="29"/>
  <c r="O350" i="29" s="1"/>
  <c r="L349" i="29"/>
  <c r="O349" i="29" s="1"/>
  <c r="L348" i="29"/>
  <c r="L347" i="29"/>
  <c r="L346" i="29"/>
  <c r="L345" i="29"/>
  <c r="O345" i="29" s="1"/>
  <c r="L344" i="29"/>
  <c r="L343" i="29"/>
  <c r="O343" i="29" s="1"/>
  <c r="P343" i="29" s="1"/>
  <c r="L342" i="29"/>
  <c r="L341" i="29"/>
  <c r="O341" i="29" s="1"/>
  <c r="L340" i="29"/>
  <c r="L339" i="29"/>
  <c r="O339" i="29" s="1"/>
  <c r="L338" i="29"/>
  <c r="L337" i="29"/>
  <c r="O337" i="29" s="1"/>
  <c r="P337" i="29" s="1"/>
  <c r="L336" i="29"/>
  <c r="L335" i="29"/>
  <c r="O335" i="29" s="1"/>
  <c r="P335" i="29" s="1"/>
  <c r="L334" i="29"/>
  <c r="O334" i="29" s="1"/>
  <c r="P334" i="29" s="1"/>
  <c r="L333" i="29"/>
  <c r="L332" i="29"/>
  <c r="O332" i="29" s="1"/>
  <c r="L331" i="29"/>
  <c r="L330" i="29"/>
  <c r="L329" i="29"/>
  <c r="O329" i="29" s="1"/>
  <c r="L328" i="29"/>
  <c r="O328" i="29" s="1"/>
  <c r="L327" i="29"/>
  <c r="O327" i="29" s="1"/>
  <c r="P327" i="29" s="1"/>
  <c r="L326" i="29"/>
  <c r="O326" i="29" s="1"/>
  <c r="L325" i="29"/>
  <c r="L324" i="29"/>
  <c r="L323" i="29"/>
  <c r="L322" i="29"/>
  <c r="L321" i="29"/>
  <c r="L320" i="29"/>
  <c r="L319" i="29"/>
  <c r="O319" i="29" s="1"/>
  <c r="P319" i="29" s="1"/>
  <c r="L318" i="29"/>
  <c r="O318" i="29" s="1"/>
  <c r="P318" i="29" s="1"/>
  <c r="L317" i="29"/>
  <c r="O317" i="29" s="1"/>
  <c r="L316" i="29"/>
  <c r="O316" i="29" s="1"/>
  <c r="L315" i="29"/>
  <c r="L314" i="29"/>
  <c r="L313" i="29"/>
  <c r="L312" i="29"/>
  <c r="O312" i="29" s="1"/>
  <c r="L311" i="29"/>
  <c r="O311" i="29" s="1"/>
  <c r="P311" i="29" s="1"/>
  <c r="L310" i="29"/>
  <c r="O310" i="29" s="1"/>
  <c r="L309" i="29"/>
  <c r="O309" i="29" s="1"/>
  <c r="L308" i="29"/>
  <c r="L307" i="29"/>
  <c r="O307" i="29" s="1"/>
  <c r="L306" i="29"/>
  <c r="L305" i="29"/>
  <c r="O305" i="29" s="1"/>
  <c r="P305" i="29" s="1"/>
  <c r="L304" i="29"/>
  <c r="O304" i="29" s="1"/>
  <c r="L303" i="29"/>
  <c r="O303" i="29" s="1"/>
  <c r="P303" i="29" s="1"/>
  <c r="L302" i="29"/>
  <c r="L301" i="29"/>
  <c r="L300" i="29"/>
  <c r="O300" i="29" s="1"/>
  <c r="L299" i="29"/>
  <c r="O299" i="29" s="1"/>
  <c r="K298" i="29"/>
  <c r="L298" i="29" s="1"/>
  <c r="O298" i="29" s="1"/>
  <c r="J298" i="29"/>
  <c r="L297" i="29"/>
  <c r="O297" i="29" s="1"/>
  <c r="J297" i="29"/>
  <c r="K296" i="29"/>
  <c r="L296" i="29" s="1"/>
  <c r="O296" i="29" s="1"/>
  <c r="J296" i="29"/>
  <c r="L295" i="29"/>
  <c r="O295" i="29" s="1"/>
  <c r="J295" i="29"/>
  <c r="K294" i="29"/>
  <c r="L294" i="29" s="1"/>
  <c r="O294" i="29" s="1"/>
  <c r="J294" i="29"/>
  <c r="K293" i="29"/>
  <c r="L293" i="29" s="1"/>
  <c r="O293" i="29" s="1"/>
  <c r="J293" i="29"/>
  <c r="K292" i="29"/>
  <c r="L292" i="29" s="1"/>
  <c r="O292" i="29" s="1"/>
  <c r="J292" i="29"/>
  <c r="K291" i="29"/>
  <c r="L291" i="29" s="1"/>
  <c r="O291" i="29" s="1"/>
  <c r="J291" i="29"/>
  <c r="K290" i="29"/>
  <c r="L290" i="29" s="1"/>
  <c r="J290" i="29"/>
  <c r="K289" i="29"/>
  <c r="L289" i="29" s="1"/>
  <c r="O289" i="29" s="1"/>
  <c r="I289" i="29"/>
  <c r="J289" i="29" s="1"/>
  <c r="L288" i="29"/>
  <c r="O288" i="29" s="1"/>
  <c r="J288" i="29"/>
  <c r="K287" i="29"/>
  <c r="L287" i="29" s="1"/>
  <c r="O287" i="29" s="1"/>
  <c r="J287" i="29"/>
  <c r="K286" i="29"/>
  <c r="L286" i="29" s="1"/>
  <c r="O286" i="29" s="1"/>
  <c r="J286" i="29"/>
  <c r="K285" i="29"/>
  <c r="L285" i="29" s="1"/>
  <c r="O285" i="29" s="1"/>
  <c r="J285" i="29"/>
  <c r="K284" i="29"/>
  <c r="L284" i="29" s="1"/>
  <c r="O284" i="29" s="1"/>
  <c r="J284" i="29"/>
  <c r="K283" i="29"/>
  <c r="L283" i="29" s="1"/>
  <c r="O283" i="29" s="1"/>
  <c r="J283" i="29"/>
  <c r="K282" i="29"/>
  <c r="L282" i="29" s="1"/>
  <c r="J282" i="29"/>
  <c r="K281" i="29"/>
  <c r="L281" i="29" s="1"/>
  <c r="O281" i="29" s="1"/>
  <c r="J281" i="29"/>
  <c r="L280" i="29"/>
  <c r="O280" i="29" s="1"/>
  <c r="K280" i="29"/>
  <c r="J280" i="29"/>
  <c r="K279" i="29"/>
  <c r="L279" i="29" s="1"/>
  <c r="O279" i="29" s="1"/>
  <c r="J279" i="29"/>
  <c r="K278" i="29"/>
  <c r="L278" i="29" s="1"/>
  <c r="O278" i="29" s="1"/>
  <c r="J278" i="29"/>
  <c r="K277" i="29"/>
  <c r="L277" i="29" s="1"/>
  <c r="O277" i="29" s="1"/>
  <c r="J277" i="29"/>
  <c r="K276" i="29"/>
  <c r="L276" i="29" s="1"/>
  <c r="O276" i="29" s="1"/>
  <c r="J276" i="29"/>
  <c r="K275" i="29"/>
  <c r="L275" i="29" s="1"/>
  <c r="J275" i="29"/>
  <c r="K274" i="29"/>
  <c r="L274" i="29" s="1"/>
  <c r="O274" i="29" s="1"/>
  <c r="P274" i="29" s="1"/>
  <c r="J274" i="29"/>
  <c r="K273" i="29"/>
  <c r="L273" i="29" s="1"/>
  <c r="O273" i="29" s="1"/>
  <c r="J273" i="29"/>
  <c r="K272" i="29"/>
  <c r="L272" i="29" s="1"/>
  <c r="O272" i="29" s="1"/>
  <c r="J272" i="29"/>
  <c r="K271" i="29"/>
  <c r="L271" i="29" s="1"/>
  <c r="O271" i="29" s="1"/>
  <c r="J271" i="29"/>
  <c r="L270" i="29"/>
  <c r="O270" i="29" s="1"/>
  <c r="K270" i="29"/>
  <c r="J270" i="29"/>
  <c r="K269" i="29"/>
  <c r="L269" i="29" s="1"/>
  <c r="O269" i="29" s="1"/>
  <c r="J269" i="29"/>
  <c r="K268" i="29"/>
  <c r="L268" i="29" s="1"/>
  <c r="O268" i="29" s="1"/>
  <c r="J268" i="29"/>
  <c r="K267" i="29"/>
  <c r="L267" i="29" s="1"/>
  <c r="J267" i="29"/>
  <c r="K266" i="29"/>
  <c r="L266" i="29" s="1"/>
  <c r="J266" i="29"/>
  <c r="K265" i="29"/>
  <c r="L265" i="29" s="1"/>
  <c r="O265" i="29" s="1"/>
  <c r="J265" i="29"/>
  <c r="L264" i="29"/>
  <c r="O264" i="29" s="1"/>
  <c r="K264" i="29"/>
  <c r="J264" i="29"/>
  <c r="L263" i="29"/>
  <c r="O263" i="29" s="1"/>
  <c r="J263" i="29"/>
  <c r="L262" i="29"/>
  <c r="O262" i="29" s="1"/>
  <c r="P262" i="29" s="1"/>
  <c r="J262" i="29"/>
  <c r="L261" i="29"/>
  <c r="O261" i="29" s="1"/>
  <c r="J261" i="29"/>
  <c r="L260" i="29"/>
  <c r="O260" i="29" s="1"/>
  <c r="P260" i="29" s="1"/>
  <c r="J260" i="29"/>
  <c r="L259" i="29"/>
  <c r="O259" i="29" s="1"/>
  <c r="J259" i="29"/>
  <c r="L258" i="29"/>
  <c r="J258" i="29"/>
  <c r="L257" i="29"/>
  <c r="O257" i="29" s="1"/>
  <c r="J257" i="29"/>
  <c r="L256" i="29"/>
  <c r="O256" i="29" s="1"/>
  <c r="J256" i="29"/>
  <c r="L255" i="29"/>
  <c r="O255" i="29" s="1"/>
  <c r="J255" i="29"/>
  <c r="L254" i="29"/>
  <c r="O254" i="29" s="1"/>
  <c r="P254" i="29" s="1"/>
  <c r="J254" i="29"/>
  <c r="L253" i="29"/>
  <c r="O253" i="29" s="1"/>
  <c r="J253" i="29"/>
  <c r="L252" i="29"/>
  <c r="O252" i="29" s="1"/>
  <c r="P252" i="29" s="1"/>
  <c r="J252" i="29"/>
  <c r="L251" i="29"/>
  <c r="J251" i="29"/>
  <c r="P250" i="29"/>
  <c r="L250" i="29"/>
  <c r="O250" i="29" s="1"/>
  <c r="J250" i="29"/>
  <c r="L249" i="29"/>
  <c r="O249" i="29" s="1"/>
  <c r="J249" i="29"/>
  <c r="L248" i="29"/>
  <c r="O248" i="29" s="1"/>
  <c r="J248" i="29"/>
  <c r="L247" i="29"/>
  <c r="O247" i="29" s="1"/>
  <c r="J247" i="29"/>
  <c r="L246" i="29"/>
  <c r="J246" i="29"/>
  <c r="L245" i="29"/>
  <c r="O245" i="29" s="1"/>
  <c r="J245" i="29"/>
  <c r="L244" i="29"/>
  <c r="O244" i="29" s="1"/>
  <c r="J244" i="29"/>
  <c r="L243" i="29"/>
  <c r="O243" i="29" s="1"/>
  <c r="P243" i="29" s="1"/>
  <c r="J243" i="29"/>
  <c r="L242" i="29"/>
  <c r="J242" i="29"/>
  <c r="L241" i="29"/>
  <c r="O241" i="29" s="1"/>
  <c r="P241" i="29" s="1"/>
  <c r="J241" i="29"/>
  <c r="L240" i="29"/>
  <c r="O240" i="29" s="1"/>
  <c r="J240" i="29"/>
  <c r="L239" i="29"/>
  <c r="O239" i="29" s="1"/>
  <c r="J239" i="29"/>
  <c r="L238" i="29"/>
  <c r="O238" i="29" s="1"/>
  <c r="P238" i="29" s="1"/>
  <c r="J238" i="29"/>
  <c r="L237" i="29"/>
  <c r="O237" i="29" s="1"/>
  <c r="J237" i="29"/>
  <c r="L236" i="29"/>
  <c r="O236" i="29" s="1"/>
  <c r="P236" i="29" s="1"/>
  <c r="J236" i="29"/>
  <c r="L235" i="29"/>
  <c r="O235" i="29" s="1"/>
  <c r="J235" i="29"/>
  <c r="L234" i="29"/>
  <c r="J234" i="29"/>
  <c r="L233" i="29"/>
  <c r="O233" i="29" s="1"/>
  <c r="J233" i="29"/>
  <c r="L232" i="29"/>
  <c r="O232" i="29" s="1"/>
  <c r="J232" i="29"/>
  <c r="L231" i="29"/>
  <c r="O231" i="29" s="1"/>
  <c r="J231" i="29"/>
  <c r="L230" i="29"/>
  <c r="O230" i="29" s="1"/>
  <c r="J230" i="29"/>
  <c r="L229" i="29"/>
  <c r="O229" i="29" s="1"/>
  <c r="J229" i="29"/>
  <c r="L228" i="29"/>
  <c r="J228" i="29"/>
  <c r="L227" i="29"/>
  <c r="O227" i="29" s="1"/>
  <c r="P227" i="29" s="1"/>
  <c r="J227" i="29"/>
  <c r="L226" i="29"/>
  <c r="O226" i="29" s="1"/>
  <c r="P226" i="29" s="1"/>
  <c r="J226" i="29"/>
  <c r="L225" i="29"/>
  <c r="O225" i="29" s="1"/>
  <c r="P225" i="29" s="1"/>
  <c r="J225" i="29"/>
  <c r="L224" i="29"/>
  <c r="O224" i="29" s="1"/>
  <c r="J224" i="29"/>
  <c r="L223" i="29"/>
  <c r="O223" i="29" s="1"/>
  <c r="J223" i="29"/>
  <c r="L222" i="29"/>
  <c r="O222" i="29" s="1"/>
  <c r="P222" i="29" s="1"/>
  <c r="J222" i="29"/>
  <c r="L221" i="29"/>
  <c r="O221" i="29" s="1"/>
  <c r="J221" i="29"/>
  <c r="L220" i="29"/>
  <c r="J220" i="29"/>
  <c r="L219" i="29"/>
  <c r="O219" i="29" s="1"/>
  <c r="J219" i="29"/>
  <c r="P218" i="29"/>
  <c r="L218" i="29"/>
  <c r="O218" i="29" s="1"/>
  <c r="J218" i="29"/>
  <c r="L217" i="29"/>
  <c r="O217" i="29" s="1"/>
  <c r="J217" i="29"/>
  <c r="L216" i="29"/>
  <c r="O216" i="29" s="1"/>
  <c r="J216" i="29"/>
  <c r="L215" i="29"/>
  <c r="O215" i="29" s="1"/>
  <c r="J215" i="29"/>
  <c r="L214" i="29"/>
  <c r="O214" i="29" s="1"/>
  <c r="J214" i="29"/>
  <c r="L213" i="29"/>
  <c r="O213" i="29" s="1"/>
  <c r="P213" i="29" s="1"/>
  <c r="J213" i="29"/>
  <c r="L212" i="29"/>
  <c r="O212" i="29" s="1"/>
  <c r="P212" i="29" s="1"/>
  <c r="J212" i="29"/>
  <c r="L211" i="29"/>
  <c r="O211" i="29" s="1"/>
  <c r="P211" i="29" s="1"/>
  <c r="J211" i="29"/>
  <c r="L210" i="29"/>
  <c r="J210" i="29"/>
  <c r="L209" i="29"/>
  <c r="J209" i="29"/>
  <c r="L208" i="29"/>
  <c r="O208" i="29" s="1"/>
  <c r="J208" i="29"/>
  <c r="L207" i="29"/>
  <c r="O207" i="29" s="1"/>
  <c r="P207" i="29" s="1"/>
  <c r="J207" i="29"/>
  <c r="L206" i="29"/>
  <c r="O206" i="29" s="1"/>
  <c r="J206" i="29"/>
  <c r="L205" i="29"/>
  <c r="J205" i="29"/>
  <c r="L204" i="29"/>
  <c r="J204" i="29"/>
  <c r="L203" i="29"/>
  <c r="O203" i="29" s="1"/>
  <c r="J203" i="29"/>
  <c r="P202" i="29"/>
  <c r="L202" i="29"/>
  <c r="O202" i="29" s="1"/>
  <c r="J202" i="29"/>
  <c r="L201" i="29"/>
  <c r="O201" i="29" s="1"/>
  <c r="P201" i="29" s="1"/>
  <c r="J201" i="29"/>
  <c r="L200" i="29"/>
  <c r="O200" i="29" s="1"/>
  <c r="J200" i="29"/>
  <c r="L199" i="29"/>
  <c r="O199" i="29" s="1"/>
  <c r="J199" i="29"/>
  <c r="L198" i="29"/>
  <c r="O198" i="29" s="1"/>
  <c r="P198" i="29" s="1"/>
  <c r="J198" i="29"/>
  <c r="L197" i="29"/>
  <c r="O197" i="29" s="1"/>
  <c r="P197" i="29" s="1"/>
  <c r="J197" i="29"/>
  <c r="L196" i="29"/>
  <c r="O196" i="29" s="1"/>
  <c r="J196" i="29"/>
  <c r="L195" i="29"/>
  <c r="O195" i="29" s="1"/>
  <c r="J195" i="29"/>
  <c r="L194" i="29"/>
  <c r="J194" i="29"/>
  <c r="L193" i="29"/>
  <c r="O193" i="29" s="1"/>
  <c r="P193" i="29" s="1"/>
  <c r="J193" i="29"/>
  <c r="L192" i="29"/>
  <c r="O192" i="29" s="1"/>
  <c r="J192" i="29"/>
  <c r="L191" i="29"/>
  <c r="O191" i="29" s="1"/>
  <c r="J191" i="29"/>
  <c r="L190" i="29"/>
  <c r="O190" i="29" s="1"/>
  <c r="P190" i="29" s="1"/>
  <c r="J190" i="29"/>
  <c r="L189" i="29"/>
  <c r="J189" i="29"/>
  <c r="L188" i="29"/>
  <c r="O188" i="29" s="1"/>
  <c r="P188" i="29" s="1"/>
  <c r="J188" i="29"/>
  <c r="L187" i="29"/>
  <c r="J187" i="29"/>
  <c r="L186" i="29"/>
  <c r="O186" i="29" s="1"/>
  <c r="P186" i="29" s="1"/>
  <c r="J186" i="29"/>
  <c r="L185" i="29"/>
  <c r="O185" i="29" s="1"/>
  <c r="J185" i="29"/>
  <c r="L184" i="29"/>
  <c r="O184" i="29" s="1"/>
  <c r="J184" i="29"/>
  <c r="L183" i="29"/>
  <c r="O183" i="29" s="1"/>
  <c r="J183" i="29"/>
  <c r="L182" i="29"/>
  <c r="J182" i="29"/>
  <c r="L181" i="29"/>
  <c r="O181" i="29" s="1"/>
  <c r="J181" i="29"/>
  <c r="L180" i="29"/>
  <c r="O180" i="29" s="1"/>
  <c r="J180" i="29"/>
  <c r="L179" i="29"/>
  <c r="J179" i="29"/>
  <c r="L178" i="29"/>
  <c r="J178" i="29"/>
  <c r="L177" i="29"/>
  <c r="O177" i="29" s="1"/>
  <c r="P177" i="29" s="1"/>
  <c r="J177" i="29"/>
  <c r="L176" i="29"/>
  <c r="O176" i="29" s="1"/>
  <c r="J176" i="29"/>
  <c r="L175" i="29"/>
  <c r="O175" i="29" s="1"/>
  <c r="J175" i="29"/>
  <c r="P174" i="29"/>
  <c r="L174" i="29"/>
  <c r="O174" i="29" s="1"/>
  <c r="J174" i="29"/>
  <c r="L173" i="29"/>
  <c r="O173" i="29" s="1"/>
  <c r="P173" i="29" s="1"/>
  <c r="J173" i="29"/>
  <c r="L172" i="29"/>
  <c r="O172" i="29" s="1"/>
  <c r="P172" i="29" s="1"/>
  <c r="J172" i="29"/>
  <c r="L171" i="29"/>
  <c r="O171" i="29" s="1"/>
  <c r="J171" i="29"/>
  <c r="L170" i="29"/>
  <c r="J170" i="29"/>
  <c r="L169" i="29"/>
  <c r="O169" i="29" s="1"/>
  <c r="J169" i="29"/>
  <c r="L168" i="29"/>
  <c r="O168" i="29" s="1"/>
  <c r="J168" i="29"/>
  <c r="L167" i="29"/>
  <c r="O167" i="29" s="1"/>
  <c r="J167" i="29"/>
  <c r="L166" i="29"/>
  <c r="O166" i="29" s="1"/>
  <c r="J166" i="29"/>
  <c r="L165" i="29"/>
  <c r="O165" i="29" s="1"/>
  <c r="P165" i="29" s="1"/>
  <c r="J165" i="29"/>
  <c r="L164" i="29"/>
  <c r="J164" i="29"/>
  <c r="L163" i="29"/>
  <c r="O163" i="29" s="1"/>
  <c r="P163" i="29" s="1"/>
  <c r="J163" i="29"/>
  <c r="L162" i="29"/>
  <c r="O162" i="29" s="1"/>
  <c r="P162" i="29" s="1"/>
  <c r="J162" i="29"/>
  <c r="L161" i="29"/>
  <c r="O161" i="29" s="1"/>
  <c r="P161" i="29" s="1"/>
  <c r="J161" i="29"/>
  <c r="L160" i="29"/>
  <c r="O160" i="29" s="1"/>
  <c r="J160" i="29"/>
  <c r="L159" i="29"/>
  <c r="O159" i="29" s="1"/>
  <c r="J159" i="29"/>
  <c r="L158" i="29"/>
  <c r="O158" i="29" s="1"/>
  <c r="P158" i="29" s="1"/>
  <c r="J158" i="29"/>
  <c r="L157" i="29"/>
  <c r="J157" i="29"/>
  <c r="L156" i="29"/>
  <c r="J156" i="29"/>
  <c r="L155" i="29"/>
  <c r="O155" i="29" s="1"/>
  <c r="J155" i="29"/>
  <c r="P154" i="29"/>
  <c r="L154" i="29"/>
  <c r="O154" i="29" s="1"/>
  <c r="J154" i="29"/>
  <c r="L153" i="29"/>
  <c r="O153" i="29" s="1"/>
  <c r="J153" i="29"/>
  <c r="L152" i="29"/>
  <c r="O152" i="29" s="1"/>
  <c r="J152" i="29"/>
  <c r="L151" i="29"/>
  <c r="O151" i="29" s="1"/>
  <c r="J151" i="29"/>
  <c r="L150" i="29"/>
  <c r="O150" i="29" s="1"/>
  <c r="J150" i="29"/>
  <c r="L149" i="29"/>
  <c r="O149" i="29" s="1"/>
  <c r="J149" i="29"/>
  <c r="L148" i="29"/>
  <c r="O148" i="29" s="1"/>
  <c r="P148" i="29" s="1"/>
  <c r="J148" i="29"/>
  <c r="L147" i="29"/>
  <c r="J147" i="29"/>
  <c r="L146" i="29"/>
  <c r="O146" i="29" s="1"/>
  <c r="J146" i="29"/>
  <c r="L145" i="29"/>
  <c r="J145" i="29"/>
  <c r="L144" i="29"/>
  <c r="O144" i="29" s="1"/>
  <c r="J144" i="29"/>
  <c r="L143" i="29"/>
  <c r="O143" i="29" s="1"/>
  <c r="P143" i="29" s="1"/>
  <c r="J143" i="29"/>
  <c r="L142" i="29"/>
  <c r="O142" i="29" s="1"/>
  <c r="J142" i="29"/>
  <c r="L141" i="29"/>
  <c r="O141" i="29" s="1"/>
  <c r="J141" i="29"/>
  <c r="L140" i="29"/>
  <c r="O140" i="29" s="1"/>
  <c r="J140" i="29"/>
  <c r="L139" i="29"/>
  <c r="O139" i="29" s="1"/>
  <c r="P139" i="29" s="1"/>
  <c r="J139" i="29"/>
  <c r="L138" i="29"/>
  <c r="O138" i="29" s="1"/>
  <c r="J138" i="29"/>
  <c r="L137" i="29"/>
  <c r="J137" i="29"/>
  <c r="L136" i="29"/>
  <c r="O136" i="29" s="1"/>
  <c r="J136" i="29"/>
  <c r="L135" i="29"/>
  <c r="O135" i="29" s="1"/>
  <c r="J135" i="29"/>
  <c r="L134" i="29"/>
  <c r="O134" i="29" s="1"/>
  <c r="J134" i="29"/>
  <c r="L133" i="29"/>
  <c r="O133" i="29" s="1"/>
  <c r="J133" i="29"/>
  <c r="L132" i="29"/>
  <c r="O132" i="29" s="1"/>
  <c r="J132" i="29"/>
  <c r="L131" i="29"/>
  <c r="O131" i="29" s="1"/>
  <c r="J131" i="29"/>
  <c r="L130" i="29"/>
  <c r="O130" i="29" s="1"/>
  <c r="J130" i="29"/>
  <c r="L129" i="29"/>
  <c r="O129" i="29" s="1"/>
  <c r="J129" i="29"/>
  <c r="L128" i="29"/>
  <c r="O128" i="29" s="1"/>
  <c r="J128" i="29"/>
  <c r="L127" i="29"/>
  <c r="O127" i="29" s="1"/>
  <c r="J127" i="29"/>
  <c r="L126" i="29"/>
  <c r="O126" i="29" s="1"/>
  <c r="J126" i="29"/>
  <c r="L125" i="29"/>
  <c r="O125" i="29" s="1"/>
  <c r="P125" i="29" s="1"/>
  <c r="J125" i="29"/>
  <c r="L124" i="29"/>
  <c r="O124" i="29" s="1"/>
  <c r="J124" i="29"/>
  <c r="L123" i="29"/>
  <c r="O123" i="29" s="1"/>
  <c r="J123" i="29"/>
  <c r="L122" i="29"/>
  <c r="O122" i="29" s="1"/>
  <c r="J122" i="29"/>
  <c r="L121" i="29"/>
  <c r="J121" i="29"/>
  <c r="L120" i="29"/>
  <c r="O120" i="29" s="1"/>
  <c r="J120" i="29"/>
  <c r="L119" i="29"/>
  <c r="O119" i="29" s="1"/>
  <c r="J119" i="29"/>
  <c r="L118" i="29"/>
  <c r="O118" i="29" s="1"/>
  <c r="J118" i="29"/>
  <c r="L117" i="29"/>
  <c r="O117" i="29" s="1"/>
  <c r="J117" i="29"/>
  <c r="L116" i="29"/>
  <c r="O116" i="29" s="1"/>
  <c r="P116" i="29" s="1"/>
  <c r="J116" i="29"/>
  <c r="L115" i="29"/>
  <c r="O115" i="29" s="1"/>
  <c r="J115" i="29"/>
  <c r="L114" i="29"/>
  <c r="O114" i="29" s="1"/>
  <c r="J114" i="29"/>
  <c r="L113" i="29"/>
  <c r="O113" i="29" s="1"/>
  <c r="P113" i="29" s="1"/>
  <c r="J113" i="29"/>
  <c r="L112" i="29"/>
  <c r="O112" i="29" s="1"/>
  <c r="J112" i="29"/>
  <c r="L111" i="29"/>
  <c r="O111" i="29" s="1"/>
  <c r="P111" i="29" s="1"/>
  <c r="J111" i="29"/>
  <c r="L110" i="29"/>
  <c r="O110" i="29" s="1"/>
  <c r="J110" i="29"/>
  <c r="L109" i="29"/>
  <c r="O109" i="29" s="1"/>
  <c r="P109" i="29" s="1"/>
  <c r="J109" i="29"/>
  <c r="L108" i="29"/>
  <c r="O108" i="29" s="1"/>
  <c r="P108" i="29" s="1"/>
  <c r="J108" i="29"/>
  <c r="L107" i="29"/>
  <c r="O107" i="29" s="1"/>
  <c r="P107" i="29" s="1"/>
  <c r="J107" i="29"/>
  <c r="L106" i="29"/>
  <c r="O106" i="29" s="1"/>
  <c r="J106" i="29"/>
  <c r="L105" i="29"/>
  <c r="O105" i="29" s="1"/>
  <c r="P105" i="29" s="1"/>
  <c r="J105" i="29"/>
  <c r="L104" i="29"/>
  <c r="O104" i="29" s="1"/>
  <c r="J104" i="29"/>
  <c r="L103" i="29"/>
  <c r="O103" i="29" s="1"/>
  <c r="J103" i="29"/>
  <c r="L102" i="29"/>
  <c r="O102" i="29" s="1"/>
  <c r="J102" i="29"/>
  <c r="L101" i="29"/>
  <c r="O101" i="29" s="1"/>
  <c r="J101" i="29"/>
  <c r="L100" i="29"/>
  <c r="J100" i="29"/>
  <c r="P99" i="29"/>
  <c r="L99" i="29"/>
  <c r="J99" i="29"/>
  <c r="L98" i="29"/>
  <c r="O98" i="29" s="1"/>
  <c r="J98" i="29"/>
  <c r="L97" i="29"/>
  <c r="O97" i="29" s="1"/>
  <c r="P97" i="29" s="1"/>
  <c r="J97" i="29"/>
  <c r="L96" i="29"/>
  <c r="O96" i="29" s="1"/>
  <c r="J96" i="29"/>
  <c r="L95" i="29"/>
  <c r="O95" i="29" s="1"/>
  <c r="J95" i="29"/>
  <c r="L94" i="29"/>
  <c r="O94" i="29" s="1"/>
  <c r="J94" i="29"/>
  <c r="L93" i="29"/>
  <c r="O93" i="29" s="1"/>
  <c r="P93" i="29" s="1"/>
  <c r="J93" i="29"/>
  <c r="L92" i="29"/>
  <c r="O92" i="29" s="1"/>
  <c r="J92" i="29"/>
  <c r="L91" i="29"/>
  <c r="O91" i="29" s="1"/>
  <c r="P91" i="29" s="1"/>
  <c r="J91" i="29"/>
  <c r="L90" i="29"/>
  <c r="O90" i="29" s="1"/>
  <c r="J90" i="29"/>
  <c r="L89" i="29"/>
  <c r="O89" i="29" s="1"/>
  <c r="J89" i="29"/>
  <c r="L88" i="29"/>
  <c r="O88" i="29" s="1"/>
  <c r="J88" i="29"/>
  <c r="L87" i="29"/>
  <c r="O87" i="29" s="1"/>
  <c r="J87" i="29"/>
  <c r="L86" i="29"/>
  <c r="O86" i="29" s="1"/>
  <c r="J86" i="29"/>
  <c r="L85" i="29"/>
  <c r="O85" i="29" s="1"/>
  <c r="J85" i="29"/>
  <c r="L84" i="29"/>
  <c r="O84" i="29" s="1"/>
  <c r="P84" i="29" s="1"/>
  <c r="J84" i="29"/>
  <c r="L83" i="29"/>
  <c r="J83" i="29"/>
  <c r="L82" i="29"/>
  <c r="O82" i="29" s="1"/>
  <c r="P82" i="29" s="1"/>
  <c r="J82" i="29"/>
  <c r="L81" i="29"/>
  <c r="J81" i="29"/>
  <c r="L80" i="29"/>
  <c r="O80" i="29" s="1"/>
  <c r="J80" i="29"/>
  <c r="L79" i="29"/>
  <c r="O79" i="29" s="1"/>
  <c r="P79" i="29" s="1"/>
  <c r="J79" i="29"/>
  <c r="L78" i="29"/>
  <c r="O78" i="29" s="1"/>
  <c r="P78" i="29" s="1"/>
  <c r="J78" i="29"/>
  <c r="L77" i="29"/>
  <c r="O77" i="29" s="1"/>
  <c r="J77" i="29"/>
  <c r="L76" i="29"/>
  <c r="J76" i="29"/>
  <c r="L75" i="29"/>
  <c r="O75" i="29" s="1"/>
  <c r="J75" i="29"/>
  <c r="L74" i="29"/>
  <c r="J74" i="29"/>
  <c r="L73" i="29"/>
  <c r="O73" i="29" s="1"/>
  <c r="J73" i="29"/>
  <c r="L72" i="29"/>
  <c r="O72" i="29" s="1"/>
  <c r="J72" i="29"/>
  <c r="L71" i="29"/>
  <c r="O71" i="29" s="1"/>
  <c r="J71" i="29"/>
  <c r="L70" i="29"/>
  <c r="O70" i="29" s="1"/>
  <c r="P70" i="29" s="1"/>
  <c r="J70" i="29"/>
  <c r="L69" i="29"/>
  <c r="O69" i="29" s="1"/>
  <c r="J69" i="29"/>
  <c r="L68" i="29"/>
  <c r="O68" i="29" s="1"/>
  <c r="P68" i="29" s="1"/>
  <c r="J68" i="29"/>
  <c r="L67" i="29"/>
  <c r="O67" i="29" s="1"/>
  <c r="J67" i="29"/>
  <c r="P66" i="29"/>
  <c r="L66" i="29"/>
  <c r="O66" i="29" s="1"/>
  <c r="J66" i="29"/>
  <c r="L65" i="29"/>
  <c r="O65" i="29" s="1"/>
  <c r="J65" i="29"/>
  <c r="L64" i="29"/>
  <c r="O64" i="29" s="1"/>
  <c r="J64" i="29"/>
  <c r="L63" i="29"/>
  <c r="O63" i="29" s="1"/>
  <c r="J63" i="29"/>
  <c r="L62" i="29"/>
  <c r="O62" i="29" s="1"/>
  <c r="J62" i="29"/>
  <c r="L61" i="29"/>
  <c r="O61" i="29" s="1"/>
  <c r="J61" i="29"/>
  <c r="L60" i="29"/>
  <c r="O60" i="29" s="1"/>
  <c r="P60" i="29" s="1"/>
  <c r="J60" i="29"/>
  <c r="L59" i="29"/>
  <c r="J59" i="29"/>
  <c r="L58" i="29"/>
  <c r="O58" i="29" s="1"/>
  <c r="P58" i="29" s="1"/>
  <c r="J58" i="29"/>
  <c r="L57" i="29"/>
  <c r="J57" i="29"/>
  <c r="L56" i="29"/>
  <c r="O56" i="29" s="1"/>
  <c r="J56" i="29"/>
  <c r="L55" i="29"/>
  <c r="O55" i="29" s="1"/>
  <c r="J55" i="29"/>
  <c r="L54" i="29"/>
  <c r="O54" i="29" s="1"/>
  <c r="J54" i="29"/>
  <c r="L53" i="29"/>
  <c r="O53" i="29" s="1"/>
  <c r="J53" i="29"/>
  <c r="L52" i="29"/>
  <c r="O52" i="29" s="1"/>
  <c r="J52" i="29"/>
  <c r="L51" i="29"/>
  <c r="J51" i="29"/>
  <c r="P50" i="29"/>
  <c r="L50" i="29"/>
  <c r="O50" i="29" s="1"/>
  <c r="J50" i="29"/>
  <c r="L49" i="29"/>
  <c r="O49" i="29" s="1"/>
  <c r="J49" i="29"/>
  <c r="L48" i="29"/>
  <c r="O48" i="29" s="1"/>
  <c r="J48" i="29"/>
  <c r="L47" i="29"/>
  <c r="O47" i="29" s="1"/>
  <c r="J47" i="29"/>
  <c r="L46" i="29"/>
  <c r="O46" i="29" s="1"/>
  <c r="J46" i="29"/>
  <c r="L45" i="29"/>
  <c r="O45" i="29" s="1"/>
  <c r="J45" i="29"/>
  <c r="L44" i="29"/>
  <c r="O44" i="29" s="1"/>
  <c r="J44" i="29"/>
  <c r="L43" i="29"/>
  <c r="O43" i="29" s="1"/>
  <c r="J43" i="29"/>
  <c r="L42" i="29"/>
  <c r="J42" i="29"/>
  <c r="L41" i="29"/>
  <c r="O41" i="29" s="1"/>
  <c r="J41" i="29"/>
  <c r="L40" i="29"/>
  <c r="O40" i="29" s="1"/>
  <c r="J40" i="29"/>
  <c r="L39" i="29"/>
  <c r="O39" i="29" s="1"/>
  <c r="J39" i="29"/>
  <c r="L38" i="29"/>
  <c r="O38" i="29" s="1"/>
  <c r="P38" i="29" s="1"/>
  <c r="J38" i="29"/>
  <c r="L37" i="29"/>
  <c r="O37" i="29" s="1"/>
  <c r="J37" i="29"/>
  <c r="L36" i="29"/>
  <c r="O36" i="29" s="1"/>
  <c r="J36" i="29"/>
  <c r="L35" i="29"/>
  <c r="J35" i="29"/>
  <c r="L34" i="29"/>
  <c r="J34" i="29"/>
  <c r="L33" i="29"/>
  <c r="O33" i="29" s="1"/>
  <c r="J33" i="29"/>
  <c r="L32" i="29"/>
  <c r="J32" i="29"/>
  <c r="L31" i="29"/>
  <c r="O31" i="29" s="1"/>
  <c r="J31" i="29"/>
  <c r="L30" i="29"/>
  <c r="J30" i="29"/>
  <c r="L29" i="29"/>
  <c r="O29" i="29" s="1"/>
  <c r="J29" i="29"/>
  <c r="L28" i="29"/>
  <c r="O28" i="29" s="1"/>
  <c r="P28" i="29" s="1"/>
  <c r="J28" i="29"/>
  <c r="L27" i="29"/>
  <c r="O27" i="29" s="1"/>
  <c r="J27" i="29"/>
  <c r="L26" i="29"/>
  <c r="J26" i="29"/>
  <c r="L25" i="29"/>
  <c r="O25" i="29" s="1"/>
  <c r="J25" i="29"/>
  <c r="L24" i="29"/>
  <c r="O24" i="29" s="1"/>
  <c r="J24" i="29"/>
  <c r="L23" i="29"/>
  <c r="O23" i="29" s="1"/>
  <c r="J23" i="29"/>
  <c r="P22" i="29"/>
  <c r="L22" i="29"/>
  <c r="O22" i="29" s="1"/>
  <c r="J22" i="29"/>
  <c r="L21" i="29"/>
  <c r="O21" i="29" s="1"/>
  <c r="J21" i="29"/>
  <c r="L20" i="29"/>
  <c r="O20" i="29" s="1"/>
  <c r="J20" i="29"/>
  <c r="L19" i="29"/>
  <c r="O19" i="29" s="1"/>
  <c r="J19" i="29"/>
  <c r="L18" i="29"/>
  <c r="J18" i="29"/>
  <c r="L17" i="29"/>
  <c r="O17" i="29" s="1"/>
  <c r="J17" i="29"/>
  <c r="J16" i="29"/>
  <c r="O16" i="29" s="1"/>
  <c r="P16" i="29" s="1"/>
  <c r="J15" i="29"/>
  <c r="O15" i="29" s="1"/>
  <c r="P15" i="29" s="1"/>
  <c r="J14" i="29"/>
  <c r="O14" i="29" s="1"/>
  <c r="P14" i="29" s="1"/>
  <c r="J13" i="29"/>
  <c r="O13" i="29" s="1"/>
  <c r="P13" i="29" s="1"/>
  <c r="J12" i="29"/>
  <c r="O12" i="29" s="1"/>
  <c r="P12" i="29" s="1"/>
  <c r="J11" i="29"/>
  <c r="O11" i="29" s="1"/>
  <c r="P11" i="29" s="1"/>
  <c r="J10" i="29"/>
  <c r="O10" i="29" s="1"/>
  <c r="P10" i="29" s="1"/>
  <c r="J9" i="29"/>
  <c r="O9" i="29" s="1"/>
  <c r="P9" i="29" s="1"/>
  <c r="J8" i="29"/>
  <c r="O8" i="29" s="1"/>
  <c r="P8" i="29" s="1"/>
  <c r="J7" i="29"/>
  <c r="O7" i="29" s="1"/>
  <c r="P7" i="29" s="1"/>
  <c r="J6" i="29"/>
  <c r="O6" i="29" s="1"/>
  <c r="P6" i="29" s="1"/>
  <c r="J5" i="29"/>
  <c r="O5" i="29" s="1"/>
  <c r="P5" i="29" s="1"/>
  <c r="J4" i="29"/>
  <c r="J3" i="29"/>
  <c r="O3" i="29" s="1"/>
  <c r="P3" i="29" s="1"/>
  <c r="J2" i="29"/>
  <c r="O2" i="29" s="1"/>
  <c r="L153" i="28"/>
  <c r="O153" i="28" s="1"/>
  <c r="P153" i="28" s="1"/>
  <c r="L152" i="28"/>
  <c r="O152" i="28" s="1"/>
  <c r="P152" i="28" s="1"/>
  <c r="L151" i="28"/>
  <c r="O151" i="28" s="1"/>
  <c r="P151" i="28" s="1"/>
  <c r="L150" i="28"/>
  <c r="O150" i="28" s="1"/>
  <c r="P150" i="28" s="1"/>
  <c r="L149" i="28"/>
  <c r="O149" i="28" s="1"/>
  <c r="P149" i="28" s="1"/>
  <c r="L148" i="28"/>
  <c r="O148" i="28" s="1"/>
  <c r="P148" i="28" s="1"/>
  <c r="L147" i="28"/>
  <c r="O147" i="28" s="1"/>
  <c r="P147" i="28" s="1"/>
  <c r="O146" i="28"/>
  <c r="P146" i="28" s="1"/>
  <c r="L146" i="28"/>
  <c r="L145" i="28"/>
  <c r="O145" i="28" s="1"/>
  <c r="P145" i="28" s="1"/>
  <c r="L144" i="28"/>
  <c r="O144" i="28" s="1"/>
  <c r="P144" i="28" s="1"/>
  <c r="L143" i="28"/>
  <c r="O143" i="28" s="1"/>
  <c r="P143" i="28" s="1"/>
  <c r="L142" i="28"/>
  <c r="O142" i="28" s="1"/>
  <c r="P142" i="28" s="1"/>
  <c r="L141" i="28"/>
  <c r="O141" i="28" s="1"/>
  <c r="P141" i="28" s="1"/>
  <c r="L140" i="28"/>
  <c r="O140" i="28" s="1"/>
  <c r="P140" i="28" s="1"/>
  <c r="L139" i="28"/>
  <c r="O139" i="28" s="1"/>
  <c r="P139" i="28" s="1"/>
  <c r="L138" i="28"/>
  <c r="O138" i="28" s="1"/>
  <c r="P138" i="28" s="1"/>
  <c r="L137" i="28"/>
  <c r="O137" i="28" s="1"/>
  <c r="P137" i="28" s="1"/>
  <c r="L136" i="28"/>
  <c r="O136" i="28" s="1"/>
  <c r="P136" i="28" s="1"/>
  <c r="O135" i="28"/>
  <c r="P135" i="28" s="1"/>
  <c r="L135" i="28"/>
  <c r="L134" i="28"/>
  <c r="O134" i="28" s="1"/>
  <c r="P134" i="28" s="1"/>
  <c r="L133" i="28"/>
  <c r="O133" i="28" s="1"/>
  <c r="P133" i="28" s="1"/>
  <c r="L132" i="28"/>
  <c r="O132" i="28" s="1"/>
  <c r="P132" i="28" s="1"/>
  <c r="L131" i="28"/>
  <c r="O131" i="28" s="1"/>
  <c r="P131" i="28" s="1"/>
  <c r="L130" i="28"/>
  <c r="O130" i="28" s="1"/>
  <c r="P130" i="28" s="1"/>
  <c r="L129" i="28"/>
  <c r="O129" i="28" s="1"/>
  <c r="P129" i="28" s="1"/>
  <c r="L128" i="28"/>
  <c r="O128" i="28" s="1"/>
  <c r="P128" i="28" s="1"/>
  <c r="L127" i="28"/>
  <c r="O127" i="28" s="1"/>
  <c r="P127" i="28" s="1"/>
  <c r="L126" i="28"/>
  <c r="O126" i="28" s="1"/>
  <c r="P126" i="28" s="1"/>
  <c r="L125" i="28"/>
  <c r="O125" i="28" s="1"/>
  <c r="P125" i="28" s="1"/>
  <c r="L124" i="28"/>
  <c r="O124" i="28" s="1"/>
  <c r="P124" i="28" s="1"/>
  <c r="L123" i="28"/>
  <c r="O123" i="28" s="1"/>
  <c r="P123" i="28" s="1"/>
  <c r="O122" i="28"/>
  <c r="P122" i="28" s="1"/>
  <c r="L122" i="28"/>
  <c r="L121" i="28"/>
  <c r="O121" i="28" s="1"/>
  <c r="P121" i="28" s="1"/>
  <c r="L120" i="28"/>
  <c r="O120" i="28" s="1"/>
  <c r="P120" i="28" s="1"/>
  <c r="L119" i="28"/>
  <c r="O119" i="28" s="1"/>
  <c r="P119" i="28" s="1"/>
  <c r="L118" i="28"/>
  <c r="O118" i="28" s="1"/>
  <c r="P118" i="28" s="1"/>
  <c r="L117" i="28"/>
  <c r="O117" i="28" s="1"/>
  <c r="P117" i="28" s="1"/>
  <c r="L116" i="28"/>
  <c r="O116" i="28" s="1"/>
  <c r="P116" i="28" s="1"/>
  <c r="J115" i="28"/>
  <c r="N115" i="28" s="1"/>
  <c r="O115" i="28" s="1"/>
  <c r="P115" i="28" s="1"/>
  <c r="J114" i="28"/>
  <c r="N114" i="28" s="1"/>
  <c r="O114" i="28" s="1"/>
  <c r="P114" i="28" s="1"/>
  <c r="J113" i="28"/>
  <c r="N113" i="28" s="1"/>
  <c r="O113" i="28" s="1"/>
  <c r="P113" i="28" s="1"/>
  <c r="J112" i="28"/>
  <c r="N112" i="28" s="1"/>
  <c r="O112" i="28" s="1"/>
  <c r="P112" i="28" s="1"/>
  <c r="J111" i="28"/>
  <c r="N111" i="28" s="1"/>
  <c r="O111" i="28" s="1"/>
  <c r="P111" i="28" s="1"/>
  <c r="J110" i="28"/>
  <c r="N110" i="28" s="1"/>
  <c r="O110" i="28" s="1"/>
  <c r="P110" i="28" s="1"/>
  <c r="N109" i="28"/>
  <c r="O109" i="28" s="1"/>
  <c r="P109" i="28" s="1"/>
  <c r="J109" i="28"/>
  <c r="J108" i="28"/>
  <c r="N108" i="28" s="1"/>
  <c r="O108" i="28" s="1"/>
  <c r="P108" i="28" s="1"/>
  <c r="J107" i="28"/>
  <c r="N107" i="28" s="1"/>
  <c r="O107" i="28" s="1"/>
  <c r="P107" i="28" s="1"/>
  <c r="J106" i="28"/>
  <c r="N106" i="28" s="1"/>
  <c r="O106" i="28" s="1"/>
  <c r="P106" i="28" s="1"/>
  <c r="J105" i="28"/>
  <c r="N105" i="28" s="1"/>
  <c r="O105" i="28" s="1"/>
  <c r="P105" i="28" s="1"/>
  <c r="J104" i="28"/>
  <c r="N104" i="28" s="1"/>
  <c r="O104" i="28" s="1"/>
  <c r="P104" i="28" s="1"/>
  <c r="J103" i="28"/>
  <c r="N103" i="28" s="1"/>
  <c r="O103" i="28" s="1"/>
  <c r="P103" i="28" s="1"/>
  <c r="J102" i="28"/>
  <c r="N102" i="28" s="1"/>
  <c r="O102" i="28" s="1"/>
  <c r="P102" i="28" s="1"/>
  <c r="N101" i="28"/>
  <c r="O101" i="28" s="1"/>
  <c r="P101" i="28" s="1"/>
  <c r="J101" i="28"/>
  <c r="J100" i="28"/>
  <c r="N100" i="28" s="1"/>
  <c r="O100" i="28" s="1"/>
  <c r="P100" i="28" s="1"/>
  <c r="J99" i="28"/>
  <c r="N99" i="28" s="1"/>
  <c r="O99" i="28" s="1"/>
  <c r="P99" i="28" s="1"/>
  <c r="J98" i="28"/>
  <c r="N98" i="28" s="1"/>
  <c r="O98" i="28" s="1"/>
  <c r="P98" i="28" s="1"/>
  <c r="J97" i="28"/>
  <c r="N97" i="28" s="1"/>
  <c r="O97" i="28" s="1"/>
  <c r="P97" i="28" s="1"/>
  <c r="J96" i="28"/>
  <c r="N96" i="28" s="1"/>
  <c r="O96" i="28" s="1"/>
  <c r="P96" i="28" s="1"/>
  <c r="N95" i="28"/>
  <c r="O95" i="28" s="1"/>
  <c r="P95" i="28" s="1"/>
  <c r="J95" i="28"/>
  <c r="J94" i="28"/>
  <c r="N94" i="28" s="1"/>
  <c r="O94" i="28" s="1"/>
  <c r="P94" i="28" s="1"/>
  <c r="N93" i="28"/>
  <c r="O93" i="28" s="1"/>
  <c r="P93" i="28" s="1"/>
  <c r="J93" i="28"/>
  <c r="J92" i="28"/>
  <c r="N92" i="28" s="1"/>
  <c r="O92" i="28" s="1"/>
  <c r="P92" i="28" s="1"/>
  <c r="J91" i="28"/>
  <c r="N91" i="28" s="1"/>
  <c r="O91" i="28" s="1"/>
  <c r="P91" i="28" s="1"/>
  <c r="J90" i="28"/>
  <c r="N90" i="28" s="1"/>
  <c r="O90" i="28" s="1"/>
  <c r="P90" i="28" s="1"/>
  <c r="J89" i="28"/>
  <c r="N89" i="28" s="1"/>
  <c r="O89" i="28" s="1"/>
  <c r="P89" i="28" s="1"/>
  <c r="J88" i="28"/>
  <c r="N88" i="28" s="1"/>
  <c r="O88" i="28" s="1"/>
  <c r="P88" i="28" s="1"/>
  <c r="J87" i="28"/>
  <c r="N87" i="28" s="1"/>
  <c r="O87" i="28" s="1"/>
  <c r="P87" i="28" s="1"/>
  <c r="J86" i="28"/>
  <c r="N86" i="28" s="1"/>
  <c r="O86" i="28" s="1"/>
  <c r="P86" i="28" s="1"/>
  <c r="J85" i="28"/>
  <c r="N85" i="28" s="1"/>
  <c r="O85" i="28" s="1"/>
  <c r="P85" i="28" s="1"/>
  <c r="J84" i="28"/>
  <c r="N84" i="28" s="1"/>
  <c r="O84" i="28" s="1"/>
  <c r="P84" i="28" s="1"/>
  <c r="J83" i="28"/>
  <c r="N83" i="28" s="1"/>
  <c r="O83" i="28" s="1"/>
  <c r="P83" i="28" s="1"/>
  <c r="J82" i="28"/>
  <c r="N82" i="28" s="1"/>
  <c r="O82" i="28" s="1"/>
  <c r="P82" i="28" s="1"/>
  <c r="J81" i="28"/>
  <c r="N81" i="28" s="1"/>
  <c r="O81" i="28" s="1"/>
  <c r="P81" i="28" s="1"/>
  <c r="J80" i="28"/>
  <c r="N80" i="28" s="1"/>
  <c r="O80" i="28" s="1"/>
  <c r="P80" i="28" s="1"/>
  <c r="J79" i="28"/>
  <c r="N79" i="28" s="1"/>
  <c r="O79" i="28" s="1"/>
  <c r="P79" i="28" s="1"/>
  <c r="J78" i="28"/>
  <c r="N78" i="28" s="1"/>
  <c r="O78" i="28" s="1"/>
  <c r="P78" i="28" s="1"/>
  <c r="J77" i="28"/>
  <c r="N77" i="28" s="1"/>
  <c r="O77" i="28" s="1"/>
  <c r="P77" i="28" s="1"/>
  <c r="J76" i="28"/>
  <c r="N76" i="28" s="1"/>
  <c r="O76" i="28" s="1"/>
  <c r="P76" i="28" s="1"/>
  <c r="J75" i="28"/>
  <c r="N75" i="28" s="1"/>
  <c r="O75" i="28" s="1"/>
  <c r="P75" i="28" s="1"/>
  <c r="J74" i="28"/>
  <c r="N74" i="28" s="1"/>
  <c r="O74" i="28" s="1"/>
  <c r="P74" i="28" s="1"/>
  <c r="J73" i="28"/>
  <c r="N73" i="28" s="1"/>
  <c r="O73" i="28" s="1"/>
  <c r="P73" i="28" s="1"/>
  <c r="J72" i="28"/>
  <c r="N72" i="28" s="1"/>
  <c r="O72" i="28" s="1"/>
  <c r="P72" i="28" s="1"/>
  <c r="N71" i="28"/>
  <c r="O71" i="28" s="1"/>
  <c r="P71" i="28" s="1"/>
  <c r="J71" i="28"/>
  <c r="J70" i="28"/>
  <c r="N70" i="28" s="1"/>
  <c r="O70" i="28" s="1"/>
  <c r="P70" i="28" s="1"/>
  <c r="J69" i="28"/>
  <c r="N69" i="28" s="1"/>
  <c r="O69" i="28" s="1"/>
  <c r="P69" i="28" s="1"/>
  <c r="J68" i="28"/>
  <c r="N68" i="28" s="1"/>
  <c r="O68" i="28" s="1"/>
  <c r="P68" i="28" s="1"/>
  <c r="N67" i="28"/>
  <c r="O67" i="28" s="1"/>
  <c r="P67" i="28" s="1"/>
  <c r="J67" i="28"/>
  <c r="J66" i="28"/>
  <c r="N66" i="28" s="1"/>
  <c r="O66" i="28" s="1"/>
  <c r="P66" i="28" s="1"/>
  <c r="J65" i="28"/>
  <c r="N65" i="28" s="1"/>
  <c r="O65" i="28" s="1"/>
  <c r="P65" i="28" s="1"/>
  <c r="J64" i="28"/>
  <c r="N64" i="28" s="1"/>
  <c r="O64" i="28" s="1"/>
  <c r="P64" i="28" s="1"/>
  <c r="N63" i="28"/>
  <c r="O63" i="28" s="1"/>
  <c r="P63" i="28" s="1"/>
  <c r="J63" i="28"/>
  <c r="J62" i="28"/>
  <c r="N62" i="28" s="1"/>
  <c r="O62" i="28" s="1"/>
  <c r="P62" i="28" s="1"/>
  <c r="J61" i="28"/>
  <c r="N61" i="28" s="1"/>
  <c r="O61" i="28" s="1"/>
  <c r="P61" i="28" s="1"/>
  <c r="J60" i="28"/>
  <c r="N60" i="28" s="1"/>
  <c r="O60" i="28" s="1"/>
  <c r="P60" i="28" s="1"/>
  <c r="J59" i="28"/>
  <c r="N59" i="28" s="1"/>
  <c r="O59" i="28" s="1"/>
  <c r="P59" i="28" s="1"/>
  <c r="J58" i="28"/>
  <c r="N58" i="28" s="1"/>
  <c r="O58" i="28" s="1"/>
  <c r="P58" i="28" s="1"/>
  <c r="J57" i="28"/>
  <c r="N57" i="28" s="1"/>
  <c r="O57" i="28" s="1"/>
  <c r="P57" i="28" s="1"/>
  <c r="J56" i="28"/>
  <c r="N56" i="28" s="1"/>
  <c r="O56" i="28" s="1"/>
  <c r="P56" i="28" s="1"/>
  <c r="J55" i="28"/>
  <c r="N55" i="28" s="1"/>
  <c r="O55" i="28" s="1"/>
  <c r="P55" i="28" s="1"/>
  <c r="J54" i="28"/>
  <c r="N54" i="28" s="1"/>
  <c r="O54" i="28" s="1"/>
  <c r="P54" i="28" s="1"/>
  <c r="J53" i="28"/>
  <c r="N53" i="28" s="1"/>
  <c r="O53" i="28" s="1"/>
  <c r="P53" i="28" s="1"/>
  <c r="J52" i="28"/>
  <c r="N52" i="28" s="1"/>
  <c r="O52" i="28" s="1"/>
  <c r="P52" i="28" s="1"/>
  <c r="J51" i="28"/>
  <c r="N51" i="28" s="1"/>
  <c r="O51" i="28" s="1"/>
  <c r="P51" i="28" s="1"/>
  <c r="J50" i="28"/>
  <c r="N50" i="28" s="1"/>
  <c r="O50" i="28" s="1"/>
  <c r="P50" i="28" s="1"/>
  <c r="J49" i="28"/>
  <c r="N49" i="28" s="1"/>
  <c r="O49" i="28" s="1"/>
  <c r="P49" i="28" s="1"/>
  <c r="J48" i="28"/>
  <c r="N48" i="28" s="1"/>
  <c r="O48" i="28" s="1"/>
  <c r="P48" i="28" s="1"/>
  <c r="J47" i="28"/>
  <c r="N47" i="28" s="1"/>
  <c r="O47" i="28" s="1"/>
  <c r="P47" i="28" s="1"/>
  <c r="J46" i="28"/>
  <c r="N46" i="28" s="1"/>
  <c r="O46" i="28" s="1"/>
  <c r="P46" i="28" s="1"/>
  <c r="J45" i="28"/>
  <c r="N45" i="28" s="1"/>
  <c r="O45" i="28" s="1"/>
  <c r="P45" i="28" s="1"/>
  <c r="J44" i="28"/>
  <c r="N44" i="28" s="1"/>
  <c r="O44" i="28" s="1"/>
  <c r="P44" i="28" s="1"/>
  <c r="J43" i="28"/>
  <c r="N43" i="28" s="1"/>
  <c r="O43" i="28" s="1"/>
  <c r="P43" i="28" s="1"/>
  <c r="J42" i="28"/>
  <c r="N42" i="28" s="1"/>
  <c r="O42" i="28" s="1"/>
  <c r="P42" i="28" s="1"/>
  <c r="J41" i="28"/>
  <c r="N41" i="28" s="1"/>
  <c r="O41" i="28" s="1"/>
  <c r="P41" i="28" s="1"/>
  <c r="J40" i="28"/>
  <c r="N40" i="28" s="1"/>
  <c r="O40" i="28" s="1"/>
  <c r="P40" i="28" s="1"/>
  <c r="J39" i="28"/>
  <c r="N39" i="28" s="1"/>
  <c r="O39" i="28" s="1"/>
  <c r="P39" i="28" s="1"/>
  <c r="J38" i="28"/>
  <c r="N38" i="28" s="1"/>
  <c r="O38" i="28" s="1"/>
  <c r="P38" i="28" s="1"/>
  <c r="J37" i="28"/>
  <c r="N37" i="28" s="1"/>
  <c r="O37" i="28" s="1"/>
  <c r="P37" i="28" s="1"/>
  <c r="J36" i="28"/>
  <c r="N36" i="28" s="1"/>
  <c r="O36" i="28" s="1"/>
  <c r="P36" i="28" s="1"/>
  <c r="J35" i="28"/>
  <c r="N35" i="28" s="1"/>
  <c r="O35" i="28" s="1"/>
  <c r="P35" i="28" s="1"/>
  <c r="J34" i="28"/>
  <c r="N34" i="28" s="1"/>
  <c r="O34" i="28" s="1"/>
  <c r="P34" i="28" s="1"/>
  <c r="J33" i="28"/>
  <c r="N33" i="28" s="1"/>
  <c r="O33" i="28" s="1"/>
  <c r="P33" i="28" s="1"/>
  <c r="J32" i="28"/>
  <c r="N32" i="28" s="1"/>
  <c r="O32" i="28" s="1"/>
  <c r="P32" i="28" s="1"/>
  <c r="J31" i="28"/>
  <c r="N31" i="28" s="1"/>
  <c r="O31" i="28" s="1"/>
  <c r="P31" i="28" s="1"/>
  <c r="I30" i="28"/>
  <c r="J30" i="28" s="1"/>
  <c r="N30" i="28" s="1"/>
  <c r="O30" i="28" s="1"/>
  <c r="P30" i="28" s="1"/>
  <c r="I29" i="28"/>
  <c r="J29" i="28" s="1"/>
  <c r="N29" i="28" s="1"/>
  <c r="O29" i="28" s="1"/>
  <c r="P29" i="28" s="1"/>
  <c r="J28" i="28"/>
  <c r="N28" i="28" s="1"/>
  <c r="O28" i="28" s="1"/>
  <c r="P28" i="28" s="1"/>
  <c r="J27" i="28"/>
  <c r="N27" i="28" s="1"/>
  <c r="O27" i="28" s="1"/>
  <c r="P27" i="28" s="1"/>
  <c r="J26" i="28"/>
  <c r="N26" i="28" s="1"/>
  <c r="O26" i="28" s="1"/>
  <c r="P26" i="28" s="1"/>
  <c r="J25" i="28"/>
  <c r="N25" i="28" s="1"/>
  <c r="O25" i="28" s="1"/>
  <c r="P25" i="28" s="1"/>
  <c r="N24" i="28"/>
  <c r="O24" i="28" s="1"/>
  <c r="P24" i="28" s="1"/>
  <c r="J24" i="28"/>
  <c r="J23" i="28"/>
  <c r="N23" i="28" s="1"/>
  <c r="O23" i="28" s="1"/>
  <c r="P23" i="28" s="1"/>
  <c r="J22" i="28"/>
  <c r="N22" i="28" s="1"/>
  <c r="O22" i="28" s="1"/>
  <c r="P22" i="28" s="1"/>
  <c r="J21" i="28"/>
  <c r="N21" i="28" s="1"/>
  <c r="O21" i="28" s="1"/>
  <c r="P21" i="28" s="1"/>
  <c r="J20" i="28"/>
  <c r="N20" i="28" s="1"/>
  <c r="O20" i="28" s="1"/>
  <c r="P20" i="28" s="1"/>
  <c r="J19" i="28"/>
  <c r="N19" i="28" s="1"/>
  <c r="O19" i="28" s="1"/>
  <c r="P19" i="28" s="1"/>
  <c r="N18" i="28"/>
  <c r="O18" i="28" s="1"/>
  <c r="P18" i="28" s="1"/>
  <c r="J18" i="28"/>
  <c r="I17" i="28"/>
  <c r="J17" i="28" s="1"/>
  <c r="N17" i="28" s="1"/>
  <c r="O17" i="28" s="1"/>
  <c r="P17" i="28" s="1"/>
  <c r="I16" i="28"/>
  <c r="J16" i="28" s="1"/>
  <c r="N16" i="28" s="1"/>
  <c r="O16" i="28" s="1"/>
  <c r="P16" i="28" s="1"/>
  <c r="J15" i="28"/>
  <c r="N15" i="28" s="1"/>
  <c r="O15" i="28" s="1"/>
  <c r="P15" i="28" s="1"/>
  <c r="J14" i="28"/>
  <c r="N14" i="28" s="1"/>
  <c r="O14" i="28" s="1"/>
  <c r="P14" i="28" s="1"/>
  <c r="N13" i="28"/>
  <c r="O13" i="28" s="1"/>
  <c r="P13" i="28" s="1"/>
  <c r="J13" i="28"/>
  <c r="J12" i="28"/>
  <c r="N12" i="28" s="1"/>
  <c r="O12" i="28" s="1"/>
  <c r="P12" i="28" s="1"/>
  <c r="J11" i="28"/>
  <c r="N11" i="28" s="1"/>
  <c r="O11" i="28" s="1"/>
  <c r="P11" i="28" s="1"/>
  <c r="J10" i="28"/>
  <c r="N10" i="28" s="1"/>
  <c r="O10" i="28" s="1"/>
  <c r="P10" i="28" s="1"/>
  <c r="N9" i="28"/>
  <c r="O9" i="28" s="1"/>
  <c r="P9" i="28" s="1"/>
  <c r="J9" i="28"/>
  <c r="J8" i="28"/>
  <c r="N8" i="28" s="1"/>
  <c r="O8" i="28" s="1"/>
  <c r="P8" i="28" s="1"/>
  <c r="N7" i="28"/>
  <c r="O7" i="28" s="1"/>
  <c r="P7" i="28" s="1"/>
  <c r="J7" i="28"/>
  <c r="J6" i="28"/>
  <c r="N6" i="28" s="1"/>
  <c r="O6" i="28" s="1"/>
  <c r="P6" i="28" s="1"/>
  <c r="J5" i="28"/>
  <c r="N5" i="28" s="1"/>
  <c r="O5" i="28" s="1"/>
  <c r="P5" i="28" s="1"/>
  <c r="J4" i="28"/>
  <c r="N4" i="28" s="1"/>
  <c r="O4" i="28" s="1"/>
  <c r="P4" i="28" s="1"/>
  <c r="J3" i="28"/>
  <c r="N3" i="28" s="1"/>
  <c r="J2" i="28"/>
  <c r="N2" i="28" s="1"/>
  <c r="O2" i="28" s="1"/>
  <c r="P2" i="28" s="1"/>
  <c r="L205" i="27"/>
  <c r="O205" i="27" s="1"/>
  <c r="P205" i="27" s="1"/>
  <c r="L204" i="27"/>
  <c r="O204" i="27" s="1"/>
  <c r="P204" i="27" s="1"/>
  <c r="L203" i="27"/>
  <c r="O203" i="27" s="1"/>
  <c r="P203" i="27" s="1"/>
  <c r="L202" i="27"/>
  <c r="O202" i="27" s="1"/>
  <c r="P202" i="27" s="1"/>
  <c r="L201" i="27"/>
  <c r="O201" i="27" s="1"/>
  <c r="P201" i="27" s="1"/>
  <c r="L200" i="27"/>
  <c r="O200" i="27" s="1"/>
  <c r="P200" i="27" s="1"/>
  <c r="K199" i="27"/>
  <c r="L199" i="27" s="1"/>
  <c r="O199" i="27" s="1"/>
  <c r="P199" i="27" s="1"/>
  <c r="K198" i="27"/>
  <c r="L198" i="27" s="1"/>
  <c r="O198" i="27" s="1"/>
  <c r="P198" i="27" s="1"/>
  <c r="L197" i="27"/>
  <c r="O197" i="27" s="1"/>
  <c r="P197" i="27" s="1"/>
  <c r="L196" i="27"/>
  <c r="O196" i="27" s="1"/>
  <c r="P196" i="27" s="1"/>
  <c r="L195" i="27"/>
  <c r="O195" i="27" s="1"/>
  <c r="P195" i="27" s="1"/>
  <c r="L194" i="27"/>
  <c r="O194" i="27" s="1"/>
  <c r="P194" i="27" s="1"/>
  <c r="L193" i="27"/>
  <c r="O193" i="27" s="1"/>
  <c r="P193" i="27" s="1"/>
  <c r="K192" i="27"/>
  <c r="L192" i="27" s="1"/>
  <c r="O192" i="27" s="1"/>
  <c r="P192" i="27" s="1"/>
  <c r="L191" i="27"/>
  <c r="O191" i="27" s="1"/>
  <c r="P191" i="27" s="1"/>
  <c r="L190" i="27"/>
  <c r="O190" i="27" s="1"/>
  <c r="P190" i="27" s="1"/>
  <c r="L189" i="27"/>
  <c r="O189" i="27" s="1"/>
  <c r="P189" i="27" s="1"/>
  <c r="L188" i="27"/>
  <c r="O188" i="27" s="1"/>
  <c r="P188" i="27" s="1"/>
  <c r="L187" i="27"/>
  <c r="O187" i="27" s="1"/>
  <c r="P187" i="27" s="1"/>
  <c r="L186" i="27"/>
  <c r="O186" i="27" s="1"/>
  <c r="P186" i="27" s="1"/>
  <c r="L185" i="27"/>
  <c r="O185" i="27" s="1"/>
  <c r="P185" i="27" s="1"/>
  <c r="L184" i="27"/>
  <c r="O184" i="27" s="1"/>
  <c r="P184" i="27" s="1"/>
  <c r="K183" i="27"/>
  <c r="L183" i="27" s="1"/>
  <c r="O183" i="27" s="1"/>
  <c r="P183" i="27" s="1"/>
  <c r="L182" i="27"/>
  <c r="O182" i="27" s="1"/>
  <c r="P182" i="27" s="1"/>
  <c r="L181" i="27"/>
  <c r="O181" i="27" s="1"/>
  <c r="P181" i="27" s="1"/>
  <c r="L180" i="27"/>
  <c r="O180" i="27" s="1"/>
  <c r="P180" i="27" s="1"/>
  <c r="L179" i="27"/>
  <c r="O179" i="27" s="1"/>
  <c r="P179" i="27" s="1"/>
  <c r="K178" i="27"/>
  <c r="L178" i="27" s="1"/>
  <c r="O178" i="27" s="1"/>
  <c r="P178" i="27" s="1"/>
  <c r="L177" i="27"/>
  <c r="O177" i="27" s="1"/>
  <c r="P177" i="27" s="1"/>
  <c r="K176" i="27"/>
  <c r="L176" i="27" s="1"/>
  <c r="O176" i="27" s="1"/>
  <c r="P176" i="27" s="1"/>
  <c r="K175" i="27"/>
  <c r="L175" i="27" s="1"/>
  <c r="O175" i="27" s="1"/>
  <c r="P175" i="27" s="1"/>
  <c r="L174" i="27"/>
  <c r="O174" i="27" s="1"/>
  <c r="P174" i="27" s="1"/>
  <c r="L173" i="27"/>
  <c r="O173" i="27" s="1"/>
  <c r="P173" i="27" s="1"/>
  <c r="K172" i="27"/>
  <c r="L172" i="27" s="1"/>
  <c r="O172" i="27" s="1"/>
  <c r="P172" i="27" s="1"/>
  <c r="L171" i="27"/>
  <c r="O171" i="27" s="1"/>
  <c r="P171" i="27" s="1"/>
  <c r="L170" i="27"/>
  <c r="O170" i="27" s="1"/>
  <c r="P170" i="27" s="1"/>
  <c r="L169" i="27"/>
  <c r="O169" i="27" s="1"/>
  <c r="P169" i="27" s="1"/>
  <c r="L168" i="27"/>
  <c r="O168" i="27" s="1"/>
  <c r="P168" i="27" s="1"/>
  <c r="L167" i="27"/>
  <c r="O167" i="27" s="1"/>
  <c r="P167" i="27" s="1"/>
  <c r="L166" i="27"/>
  <c r="O166" i="27" s="1"/>
  <c r="P166" i="27" s="1"/>
  <c r="L165" i="27"/>
  <c r="O165" i="27" s="1"/>
  <c r="P165" i="27" s="1"/>
  <c r="L164" i="27"/>
  <c r="O164" i="27" s="1"/>
  <c r="P164" i="27" s="1"/>
  <c r="L163" i="27"/>
  <c r="O163" i="27" s="1"/>
  <c r="P163" i="27" s="1"/>
  <c r="L162" i="27"/>
  <c r="O162" i="27" s="1"/>
  <c r="P162" i="27" s="1"/>
  <c r="L161" i="27"/>
  <c r="O161" i="27" s="1"/>
  <c r="P161" i="27" s="1"/>
  <c r="L160" i="27"/>
  <c r="O160" i="27" s="1"/>
  <c r="P160" i="27" s="1"/>
  <c r="L159" i="27"/>
  <c r="O159" i="27" s="1"/>
  <c r="P159" i="27" s="1"/>
  <c r="K158" i="27"/>
  <c r="L158" i="27" s="1"/>
  <c r="O158" i="27" s="1"/>
  <c r="P158" i="27" s="1"/>
  <c r="L157" i="27"/>
  <c r="O157" i="27" s="1"/>
  <c r="P157" i="27" s="1"/>
  <c r="L156" i="27"/>
  <c r="O156" i="27" s="1"/>
  <c r="P156" i="27" s="1"/>
  <c r="L155" i="27"/>
  <c r="O155" i="27" s="1"/>
  <c r="P155" i="27" s="1"/>
  <c r="L154" i="27"/>
  <c r="O154" i="27" s="1"/>
  <c r="P154" i="27" s="1"/>
  <c r="L153" i="27"/>
  <c r="O153" i="27" s="1"/>
  <c r="P153" i="27" s="1"/>
  <c r="L152" i="27"/>
  <c r="O152" i="27" s="1"/>
  <c r="P152" i="27" s="1"/>
  <c r="L151" i="27"/>
  <c r="O151" i="27" s="1"/>
  <c r="P151" i="27" s="1"/>
  <c r="L150" i="27"/>
  <c r="O150" i="27" s="1"/>
  <c r="P150" i="27" s="1"/>
  <c r="L149" i="27"/>
  <c r="O149" i="27" s="1"/>
  <c r="P149" i="27" s="1"/>
  <c r="L148" i="27"/>
  <c r="O148" i="27" s="1"/>
  <c r="P148" i="27" s="1"/>
  <c r="L147" i="27"/>
  <c r="O147" i="27" s="1"/>
  <c r="P147" i="27" s="1"/>
  <c r="L146" i="27"/>
  <c r="L145" i="27"/>
  <c r="O145" i="27" s="1"/>
  <c r="P145" i="27" s="1"/>
  <c r="K144" i="27"/>
  <c r="L144" i="27" s="1"/>
  <c r="O144" i="27" s="1"/>
  <c r="P144" i="27" s="1"/>
  <c r="J143" i="27"/>
  <c r="J142" i="27"/>
  <c r="J141" i="27"/>
  <c r="O141" i="27" s="1"/>
  <c r="J140" i="27"/>
  <c r="O140" i="27" s="1"/>
  <c r="P140" i="27" s="1"/>
  <c r="J139" i="27"/>
  <c r="O139" i="27" s="1"/>
  <c r="J138" i="27"/>
  <c r="O138" i="27" s="1"/>
  <c r="J137" i="27"/>
  <c r="O137" i="27" s="1"/>
  <c r="J136" i="27"/>
  <c r="O136" i="27" s="1"/>
  <c r="J135" i="27"/>
  <c r="J134" i="27"/>
  <c r="O134" i="27" s="1"/>
  <c r="J133" i="27"/>
  <c r="O133" i="27" s="1"/>
  <c r="P133" i="27" s="1"/>
  <c r="J132" i="27"/>
  <c r="J131" i="27"/>
  <c r="J130" i="27"/>
  <c r="O130" i="27" s="1"/>
  <c r="J129" i="27"/>
  <c r="O129" i="27" s="1"/>
  <c r="L128" i="27"/>
  <c r="O128" i="27" s="1"/>
  <c r="P128" i="27" s="1"/>
  <c r="L127" i="27"/>
  <c r="K127" i="27"/>
  <c r="L126" i="27"/>
  <c r="K125" i="27"/>
  <c r="L125" i="27" s="1"/>
  <c r="O125" i="27" s="1"/>
  <c r="L124" i="27"/>
  <c r="J124" i="27"/>
  <c r="L123" i="27"/>
  <c r="J123" i="27"/>
  <c r="L122" i="27"/>
  <c r="O122" i="27" s="1"/>
  <c r="J122" i="27"/>
  <c r="L121" i="27"/>
  <c r="O121" i="27" s="1"/>
  <c r="J121" i="27"/>
  <c r="L120" i="27"/>
  <c r="O120" i="27" s="1"/>
  <c r="J120" i="27"/>
  <c r="L119" i="27"/>
  <c r="O119" i="27" s="1"/>
  <c r="J119" i="27"/>
  <c r="L118" i="27"/>
  <c r="O118" i="27" s="1"/>
  <c r="J118" i="27"/>
  <c r="L117" i="27"/>
  <c r="O117" i="27" s="1"/>
  <c r="J117" i="27"/>
  <c r="L116" i="27"/>
  <c r="O116" i="27" s="1"/>
  <c r="J116" i="27"/>
  <c r="L115" i="27"/>
  <c r="J115" i="27"/>
  <c r="L114" i="27"/>
  <c r="J114" i="27"/>
  <c r="L113" i="27"/>
  <c r="J113" i="27"/>
  <c r="L112" i="27"/>
  <c r="O112" i="27" s="1"/>
  <c r="J112" i="27"/>
  <c r="L111" i="27"/>
  <c r="O111" i="27" s="1"/>
  <c r="J111" i="27"/>
  <c r="L110" i="27"/>
  <c r="O110" i="27" s="1"/>
  <c r="J110" i="27"/>
  <c r="L109" i="27"/>
  <c r="O109" i="27" s="1"/>
  <c r="J109" i="27"/>
  <c r="L108" i="27"/>
  <c r="J108" i="27"/>
  <c r="L107" i="27"/>
  <c r="O107" i="27" s="1"/>
  <c r="J107" i="27"/>
  <c r="L106" i="27"/>
  <c r="J106" i="27"/>
  <c r="L105" i="27"/>
  <c r="O105" i="27" s="1"/>
  <c r="J105" i="27"/>
  <c r="L104" i="27"/>
  <c r="O104" i="27" s="1"/>
  <c r="J104" i="27"/>
  <c r="L103" i="27"/>
  <c r="O103" i="27" s="1"/>
  <c r="J103" i="27"/>
  <c r="L102" i="27"/>
  <c r="O102" i="27" s="1"/>
  <c r="J102" i="27"/>
  <c r="L101" i="27"/>
  <c r="O101" i="27" s="1"/>
  <c r="J101" i="27"/>
  <c r="L100" i="27"/>
  <c r="J100" i="27"/>
  <c r="L99" i="27"/>
  <c r="J99" i="27"/>
  <c r="L98" i="27"/>
  <c r="J98" i="27"/>
  <c r="L97" i="27"/>
  <c r="O97" i="27" s="1"/>
  <c r="J97" i="27"/>
  <c r="L96" i="27"/>
  <c r="O96" i="27" s="1"/>
  <c r="J96" i="27"/>
  <c r="L95" i="27"/>
  <c r="O95" i="27" s="1"/>
  <c r="J95" i="27"/>
  <c r="L94" i="27"/>
  <c r="O94" i="27" s="1"/>
  <c r="J94" i="27"/>
  <c r="L93" i="27"/>
  <c r="O93" i="27" s="1"/>
  <c r="J93" i="27"/>
  <c r="L92" i="27"/>
  <c r="O92" i="27" s="1"/>
  <c r="J92" i="27"/>
  <c r="L91" i="27"/>
  <c r="J91" i="27"/>
  <c r="L90" i="27"/>
  <c r="O90" i="27" s="1"/>
  <c r="J90" i="27"/>
  <c r="L89" i="27"/>
  <c r="O89" i="27" s="1"/>
  <c r="J89" i="27"/>
  <c r="L88" i="27"/>
  <c r="O88" i="27" s="1"/>
  <c r="J88" i="27"/>
  <c r="L87" i="27"/>
  <c r="O87" i="27" s="1"/>
  <c r="J87" i="27"/>
  <c r="L86" i="27"/>
  <c r="O86" i="27" s="1"/>
  <c r="J86" i="27"/>
  <c r="L85" i="27"/>
  <c r="O85" i="27" s="1"/>
  <c r="J85" i="27"/>
  <c r="L84" i="27"/>
  <c r="J84" i="27"/>
  <c r="L83" i="27"/>
  <c r="J83" i="27"/>
  <c r="L82" i="27"/>
  <c r="O82" i="27" s="1"/>
  <c r="J82" i="27"/>
  <c r="L81" i="27"/>
  <c r="J81" i="27"/>
  <c r="L80" i="27"/>
  <c r="O80" i="27" s="1"/>
  <c r="J80" i="27"/>
  <c r="L79" i="27"/>
  <c r="O79" i="27" s="1"/>
  <c r="J79" i="27"/>
  <c r="L78" i="27"/>
  <c r="O78" i="27" s="1"/>
  <c r="J78" i="27"/>
  <c r="L77" i="27"/>
  <c r="O77" i="27" s="1"/>
  <c r="J77" i="27"/>
  <c r="L76" i="27"/>
  <c r="O76" i="27" s="1"/>
  <c r="J76" i="27"/>
  <c r="L75" i="27"/>
  <c r="J75" i="27"/>
  <c r="L74" i="27"/>
  <c r="O74" i="27" s="1"/>
  <c r="J74" i="27"/>
  <c r="L73" i="27"/>
  <c r="O73" i="27" s="1"/>
  <c r="J73" i="27"/>
  <c r="L72" i="27"/>
  <c r="O72" i="27" s="1"/>
  <c r="J72" i="27"/>
  <c r="L71" i="27"/>
  <c r="O71" i="27" s="1"/>
  <c r="J71" i="27"/>
  <c r="L70" i="27"/>
  <c r="O70" i="27" s="1"/>
  <c r="J70" i="27"/>
  <c r="L69" i="27"/>
  <c r="O69" i="27" s="1"/>
  <c r="J69" i="27"/>
  <c r="L68" i="27"/>
  <c r="O68" i="27" s="1"/>
  <c r="J68" i="27"/>
  <c r="L67" i="27"/>
  <c r="J67" i="27"/>
  <c r="L66" i="27"/>
  <c r="J66" i="27"/>
  <c r="L65" i="27"/>
  <c r="O65" i="27" s="1"/>
  <c r="J65" i="27"/>
  <c r="L64" i="27"/>
  <c r="O64" i="27" s="1"/>
  <c r="J64" i="27"/>
  <c r="L63" i="27"/>
  <c r="O63" i="27" s="1"/>
  <c r="J63" i="27"/>
  <c r="L62" i="27"/>
  <c r="O62" i="27" s="1"/>
  <c r="J62" i="27"/>
  <c r="L61" i="27"/>
  <c r="O61" i="27" s="1"/>
  <c r="J61" i="27"/>
  <c r="L60" i="27"/>
  <c r="J60" i="27"/>
  <c r="L59" i="27"/>
  <c r="J59" i="27"/>
  <c r="L58" i="27"/>
  <c r="O58" i="27" s="1"/>
  <c r="J58" i="27"/>
  <c r="L57" i="27"/>
  <c r="O57" i="27" s="1"/>
  <c r="J57" i="27"/>
  <c r="L56" i="27"/>
  <c r="O56" i="27" s="1"/>
  <c r="J56" i="27"/>
  <c r="L55" i="27"/>
  <c r="O55" i="27" s="1"/>
  <c r="J55" i="27"/>
  <c r="L54" i="27"/>
  <c r="O54" i="27" s="1"/>
  <c r="J54" i="27"/>
  <c r="L53" i="27"/>
  <c r="O53" i="27" s="1"/>
  <c r="J53" i="27"/>
  <c r="L52" i="27"/>
  <c r="O52" i="27" s="1"/>
  <c r="J52" i="27"/>
  <c r="L51" i="27"/>
  <c r="J51" i="27"/>
  <c r="L50" i="27"/>
  <c r="O50" i="27" s="1"/>
  <c r="P50" i="27" s="1"/>
  <c r="J50" i="27"/>
  <c r="L49" i="27"/>
  <c r="J49" i="27"/>
  <c r="L48" i="27"/>
  <c r="O48" i="27" s="1"/>
  <c r="J48" i="27"/>
  <c r="L47" i="27"/>
  <c r="O47" i="27" s="1"/>
  <c r="J47" i="27"/>
  <c r="L46" i="27"/>
  <c r="O46" i="27" s="1"/>
  <c r="J46" i="27"/>
  <c r="L45" i="27"/>
  <c r="O45" i="27" s="1"/>
  <c r="J45" i="27"/>
  <c r="L44" i="27"/>
  <c r="J44" i="27"/>
  <c r="L43" i="27"/>
  <c r="O43" i="27" s="1"/>
  <c r="J43" i="27"/>
  <c r="L42" i="27"/>
  <c r="O42" i="27" s="1"/>
  <c r="J42" i="27"/>
  <c r="L41" i="27"/>
  <c r="O41" i="27" s="1"/>
  <c r="J41" i="27"/>
  <c r="L40" i="27"/>
  <c r="O40" i="27" s="1"/>
  <c r="J40" i="27"/>
  <c r="L39" i="27"/>
  <c r="O39" i="27" s="1"/>
  <c r="J39" i="27"/>
  <c r="L38" i="27"/>
  <c r="O38" i="27" s="1"/>
  <c r="J38" i="27"/>
  <c r="L37" i="27"/>
  <c r="O37" i="27" s="1"/>
  <c r="J37" i="27"/>
  <c r="L36" i="27"/>
  <c r="J36" i="27"/>
  <c r="L35" i="27"/>
  <c r="J35" i="27"/>
  <c r="L34" i="27"/>
  <c r="J34" i="27"/>
  <c r="L33" i="27"/>
  <c r="O33" i="27" s="1"/>
  <c r="J33" i="27"/>
  <c r="L32" i="27"/>
  <c r="O32" i="27" s="1"/>
  <c r="J32" i="27"/>
  <c r="L31" i="27"/>
  <c r="O31" i="27" s="1"/>
  <c r="J31" i="27"/>
  <c r="L30" i="27"/>
  <c r="O30" i="27" s="1"/>
  <c r="J30" i="27"/>
  <c r="L29" i="27"/>
  <c r="O29" i="27" s="1"/>
  <c r="J29" i="27"/>
  <c r="L28" i="27"/>
  <c r="O28" i="27" s="1"/>
  <c r="J28" i="27"/>
  <c r="L27" i="27"/>
  <c r="J27" i="27"/>
  <c r="L26" i="27"/>
  <c r="O26" i="27" s="1"/>
  <c r="J26" i="27"/>
  <c r="L25" i="27"/>
  <c r="O25" i="27" s="1"/>
  <c r="J25" i="27"/>
  <c r="L24" i="27"/>
  <c r="O24" i="27" s="1"/>
  <c r="J24" i="27"/>
  <c r="L23" i="27"/>
  <c r="O23" i="27" s="1"/>
  <c r="J23" i="27"/>
  <c r="L22" i="27"/>
  <c r="O22" i="27" s="1"/>
  <c r="J22" i="27"/>
  <c r="L21" i="27"/>
  <c r="O21" i="27" s="1"/>
  <c r="J21" i="27"/>
  <c r="L20" i="27"/>
  <c r="O20" i="27" s="1"/>
  <c r="J20" i="27"/>
  <c r="L19" i="27"/>
  <c r="J19" i="27"/>
  <c r="L18" i="27"/>
  <c r="J18" i="27"/>
  <c r="L17" i="27"/>
  <c r="J17" i="27"/>
  <c r="L16" i="27"/>
  <c r="O16" i="27" s="1"/>
  <c r="J16" i="27"/>
  <c r="L15" i="27"/>
  <c r="O15" i="27" s="1"/>
  <c r="J15" i="27"/>
  <c r="L14" i="27"/>
  <c r="O14" i="27" s="1"/>
  <c r="J14" i="27"/>
  <c r="L13" i="27"/>
  <c r="O13" i="27" s="1"/>
  <c r="J13" i="27"/>
  <c r="L12" i="27"/>
  <c r="J12" i="27"/>
  <c r="L11" i="27"/>
  <c r="O11" i="27" s="1"/>
  <c r="J11" i="27"/>
  <c r="L10" i="27"/>
  <c r="O10" i="27" s="1"/>
  <c r="J10" i="27"/>
  <c r="L9" i="27"/>
  <c r="O9" i="27" s="1"/>
  <c r="J9" i="27"/>
  <c r="L8" i="27"/>
  <c r="O8" i="27" s="1"/>
  <c r="J8" i="27"/>
  <c r="L7" i="27"/>
  <c r="O7" i="27" s="1"/>
  <c r="J7" i="27"/>
  <c r="L6" i="27"/>
  <c r="O6" i="27" s="1"/>
  <c r="J6" i="27"/>
  <c r="L5" i="27"/>
  <c r="O5" i="27" s="1"/>
  <c r="J5" i="27"/>
  <c r="L4" i="27"/>
  <c r="O4" i="27" s="1"/>
  <c r="J4" i="27"/>
  <c r="L3" i="27"/>
  <c r="J3" i="27"/>
  <c r="L2" i="27"/>
  <c r="J2" i="27"/>
  <c r="F31" i="1"/>
  <c r="F32" i="1"/>
  <c r="F33" i="1"/>
  <c r="F34" i="1"/>
  <c r="F35" i="1"/>
  <c r="F36" i="1"/>
  <c r="F37" i="1"/>
  <c r="G33" i="1"/>
  <c r="G34" i="1" s="1"/>
  <c r="G35" i="1" s="1"/>
  <c r="G36" i="1" s="1"/>
  <c r="G37" i="1" s="1"/>
  <c r="J50" i="31"/>
  <c r="N50" i="31" s="1"/>
  <c r="P50" i="31" s="1"/>
  <c r="Q50" i="31" s="1"/>
  <c r="J49" i="31"/>
  <c r="N49" i="31" s="1"/>
  <c r="P49" i="31" s="1"/>
  <c r="Q49" i="31" s="1"/>
  <c r="J48" i="31"/>
  <c r="N48" i="31" s="1"/>
  <c r="P48" i="31" s="1"/>
  <c r="Q48" i="31" s="1"/>
  <c r="J47" i="31"/>
  <c r="N47" i="31" s="1"/>
  <c r="P47" i="31" s="1"/>
  <c r="Q47" i="31" s="1"/>
  <c r="J46" i="31"/>
  <c r="N46" i="31" s="1"/>
  <c r="P46" i="31" s="1"/>
  <c r="Q46" i="31" s="1"/>
  <c r="J45" i="31"/>
  <c r="N45" i="31" s="1"/>
  <c r="P45" i="31" s="1"/>
  <c r="Q45" i="31" s="1"/>
  <c r="J44" i="31"/>
  <c r="N44" i="31" s="1"/>
  <c r="P44" i="31" s="1"/>
  <c r="Q44" i="31" s="1"/>
  <c r="J43" i="31"/>
  <c r="N43" i="31" s="1"/>
  <c r="P43" i="31" s="1"/>
  <c r="Q43" i="31" s="1"/>
  <c r="J42" i="31"/>
  <c r="N42" i="31" s="1"/>
  <c r="P42" i="31" s="1"/>
  <c r="Q42" i="31" s="1"/>
  <c r="J41" i="31"/>
  <c r="N41" i="31" s="1"/>
  <c r="P41" i="31" s="1"/>
  <c r="Q41" i="31" s="1"/>
  <c r="J40" i="31"/>
  <c r="N40" i="31" s="1"/>
  <c r="P40" i="31" s="1"/>
  <c r="Q40" i="31" s="1"/>
  <c r="J39" i="31"/>
  <c r="N39" i="31" s="1"/>
  <c r="P39" i="31" s="1"/>
  <c r="Q39" i="31" s="1"/>
  <c r="J38" i="31"/>
  <c r="N38" i="31" s="1"/>
  <c r="P38" i="31" s="1"/>
  <c r="Q38" i="31" s="1"/>
  <c r="J37" i="31"/>
  <c r="N37" i="31" s="1"/>
  <c r="P37" i="31" s="1"/>
  <c r="Q37" i="31" s="1"/>
  <c r="J36" i="31"/>
  <c r="N36" i="31" s="1"/>
  <c r="P36" i="31" s="1"/>
  <c r="Q36" i="31" s="1"/>
  <c r="J35" i="31"/>
  <c r="N35" i="31" s="1"/>
  <c r="P35" i="31" s="1"/>
  <c r="Q35" i="31" s="1"/>
  <c r="J34" i="31"/>
  <c r="N34" i="31" s="1"/>
  <c r="P34" i="31" s="1"/>
  <c r="Q34" i="31" s="1"/>
  <c r="I33" i="31"/>
  <c r="J33" i="31" s="1"/>
  <c r="N33" i="31" s="1"/>
  <c r="P33" i="31" s="1"/>
  <c r="Q33" i="31" s="1"/>
  <c r="J32" i="31"/>
  <c r="N32" i="31" s="1"/>
  <c r="P32" i="31" s="1"/>
  <c r="Q32" i="31" s="1"/>
  <c r="J31" i="31"/>
  <c r="N31" i="31" s="1"/>
  <c r="P31" i="31" s="1"/>
  <c r="Q31" i="31" s="1"/>
  <c r="J30" i="31"/>
  <c r="N30" i="31" s="1"/>
  <c r="P30" i="31" s="1"/>
  <c r="Q30" i="31" s="1"/>
  <c r="J29" i="31"/>
  <c r="N29" i="31" s="1"/>
  <c r="P29" i="31" s="1"/>
  <c r="Q29" i="31" s="1"/>
  <c r="J28" i="31"/>
  <c r="N28" i="31" s="1"/>
  <c r="P28" i="31" s="1"/>
  <c r="Q28" i="31" s="1"/>
  <c r="J27" i="31"/>
  <c r="N27" i="31" s="1"/>
  <c r="P27" i="31" s="1"/>
  <c r="Q27" i="31" s="1"/>
  <c r="J26" i="31"/>
  <c r="N26" i="31" s="1"/>
  <c r="P26" i="31" s="1"/>
  <c r="Q26" i="31" s="1"/>
  <c r="J25" i="31"/>
  <c r="N25" i="31" s="1"/>
  <c r="P25" i="31" s="1"/>
  <c r="Q25" i="31" s="1"/>
  <c r="J24" i="31"/>
  <c r="N24" i="31" s="1"/>
  <c r="P24" i="31" s="1"/>
  <c r="Q24" i="31" s="1"/>
  <c r="I23" i="31"/>
  <c r="J23" i="31" s="1"/>
  <c r="N23" i="31" s="1"/>
  <c r="P23" i="31" s="1"/>
  <c r="Q23" i="31" s="1"/>
  <c r="J22" i="31"/>
  <c r="N22" i="31" s="1"/>
  <c r="P22" i="31" s="1"/>
  <c r="Q22" i="31" s="1"/>
  <c r="J21" i="31"/>
  <c r="N21" i="31" s="1"/>
  <c r="P21" i="31" s="1"/>
  <c r="Q21" i="31" s="1"/>
  <c r="J20" i="31"/>
  <c r="N20" i="31" s="1"/>
  <c r="P20" i="31" s="1"/>
  <c r="Q20" i="31" s="1"/>
  <c r="J19" i="31"/>
  <c r="N19" i="31" s="1"/>
  <c r="P19" i="31" s="1"/>
  <c r="Q19" i="31" s="1"/>
  <c r="J18" i="31"/>
  <c r="N18" i="31" s="1"/>
  <c r="P18" i="31" s="1"/>
  <c r="Q18" i="31" s="1"/>
  <c r="J17" i="31"/>
  <c r="N17" i="31" s="1"/>
  <c r="P17" i="31" s="1"/>
  <c r="Q17" i="31" s="1"/>
  <c r="J16" i="31"/>
  <c r="N16" i="31" s="1"/>
  <c r="P16" i="31" s="1"/>
  <c r="Q16" i="31" s="1"/>
  <c r="J15" i="31"/>
  <c r="N15" i="31" s="1"/>
  <c r="P15" i="31" s="1"/>
  <c r="Q15" i="31" s="1"/>
  <c r="J14" i="31"/>
  <c r="N14" i="31" s="1"/>
  <c r="P14" i="31" s="1"/>
  <c r="Q14" i="31" s="1"/>
  <c r="J13" i="31"/>
  <c r="N13" i="31" s="1"/>
  <c r="P13" i="31" s="1"/>
  <c r="Q13" i="31" s="1"/>
  <c r="J12" i="31"/>
  <c r="N12" i="31" s="1"/>
  <c r="P12" i="31" s="1"/>
  <c r="Q12" i="31" s="1"/>
  <c r="J11" i="31"/>
  <c r="N11" i="31" s="1"/>
  <c r="P11" i="31" s="1"/>
  <c r="Q11" i="31" s="1"/>
  <c r="J10" i="31"/>
  <c r="N10" i="31" s="1"/>
  <c r="P10" i="31" s="1"/>
  <c r="Q10" i="31" s="1"/>
  <c r="J9" i="31"/>
  <c r="N9" i="31" s="1"/>
  <c r="P9" i="31" s="1"/>
  <c r="Q9" i="31" s="1"/>
  <c r="J8" i="31"/>
  <c r="N8" i="31" s="1"/>
  <c r="P8" i="31" s="1"/>
  <c r="Q8" i="31" s="1"/>
  <c r="J7" i="31"/>
  <c r="N7" i="31" s="1"/>
  <c r="P7" i="31" s="1"/>
  <c r="Q7" i="31" s="1"/>
  <c r="J6" i="31"/>
  <c r="N6" i="31" s="1"/>
  <c r="P6" i="31" s="1"/>
  <c r="Q6" i="31" s="1"/>
  <c r="J5" i="31"/>
  <c r="N5" i="31" s="1"/>
  <c r="P5" i="31" s="1"/>
  <c r="Q5" i="31" s="1"/>
  <c r="J4" i="31"/>
  <c r="N4" i="31" s="1"/>
  <c r="P4" i="31" s="1"/>
  <c r="Q4" i="31" s="1"/>
  <c r="J3" i="31"/>
  <c r="N3" i="31" s="1"/>
  <c r="P3" i="31" s="1"/>
  <c r="Q3" i="31" s="1"/>
  <c r="I2" i="31"/>
  <c r="J2" i="31" s="1"/>
  <c r="N2" i="31" s="1"/>
  <c r="AO9" i="22"/>
  <c r="P301" i="29" l="1"/>
  <c r="O301" i="29"/>
  <c r="O115" i="27"/>
  <c r="P115" i="27" s="1"/>
  <c r="O234" i="29"/>
  <c r="P234" i="29" s="1"/>
  <c r="P242" i="29"/>
  <c r="O242" i="29"/>
  <c r="O325" i="29"/>
  <c r="P325" i="29" s="1"/>
  <c r="P333" i="29"/>
  <c r="O333" i="29"/>
  <c r="O2" i="30"/>
  <c r="P2" i="30" s="1"/>
  <c r="Q2" i="30" s="1"/>
  <c r="R2" i="30" s="1"/>
  <c r="O170" i="29"/>
  <c r="P170" i="29" s="1"/>
  <c r="O246" i="29"/>
  <c r="P246" i="29" s="1"/>
  <c r="P2" i="32"/>
  <c r="O340" i="29"/>
  <c r="P340" i="29" s="1"/>
  <c r="P379" i="29"/>
  <c r="P19" i="27"/>
  <c r="O19" i="27"/>
  <c r="O83" i="27"/>
  <c r="P83" i="27" s="1"/>
  <c r="O91" i="27"/>
  <c r="P91" i="27" s="1"/>
  <c r="P60" i="27"/>
  <c r="O60" i="27"/>
  <c r="P84" i="27"/>
  <c r="O84" i="27"/>
  <c r="O108" i="27"/>
  <c r="P108" i="27" s="1"/>
  <c r="P2" i="31"/>
  <c r="Q2" i="31" s="1"/>
  <c r="R2" i="31" s="1"/>
  <c r="S2" i="31" s="1"/>
  <c r="P132" i="27"/>
  <c r="O132" i="27"/>
  <c r="P156" i="29"/>
  <c r="O205" i="29"/>
  <c r="P205" i="29" s="1"/>
  <c r="P282" i="29"/>
  <c r="O266" i="29"/>
  <c r="P266" i="29" s="1"/>
  <c r="P324" i="29"/>
  <c r="O324" i="29"/>
  <c r="P75" i="27"/>
  <c r="O75" i="27"/>
  <c r="O123" i="27"/>
  <c r="P123" i="27" s="1"/>
  <c r="O12" i="27"/>
  <c r="P12" i="27" s="1"/>
  <c r="P100" i="27"/>
  <c r="O100" i="27"/>
  <c r="P131" i="27"/>
  <c r="O131" i="27"/>
  <c r="O146" i="27"/>
  <c r="P146" i="27" s="1"/>
  <c r="Q144" i="27" s="1"/>
  <c r="R144" i="27" s="1"/>
  <c r="H60" i="2" s="1"/>
  <c r="O74" i="29"/>
  <c r="P74" i="29" s="1"/>
  <c r="P178" i="29"/>
  <c r="O178" i="29"/>
  <c r="P189" i="29"/>
  <c r="O189" i="29"/>
  <c r="O258" i="29"/>
  <c r="P258" i="29" s="1"/>
  <c r="O126" i="27"/>
  <c r="P126" i="27" s="1"/>
  <c r="P4" i="29"/>
  <c r="P194" i="29"/>
  <c r="O194" i="29"/>
  <c r="P298" i="29"/>
  <c r="P306" i="29"/>
  <c r="O306" i="29"/>
  <c r="O314" i="29"/>
  <c r="P314" i="29" s="1"/>
  <c r="P5" i="32"/>
  <c r="O5" i="32"/>
  <c r="O3" i="28"/>
  <c r="P3" i="28" s="1"/>
  <c r="Q2" i="28" s="1"/>
  <c r="R2" i="28" s="1"/>
  <c r="O143" i="27"/>
  <c r="P143" i="27" s="1"/>
  <c r="P131" i="29"/>
  <c r="O348" i="29"/>
  <c r="P348" i="29" s="1"/>
  <c r="P27" i="27"/>
  <c r="O27" i="27"/>
  <c r="O35" i="27"/>
  <c r="P35" i="27" s="1"/>
  <c r="P51" i="27"/>
  <c r="O51" i="27"/>
  <c r="O99" i="27"/>
  <c r="P99" i="27" s="1"/>
  <c r="P32" i="29"/>
  <c r="O32" i="29"/>
  <c r="P44" i="29"/>
  <c r="O182" i="29"/>
  <c r="P182" i="29" s="1"/>
  <c r="P134" i="27"/>
  <c r="P83" i="29"/>
  <c r="P157" i="29"/>
  <c r="O157" i="29"/>
  <c r="P164" i="29"/>
  <c r="O210" i="29"/>
  <c r="P210" i="29" s="1"/>
  <c r="P315" i="29"/>
  <c r="O315" i="29"/>
  <c r="O322" i="29"/>
  <c r="P322" i="29" s="1"/>
  <c r="P330" i="29"/>
  <c r="O330" i="29"/>
  <c r="O338" i="29"/>
  <c r="P338" i="29" s="1"/>
  <c r="P346" i="29"/>
  <c r="O346" i="29"/>
  <c r="P354" i="29"/>
  <c r="P362" i="29"/>
  <c r="O290" i="29"/>
  <c r="P290" i="29" s="1"/>
  <c r="O3" i="27"/>
  <c r="P3" i="27" s="1"/>
  <c r="P115" i="29"/>
  <c r="P356" i="29"/>
  <c r="P59" i="27"/>
  <c r="O59" i="27"/>
  <c r="O67" i="27"/>
  <c r="P67" i="27" s="1"/>
  <c r="P36" i="27"/>
  <c r="O36" i="27"/>
  <c r="O44" i="27"/>
  <c r="P44" i="27" s="1"/>
  <c r="P124" i="27"/>
  <c r="O124" i="27"/>
  <c r="O2" i="27"/>
  <c r="P2" i="27" s="1"/>
  <c r="P18" i="27"/>
  <c r="P26" i="27"/>
  <c r="P42" i="27"/>
  <c r="P66" i="27"/>
  <c r="P74" i="27"/>
  <c r="P90" i="27"/>
  <c r="P106" i="27"/>
  <c r="P114" i="27"/>
  <c r="P127" i="27"/>
  <c r="O127" i="27"/>
  <c r="O135" i="27"/>
  <c r="P135" i="27" s="1"/>
  <c r="P142" i="27"/>
  <c r="O26" i="29"/>
  <c r="P26" i="29" s="1"/>
  <c r="P30" i="29"/>
  <c r="O30" i="29"/>
  <c r="P34" i="29"/>
  <c r="O34" i="29"/>
  <c r="O42" i="29"/>
  <c r="P42" i="29" s="1"/>
  <c r="P291" i="29"/>
  <c r="O308" i="29"/>
  <c r="P308" i="29" s="1"/>
  <c r="P323" i="29"/>
  <c r="O323" i="29"/>
  <c r="O331" i="29"/>
  <c r="P331" i="29" s="1"/>
  <c r="P347" i="29"/>
  <c r="O347" i="29"/>
  <c r="P370" i="29"/>
  <c r="O147" i="29"/>
  <c r="P147" i="29" s="1"/>
  <c r="O83" i="29"/>
  <c r="O114" i="27"/>
  <c r="O18" i="27"/>
  <c r="J22" i="19"/>
  <c r="K21" i="19"/>
  <c r="I19" i="19"/>
  <c r="N18" i="19"/>
  <c r="L16" i="19"/>
  <c r="M20" i="19"/>
  <c r="K18" i="19"/>
  <c r="I22" i="19"/>
  <c r="J21" i="19"/>
  <c r="M18" i="19"/>
  <c r="N17" i="19"/>
  <c r="K16" i="19"/>
  <c r="N19" i="19"/>
  <c r="L17" i="19"/>
  <c r="I16" i="19"/>
  <c r="I21" i="19"/>
  <c r="N20" i="19"/>
  <c r="L18" i="19"/>
  <c r="M17" i="19"/>
  <c r="J16" i="19"/>
  <c r="L20" i="19"/>
  <c r="N22" i="19"/>
  <c r="M19" i="19"/>
  <c r="J18" i="19"/>
  <c r="K17" i="19"/>
  <c r="M22" i="19"/>
  <c r="N21" i="19"/>
  <c r="K20" i="19"/>
  <c r="L19" i="19"/>
  <c r="I18" i="19"/>
  <c r="J17" i="19"/>
  <c r="K22" i="19"/>
  <c r="L21" i="19"/>
  <c r="I20" i="19"/>
  <c r="J19" i="19"/>
  <c r="M16" i="19"/>
  <c r="L22" i="19"/>
  <c r="M21" i="19"/>
  <c r="J20" i="19"/>
  <c r="K19" i="19"/>
  <c r="I17" i="19"/>
  <c r="N16" i="19"/>
  <c r="C21" i="19"/>
  <c r="H20" i="19"/>
  <c r="F18" i="19"/>
  <c r="G17" i="19"/>
  <c r="D16" i="19"/>
  <c r="G22" i="19"/>
  <c r="H21" i="19"/>
  <c r="F19" i="19"/>
  <c r="D17" i="19"/>
  <c r="G20" i="19"/>
  <c r="H19" i="19"/>
  <c r="E18" i="19"/>
  <c r="F17" i="19"/>
  <c r="C16" i="19"/>
  <c r="E20" i="19"/>
  <c r="C18" i="19"/>
  <c r="H22" i="19"/>
  <c r="F20" i="19"/>
  <c r="G19" i="19"/>
  <c r="D18" i="19"/>
  <c r="E17" i="19"/>
  <c r="F22" i="19"/>
  <c r="G21" i="19"/>
  <c r="E19" i="19"/>
  <c r="C17" i="19"/>
  <c r="H16" i="19"/>
  <c r="E22" i="19"/>
  <c r="F21" i="19"/>
  <c r="C20" i="19"/>
  <c r="D19" i="19"/>
  <c r="G16" i="19"/>
  <c r="C22" i="19"/>
  <c r="D21" i="19"/>
  <c r="G18" i="19"/>
  <c r="E16" i="19"/>
  <c r="D22" i="19"/>
  <c r="E21" i="19"/>
  <c r="C19" i="19"/>
  <c r="H18" i="19"/>
  <c r="F16" i="19"/>
  <c r="H17" i="19"/>
  <c r="D20" i="19"/>
  <c r="Z22" i="19"/>
  <c r="X20" i="19"/>
  <c r="Y19" i="19"/>
  <c r="V18" i="19"/>
  <c r="W17" i="19"/>
  <c r="W22" i="19"/>
  <c r="U20" i="19"/>
  <c r="V19" i="19"/>
  <c r="Y22" i="19"/>
  <c r="Z21" i="19"/>
  <c r="W20" i="19"/>
  <c r="X19" i="19"/>
  <c r="U18" i="19"/>
  <c r="V17" i="19"/>
  <c r="X21" i="19"/>
  <c r="Y16" i="19"/>
  <c r="X22" i="19"/>
  <c r="Y21" i="19"/>
  <c r="V20" i="19"/>
  <c r="W19" i="19"/>
  <c r="U17" i="19"/>
  <c r="Z16" i="19"/>
  <c r="V22" i="19"/>
  <c r="U19" i="19"/>
  <c r="Z18" i="19"/>
  <c r="X16" i="19"/>
  <c r="U22" i="19"/>
  <c r="V21" i="19"/>
  <c r="Y18" i="19"/>
  <c r="Z17" i="19"/>
  <c r="W16" i="19"/>
  <c r="Y20" i="19"/>
  <c r="Z19" i="19"/>
  <c r="W18" i="19"/>
  <c r="X17" i="19"/>
  <c r="W21" i="19"/>
  <c r="U21" i="19"/>
  <c r="Z20" i="19"/>
  <c r="X18" i="19"/>
  <c r="Y17" i="19"/>
  <c r="V16" i="19"/>
  <c r="U16" i="19"/>
  <c r="Q17" i="19"/>
  <c r="P18" i="19"/>
  <c r="S19" i="19"/>
  <c r="R20" i="19"/>
  <c r="T22" i="19"/>
  <c r="P17" i="19"/>
  <c r="O18" i="19"/>
  <c r="R19" i="19"/>
  <c r="Q20" i="19"/>
  <c r="T21" i="19"/>
  <c r="S22" i="19"/>
  <c r="O16" i="19"/>
  <c r="R17" i="19"/>
  <c r="Q18" i="19"/>
  <c r="T19" i="19"/>
  <c r="S20" i="19"/>
  <c r="P16" i="19"/>
  <c r="S17" i="19"/>
  <c r="R18" i="19"/>
  <c r="T20" i="19"/>
  <c r="O21" i="19"/>
  <c r="T17" i="19"/>
  <c r="R16" i="19"/>
  <c r="T18" i="19"/>
  <c r="O19" i="19"/>
  <c r="Q21" i="19"/>
  <c r="P22" i="19"/>
  <c r="S18" i="19"/>
  <c r="S16" i="19"/>
  <c r="P19" i="19"/>
  <c r="O20" i="19"/>
  <c r="R21" i="19"/>
  <c r="Q22" i="19"/>
  <c r="Q16" i="19"/>
  <c r="P21" i="19"/>
  <c r="O22" i="19"/>
  <c r="T16" i="19"/>
  <c r="O17" i="19"/>
  <c r="Q19" i="19"/>
  <c r="P20" i="19"/>
  <c r="S21" i="19"/>
  <c r="P2" i="29"/>
  <c r="P130" i="27"/>
  <c r="P138" i="27"/>
  <c r="P139" i="27"/>
  <c r="P141" i="27"/>
  <c r="P129" i="27"/>
  <c r="P136" i="27"/>
  <c r="P137" i="27"/>
  <c r="P125" i="27"/>
  <c r="P269" i="29"/>
  <c r="P293" i="29"/>
  <c r="P277" i="29"/>
  <c r="P284" i="29"/>
  <c r="P285" i="29"/>
  <c r="P87" i="29"/>
  <c r="P92" i="29"/>
  <c r="P206" i="29"/>
  <c r="P228" i="29"/>
  <c r="P152" i="29"/>
  <c r="P209" i="29"/>
  <c r="P265" i="29"/>
  <c r="P281" i="29"/>
  <c r="P52" i="29"/>
  <c r="P141" i="29"/>
  <c r="P268" i="29"/>
  <c r="P292" i="29"/>
  <c r="P309" i="29"/>
  <c r="P317" i="29"/>
  <c r="P361" i="29"/>
  <c r="P375" i="29"/>
  <c r="P278" i="29"/>
  <c r="P221" i="29"/>
  <c r="P349" i="29"/>
  <c r="P124" i="29"/>
  <c r="P181" i="29"/>
  <c r="P196" i="29"/>
  <c r="P214" i="29"/>
  <c r="P270" i="29"/>
  <c r="P350" i="29"/>
  <c r="P365" i="29"/>
  <c r="P294" i="29"/>
  <c r="P341" i="29"/>
  <c r="P357" i="29"/>
  <c r="P166" i="29"/>
  <c r="P295" i="29"/>
  <c r="P300" i="29"/>
  <c r="P373" i="29"/>
  <c r="P36" i="29"/>
  <c r="P62" i="29"/>
  <c r="P101" i="29"/>
  <c r="P149" i="29"/>
  <c r="P220" i="29"/>
  <c r="P245" i="29"/>
  <c r="P239" i="29"/>
  <c r="P46" i="29"/>
  <c r="P85" i="29"/>
  <c r="P121" i="29"/>
  <c r="P180" i="29"/>
  <c r="P20" i="29"/>
  <c r="P54" i="29"/>
  <c r="P129" i="29"/>
  <c r="P133" i="29"/>
  <c r="P137" i="29"/>
  <c r="P159" i="29"/>
  <c r="P244" i="29"/>
  <c r="P168" i="29"/>
  <c r="P24" i="29"/>
  <c r="P72" i="29"/>
  <c r="P140" i="29"/>
  <c r="P155" i="29"/>
  <c r="P183" i="29"/>
  <c r="P231" i="29"/>
  <c r="P235" i="29"/>
  <c r="P267" i="29"/>
  <c r="P276" i="29"/>
  <c r="P283" i="29"/>
  <c r="P287" i="29"/>
  <c r="P299" i="29"/>
  <c r="P312" i="29"/>
  <c r="P368" i="29"/>
  <c r="P328" i="29"/>
  <c r="P56" i="29"/>
  <c r="P215" i="29"/>
  <c r="P271" i="29"/>
  <c r="P95" i="29"/>
  <c r="P119" i="29"/>
  <c r="P123" i="29"/>
  <c r="P167" i="29"/>
  <c r="P171" i="29"/>
  <c r="P191" i="29"/>
  <c r="P195" i="29"/>
  <c r="P219" i="29"/>
  <c r="P316" i="29"/>
  <c r="P184" i="29"/>
  <c r="P64" i="29"/>
  <c r="P127" i="29"/>
  <c r="P135" i="29"/>
  <c r="P216" i="29"/>
  <c r="P223" i="29"/>
  <c r="P248" i="29"/>
  <c r="P336" i="29"/>
  <c r="P351" i="29"/>
  <c r="P359" i="29"/>
  <c r="P232" i="29"/>
  <c r="P376" i="29"/>
  <c r="P103" i="29"/>
  <c r="P192" i="29"/>
  <c r="P199" i="29"/>
  <c r="P132" i="29"/>
  <c r="P151" i="29"/>
  <c r="P175" i="29"/>
  <c r="P256" i="29"/>
  <c r="P279" i="29"/>
  <c r="P304" i="29"/>
  <c r="P332" i="29"/>
  <c r="P367" i="29"/>
  <c r="P289" i="29"/>
  <c r="P297" i="29"/>
  <c r="P374" i="29"/>
  <c r="P40" i="29"/>
  <c r="P48" i="29"/>
  <c r="P80" i="29"/>
  <c r="P185" i="29"/>
  <c r="P208" i="29"/>
  <c r="P272" i="29"/>
  <c r="P275" i="29"/>
  <c r="P286" i="29"/>
  <c r="P310" i="29"/>
  <c r="P329" i="29"/>
  <c r="P342" i="29"/>
  <c r="P369" i="29"/>
  <c r="P377" i="29"/>
  <c r="P378" i="29"/>
  <c r="P273" i="29"/>
  <c r="P169" i="29"/>
  <c r="P233" i="29"/>
  <c r="P344" i="29"/>
  <c r="P358" i="29"/>
  <c r="P176" i="29"/>
  <c r="P240" i="29"/>
  <c r="P264" i="29"/>
  <c r="P280" i="29"/>
  <c r="P288" i="29"/>
  <c r="P313" i="29"/>
  <c r="P326" i="29"/>
  <c r="P345" i="29"/>
  <c r="P89" i="29"/>
  <c r="P153" i="29"/>
  <c r="P160" i="29"/>
  <c r="P200" i="29"/>
  <c r="P203" i="29"/>
  <c r="P217" i="29"/>
  <c r="P224" i="29"/>
  <c r="P230" i="29"/>
  <c r="P296" i="29"/>
  <c r="P307" i="29"/>
  <c r="P320" i="29"/>
  <c r="P339" i="29"/>
  <c r="P353" i="29"/>
  <c r="P360" i="29"/>
  <c r="P366" i="29"/>
  <c r="P23" i="29"/>
  <c r="P57" i="29"/>
  <c r="P261" i="29"/>
  <c r="P33" i="29"/>
  <c r="P43" i="29"/>
  <c r="P53" i="29"/>
  <c r="P122" i="29"/>
  <c r="P134" i="29"/>
  <c r="P247" i="29"/>
  <c r="P251" i="29"/>
  <c r="P67" i="29"/>
  <c r="P98" i="29"/>
  <c r="P17" i="29"/>
  <c r="P27" i="29"/>
  <c r="P37" i="29"/>
  <c r="P47" i="29"/>
  <c r="P86" i="29"/>
  <c r="P138" i="29"/>
  <c r="P150" i="29"/>
  <c r="P110" i="29"/>
  <c r="P41" i="29"/>
  <c r="P51" i="29"/>
  <c r="P61" i="29"/>
  <c r="P71" i="29"/>
  <c r="P114" i="29"/>
  <c r="P126" i="29"/>
  <c r="P21" i="29"/>
  <c r="P31" i="29"/>
  <c r="P65" i="29"/>
  <c r="P75" i="29"/>
  <c r="P90" i="29"/>
  <c r="P102" i="29"/>
  <c r="P249" i="29"/>
  <c r="P259" i="29"/>
  <c r="P77" i="29"/>
  <c r="P25" i="29"/>
  <c r="P35" i="29"/>
  <c r="P45" i="29"/>
  <c r="P130" i="29"/>
  <c r="P136" i="29"/>
  <c r="P142" i="29"/>
  <c r="P255" i="29"/>
  <c r="P63" i="29"/>
  <c r="P49" i="29"/>
  <c r="P59" i="29"/>
  <c r="P69" i="29"/>
  <c r="P106" i="29"/>
  <c r="P118" i="29"/>
  <c r="P253" i="29"/>
  <c r="P263" i="29"/>
  <c r="P19" i="29"/>
  <c r="P29" i="29"/>
  <c r="P39" i="29"/>
  <c r="P73" i="29"/>
  <c r="P94" i="29"/>
  <c r="P146" i="29"/>
  <c r="P257" i="29"/>
  <c r="P55" i="29"/>
  <c r="P96" i="29"/>
  <c r="P112" i="29"/>
  <c r="P88" i="29"/>
  <c r="P128" i="29"/>
  <c r="P104" i="29"/>
  <c r="P144" i="29"/>
  <c r="P120" i="29"/>
  <c r="P17" i="27"/>
  <c r="P9" i="27"/>
  <c r="P25" i="27"/>
  <c r="P33" i="27"/>
  <c r="P41" i="27"/>
  <c r="P49" i="27"/>
  <c r="P57" i="27"/>
  <c r="P65" i="27"/>
  <c r="P73" i="27"/>
  <c r="P81" i="27"/>
  <c r="P89" i="27"/>
  <c r="P120" i="27"/>
  <c r="P112" i="27"/>
  <c r="P104" i="27"/>
  <c r="P96" i="27"/>
  <c r="P80" i="27"/>
  <c r="P72" i="27"/>
  <c r="P56" i="27"/>
  <c r="P48" i="27"/>
  <c r="P16" i="27"/>
  <c r="P40" i="27"/>
  <c r="P97" i="27"/>
  <c r="P105" i="27"/>
  <c r="P113" i="27"/>
  <c r="P121" i="27"/>
  <c r="P4" i="27"/>
  <c r="P32" i="27"/>
  <c r="P64" i="27"/>
  <c r="P88" i="27"/>
  <c r="P30" i="27"/>
  <c r="P86" i="27"/>
  <c r="P78" i="27"/>
  <c r="P70" i="27"/>
  <c r="P62" i="27"/>
  <c r="P54" i="27"/>
  <c r="P46" i="27"/>
  <c r="P38" i="27"/>
  <c r="P22" i="27"/>
  <c r="P14" i="27"/>
  <c r="P6" i="27"/>
  <c r="P8" i="27"/>
  <c r="P24" i="27"/>
  <c r="P7" i="27"/>
  <c r="P15" i="27"/>
  <c r="P94" i="27"/>
  <c r="P98" i="27"/>
  <c r="P102" i="27"/>
  <c r="P110" i="27"/>
  <c r="P118" i="27"/>
  <c r="P122" i="27"/>
  <c r="P37" i="27"/>
  <c r="P29" i="27"/>
  <c r="P21" i="27"/>
  <c r="P13" i="27"/>
  <c r="P5" i="27"/>
  <c r="P23" i="27"/>
  <c r="P31" i="27"/>
  <c r="P39" i="27"/>
  <c r="P47" i="27"/>
  <c r="P55" i="27"/>
  <c r="P63" i="27"/>
  <c r="P71" i="27"/>
  <c r="P79" i="27"/>
  <c r="P87" i="27"/>
  <c r="P116" i="27"/>
  <c r="P92" i="27"/>
  <c r="P76" i="27"/>
  <c r="P68" i="27"/>
  <c r="P52" i="27"/>
  <c r="P28" i="27"/>
  <c r="P20" i="27"/>
  <c r="P95" i="27"/>
  <c r="P103" i="27"/>
  <c r="P111" i="27"/>
  <c r="P119" i="27"/>
  <c r="P107" i="27"/>
  <c r="P43" i="27"/>
  <c r="P11" i="27"/>
  <c r="P45" i="27"/>
  <c r="P53" i="27"/>
  <c r="P61" i="27"/>
  <c r="P10" i="27"/>
  <c r="P69" i="27"/>
  <c r="P77" i="27"/>
  <c r="P85" i="27"/>
  <c r="P34" i="27"/>
  <c r="P58" i="27"/>
  <c r="P93" i="27"/>
  <c r="P101" i="27"/>
  <c r="P109" i="27"/>
  <c r="P117" i="27"/>
  <c r="P82" i="27"/>
  <c r="AL9" i="22"/>
  <c r="AB9" i="22"/>
  <c r="Z9" i="22"/>
  <c r="AF9" i="22"/>
  <c r="AJ9" i="22"/>
  <c r="AH9" i="22"/>
  <c r="AD9" i="22"/>
  <c r="Q2" i="32"/>
  <c r="R2" i="32" s="1"/>
  <c r="S2" i="32" s="1"/>
  <c r="Q75" i="30"/>
  <c r="R75" i="30" s="1"/>
  <c r="Q46" i="30"/>
  <c r="R46" i="30" s="1"/>
  <c r="H74" i="2" s="1"/>
  <c r="Q25" i="30"/>
  <c r="R25" i="30" s="1"/>
  <c r="H73" i="2" s="1"/>
  <c r="Q34" i="28"/>
  <c r="R34" i="28" s="1"/>
  <c r="H63" i="2" s="1"/>
  <c r="Q116" i="28"/>
  <c r="R116" i="28" s="1"/>
  <c r="H65" i="2" s="1"/>
  <c r="Q59" i="28"/>
  <c r="R59" i="28" s="1"/>
  <c r="H64" i="2" s="1"/>
  <c r="Q170" i="27"/>
  <c r="R170" i="27" s="1"/>
  <c r="H61" i="2" s="1"/>
  <c r="P103" i="12"/>
  <c r="P104" i="12"/>
  <c r="P105" i="12"/>
  <c r="P106" i="12"/>
  <c r="P107" i="12"/>
  <c r="P108" i="12"/>
  <c r="P109" i="12"/>
  <c r="P113" i="12"/>
  <c r="P114" i="12"/>
  <c r="P115" i="12"/>
  <c r="P116" i="12"/>
  <c r="P117" i="12"/>
  <c r="P119" i="12"/>
  <c r="P120" i="12"/>
  <c r="P121" i="12"/>
  <c r="P123" i="12"/>
  <c r="P124" i="12"/>
  <c r="P125" i="12"/>
  <c r="P126" i="12"/>
  <c r="P127" i="12"/>
  <c r="P128" i="12"/>
  <c r="P130" i="12"/>
  <c r="P132" i="12"/>
  <c r="P135" i="12"/>
  <c r="P137" i="12"/>
  <c r="P138" i="12"/>
  <c r="P139" i="12"/>
  <c r="P140" i="12"/>
  <c r="P142" i="12"/>
  <c r="P143" i="12"/>
  <c r="P144" i="12"/>
  <c r="P145" i="12"/>
  <c r="P146" i="12"/>
  <c r="P147" i="12"/>
  <c r="P148" i="12"/>
  <c r="P149" i="12"/>
  <c r="P150" i="12"/>
  <c r="P152" i="12"/>
  <c r="P153" i="12"/>
  <c r="P154" i="12"/>
  <c r="P155" i="12"/>
  <c r="P156" i="12"/>
  <c r="P157" i="12"/>
  <c r="P158" i="12"/>
  <c r="P159" i="12"/>
  <c r="P160" i="12"/>
  <c r="P162" i="12"/>
  <c r="P163" i="12"/>
  <c r="P165" i="12"/>
  <c r="P167" i="12"/>
  <c r="P168" i="12"/>
  <c r="P170" i="12"/>
  <c r="P171" i="12"/>
  <c r="P172" i="12"/>
  <c r="P173" i="12"/>
  <c r="P174" i="12"/>
  <c r="P175" i="12"/>
  <c r="P177" i="12"/>
  <c r="P178" i="12"/>
  <c r="P180" i="12"/>
  <c r="P181" i="12"/>
  <c r="P183" i="12"/>
  <c r="P185" i="12"/>
  <c r="P186" i="12"/>
  <c r="P187" i="12"/>
  <c r="P188" i="12"/>
  <c r="P189" i="12"/>
  <c r="P190" i="12"/>
  <c r="P191" i="12"/>
  <c r="P192" i="12"/>
  <c r="P193" i="12"/>
  <c r="P194" i="12"/>
  <c r="P195" i="12"/>
  <c r="P197" i="12"/>
  <c r="P198" i="12"/>
  <c r="P199" i="12"/>
  <c r="P200" i="12"/>
  <c r="P201" i="12"/>
  <c r="P202" i="12"/>
  <c r="P203" i="12"/>
  <c r="P204" i="12"/>
  <c r="P205" i="12"/>
  <c r="P206" i="12"/>
  <c r="P207" i="12"/>
  <c r="P208" i="12"/>
  <c r="P209" i="12"/>
  <c r="P210" i="12"/>
  <c r="P211" i="12"/>
  <c r="P212" i="12"/>
  <c r="P213" i="12"/>
  <c r="P214" i="12"/>
  <c r="P215" i="12"/>
  <c r="P216" i="12"/>
  <c r="P217" i="12"/>
  <c r="P218" i="12"/>
  <c r="P219" i="12"/>
  <c r="P220" i="12"/>
  <c r="P221" i="12"/>
  <c r="P222" i="12"/>
  <c r="P223" i="12"/>
  <c r="P224" i="12"/>
  <c r="P225" i="12"/>
  <c r="P227" i="12"/>
  <c r="P228" i="12"/>
  <c r="P229" i="12"/>
  <c r="P230" i="12"/>
  <c r="P232" i="12"/>
  <c r="P233" i="12"/>
  <c r="P234" i="12"/>
  <c r="P235" i="12"/>
  <c r="P236" i="12"/>
  <c r="P239" i="12"/>
  <c r="P240" i="12"/>
  <c r="P241" i="12"/>
  <c r="P243" i="12"/>
  <c r="P244" i="12"/>
  <c r="P245" i="12"/>
  <c r="P246" i="12"/>
  <c r="P247" i="12"/>
  <c r="P248" i="12"/>
  <c r="P249" i="12"/>
  <c r="P250" i="12"/>
  <c r="P251" i="12"/>
  <c r="P252" i="12"/>
  <c r="P253" i="12"/>
  <c r="P254" i="12"/>
  <c r="P255" i="12"/>
  <c r="P256" i="12"/>
  <c r="P257" i="12"/>
  <c r="P258" i="12"/>
  <c r="L113" i="13"/>
  <c r="O113" i="13" s="1"/>
  <c r="P113" i="13" s="1"/>
  <c r="L114" i="13"/>
  <c r="L115" i="13"/>
  <c r="O115" i="13" s="1"/>
  <c r="P115" i="13" s="1"/>
  <c r="L116" i="13"/>
  <c r="L117" i="13"/>
  <c r="L118" i="13"/>
  <c r="L119" i="13"/>
  <c r="O119" i="13" s="1"/>
  <c r="P119" i="13" s="1"/>
  <c r="L120" i="13"/>
  <c r="O120" i="13" s="1"/>
  <c r="P120" i="13" s="1"/>
  <c r="L121" i="13"/>
  <c r="O121" i="13" s="1"/>
  <c r="P121" i="13" s="1"/>
  <c r="L122" i="13"/>
  <c r="O122" i="13" s="1"/>
  <c r="P122" i="13" s="1"/>
  <c r="L123" i="13"/>
  <c r="L124" i="13"/>
  <c r="O124" i="13" s="1"/>
  <c r="P124" i="13" s="1"/>
  <c r="L125" i="13"/>
  <c r="L126" i="13"/>
  <c r="L127" i="13"/>
  <c r="O127" i="13" s="1"/>
  <c r="P127" i="13" s="1"/>
  <c r="L128" i="13"/>
  <c r="O128" i="13" s="1"/>
  <c r="P128" i="13" s="1"/>
  <c r="L129" i="13"/>
  <c r="O129" i="13" s="1"/>
  <c r="P129" i="13" s="1"/>
  <c r="L131" i="13"/>
  <c r="O131" i="13" s="1"/>
  <c r="P131" i="13" s="1"/>
  <c r="L112" i="13"/>
  <c r="O112" i="13" s="1"/>
  <c r="P112" i="13" s="1"/>
  <c r="O126" i="13"/>
  <c r="P126" i="13" s="1"/>
  <c r="O86" i="13"/>
  <c r="P86" i="13" s="1"/>
  <c r="O87" i="13"/>
  <c r="O88" i="13"/>
  <c r="O89" i="13"/>
  <c r="O90" i="13"/>
  <c r="P90" i="13" s="1"/>
  <c r="O91" i="13"/>
  <c r="P91" i="13" s="1"/>
  <c r="O92" i="13"/>
  <c r="P92" i="13" s="1"/>
  <c r="O93" i="13"/>
  <c r="P93" i="13" s="1"/>
  <c r="O94" i="13"/>
  <c r="O95" i="13"/>
  <c r="O96" i="13"/>
  <c r="P96" i="13" s="1"/>
  <c r="O97" i="13"/>
  <c r="O98" i="13"/>
  <c r="P98" i="13" s="1"/>
  <c r="O99" i="13"/>
  <c r="P99" i="13" s="1"/>
  <c r="O100" i="13"/>
  <c r="P100" i="13" s="1"/>
  <c r="O101" i="13"/>
  <c r="P101" i="13" s="1"/>
  <c r="O102" i="13"/>
  <c r="P102" i="13" s="1"/>
  <c r="O103" i="13"/>
  <c r="P103" i="13" s="1"/>
  <c r="O104" i="13"/>
  <c r="P104" i="13" s="1"/>
  <c r="O105" i="13"/>
  <c r="O106" i="13"/>
  <c r="P106" i="13" s="1"/>
  <c r="O107" i="13"/>
  <c r="P107" i="13" s="1"/>
  <c r="O108" i="13"/>
  <c r="P108" i="13" s="1"/>
  <c r="O109" i="13"/>
  <c r="P109" i="13" s="1"/>
  <c r="O110" i="13"/>
  <c r="O111" i="13"/>
  <c r="O85" i="13"/>
  <c r="P85" i="13" s="1"/>
  <c r="O54" i="13"/>
  <c r="P54" i="13" s="1"/>
  <c r="O62" i="13"/>
  <c r="P62" i="13" s="1"/>
  <c r="P94" i="13"/>
  <c r="P95" i="13"/>
  <c r="P110" i="13"/>
  <c r="O114" i="13"/>
  <c r="P114" i="13" s="1"/>
  <c r="O116" i="13"/>
  <c r="P116" i="13" s="1"/>
  <c r="O117" i="13"/>
  <c r="P117" i="13" s="1"/>
  <c r="O118" i="13"/>
  <c r="P118" i="13" s="1"/>
  <c r="O123" i="13"/>
  <c r="P123" i="13" s="1"/>
  <c r="O125" i="13"/>
  <c r="P125" i="13" s="1"/>
  <c r="L39" i="13"/>
  <c r="L40" i="13"/>
  <c r="O40" i="13" s="1"/>
  <c r="P40" i="13" s="1"/>
  <c r="L41" i="13"/>
  <c r="O41" i="13" s="1"/>
  <c r="P41" i="13" s="1"/>
  <c r="L42" i="13"/>
  <c r="O42" i="13" s="1"/>
  <c r="P42" i="13" s="1"/>
  <c r="L43" i="13"/>
  <c r="O43" i="13" s="1"/>
  <c r="P43" i="13" s="1"/>
  <c r="L44" i="13"/>
  <c r="O44" i="13" s="1"/>
  <c r="P44" i="13" s="1"/>
  <c r="L45" i="13"/>
  <c r="O45" i="13" s="1"/>
  <c r="P45" i="13" s="1"/>
  <c r="L46" i="13"/>
  <c r="O46" i="13" s="1"/>
  <c r="P46" i="13" s="1"/>
  <c r="L47" i="13"/>
  <c r="O47" i="13" s="1"/>
  <c r="P47" i="13" s="1"/>
  <c r="L48" i="13"/>
  <c r="O48" i="13" s="1"/>
  <c r="P48" i="13" s="1"/>
  <c r="L49" i="13"/>
  <c r="O49" i="13" s="1"/>
  <c r="P49" i="13" s="1"/>
  <c r="L50" i="13"/>
  <c r="O50" i="13" s="1"/>
  <c r="P50" i="13" s="1"/>
  <c r="L51" i="13"/>
  <c r="O51" i="13" s="1"/>
  <c r="P51" i="13" s="1"/>
  <c r="L52" i="13"/>
  <c r="O52" i="13" s="1"/>
  <c r="P52" i="13" s="1"/>
  <c r="L53" i="13"/>
  <c r="O53" i="13" s="1"/>
  <c r="P53" i="13" s="1"/>
  <c r="L54" i="13"/>
  <c r="L55" i="13"/>
  <c r="O55" i="13" s="1"/>
  <c r="P55" i="13" s="1"/>
  <c r="L56" i="13"/>
  <c r="O56" i="13" s="1"/>
  <c r="P56" i="13" s="1"/>
  <c r="L57" i="13"/>
  <c r="O57" i="13" s="1"/>
  <c r="P57" i="13" s="1"/>
  <c r="L58" i="13"/>
  <c r="O58" i="13" s="1"/>
  <c r="P58" i="13" s="1"/>
  <c r="L59" i="13"/>
  <c r="O59" i="13" s="1"/>
  <c r="P59" i="13" s="1"/>
  <c r="L60" i="13"/>
  <c r="O60" i="13" s="1"/>
  <c r="P60" i="13" s="1"/>
  <c r="L61" i="13"/>
  <c r="O61" i="13" s="1"/>
  <c r="P61" i="13" s="1"/>
  <c r="L62" i="13"/>
  <c r="L63" i="13"/>
  <c r="O63" i="13" s="1"/>
  <c r="P63" i="13" s="1"/>
  <c r="L64" i="13"/>
  <c r="O64" i="13" s="1"/>
  <c r="P64" i="13" s="1"/>
  <c r="L65" i="13"/>
  <c r="O65" i="13" s="1"/>
  <c r="P65" i="13" s="1"/>
  <c r="L66" i="13"/>
  <c r="O66" i="13" s="1"/>
  <c r="P66" i="13" s="1"/>
  <c r="L67" i="13"/>
  <c r="O67" i="13" s="1"/>
  <c r="P67" i="13" s="1"/>
  <c r="L68" i="13"/>
  <c r="O68" i="13" s="1"/>
  <c r="P68" i="13" s="1"/>
  <c r="L69" i="13"/>
  <c r="O69" i="13" s="1"/>
  <c r="P69" i="13" s="1"/>
  <c r="L70" i="13"/>
  <c r="O70" i="13" s="1"/>
  <c r="P70" i="13" s="1"/>
  <c r="L71" i="13"/>
  <c r="O71" i="13" s="1"/>
  <c r="P71" i="13" s="1"/>
  <c r="L72" i="13"/>
  <c r="O72" i="13" s="1"/>
  <c r="P72" i="13" s="1"/>
  <c r="L73" i="13"/>
  <c r="O73" i="13" s="1"/>
  <c r="P73" i="13" s="1"/>
  <c r="L74" i="13"/>
  <c r="O74" i="13" s="1"/>
  <c r="P74" i="13" s="1"/>
  <c r="L75" i="13"/>
  <c r="O75" i="13" s="1"/>
  <c r="P75" i="13" s="1"/>
  <c r="L76" i="13"/>
  <c r="O76" i="13" s="1"/>
  <c r="P76" i="13" s="1"/>
  <c r="L77" i="13"/>
  <c r="O77" i="13" s="1"/>
  <c r="P77" i="13" s="1"/>
  <c r="L78" i="13"/>
  <c r="O78" i="13" s="1"/>
  <c r="P78" i="13" s="1"/>
  <c r="L79" i="13"/>
  <c r="O79" i="13" s="1"/>
  <c r="P79" i="13" s="1"/>
  <c r="L80" i="13"/>
  <c r="O80" i="13" s="1"/>
  <c r="P80" i="13" s="1"/>
  <c r="L81" i="13"/>
  <c r="O81" i="13" s="1"/>
  <c r="P81" i="13" s="1"/>
  <c r="L82" i="13"/>
  <c r="O82" i="13" s="1"/>
  <c r="P82" i="13" s="1"/>
  <c r="L83" i="13"/>
  <c r="O83" i="13" s="1"/>
  <c r="P83" i="13" s="1"/>
  <c r="L84" i="13"/>
  <c r="O84" i="13" s="1"/>
  <c r="P84" i="13" s="1"/>
  <c r="L38" i="13"/>
  <c r="O38" i="13" s="1"/>
  <c r="P38" i="13" s="1"/>
  <c r="P87" i="13"/>
  <c r="P88" i="13"/>
  <c r="P89" i="13"/>
  <c r="P97" i="13"/>
  <c r="P105" i="13"/>
  <c r="P111" i="13"/>
  <c r="O75" i="11"/>
  <c r="P75" i="11" s="1"/>
  <c r="O84" i="11"/>
  <c r="P84" i="11" s="1"/>
  <c r="O150" i="11"/>
  <c r="P150" i="11" s="1"/>
  <c r="O218" i="11"/>
  <c r="P218" i="11" s="1"/>
  <c r="L141" i="11"/>
  <c r="O141" i="11" s="1"/>
  <c r="P141" i="11" s="1"/>
  <c r="L143" i="11"/>
  <c r="O143" i="11" s="1"/>
  <c r="P143" i="11" s="1"/>
  <c r="L144" i="11"/>
  <c r="O144" i="11" s="1"/>
  <c r="P144" i="11" s="1"/>
  <c r="L145" i="11"/>
  <c r="O145" i="11" s="1"/>
  <c r="P145" i="11" s="1"/>
  <c r="L146" i="11"/>
  <c r="O146" i="11" s="1"/>
  <c r="P146" i="11" s="1"/>
  <c r="L148" i="11"/>
  <c r="O148" i="11" s="1"/>
  <c r="P148" i="11" s="1"/>
  <c r="L149" i="11"/>
  <c r="O149" i="11" s="1"/>
  <c r="P149" i="11" s="1"/>
  <c r="L151" i="11"/>
  <c r="O151" i="11" s="1"/>
  <c r="P151" i="11" s="1"/>
  <c r="L152" i="11"/>
  <c r="O152" i="11" s="1"/>
  <c r="P152" i="11" s="1"/>
  <c r="L153" i="11"/>
  <c r="O153" i="11" s="1"/>
  <c r="P153" i="11" s="1"/>
  <c r="L155" i="11"/>
  <c r="O155" i="11" s="1"/>
  <c r="P155" i="11" s="1"/>
  <c r="L156" i="11"/>
  <c r="O156" i="11" s="1"/>
  <c r="P156" i="11" s="1"/>
  <c r="L160" i="11"/>
  <c r="O160" i="11" s="1"/>
  <c r="P160" i="11" s="1"/>
  <c r="L162" i="11"/>
  <c r="O162" i="11" s="1"/>
  <c r="P162" i="11" s="1"/>
  <c r="L163" i="11"/>
  <c r="O163" i="11" s="1"/>
  <c r="P163" i="11" s="1"/>
  <c r="L164" i="11"/>
  <c r="O164" i="11" s="1"/>
  <c r="P164" i="11" s="1"/>
  <c r="L165" i="11"/>
  <c r="O165" i="11" s="1"/>
  <c r="P165" i="11" s="1"/>
  <c r="L166" i="11"/>
  <c r="O166" i="11" s="1"/>
  <c r="P166" i="11" s="1"/>
  <c r="L167" i="11"/>
  <c r="O167" i="11" s="1"/>
  <c r="P167" i="11" s="1"/>
  <c r="L168" i="11"/>
  <c r="O168" i="11" s="1"/>
  <c r="P168" i="11" s="1"/>
  <c r="L169" i="11"/>
  <c r="O169" i="11" s="1"/>
  <c r="P169" i="11" s="1"/>
  <c r="L170" i="11"/>
  <c r="O170" i="11" s="1"/>
  <c r="P170" i="11" s="1"/>
  <c r="L171" i="11"/>
  <c r="O171" i="11" s="1"/>
  <c r="P171" i="11" s="1"/>
  <c r="L172" i="11"/>
  <c r="O172" i="11" s="1"/>
  <c r="P172" i="11" s="1"/>
  <c r="L173" i="11"/>
  <c r="O173" i="11" s="1"/>
  <c r="P173" i="11" s="1"/>
  <c r="L174" i="11"/>
  <c r="O174" i="11" s="1"/>
  <c r="P174" i="11" s="1"/>
  <c r="L175" i="11"/>
  <c r="O175" i="11" s="1"/>
  <c r="P175" i="11" s="1"/>
  <c r="L176" i="11"/>
  <c r="O176" i="11" s="1"/>
  <c r="P176" i="11" s="1"/>
  <c r="L177" i="11"/>
  <c r="O177" i="11" s="1"/>
  <c r="P177" i="11" s="1"/>
  <c r="L178" i="11"/>
  <c r="O178" i="11" s="1"/>
  <c r="P178" i="11" s="1"/>
  <c r="L179" i="11"/>
  <c r="O179" i="11" s="1"/>
  <c r="P179" i="11" s="1"/>
  <c r="L181" i="11"/>
  <c r="O181" i="11" s="1"/>
  <c r="P181" i="11" s="1"/>
  <c r="L182" i="11"/>
  <c r="O182" i="11" s="1"/>
  <c r="P182" i="11" s="1"/>
  <c r="L183" i="11"/>
  <c r="O183" i="11" s="1"/>
  <c r="P183" i="11" s="1"/>
  <c r="L184" i="11"/>
  <c r="O184" i="11" s="1"/>
  <c r="P184" i="11" s="1"/>
  <c r="L185" i="11"/>
  <c r="O185" i="11" s="1"/>
  <c r="P185" i="11" s="1"/>
  <c r="L186" i="11"/>
  <c r="O186" i="11" s="1"/>
  <c r="P186" i="11" s="1"/>
  <c r="L187" i="11"/>
  <c r="O187" i="11" s="1"/>
  <c r="P187" i="11" s="1"/>
  <c r="L189" i="11"/>
  <c r="O189" i="11" s="1"/>
  <c r="P189" i="11" s="1"/>
  <c r="L190" i="11"/>
  <c r="O190" i="11" s="1"/>
  <c r="P190" i="11" s="1"/>
  <c r="L191" i="11"/>
  <c r="O191" i="11" s="1"/>
  <c r="P191" i="11" s="1"/>
  <c r="L192" i="11"/>
  <c r="O192" i="11" s="1"/>
  <c r="P192" i="11" s="1"/>
  <c r="L193" i="11"/>
  <c r="O193" i="11" s="1"/>
  <c r="P193" i="11" s="1"/>
  <c r="L195" i="11"/>
  <c r="O195" i="11" s="1"/>
  <c r="P195" i="11" s="1"/>
  <c r="L197" i="11"/>
  <c r="O197" i="11" s="1"/>
  <c r="P197" i="11" s="1"/>
  <c r="L199" i="11"/>
  <c r="O199" i="11" s="1"/>
  <c r="P199" i="11" s="1"/>
  <c r="L200" i="11"/>
  <c r="O200" i="11" s="1"/>
  <c r="P200" i="11" s="1"/>
  <c r="L201" i="11"/>
  <c r="O201" i="11" s="1"/>
  <c r="P201" i="11" s="1"/>
  <c r="L203" i="11"/>
  <c r="O203" i="11" s="1"/>
  <c r="P203" i="11" s="1"/>
  <c r="L204" i="11"/>
  <c r="O204" i="11" s="1"/>
  <c r="P204" i="11" s="1"/>
  <c r="L205" i="11"/>
  <c r="O205" i="11" s="1"/>
  <c r="P205" i="11" s="1"/>
  <c r="L206" i="11"/>
  <c r="O206" i="11" s="1"/>
  <c r="P206" i="11" s="1"/>
  <c r="L207" i="11"/>
  <c r="O207" i="11" s="1"/>
  <c r="P207" i="11" s="1"/>
  <c r="L208" i="11"/>
  <c r="O208" i="11" s="1"/>
  <c r="P208" i="11" s="1"/>
  <c r="L210" i="11"/>
  <c r="O210" i="11" s="1"/>
  <c r="P210" i="11" s="1"/>
  <c r="L211" i="11"/>
  <c r="O211" i="11" s="1"/>
  <c r="P211" i="11" s="1"/>
  <c r="L212" i="11"/>
  <c r="O212" i="11" s="1"/>
  <c r="P212" i="11" s="1"/>
  <c r="L213" i="11"/>
  <c r="O213" i="11" s="1"/>
  <c r="P213" i="11" s="1"/>
  <c r="L214" i="11"/>
  <c r="O214" i="11" s="1"/>
  <c r="P214" i="11" s="1"/>
  <c r="L215" i="11"/>
  <c r="O215" i="11" s="1"/>
  <c r="P215" i="11" s="1"/>
  <c r="L217" i="11"/>
  <c r="O217" i="11" s="1"/>
  <c r="P217" i="11" s="1"/>
  <c r="L218" i="11"/>
  <c r="L220" i="11"/>
  <c r="O220" i="11" s="1"/>
  <c r="P220" i="11" s="1"/>
  <c r="L221" i="11"/>
  <c r="O221" i="11" s="1"/>
  <c r="P221" i="11" s="1"/>
  <c r="L222" i="11"/>
  <c r="O222" i="11" s="1"/>
  <c r="P222" i="11" s="1"/>
  <c r="L223" i="11"/>
  <c r="O223" i="11" s="1"/>
  <c r="P223" i="11" s="1"/>
  <c r="L224" i="11"/>
  <c r="O224" i="11" s="1"/>
  <c r="P224" i="11" s="1"/>
  <c r="L225" i="11"/>
  <c r="O225" i="11" s="1"/>
  <c r="P225" i="11" s="1"/>
  <c r="L226" i="11"/>
  <c r="O226" i="11" s="1"/>
  <c r="P226" i="11" s="1"/>
  <c r="L227" i="11"/>
  <c r="O227" i="11" s="1"/>
  <c r="P227" i="11" s="1"/>
  <c r="L228" i="11"/>
  <c r="O228" i="11" s="1"/>
  <c r="P228" i="11" s="1"/>
  <c r="L229" i="11"/>
  <c r="O229" i="11" s="1"/>
  <c r="P229" i="11" s="1"/>
  <c r="L230" i="11"/>
  <c r="O230" i="11" s="1"/>
  <c r="P230" i="11" s="1"/>
  <c r="L231" i="11"/>
  <c r="O231" i="11" s="1"/>
  <c r="P231" i="11" s="1"/>
  <c r="L232" i="11"/>
  <c r="O232" i="11" s="1"/>
  <c r="P232" i="11" s="1"/>
  <c r="L233" i="11"/>
  <c r="O233" i="11" s="1"/>
  <c r="P233" i="11" s="1"/>
  <c r="L234" i="11"/>
  <c r="O234" i="11" s="1"/>
  <c r="P234" i="11" s="1"/>
  <c r="L122" i="11"/>
  <c r="O122" i="11" s="1"/>
  <c r="P122" i="11" s="1"/>
  <c r="L123" i="11"/>
  <c r="O123" i="11" s="1"/>
  <c r="P123" i="11" s="1"/>
  <c r="L124" i="11"/>
  <c r="O124" i="11" s="1"/>
  <c r="P124" i="11" s="1"/>
  <c r="L125" i="11"/>
  <c r="O125" i="11" s="1"/>
  <c r="P125" i="11" s="1"/>
  <c r="L121" i="11"/>
  <c r="O121" i="11" s="1"/>
  <c r="P121" i="11" s="1"/>
  <c r="L3" i="11"/>
  <c r="L4" i="11"/>
  <c r="O4" i="11" s="1"/>
  <c r="P4" i="11" s="1"/>
  <c r="L5" i="11"/>
  <c r="O5" i="11" s="1"/>
  <c r="P5" i="11" s="1"/>
  <c r="L6" i="11"/>
  <c r="O6" i="11" s="1"/>
  <c r="P6" i="11" s="1"/>
  <c r="L7" i="11"/>
  <c r="O7" i="11" s="1"/>
  <c r="P7" i="11" s="1"/>
  <c r="L8" i="11"/>
  <c r="O8" i="11" s="1"/>
  <c r="P8" i="11" s="1"/>
  <c r="L9" i="11"/>
  <c r="O9" i="11" s="1"/>
  <c r="P9" i="11" s="1"/>
  <c r="L10" i="11"/>
  <c r="O10" i="11" s="1"/>
  <c r="P10" i="11" s="1"/>
  <c r="L11" i="11"/>
  <c r="O11" i="11" s="1"/>
  <c r="P11" i="11" s="1"/>
  <c r="L12" i="11"/>
  <c r="O12" i="11" s="1"/>
  <c r="P12" i="11" s="1"/>
  <c r="L13" i="11"/>
  <c r="O13" i="11" s="1"/>
  <c r="P13" i="11" s="1"/>
  <c r="L14" i="11"/>
  <c r="O14" i="11" s="1"/>
  <c r="P14" i="11" s="1"/>
  <c r="L15" i="11"/>
  <c r="O15" i="11" s="1"/>
  <c r="P15" i="11" s="1"/>
  <c r="L16" i="11"/>
  <c r="O16" i="11" s="1"/>
  <c r="P16" i="11" s="1"/>
  <c r="L17" i="11"/>
  <c r="O17" i="11" s="1"/>
  <c r="P17" i="11" s="1"/>
  <c r="L18" i="11"/>
  <c r="O18" i="11" s="1"/>
  <c r="P18" i="11" s="1"/>
  <c r="L19" i="11"/>
  <c r="O19" i="11" s="1"/>
  <c r="P19" i="11" s="1"/>
  <c r="L20" i="11"/>
  <c r="O20" i="11" s="1"/>
  <c r="P20" i="11" s="1"/>
  <c r="L21" i="11"/>
  <c r="O21" i="11" s="1"/>
  <c r="P21" i="11" s="1"/>
  <c r="L22" i="11"/>
  <c r="O22" i="11" s="1"/>
  <c r="P22" i="11" s="1"/>
  <c r="L23" i="11"/>
  <c r="O23" i="11" s="1"/>
  <c r="P23" i="11" s="1"/>
  <c r="L24" i="11"/>
  <c r="O24" i="11" s="1"/>
  <c r="P24" i="11" s="1"/>
  <c r="L25" i="11"/>
  <c r="O25" i="11" s="1"/>
  <c r="P25" i="11" s="1"/>
  <c r="L26" i="11"/>
  <c r="O26" i="11" s="1"/>
  <c r="P26" i="11" s="1"/>
  <c r="L27" i="11"/>
  <c r="O27" i="11" s="1"/>
  <c r="P27" i="11" s="1"/>
  <c r="L28" i="11"/>
  <c r="O28" i="11" s="1"/>
  <c r="P28" i="11" s="1"/>
  <c r="L29" i="11"/>
  <c r="O29" i="11" s="1"/>
  <c r="P29" i="11" s="1"/>
  <c r="L30" i="11"/>
  <c r="O30" i="11" s="1"/>
  <c r="P30" i="11" s="1"/>
  <c r="L31" i="11"/>
  <c r="O31" i="11" s="1"/>
  <c r="P31" i="11" s="1"/>
  <c r="L32" i="11"/>
  <c r="O32" i="11" s="1"/>
  <c r="P32" i="11" s="1"/>
  <c r="L33" i="11"/>
  <c r="O33" i="11" s="1"/>
  <c r="P33" i="11" s="1"/>
  <c r="L34" i="11"/>
  <c r="O34" i="11" s="1"/>
  <c r="P34" i="11" s="1"/>
  <c r="L35" i="11"/>
  <c r="O35" i="11" s="1"/>
  <c r="P35" i="11" s="1"/>
  <c r="L36" i="11"/>
  <c r="O36" i="11" s="1"/>
  <c r="P36" i="11" s="1"/>
  <c r="L37" i="11"/>
  <c r="O37" i="11" s="1"/>
  <c r="P37" i="11" s="1"/>
  <c r="L38" i="11"/>
  <c r="O38" i="11" s="1"/>
  <c r="P38" i="11" s="1"/>
  <c r="L39" i="11"/>
  <c r="O39" i="11" s="1"/>
  <c r="P39" i="11" s="1"/>
  <c r="L40" i="11"/>
  <c r="O40" i="11" s="1"/>
  <c r="P40" i="11" s="1"/>
  <c r="L41" i="11"/>
  <c r="O41" i="11" s="1"/>
  <c r="P41" i="11" s="1"/>
  <c r="L43" i="11"/>
  <c r="O43" i="11" s="1"/>
  <c r="P43" i="11" s="1"/>
  <c r="L44" i="11"/>
  <c r="O44" i="11" s="1"/>
  <c r="P44" i="11" s="1"/>
  <c r="L45" i="11"/>
  <c r="O45" i="11" s="1"/>
  <c r="P45" i="11" s="1"/>
  <c r="L46" i="11"/>
  <c r="O46" i="11" s="1"/>
  <c r="P46" i="11" s="1"/>
  <c r="L47" i="11"/>
  <c r="O47" i="11" s="1"/>
  <c r="P47" i="11" s="1"/>
  <c r="L48" i="11"/>
  <c r="O48" i="11" s="1"/>
  <c r="P48" i="11" s="1"/>
  <c r="L49" i="11"/>
  <c r="O49" i="11" s="1"/>
  <c r="P49" i="11" s="1"/>
  <c r="L51" i="11"/>
  <c r="O51" i="11" s="1"/>
  <c r="P51" i="11" s="1"/>
  <c r="L54" i="11"/>
  <c r="O54" i="11" s="1"/>
  <c r="P54" i="11" s="1"/>
  <c r="L55" i="11"/>
  <c r="O55" i="11" s="1"/>
  <c r="P55" i="11" s="1"/>
  <c r="L56" i="11"/>
  <c r="O56" i="11" s="1"/>
  <c r="P56" i="11" s="1"/>
  <c r="L57" i="11"/>
  <c r="O57" i="11" s="1"/>
  <c r="P57" i="11" s="1"/>
  <c r="L58" i="11"/>
  <c r="O58" i="11" s="1"/>
  <c r="P58" i="11" s="1"/>
  <c r="L59" i="11"/>
  <c r="O59" i="11" s="1"/>
  <c r="P59" i="11" s="1"/>
  <c r="L61" i="11"/>
  <c r="O61" i="11" s="1"/>
  <c r="P61" i="11" s="1"/>
  <c r="L62" i="11"/>
  <c r="O62" i="11" s="1"/>
  <c r="P62" i="11" s="1"/>
  <c r="L63" i="11"/>
  <c r="O63" i="11" s="1"/>
  <c r="P63" i="11" s="1"/>
  <c r="L64" i="11"/>
  <c r="O64" i="11" s="1"/>
  <c r="P64" i="11" s="1"/>
  <c r="L66" i="11"/>
  <c r="O66" i="11" s="1"/>
  <c r="P66" i="11" s="1"/>
  <c r="L68" i="11"/>
  <c r="O68" i="11" s="1"/>
  <c r="P68" i="11" s="1"/>
  <c r="L69" i="11"/>
  <c r="O69" i="11" s="1"/>
  <c r="P69" i="11" s="1"/>
  <c r="L70" i="11"/>
  <c r="O70" i="11" s="1"/>
  <c r="P70" i="11" s="1"/>
  <c r="L71" i="11"/>
  <c r="O71" i="11" s="1"/>
  <c r="P71" i="11" s="1"/>
  <c r="L72" i="11"/>
  <c r="O72" i="11" s="1"/>
  <c r="P72" i="11" s="1"/>
  <c r="L73" i="11"/>
  <c r="O73" i="11" s="1"/>
  <c r="P73" i="11" s="1"/>
  <c r="L74" i="11"/>
  <c r="O74" i="11" s="1"/>
  <c r="P74" i="11" s="1"/>
  <c r="L75" i="11"/>
  <c r="L77" i="11"/>
  <c r="O77" i="11" s="1"/>
  <c r="P77" i="11" s="1"/>
  <c r="L78" i="11"/>
  <c r="O78" i="11" s="1"/>
  <c r="P78" i="11" s="1"/>
  <c r="L79" i="11"/>
  <c r="O79" i="11" s="1"/>
  <c r="P79" i="11" s="1"/>
  <c r="L80" i="11"/>
  <c r="O80" i="11" s="1"/>
  <c r="P80" i="11" s="1"/>
  <c r="L82" i="11"/>
  <c r="O82" i="11" s="1"/>
  <c r="P82" i="11" s="1"/>
  <c r="L83" i="11"/>
  <c r="O83" i="11" s="1"/>
  <c r="P83" i="11" s="1"/>
  <c r="L84" i="11"/>
  <c r="L85" i="11"/>
  <c r="O85" i="11" s="1"/>
  <c r="P85" i="11" s="1"/>
  <c r="L86" i="11"/>
  <c r="O86" i="11" s="1"/>
  <c r="P86" i="11" s="1"/>
  <c r="L87" i="11"/>
  <c r="O87" i="11" s="1"/>
  <c r="P87" i="11" s="1"/>
  <c r="L88" i="11"/>
  <c r="O88" i="11" s="1"/>
  <c r="P88" i="11" s="1"/>
  <c r="L89" i="11"/>
  <c r="O89" i="11" s="1"/>
  <c r="P89" i="11" s="1"/>
  <c r="L91" i="11"/>
  <c r="O91" i="11" s="1"/>
  <c r="P91" i="11" s="1"/>
  <c r="L92" i="11"/>
  <c r="O92" i="11" s="1"/>
  <c r="P92" i="11" s="1"/>
  <c r="L95" i="11"/>
  <c r="O95" i="11" s="1"/>
  <c r="P95" i="11" s="1"/>
  <c r="L96" i="11"/>
  <c r="O96" i="11" s="1"/>
  <c r="P96" i="11" s="1"/>
  <c r="L97" i="11"/>
  <c r="O97" i="11" s="1"/>
  <c r="P97" i="11" s="1"/>
  <c r="L98" i="11"/>
  <c r="O98" i="11" s="1"/>
  <c r="P98" i="11" s="1"/>
  <c r="L101" i="11"/>
  <c r="O101" i="11" s="1"/>
  <c r="P101" i="11" s="1"/>
  <c r="L102" i="11"/>
  <c r="O102" i="11" s="1"/>
  <c r="P102" i="11" s="1"/>
  <c r="L103" i="11"/>
  <c r="O103" i="11" s="1"/>
  <c r="P103" i="11" s="1"/>
  <c r="L104" i="11"/>
  <c r="O104" i="11" s="1"/>
  <c r="P104" i="11" s="1"/>
  <c r="L105" i="11"/>
  <c r="O105" i="11" s="1"/>
  <c r="P105" i="11" s="1"/>
  <c r="L106" i="11"/>
  <c r="O106" i="11" s="1"/>
  <c r="P106" i="11" s="1"/>
  <c r="L108" i="11"/>
  <c r="O108" i="11" s="1"/>
  <c r="P108" i="11" s="1"/>
  <c r="L109" i="11"/>
  <c r="O109" i="11" s="1"/>
  <c r="P109" i="11" s="1"/>
  <c r="L111" i="11"/>
  <c r="O111" i="11" s="1"/>
  <c r="P111" i="11" s="1"/>
  <c r="L112" i="11"/>
  <c r="O112" i="11" s="1"/>
  <c r="P112" i="11" s="1"/>
  <c r="L113" i="11"/>
  <c r="O113" i="11" s="1"/>
  <c r="P113" i="11" s="1"/>
  <c r="L114" i="11"/>
  <c r="O114" i="11" s="1"/>
  <c r="P114" i="11" s="1"/>
  <c r="L115" i="11"/>
  <c r="O115" i="11" s="1"/>
  <c r="P115" i="11" s="1"/>
  <c r="L116" i="11"/>
  <c r="O116" i="11" s="1"/>
  <c r="P116" i="11" s="1"/>
  <c r="L117" i="11"/>
  <c r="O117" i="11" s="1"/>
  <c r="P117" i="11" s="1"/>
  <c r="L118" i="11"/>
  <c r="O118" i="11" s="1"/>
  <c r="P118" i="11" s="1"/>
  <c r="L119" i="11"/>
  <c r="O119" i="11" s="1"/>
  <c r="P119" i="11" s="1"/>
  <c r="L120" i="11"/>
  <c r="O120" i="11" s="1"/>
  <c r="P120" i="11" s="1"/>
  <c r="L2" i="11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7" i="10"/>
  <c r="L278" i="10"/>
  <c r="L279" i="10"/>
  <c r="P37" i="10"/>
  <c r="J181" i="3"/>
  <c r="O181" i="3" s="1"/>
  <c r="P181" i="3" s="1"/>
  <c r="J225" i="9"/>
  <c r="N225" i="9" s="1"/>
  <c r="O225" i="9" s="1"/>
  <c r="P225" i="9" s="1"/>
  <c r="I224" i="9"/>
  <c r="J224" i="9" s="1"/>
  <c r="N224" i="9" s="1"/>
  <c r="O224" i="9" s="1"/>
  <c r="P224" i="9" s="1"/>
  <c r="I223" i="9"/>
  <c r="J223" i="9" s="1"/>
  <c r="N223" i="9" s="1"/>
  <c r="O223" i="9" s="1"/>
  <c r="P223" i="9" s="1"/>
  <c r="I222" i="9"/>
  <c r="J222" i="9" s="1"/>
  <c r="N222" i="9" s="1"/>
  <c r="O222" i="9" s="1"/>
  <c r="P222" i="9" s="1"/>
  <c r="J221" i="9"/>
  <c r="N221" i="9" s="1"/>
  <c r="O221" i="9" s="1"/>
  <c r="P221" i="9" s="1"/>
  <c r="I220" i="9"/>
  <c r="J220" i="9" s="1"/>
  <c r="N220" i="9" s="1"/>
  <c r="O220" i="9" s="1"/>
  <c r="P220" i="9" s="1"/>
  <c r="J219" i="9"/>
  <c r="N219" i="9" s="1"/>
  <c r="O219" i="9" s="1"/>
  <c r="P219" i="9" s="1"/>
  <c r="J218" i="9"/>
  <c r="N218" i="9" s="1"/>
  <c r="O218" i="9" s="1"/>
  <c r="P218" i="9" s="1"/>
  <c r="I217" i="9"/>
  <c r="J217" i="9" s="1"/>
  <c r="N217" i="9" s="1"/>
  <c r="O217" i="9" s="1"/>
  <c r="P217" i="9" s="1"/>
  <c r="J216" i="9"/>
  <c r="N216" i="9" s="1"/>
  <c r="O216" i="9" s="1"/>
  <c r="P216" i="9" s="1"/>
  <c r="I215" i="9"/>
  <c r="J215" i="9" s="1"/>
  <c r="N215" i="9" s="1"/>
  <c r="O215" i="9" s="1"/>
  <c r="P215" i="9" s="1"/>
  <c r="I214" i="9"/>
  <c r="J214" i="9" s="1"/>
  <c r="N214" i="9" s="1"/>
  <c r="O214" i="9" s="1"/>
  <c r="P214" i="9" s="1"/>
  <c r="I213" i="9"/>
  <c r="J213" i="9" s="1"/>
  <c r="N213" i="9" s="1"/>
  <c r="O213" i="9" s="1"/>
  <c r="P213" i="9" s="1"/>
  <c r="I212" i="9"/>
  <c r="J212" i="9" s="1"/>
  <c r="N212" i="9" s="1"/>
  <c r="O212" i="9" s="1"/>
  <c r="P212" i="9" s="1"/>
  <c r="J211" i="9"/>
  <c r="N211" i="9" s="1"/>
  <c r="O211" i="9" s="1"/>
  <c r="P211" i="9" s="1"/>
  <c r="I210" i="9"/>
  <c r="J210" i="9" s="1"/>
  <c r="N210" i="9" s="1"/>
  <c r="O210" i="9" s="1"/>
  <c r="P210" i="9" s="1"/>
  <c r="I209" i="9"/>
  <c r="J209" i="9" s="1"/>
  <c r="N209" i="9" s="1"/>
  <c r="O209" i="9" s="1"/>
  <c r="P209" i="9" s="1"/>
  <c r="I208" i="9"/>
  <c r="J208" i="9" s="1"/>
  <c r="N208" i="9" s="1"/>
  <c r="O208" i="9" s="1"/>
  <c r="P208" i="9" s="1"/>
  <c r="I207" i="9"/>
  <c r="J207" i="9" s="1"/>
  <c r="N207" i="9" s="1"/>
  <c r="O207" i="9" s="1"/>
  <c r="P207" i="9" s="1"/>
  <c r="I206" i="9"/>
  <c r="J206" i="9" s="1"/>
  <c r="N206" i="9" s="1"/>
  <c r="O206" i="9" s="1"/>
  <c r="P206" i="9" s="1"/>
  <c r="I205" i="9"/>
  <c r="J205" i="9" s="1"/>
  <c r="N205" i="9" s="1"/>
  <c r="O205" i="9" s="1"/>
  <c r="P205" i="9" s="1"/>
  <c r="J204" i="9"/>
  <c r="N204" i="9" s="1"/>
  <c r="O204" i="9" s="1"/>
  <c r="P204" i="9" s="1"/>
  <c r="J203" i="9"/>
  <c r="N203" i="9" s="1"/>
  <c r="O203" i="9" s="1"/>
  <c r="P203" i="9" s="1"/>
  <c r="J202" i="9"/>
  <c r="N202" i="9" s="1"/>
  <c r="O202" i="9" s="1"/>
  <c r="P202" i="9" s="1"/>
  <c r="J201" i="9"/>
  <c r="N201" i="9" s="1"/>
  <c r="O201" i="9" s="1"/>
  <c r="P201" i="9" s="1"/>
  <c r="J200" i="9"/>
  <c r="N200" i="9" s="1"/>
  <c r="O200" i="9" s="1"/>
  <c r="P200" i="9" s="1"/>
  <c r="J199" i="9"/>
  <c r="N199" i="9" s="1"/>
  <c r="O199" i="9" s="1"/>
  <c r="P199" i="9" s="1"/>
  <c r="I198" i="9"/>
  <c r="J198" i="9" s="1"/>
  <c r="N198" i="9" s="1"/>
  <c r="O198" i="9" s="1"/>
  <c r="P198" i="9" s="1"/>
  <c r="J197" i="9"/>
  <c r="N197" i="9" s="1"/>
  <c r="O197" i="9" s="1"/>
  <c r="P197" i="9" s="1"/>
  <c r="J196" i="9"/>
  <c r="N196" i="9" s="1"/>
  <c r="O196" i="9" s="1"/>
  <c r="P196" i="9" s="1"/>
  <c r="J195" i="9"/>
  <c r="N195" i="9" s="1"/>
  <c r="O195" i="9" s="1"/>
  <c r="P195" i="9" s="1"/>
  <c r="J194" i="9"/>
  <c r="N194" i="9" s="1"/>
  <c r="O194" i="9" s="1"/>
  <c r="P194" i="9" s="1"/>
  <c r="I193" i="9"/>
  <c r="J193" i="9" s="1"/>
  <c r="N193" i="9" s="1"/>
  <c r="O193" i="9" s="1"/>
  <c r="P193" i="9" s="1"/>
  <c r="I192" i="9"/>
  <c r="J192" i="9" s="1"/>
  <c r="N192" i="9" s="1"/>
  <c r="O192" i="9" s="1"/>
  <c r="P192" i="9" s="1"/>
  <c r="J191" i="9"/>
  <c r="N191" i="9" s="1"/>
  <c r="O191" i="9" s="1"/>
  <c r="P191" i="9" s="1"/>
  <c r="J190" i="9"/>
  <c r="N190" i="9" s="1"/>
  <c r="O190" i="9" s="1"/>
  <c r="P190" i="9" s="1"/>
  <c r="I189" i="9"/>
  <c r="J189" i="9" s="1"/>
  <c r="N189" i="9" s="1"/>
  <c r="K188" i="9"/>
  <c r="L188" i="9" s="1"/>
  <c r="J188" i="9"/>
  <c r="L187" i="9"/>
  <c r="J187" i="9"/>
  <c r="L186" i="9"/>
  <c r="J186" i="9"/>
  <c r="L185" i="9"/>
  <c r="J185" i="9"/>
  <c r="L184" i="9"/>
  <c r="J184" i="9"/>
  <c r="J183" i="9"/>
  <c r="J182" i="9"/>
  <c r="O182" i="9" s="1"/>
  <c r="J181" i="9"/>
  <c r="O181" i="9" s="1"/>
  <c r="J180" i="9"/>
  <c r="O180" i="9" s="1"/>
  <c r="J179" i="9"/>
  <c r="J178" i="9"/>
  <c r="O178" i="9" s="1"/>
  <c r="J177" i="9"/>
  <c r="O177" i="9" s="1"/>
  <c r="P177" i="9" s="1"/>
  <c r="J176" i="9"/>
  <c r="O176" i="9" s="1"/>
  <c r="J175" i="9"/>
  <c r="O175" i="9" s="1"/>
  <c r="J174" i="9"/>
  <c r="N174" i="9" s="1"/>
  <c r="O174" i="9" s="1"/>
  <c r="P174" i="9" s="1"/>
  <c r="J173" i="9"/>
  <c r="N173" i="9" s="1"/>
  <c r="O173" i="9" s="1"/>
  <c r="P173" i="9" s="1"/>
  <c r="J172" i="9"/>
  <c r="N172" i="9" s="1"/>
  <c r="O172" i="9" s="1"/>
  <c r="P172" i="9" s="1"/>
  <c r="J171" i="9"/>
  <c r="N171" i="9" s="1"/>
  <c r="O171" i="9" s="1"/>
  <c r="P171" i="9" s="1"/>
  <c r="J170" i="9"/>
  <c r="N170" i="9" s="1"/>
  <c r="O170" i="9" s="1"/>
  <c r="P170" i="9" s="1"/>
  <c r="J169" i="9"/>
  <c r="N169" i="9" s="1"/>
  <c r="O169" i="9" s="1"/>
  <c r="P169" i="9" s="1"/>
  <c r="J168" i="9"/>
  <c r="N168" i="9" s="1"/>
  <c r="O168" i="9" s="1"/>
  <c r="P168" i="9" s="1"/>
  <c r="J167" i="9"/>
  <c r="N167" i="9" s="1"/>
  <c r="O167" i="9" s="1"/>
  <c r="P167" i="9" s="1"/>
  <c r="J166" i="9"/>
  <c r="N166" i="9" s="1"/>
  <c r="O166" i="9" s="1"/>
  <c r="P166" i="9" s="1"/>
  <c r="J165" i="9"/>
  <c r="N165" i="9" s="1"/>
  <c r="O165" i="9" s="1"/>
  <c r="P165" i="9" s="1"/>
  <c r="J164" i="9"/>
  <c r="N164" i="9" s="1"/>
  <c r="J163" i="9"/>
  <c r="N163" i="9" s="1"/>
  <c r="O163" i="9" s="1"/>
  <c r="P163" i="9" s="1"/>
  <c r="J162" i="9"/>
  <c r="N162" i="9" s="1"/>
  <c r="O162" i="9" s="1"/>
  <c r="P162" i="9" s="1"/>
  <c r="J161" i="9"/>
  <c r="N161" i="9" s="1"/>
  <c r="O161" i="9" s="1"/>
  <c r="P161" i="9" s="1"/>
  <c r="J160" i="9"/>
  <c r="N160" i="9" s="1"/>
  <c r="O160" i="9" s="1"/>
  <c r="P160" i="9" s="1"/>
  <c r="J159" i="9"/>
  <c r="N159" i="9" s="1"/>
  <c r="O159" i="9" s="1"/>
  <c r="P159" i="9" s="1"/>
  <c r="J158" i="9"/>
  <c r="N158" i="9" s="1"/>
  <c r="O158" i="9" s="1"/>
  <c r="P158" i="9" s="1"/>
  <c r="J157" i="9"/>
  <c r="N157" i="9" s="1"/>
  <c r="O157" i="9" s="1"/>
  <c r="P157" i="9" s="1"/>
  <c r="J156" i="9"/>
  <c r="N156" i="9" s="1"/>
  <c r="O156" i="9" s="1"/>
  <c r="P156" i="9" s="1"/>
  <c r="J155" i="9"/>
  <c r="N155" i="9" s="1"/>
  <c r="O155" i="9" s="1"/>
  <c r="P155" i="9" s="1"/>
  <c r="J154" i="9"/>
  <c r="N154" i="9" s="1"/>
  <c r="L153" i="9"/>
  <c r="O153" i="9" s="1"/>
  <c r="P153" i="9" s="1"/>
  <c r="J153" i="9"/>
  <c r="L152" i="9"/>
  <c r="O152" i="9" s="1"/>
  <c r="P152" i="9" s="1"/>
  <c r="J152" i="9"/>
  <c r="L151" i="9"/>
  <c r="O151" i="9" s="1"/>
  <c r="P151" i="9" s="1"/>
  <c r="J151" i="9"/>
  <c r="L150" i="9"/>
  <c r="O150" i="9" s="1"/>
  <c r="P150" i="9" s="1"/>
  <c r="J150" i="9"/>
  <c r="L149" i="9"/>
  <c r="O149" i="9" s="1"/>
  <c r="P149" i="9" s="1"/>
  <c r="J149" i="9"/>
  <c r="L148" i="9"/>
  <c r="O148" i="9" s="1"/>
  <c r="P148" i="9" s="1"/>
  <c r="J148" i="9"/>
  <c r="K147" i="9"/>
  <c r="L147" i="9" s="1"/>
  <c r="O147" i="9" s="1"/>
  <c r="P147" i="9" s="1"/>
  <c r="I147" i="9"/>
  <c r="J147" i="9" s="1"/>
  <c r="L146" i="9"/>
  <c r="O146" i="9" s="1"/>
  <c r="P146" i="9" s="1"/>
  <c r="J146" i="9"/>
  <c r="L145" i="9"/>
  <c r="O145" i="9" s="1"/>
  <c r="P145" i="9" s="1"/>
  <c r="J145" i="9"/>
  <c r="L144" i="9"/>
  <c r="O144" i="9" s="1"/>
  <c r="P144" i="9" s="1"/>
  <c r="J144" i="9"/>
  <c r="L143" i="9"/>
  <c r="O143" i="9" s="1"/>
  <c r="P143" i="9" s="1"/>
  <c r="J143" i="9"/>
  <c r="L142" i="9"/>
  <c r="O142" i="9" s="1"/>
  <c r="P142" i="9" s="1"/>
  <c r="J142" i="9"/>
  <c r="L141" i="9"/>
  <c r="O141" i="9" s="1"/>
  <c r="P141" i="9" s="1"/>
  <c r="J141" i="9"/>
  <c r="L140" i="9"/>
  <c r="O140" i="9" s="1"/>
  <c r="P140" i="9" s="1"/>
  <c r="J140" i="9"/>
  <c r="L139" i="9"/>
  <c r="O139" i="9" s="1"/>
  <c r="P139" i="9" s="1"/>
  <c r="J139" i="9"/>
  <c r="L138" i="9"/>
  <c r="O138" i="9" s="1"/>
  <c r="P138" i="9" s="1"/>
  <c r="J138" i="9"/>
  <c r="L137" i="9"/>
  <c r="O137" i="9" s="1"/>
  <c r="P137" i="9" s="1"/>
  <c r="J137" i="9"/>
  <c r="L136" i="9"/>
  <c r="O136" i="9" s="1"/>
  <c r="P136" i="9" s="1"/>
  <c r="J136" i="9"/>
  <c r="L135" i="9"/>
  <c r="O135" i="9" s="1"/>
  <c r="P135" i="9" s="1"/>
  <c r="J135" i="9"/>
  <c r="L134" i="9"/>
  <c r="O134" i="9" s="1"/>
  <c r="P134" i="9" s="1"/>
  <c r="J134" i="9"/>
  <c r="L133" i="9"/>
  <c r="O133" i="9" s="1"/>
  <c r="P133" i="9" s="1"/>
  <c r="J133" i="9"/>
  <c r="L132" i="9"/>
  <c r="O132" i="9" s="1"/>
  <c r="P132" i="9" s="1"/>
  <c r="J132" i="9"/>
  <c r="L131" i="9"/>
  <c r="O131" i="9" s="1"/>
  <c r="P131" i="9" s="1"/>
  <c r="J131" i="9"/>
  <c r="L130" i="9"/>
  <c r="O130" i="9" s="1"/>
  <c r="P130" i="9" s="1"/>
  <c r="J130" i="9"/>
  <c r="L129" i="9"/>
  <c r="O129" i="9" s="1"/>
  <c r="P129" i="9" s="1"/>
  <c r="J129" i="9"/>
  <c r="L128" i="9"/>
  <c r="O128" i="9" s="1"/>
  <c r="P128" i="9" s="1"/>
  <c r="J128" i="9"/>
  <c r="L127" i="9"/>
  <c r="O127" i="9" s="1"/>
  <c r="P127" i="9" s="1"/>
  <c r="J127" i="9"/>
  <c r="L126" i="9"/>
  <c r="O126" i="9" s="1"/>
  <c r="P126" i="9" s="1"/>
  <c r="J126" i="9"/>
  <c r="L125" i="9"/>
  <c r="O125" i="9" s="1"/>
  <c r="P125" i="9" s="1"/>
  <c r="J125" i="9"/>
  <c r="L124" i="9"/>
  <c r="O124" i="9" s="1"/>
  <c r="P124" i="9" s="1"/>
  <c r="J124" i="9"/>
  <c r="L123" i="9"/>
  <c r="O123" i="9" s="1"/>
  <c r="P123" i="9" s="1"/>
  <c r="J123" i="9"/>
  <c r="L122" i="9"/>
  <c r="O122" i="9" s="1"/>
  <c r="P122" i="9" s="1"/>
  <c r="J122" i="9"/>
  <c r="L121" i="9"/>
  <c r="O121" i="9" s="1"/>
  <c r="P121" i="9" s="1"/>
  <c r="J121" i="9"/>
  <c r="L120" i="9"/>
  <c r="O120" i="9" s="1"/>
  <c r="P120" i="9" s="1"/>
  <c r="J120" i="9"/>
  <c r="L119" i="9"/>
  <c r="O119" i="9" s="1"/>
  <c r="P119" i="9" s="1"/>
  <c r="J119" i="9"/>
  <c r="L118" i="9"/>
  <c r="O118" i="9" s="1"/>
  <c r="P118" i="9" s="1"/>
  <c r="J118" i="9"/>
  <c r="L117" i="9"/>
  <c r="O117" i="9" s="1"/>
  <c r="P117" i="9" s="1"/>
  <c r="J117" i="9"/>
  <c r="L116" i="9"/>
  <c r="O116" i="9" s="1"/>
  <c r="P116" i="9" s="1"/>
  <c r="J116" i="9"/>
  <c r="L115" i="9"/>
  <c r="O115" i="9" s="1"/>
  <c r="P115" i="9" s="1"/>
  <c r="J115" i="9"/>
  <c r="L114" i="9"/>
  <c r="O114" i="9" s="1"/>
  <c r="P114" i="9" s="1"/>
  <c r="J114" i="9"/>
  <c r="L113" i="9"/>
  <c r="O113" i="9" s="1"/>
  <c r="P113" i="9" s="1"/>
  <c r="J113" i="9"/>
  <c r="L112" i="9"/>
  <c r="O112" i="9" s="1"/>
  <c r="P112" i="9" s="1"/>
  <c r="J112" i="9"/>
  <c r="L111" i="9"/>
  <c r="O111" i="9" s="1"/>
  <c r="P111" i="9" s="1"/>
  <c r="J111" i="9"/>
  <c r="L110" i="9"/>
  <c r="O110" i="9" s="1"/>
  <c r="P110" i="9" s="1"/>
  <c r="J110" i="9"/>
  <c r="L109" i="9"/>
  <c r="O109" i="9" s="1"/>
  <c r="P109" i="9" s="1"/>
  <c r="J109" i="9"/>
  <c r="L108" i="9"/>
  <c r="O108" i="9" s="1"/>
  <c r="P108" i="9" s="1"/>
  <c r="J108" i="9"/>
  <c r="L107" i="9"/>
  <c r="O107" i="9" s="1"/>
  <c r="P107" i="9" s="1"/>
  <c r="J107" i="9"/>
  <c r="L106" i="9"/>
  <c r="O106" i="9" s="1"/>
  <c r="P106" i="9" s="1"/>
  <c r="J106" i="9"/>
  <c r="L105" i="9"/>
  <c r="O105" i="9" s="1"/>
  <c r="P105" i="9" s="1"/>
  <c r="J105" i="9"/>
  <c r="L104" i="9"/>
  <c r="O104" i="9" s="1"/>
  <c r="P104" i="9" s="1"/>
  <c r="J104" i="9"/>
  <c r="L103" i="9"/>
  <c r="O103" i="9" s="1"/>
  <c r="P103" i="9" s="1"/>
  <c r="J103" i="9"/>
  <c r="L102" i="9"/>
  <c r="O102" i="9" s="1"/>
  <c r="P102" i="9" s="1"/>
  <c r="J102" i="9"/>
  <c r="L101" i="9"/>
  <c r="O101" i="9" s="1"/>
  <c r="P101" i="9" s="1"/>
  <c r="J101" i="9"/>
  <c r="L100" i="9"/>
  <c r="O100" i="9" s="1"/>
  <c r="P100" i="9" s="1"/>
  <c r="J100" i="9"/>
  <c r="L99" i="9"/>
  <c r="O99" i="9" s="1"/>
  <c r="P99" i="9" s="1"/>
  <c r="J99" i="9"/>
  <c r="L98" i="9"/>
  <c r="O98" i="9" s="1"/>
  <c r="P98" i="9" s="1"/>
  <c r="J98" i="9"/>
  <c r="L97" i="9"/>
  <c r="O97" i="9" s="1"/>
  <c r="P97" i="9" s="1"/>
  <c r="L96" i="9"/>
  <c r="O96" i="9" s="1"/>
  <c r="P96" i="9" s="1"/>
  <c r="L95" i="9"/>
  <c r="O95" i="9" s="1"/>
  <c r="P95" i="9" s="1"/>
  <c r="L94" i="9"/>
  <c r="O94" i="9" s="1"/>
  <c r="P94" i="9" s="1"/>
  <c r="L93" i="9"/>
  <c r="O93" i="9" s="1"/>
  <c r="P93" i="9" s="1"/>
  <c r="L92" i="9"/>
  <c r="O92" i="9" s="1"/>
  <c r="P92" i="9" s="1"/>
  <c r="L91" i="9"/>
  <c r="O91" i="9" s="1"/>
  <c r="P91" i="9" s="1"/>
  <c r="L90" i="9"/>
  <c r="O90" i="9" s="1"/>
  <c r="P90" i="9" s="1"/>
  <c r="L89" i="9"/>
  <c r="O89" i="9" s="1"/>
  <c r="P89" i="9" s="1"/>
  <c r="L88" i="9"/>
  <c r="O88" i="9" s="1"/>
  <c r="P88" i="9" s="1"/>
  <c r="L87" i="9"/>
  <c r="O87" i="9" s="1"/>
  <c r="P87" i="9" s="1"/>
  <c r="L86" i="9"/>
  <c r="O86" i="9" s="1"/>
  <c r="P86" i="9" s="1"/>
  <c r="L85" i="9"/>
  <c r="O85" i="9" s="1"/>
  <c r="P85" i="9" s="1"/>
  <c r="L84" i="9"/>
  <c r="O84" i="9" s="1"/>
  <c r="P84" i="9" s="1"/>
  <c r="L83" i="9"/>
  <c r="O83" i="9" s="1"/>
  <c r="P83" i="9" s="1"/>
  <c r="L82" i="9"/>
  <c r="O82" i="9" s="1"/>
  <c r="P82" i="9" s="1"/>
  <c r="L81" i="9"/>
  <c r="O81" i="9" s="1"/>
  <c r="P81" i="9" s="1"/>
  <c r="L80" i="9"/>
  <c r="O80" i="9" s="1"/>
  <c r="P80" i="9" s="1"/>
  <c r="L79" i="9"/>
  <c r="O79" i="9" s="1"/>
  <c r="P79" i="9" s="1"/>
  <c r="L78" i="9"/>
  <c r="O78" i="9" s="1"/>
  <c r="P78" i="9" s="1"/>
  <c r="L77" i="9"/>
  <c r="O77" i="9" s="1"/>
  <c r="P77" i="9" s="1"/>
  <c r="L76" i="9"/>
  <c r="O76" i="9" s="1"/>
  <c r="P76" i="9" s="1"/>
  <c r="L75" i="9"/>
  <c r="O75" i="9" s="1"/>
  <c r="P75" i="9" s="1"/>
  <c r="L74" i="9"/>
  <c r="O74" i="9" s="1"/>
  <c r="P74" i="9" s="1"/>
  <c r="L73" i="9"/>
  <c r="O73" i="9" s="1"/>
  <c r="P73" i="9" s="1"/>
  <c r="L72" i="9"/>
  <c r="O72" i="9" s="1"/>
  <c r="P72" i="9" s="1"/>
  <c r="L71" i="9"/>
  <c r="O71" i="9" s="1"/>
  <c r="P71" i="9" s="1"/>
  <c r="L70" i="9"/>
  <c r="O70" i="9" s="1"/>
  <c r="P70" i="9" s="1"/>
  <c r="L69" i="9"/>
  <c r="O69" i="9" s="1"/>
  <c r="P69" i="9" s="1"/>
  <c r="L68" i="9"/>
  <c r="O68" i="9" s="1"/>
  <c r="P68" i="9" s="1"/>
  <c r="L67" i="9"/>
  <c r="O67" i="9" s="1"/>
  <c r="P67" i="9" s="1"/>
  <c r="K66" i="9"/>
  <c r="L66" i="9" s="1"/>
  <c r="O66" i="9" s="1"/>
  <c r="P66" i="9" s="1"/>
  <c r="L65" i="9"/>
  <c r="O65" i="9" s="1"/>
  <c r="P65" i="9" s="1"/>
  <c r="L64" i="9"/>
  <c r="O64" i="9" s="1"/>
  <c r="P64" i="9" s="1"/>
  <c r="L63" i="9"/>
  <c r="O63" i="9" s="1"/>
  <c r="P63" i="9" s="1"/>
  <c r="L62" i="9"/>
  <c r="O62" i="9" s="1"/>
  <c r="P62" i="9" s="1"/>
  <c r="L61" i="9"/>
  <c r="O61" i="9" s="1"/>
  <c r="P61" i="9" s="1"/>
  <c r="L60" i="9"/>
  <c r="O60" i="9" s="1"/>
  <c r="P60" i="9" s="1"/>
  <c r="L59" i="9"/>
  <c r="O59" i="9" s="1"/>
  <c r="P59" i="9" s="1"/>
  <c r="L58" i="9"/>
  <c r="O58" i="9" s="1"/>
  <c r="P58" i="9" s="1"/>
  <c r="L57" i="9"/>
  <c r="O57" i="9" s="1"/>
  <c r="P57" i="9" s="1"/>
  <c r="L56" i="9"/>
  <c r="O56" i="9" s="1"/>
  <c r="P56" i="9" s="1"/>
  <c r="L55" i="9"/>
  <c r="O55" i="9" s="1"/>
  <c r="P55" i="9" s="1"/>
  <c r="L54" i="9"/>
  <c r="O54" i="9" s="1"/>
  <c r="P54" i="9" s="1"/>
  <c r="L53" i="9"/>
  <c r="O53" i="9" s="1"/>
  <c r="P53" i="9" s="1"/>
  <c r="L52" i="9"/>
  <c r="O52" i="9" s="1"/>
  <c r="P52" i="9" s="1"/>
  <c r="L51" i="9"/>
  <c r="O51" i="9" s="1"/>
  <c r="P51" i="9" s="1"/>
  <c r="L50" i="9"/>
  <c r="O50" i="9" s="1"/>
  <c r="P50" i="9" s="1"/>
  <c r="L49" i="9"/>
  <c r="O49" i="9" s="1"/>
  <c r="P49" i="9" s="1"/>
  <c r="L48" i="9"/>
  <c r="O48" i="9" s="1"/>
  <c r="P48" i="9" s="1"/>
  <c r="L47" i="9"/>
  <c r="O47" i="9" s="1"/>
  <c r="P47" i="9" s="1"/>
  <c r="L46" i="9"/>
  <c r="O46" i="9" s="1"/>
  <c r="P46" i="9" s="1"/>
  <c r="L45" i="9"/>
  <c r="O45" i="9" s="1"/>
  <c r="P45" i="9" s="1"/>
  <c r="L44" i="9"/>
  <c r="O44" i="9" s="1"/>
  <c r="P44" i="9" s="1"/>
  <c r="L43" i="9"/>
  <c r="O43" i="9" s="1"/>
  <c r="P43" i="9" s="1"/>
  <c r="L42" i="9"/>
  <c r="O42" i="9" s="1"/>
  <c r="P42" i="9" s="1"/>
  <c r="L41" i="9"/>
  <c r="O41" i="9" s="1"/>
  <c r="P41" i="9" s="1"/>
  <c r="L40" i="9"/>
  <c r="O40" i="9" s="1"/>
  <c r="P40" i="9" s="1"/>
  <c r="K39" i="9"/>
  <c r="L39" i="9" s="1"/>
  <c r="O39" i="9" s="1"/>
  <c r="P39" i="9" s="1"/>
  <c r="L38" i="9"/>
  <c r="O38" i="9" s="1"/>
  <c r="P38" i="9" s="1"/>
  <c r="L37" i="9"/>
  <c r="O37" i="9" s="1"/>
  <c r="P37" i="9" s="1"/>
  <c r="L36" i="9"/>
  <c r="O36" i="9" s="1"/>
  <c r="P36" i="9" s="1"/>
  <c r="L35" i="9"/>
  <c r="O35" i="9" s="1"/>
  <c r="P35" i="9" s="1"/>
  <c r="L34" i="9"/>
  <c r="O34" i="9" s="1"/>
  <c r="P34" i="9" s="1"/>
  <c r="L33" i="9"/>
  <c r="O33" i="9" s="1"/>
  <c r="P33" i="9" s="1"/>
  <c r="L32" i="9"/>
  <c r="O32" i="9" s="1"/>
  <c r="P32" i="9" s="1"/>
  <c r="L31" i="9"/>
  <c r="O31" i="9" s="1"/>
  <c r="P31" i="9" s="1"/>
  <c r="L30" i="9"/>
  <c r="O30" i="9" s="1"/>
  <c r="P30" i="9" s="1"/>
  <c r="L29" i="9"/>
  <c r="O29" i="9" s="1"/>
  <c r="P29" i="9" s="1"/>
  <c r="L28" i="9"/>
  <c r="O28" i="9" s="1"/>
  <c r="P28" i="9" s="1"/>
  <c r="L27" i="9"/>
  <c r="O27" i="9" s="1"/>
  <c r="P27" i="9" s="1"/>
  <c r="L26" i="9"/>
  <c r="O26" i="9" s="1"/>
  <c r="P26" i="9" s="1"/>
  <c r="L25" i="9"/>
  <c r="O25" i="9" s="1"/>
  <c r="P25" i="9" s="1"/>
  <c r="L24" i="9"/>
  <c r="O24" i="9" s="1"/>
  <c r="P24" i="9" s="1"/>
  <c r="L23" i="9"/>
  <c r="O23" i="9" s="1"/>
  <c r="P23" i="9" s="1"/>
  <c r="L22" i="9"/>
  <c r="O22" i="9" s="1"/>
  <c r="P22" i="9" s="1"/>
  <c r="L21" i="9"/>
  <c r="O21" i="9" s="1"/>
  <c r="P21" i="9" s="1"/>
  <c r="L20" i="9"/>
  <c r="O20" i="9" s="1"/>
  <c r="P20" i="9" s="1"/>
  <c r="L19" i="9"/>
  <c r="O19" i="9" s="1"/>
  <c r="P19" i="9" s="1"/>
  <c r="L18" i="9"/>
  <c r="O18" i="9" s="1"/>
  <c r="P18" i="9" s="1"/>
  <c r="L17" i="9"/>
  <c r="O17" i="9" s="1"/>
  <c r="P17" i="9" s="1"/>
  <c r="L16" i="9"/>
  <c r="O16" i="9" s="1"/>
  <c r="P16" i="9" s="1"/>
  <c r="L15" i="9"/>
  <c r="O15" i="9" s="1"/>
  <c r="P15" i="9" s="1"/>
  <c r="L14" i="9"/>
  <c r="O14" i="9" s="1"/>
  <c r="P14" i="9" s="1"/>
  <c r="L13" i="9"/>
  <c r="O13" i="9" s="1"/>
  <c r="P13" i="9" s="1"/>
  <c r="L12" i="9"/>
  <c r="O12" i="9" s="1"/>
  <c r="P12" i="9" s="1"/>
  <c r="L11" i="9"/>
  <c r="O11" i="9" s="1"/>
  <c r="P11" i="9" s="1"/>
  <c r="L10" i="9"/>
  <c r="O10" i="9" s="1"/>
  <c r="P10" i="9" s="1"/>
  <c r="L9" i="9"/>
  <c r="O9" i="9" s="1"/>
  <c r="P9" i="9" s="1"/>
  <c r="L8" i="9"/>
  <c r="O8" i="9" s="1"/>
  <c r="P8" i="9" s="1"/>
  <c r="L7" i="9"/>
  <c r="O7" i="9" s="1"/>
  <c r="P7" i="9" s="1"/>
  <c r="L6" i="9"/>
  <c r="O6" i="9" s="1"/>
  <c r="P6" i="9" s="1"/>
  <c r="L5" i="9"/>
  <c r="O5" i="9" s="1"/>
  <c r="P5" i="9" s="1"/>
  <c r="L4" i="9"/>
  <c r="O4" i="9" s="1"/>
  <c r="P4" i="9" s="1"/>
  <c r="L3" i="9"/>
  <c r="O3" i="9" s="1"/>
  <c r="P3" i="9" s="1"/>
  <c r="L2" i="9"/>
  <c r="P240" i="10" l="1"/>
  <c r="O240" i="10"/>
  <c r="O174" i="10"/>
  <c r="P174" i="10" s="1"/>
  <c r="P67" i="10"/>
  <c r="O67" i="10"/>
  <c r="O263" i="10"/>
  <c r="P263" i="10" s="1"/>
  <c r="P223" i="10"/>
  <c r="O223" i="10"/>
  <c r="O173" i="10"/>
  <c r="P173" i="10" s="1"/>
  <c r="P140" i="10"/>
  <c r="O140" i="10"/>
  <c r="O99" i="10"/>
  <c r="P99" i="10" s="1"/>
  <c r="P83" i="10"/>
  <c r="O83" i="10"/>
  <c r="O42" i="10"/>
  <c r="P42" i="10" s="1"/>
  <c r="P256" i="10"/>
  <c r="O256" i="10"/>
  <c r="O215" i="10"/>
  <c r="P215" i="10" s="1"/>
  <c r="P191" i="10"/>
  <c r="O191" i="10"/>
  <c r="O157" i="10"/>
  <c r="P157" i="10" s="1"/>
  <c r="P132" i="10"/>
  <c r="O132" i="10"/>
  <c r="O108" i="10"/>
  <c r="P108" i="10" s="1"/>
  <c r="P100" i="10"/>
  <c r="O100" i="10"/>
  <c r="O92" i="10"/>
  <c r="P92" i="10" s="1"/>
  <c r="P51" i="10"/>
  <c r="O51" i="10"/>
  <c r="O271" i="10"/>
  <c r="P271" i="10" s="1"/>
  <c r="P231" i="10"/>
  <c r="O231" i="10"/>
  <c r="O190" i="10"/>
  <c r="P190" i="10" s="1"/>
  <c r="P156" i="10"/>
  <c r="O156" i="10"/>
  <c r="O123" i="10"/>
  <c r="P123" i="10" s="1"/>
  <c r="P107" i="10"/>
  <c r="O107" i="10"/>
  <c r="O75" i="10"/>
  <c r="P75" i="10" s="1"/>
  <c r="P184" i="9"/>
  <c r="O184" i="9"/>
  <c r="O188" i="9"/>
  <c r="P188" i="9" s="1"/>
  <c r="P279" i="10"/>
  <c r="O279" i="10"/>
  <c r="O270" i="10"/>
  <c r="P270" i="10" s="1"/>
  <c r="P262" i="10"/>
  <c r="O262" i="10"/>
  <c r="O254" i="10"/>
  <c r="P254" i="10" s="1"/>
  <c r="P246" i="10"/>
  <c r="O246" i="10"/>
  <c r="O238" i="10"/>
  <c r="P238" i="10" s="1"/>
  <c r="P230" i="10"/>
  <c r="O230" i="10"/>
  <c r="O222" i="10"/>
  <c r="P222" i="10" s="1"/>
  <c r="P213" i="10"/>
  <c r="O213" i="10"/>
  <c r="O205" i="10"/>
  <c r="P205" i="10" s="1"/>
  <c r="P197" i="10"/>
  <c r="O197" i="10"/>
  <c r="O189" i="10"/>
  <c r="P189" i="10" s="1"/>
  <c r="P180" i="10"/>
  <c r="O180" i="10"/>
  <c r="O172" i="10"/>
  <c r="P172" i="10" s="1"/>
  <c r="P163" i="10"/>
  <c r="O163" i="10"/>
  <c r="O155" i="10"/>
  <c r="P155" i="10" s="1"/>
  <c r="P147" i="10"/>
  <c r="O147" i="10"/>
  <c r="O139" i="10"/>
  <c r="P139" i="10" s="1"/>
  <c r="P130" i="10"/>
  <c r="O130" i="10"/>
  <c r="O122" i="10"/>
  <c r="P122" i="10" s="1"/>
  <c r="P114" i="10"/>
  <c r="O114" i="10"/>
  <c r="O106" i="10"/>
  <c r="P106" i="10" s="1"/>
  <c r="P98" i="10"/>
  <c r="O98" i="10"/>
  <c r="O90" i="10"/>
  <c r="P90" i="10" s="1"/>
  <c r="P82" i="10"/>
  <c r="O82" i="10"/>
  <c r="O74" i="10"/>
  <c r="P74" i="10" s="1"/>
  <c r="P65" i="10"/>
  <c r="O65" i="10"/>
  <c r="O57" i="10"/>
  <c r="P57" i="10" s="1"/>
  <c r="P49" i="10"/>
  <c r="O49" i="10"/>
  <c r="O41" i="10"/>
  <c r="P41" i="10" s="1"/>
  <c r="P39" i="13"/>
  <c r="O39" i="13"/>
  <c r="O187" i="9"/>
  <c r="P187" i="9" s="1"/>
  <c r="P272" i="10"/>
  <c r="O272" i="10"/>
  <c r="O199" i="10"/>
  <c r="P199" i="10" s="1"/>
  <c r="P76" i="10"/>
  <c r="O76" i="10"/>
  <c r="O247" i="10"/>
  <c r="P247" i="10" s="1"/>
  <c r="P214" i="10"/>
  <c r="O214" i="10"/>
  <c r="O182" i="10"/>
  <c r="P182" i="10" s="1"/>
  <c r="P148" i="10"/>
  <c r="O148" i="10"/>
  <c r="O115" i="10"/>
  <c r="P115" i="10" s="1"/>
  <c r="P91" i="10"/>
  <c r="O91" i="10"/>
  <c r="O50" i="10"/>
  <c r="P50" i="10" s="1"/>
  <c r="P2" i="9"/>
  <c r="Q2" i="9" s="1"/>
  <c r="R2" i="9" s="1"/>
  <c r="O2" i="9"/>
  <c r="O189" i="9"/>
  <c r="P189" i="9" s="1"/>
  <c r="Q189" i="9" s="1"/>
  <c r="R189" i="9" s="1"/>
  <c r="H37" i="2" s="1"/>
  <c r="P269" i="10"/>
  <c r="O269" i="10"/>
  <c r="O245" i="10"/>
  <c r="P245" i="10" s="1"/>
  <c r="P221" i="10"/>
  <c r="O221" i="10"/>
  <c r="O196" i="10"/>
  <c r="P196" i="10" s="1"/>
  <c r="P171" i="10"/>
  <c r="O171" i="10"/>
  <c r="O138" i="10"/>
  <c r="P138" i="10" s="1"/>
  <c r="P105" i="10"/>
  <c r="O105" i="10"/>
  <c r="O97" i="10"/>
  <c r="P97" i="10" s="1"/>
  <c r="P81" i="10"/>
  <c r="O81" i="10"/>
  <c r="O73" i="10"/>
  <c r="P73" i="10" s="1"/>
  <c r="P64" i="10"/>
  <c r="O64" i="10"/>
  <c r="O40" i="10"/>
  <c r="P40" i="10" s="1"/>
  <c r="P185" i="9"/>
  <c r="O185" i="9"/>
  <c r="O277" i="10"/>
  <c r="P277" i="10" s="1"/>
  <c r="P268" i="10"/>
  <c r="O268" i="10"/>
  <c r="O260" i="10"/>
  <c r="P260" i="10" s="1"/>
  <c r="O252" i="10"/>
  <c r="P252" i="10" s="1"/>
  <c r="O244" i="10"/>
  <c r="P244" i="10" s="1"/>
  <c r="P236" i="10"/>
  <c r="O236" i="10"/>
  <c r="O228" i="10"/>
  <c r="P228" i="10" s="1"/>
  <c r="P220" i="10"/>
  <c r="O220" i="10"/>
  <c r="O211" i="10"/>
  <c r="P211" i="10" s="1"/>
  <c r="P203" i="10"/>
  <c r="O203" i="10"/>
  <c r="O195" i="10"/>
  <c r="P195" i="10" s="1"/>
  <c r="O187" i="10"/>
  <c r="P187" i="10" s="1"/>
  <c r="O178" i="10"/>
  <c r="P178" i="10" s="1"/>
  <c r="P170" i="10"/>
  <c r="O170" i="10"/>
  <c r="O161" i="10"/>
  <c r="P161" i="10" s="1"/>
  <c r="O153" i="10"/>
  <c r="P153" i="10" s="1"/>
  <c r="O145" i="10"/>
  <c r="P145" i="10" s="1"/>
  <c r="P137" i="10"/>
  <c r="O137" i="10"/>
  <c r="O128" i="10"/>
  <c r="P128" i="10" s="1"/>
  <c r="O120" i="10"/>
  <c r="P120" i="10" s="1"/>
  <c r="O112" i="10"/>
  <c r="P112" i="10" s="1"/>
  <c r="P104" i="10"/>
  <c r="O104" i="10"/>
  <c r="O96" i="10"/>
  <c r="P96" i="10" s="1"/>
  <c r="O88" i="10"/>
  <c r="P88" i="10" s="1"/>
  <c r="O80" i="10"/>
  <c r="P80" i="10" s="1"/>
  <c r="P72" i="10"/>
  <c r="O72" i="10"/>
  <c r="O63" i="10"/>
  <c r="P63" i="10" s="1"/>
  <c r="O55" i="10"/>
  <c r="P55" i="10" s="1"/>
  <c r="O47" i="10"/>
  <c r="P47" i="10" s="1"/>
  <c r="P39" i="10"/>
  <c r="O39" i="10"/>
  <c r="O3" i="11"/>
  <c r="P3" i="11" s="1"/>
  <c r="O264" i="10"/>
  <c r="P264" i="10" s="1"/>
  <c r="O232" i="10"/>
  <c r="P232" i="10" s="1"/>
  <c r="P207" i="10"/>
  <c r="O207" i="10"/>
  <c r="O165" i="10"/>
  <c r="P165" i="10" s="1"/>
  <c r="O141" i="10"/>
  <c r="P141" i="10" s="1"/>
  <c r="O116" i="10"/>
  <c r="P116" i="10" s="1"/>
  <c r="P84" i="10"/>
  <c r="O84" i="10"/>
  <c r="O206" i="10"/>
  <c r="P206" i="10" s="1"/>
  <c r="O58" i="10"/>
  <c r="P58" i="10" s="1"/>
  <c r="O278" i="10"/>
  <c r="P278" i="10" s="1"/>
  <c r="P261" i="10"/>
  <c r="O261" i="10"/>
  <c r="O237" i="10"/>
  <c r="P237" i="10" s="1"/>
  <c r="O212" i="10"/>
  <c r="P212" i="10" s="1"/>
  <c r="O188" i="10"/>
  <c r="P188" i="10" s="1"/>
  <c r="P162" i="10"/>
  <c r="O162" i="10"/>
  <c r="O146" i="10"/>
  <c r="P146" i="10" s="1"/>
  <c r="O129" i="10"/>
  <c r="P129" i="10" s="1"/>
  <c r="O113" i="10"/>
  <c r="P113" i="10" s="1"/>
  <c r="P89" i="10"/>
  <c r="O89" i="10"/>
  <c r="O48" i="10"/>
  <c r="P48" i="10" s="1"/>
  <c r="O164" i="9"/>
  <c r="P164" i="9" s="1"/>
  <c r="O275" i="10"/>
  <c r="P275" i="10" s="1"/>
  <c r="P267" i="10"/>
  <c r="O267" i="10"/>
  <c r="O259" i="10"/>
  <c r="P259" i="10" s="1"/>
  <c r="O251" i="10"/>
  <c r="P251" i="10" s="1"/>
  <c r="O243" i="10"/>
  <c r="P243" i="10" s="1"/>
  <c r="P235" i="10"/>
  <c r="O235" i="10"/>
  <c r="O227" i="10"/>
  <c r="P227" i="10" s="1"/>
  <c r="O218" i="10"/>
  <c r="P218" i="10" s="1"/>
  <c r="O210" i="10"/>
  <c r="P210" i="10" s="1"/>
  <c r="P202" i="10"/>
  <c r="O202" i="10"/>
  <c r="O194" i="10"/>
  <c r="P194" i="10" s="1"/>
  <c r="O186" i="10"/>
  <c r="P186" i="10" s="1"/>
  <c r="O177" i="10"/>
  <c r="P177" i="10" s="1"/>
  <c r="P169" i="10"/>
  <c r="O169" i="10"/>
  <c r="O160" i="10"/>
  <c r="P160" i="10" s="1"/>
  <c r="O152" i="10"/>
  <c r="P152" i="10" s="1"/>
  <c r="O144" i="10"/>
  <c r="P144" i="10" s="1"/>
  <c r="P136" i="10"/>
  <c r="O136" i="10"/>
  <c r="O127" i="10"/>
  <c r="P127" i="10" s="1"/>
  <c r="O119" i="10"/>
  <c r="P119" i="10" s="1"/>
  <c r="O111" i="10"/>
  <c r="P111" i="10" s="1"/>
  <c r="P103" i="10"/>
  <c r="O103" i="10"/>
  <c r="O95" i="10"/>
  <c r="P95" i="10" s="1"/>
  <c r="O87" i="10"/>
  <c r="P87" i="10" s="1"/>
  <c r="O79" i="10"/>
  <c r="P79" i="10" s="1"/>
  <c r="P70" i="10"/>
  <c r="O70" i="10"/>
  <c r="O62" i="10"/>
  <c r="P62" i="10" s="1"/>
  <c r="O54" i="10"/>
  <c r="P54" i="10" s="1"/>
  <c r="O46" i="10"/>
  <c r="P46" i="10" s="1"/>
  <c r="P38" i="10"/>
  <c r="O38" i="10"/>
  <c r="Q125" i="27"/>
  <c r="R125" i="27" s="1"/>
  <c r="H59" i="2" s="1"/>
  <c r="P248" i="10"/>
  <c r="O248" i="10"/>
  <c r="P183" i="10"/>
  <c r="O183" i="10"/>
  <c r="O124" i="10"/>
  <c r="P124" i="10" s="1"/>
  <c r="P43" i="10"/>
  <c r="O43" i="10"/>
  <c r="P255" i="10"/>
  <c r="O255" i="10"/>
  <c r="P239" i="10"/>
  <c r="O239" i="10"/>
  <c r="O198" i="10"/>
  <c r="P198" i="10" s="1"/>
  <c r="P164" i="10"/>
  <c r="O164" i="10"/>
  <c r="P131" i="10"/>
  <c r="O131" i="10"/>
  <c r="P66" i="10"/>
  <c r="O66" i="10"/>
  <c r="O253" i="10"/>
  <c r="P253" i="10" s="1"/>
  <c r="P229" i="10"/>
  <c r="O229" i="10"/>
  <c r="P204" i="10"/>
  <c r="O204" i="10"/>
  <c r="P179" i="10"/>
  <c r="O179" i="10"/>
  <c r="O154" i="10"/>
  <c r="P154" i="10" s="1"/>
  <c r="P121" i="10"/>
  <c r="O121" i="10"/>
  <c r="P56" i="10"/>
  <c r="O56" i="10"/>
  <c r="P186" i="9"/>
  <c r="O186" i="9"/>
  <c r="O274" i="10"/>
  <c r="P274" i="10" s="1"/>
  <c r="P266" i="10"/>
  <c r="O266" i="10"/>
  <c r="P258" i="10"/>
  <c r="O258" i="10"/>
  <c r="P250" i="10"/>
  <c r="O250" i="10"/>
  <c r="O242" i="10"/>
  <c r="P242" i="10" s="1"/>
  <c r="P234" i="10"/>
  <c r="O234" i="10"/>
  <c r="P226" i="10"/>
  <c r="O226" i="10"/>
  <c r="P217" i="10"/>
  <c r="O217" i="10"/>
  <c r="O209" i="10"/>
  <c r="P209" i="10" s="1"/>
  <c r="P201" i="10"/>
  <c r="O201" i="10"/>
  <c r="P193" i="10"/>
  <c r="O193" i="10"/>
  <c r="P185" i="10"/>
  <c r="O185" i="10"/>
  <c r="O176" i="10"/>
  <c r="P176" i="10" s="1"/>
  <c r="P168" i="10"/>
  <c r="O168" i="10"/>
  <c r="P159" i="10"/>
  <c r="O159" i="10"/>
  <c r="P151" i="10"/>
  <c r="O151" i="10"/>
  <c r="O143" i="10"/>
  <c r="P143" i="10" s="1"/>
  <c r="P135" i="10"/>
  <c r="O135" i="10"/>
  <c r="P126" i="10"/>
  <c r="O126" i="10"/>
  <c r="P118" i="10"/>
  <c r="O118" i="10"/>
  <c r="O110" i="10"/>
  <c r="P110" i="10" s="1"/>
  <c r="P102" i="10"/>
  <c r="O102" i="10"/>
  <c r="P94" i="10"/>
  <c r="O94" i="10"/>
  <c r="P86" i="10"/>
  <c r="O86" i="10"/>
  <c r="O78" i="10"/>
  <c r="P78" i="10" s="1"/>
  <c r="P69" i="10"/>
  <c r="O69" i="10"/>
  <c r="P61" i="10"/>
  <c r="O61" i="10"/>
  <c r="P53" i="10"/>
  <c r="O53" i="10"/>
  <c r="O45" i="10"/>
  <c r="P45" i="10" s="1"/>
  <c r="P2" i="11"/>
  <c r="O2" i="11"/>
  <c r="S2" i="30"/>
  <c r="I72" i="2" s="1"/>
  <c r="B20" i="2" s="1"/>
  <c r="AE9" i="22" s="1"/>
  <c r="Q299" i="29"/>
  <c r="R299" i="29" s="1"/>
  <c r="H70" i="2" s="1"/>
  <c r="P224" i="10"/>
  <c r="O224" i="10"/>
  <c r="O149" i="10"/>
  <c r="P149" i="10" s="1"/>
  <c r="P59" i="10"/>
  <c r="O59" i="10"/>
  <c r="P273" i="10"/>
  <c r="O273" i="10"/>
  <c r="P265" i="10"/>
  <c r="O265" i="10"/>
  <c r="O257" i="10"/>
  <c r="P257" i="10" s="1"/>
  <c r="P249" i="10"/>
  <c r="O249" i="10"/>
  <c r="P241" i="10"/>
  <c r="O241" i="10"/>
  <c r="P233" i="10"/>
  <c r="O233" i="10"/>
  <c r="O225" i="10"/>
  <c r="P225" i="10" s="1"/>
  <c r="P216" i="10"/>
  <c r="O216" i="10"/>
  <c r="P208" i="10"/>
  <c r="O208" i="10"/>
  <c r="P200" i="10"/>
  <c r="O200" i="10"/>
  <c r="O192" i="10"/>
  <c r="P192" i="10" s="1"/>
  <c r="P184" i="10"/>
  <c r="O184" i="10"/>
  <c r="P175" i="10"/>
  <c r="O175" i="10"/>
  <c r="P167" i="10"/>
  <c r="O167" i="10"/>
  <c r="O158" i="10"/>
  <c r="P158" i="10" s="1"/>
  <c r="P150" i="10"/>
  <c r="O150" i="10"/>
  <c r="P142" i="10"/>
  <c r="O142" i="10"/>
  <c r="P134" i="10"/>
  <c r="O134" i="10"/>
  <c r="O125" i="10"/>
  <c r="P125" i="10" s="1"/>
  <c r="P117" i="10"/>
  <c r="O117" i="10"/>
  <c r="P109" i="10"/>
  <c r="O109" i="10"/>
  <c r="P101" i="10"/>
  <c r="O101" i="10"/>
  <c r="O93" i="10"/>
  <c r="P93" i="10" s="1"/>
  <c r="P85" i="10"/>
  <c r="O85" i="10"/>
  <c r="P77" i="10"/>
  <c r="O77" i="10"/>
  <c r="P68" i="10"/>
  <c r="O68" i="10"/>
  <c r="O60" i="10"/>
  <c r="P60" i="10" s="1"/>
  <c r="P52" i="10"/>
  <c r="O52" i="10"/>
  <c r="P44" i="10"/>
  <c r="O44" i="10"/>
  <c r="AY19" i="19"/>
  <c r="AY16" i="19"/>
  <c r="AY20" i="19"/>
  <c r="AY22" i="19"/>
  <c r="AY18" i="19"/>
  <c r="AY17" i="19"/>
  <c r="AY21" i="19"/>
  <c r="H75" i="2"/>
  <c r="Q351" i="29"/>
  <c r="R351" i="29" s="1"/>
  <c r="H71" i="2" s="1"/>
  <c r="Q264" i="29"/>
  <c r="R264" i="29" s="1"/>
  <c r="H69" i="2" s="1"/>
  <c r="Q85" i="29"/>
  <c r="R85" i="29" s="1"/>
  <c r="H67" i="2" s="1"/>
  <c r="Q151" i="29"/>
  <c r="R151" i="29" s="1"/>
  <c r="H68" i="2" s="1"/>
  <c r="Q2" i="29"/>
  <c r="R2" i="29" s="1"/>
  <c r="H66" i="2" s="1"/>
  <c r="Q2" i="27"/>
  <c r="R2" i="27" s="1"/>
  <c r="H58" i="2" s="1"/>
  <c r="J58" i="2" s="1"/>
  <c r="S2" i="28"/>
  <c r="I62" i="2" s="1"/>
  <c r="B18" i="2" s="1"/>
  <c r="AA9" i="22" s="1"/>
  <c r="H62" i="2"/>
  <c r="J62" i="2" s="1"/>
  <c r="Q64" i="13"/>
  <c r="H72" i="2"/>
  <c r="H77" i="2"/>
  <c r="I77" i="2"/>
  <c r="B22" i="2" s="1"/>
  <c r="AI9" i="22" s="1"/>
  <c r="H76" i="2"/>
  <c r="P180" i="9"/>
  <c r="O179" i="9"/>
  <c r="P179" i="9" s="1"/>
  <c r="O154" i="9"/>
  <c r="P154" i="9" s="1"/>
  <c r="P178" i="9"/>
  <c r="P175" i="9"/>
  <c r="P176" i="9"/>
  <c r="O183" i="9"/>
  <c r="P183" i="9" s="1"/>
  <c r="P181" i="9"/>
  <c r="P182" i="9"/>
  <c r="AY23" i="19" l="1"/>
  <c r="AV9" i="22" s="1"/>
  <c r="S2" i="27"/>
  <c r="I58" i="2" s="1"/>
  <c r="B17" i="2" s="1"/>
  <c r="Y9" i="22" s="1"/>
  <c r="J72" i="2"/>
  <c r="J66" i="2"/>
  <c r="S2" i="29"/>
  <c r="I66" i="2" s="1"/>
  <c r="B19" i="2" s="1"/>
  <c r="AC9" i="22" s="1"/>
  <c r="H35" i="2"/>
  <c r="Q98" i="9"/>
  <c r="R98" i="9" s="1"/>
  <c r="H36" i="2" s="1"/>
  <c r="J35" i="2" l="1"/>
  <c r="S2" i="9"/>
  <c r="I35" i="2" s="1"/>
  <c r="B12" i="2" l="1"/>
  <c r="O9" i="22" s="1"/>
  <c r="J14" i="26" l="1"/>
  <c r="D3" i="26" s="1"/>
  <c r="D4" i="26" s="1"/>
  <c r="D5" i="26" s="1"/>
  <c r="D6" i="26" s="1"/>
  <c r="D7" i="26" s="1"/>
  <c r="D8" i="26" s="1"/>
  <c r="D9" i="26" s="1"/>
  <c r="N4" i="24" l="1"/>
  <c r="K3" i="1"/>
  <c r="B36" i="2" l="1"/>
  <c r="K293" i="10" l="1"/>
  <c r="J139" i="11"/>
  <c r="O139" i="11" s="1"/>
  <c r="P139" i="11" s="1"/>
  <c r="J138" i="11"/>
  <c r="O138" i="11" s="1"/>
  <c r="P138" i="11" s="1"/>
  <c r="J137" i="11"/>
  <c r="O137" i="11" s="1"/>
  <c r="P137" i="11" s="1"/>
  <c r="J136" i="11"/>
  <c r="O136" i="11" s="1"/>
  <c r="P136" i="11" s="1"/>
  <c r="J135" i="11"/>
  <c r="O135" i="11" s="1"/>
  <c r="P135" i="11" s="1"/>
  <c r="J134" i="11"/>
  <c r="O134" i="11" s="1"/>
  <c r="P134" i="11" s="1"/>
  <c r="J133" i="11"/>
  <c r="J132" i="11"/>
  <c r="O132" i="11" s="1"/>
  <c r="P132" i="11" s="1"/>
  <c r="J131" i="11"/>
  <c r="O131" i="11" s="1"/>
  <c r="P131" i="11" s="1"/>
  <c r="J130" i="11"/>
  <c r="O130" i="11" s="1"/>
  <c r="P130" i="11" s="1"/>
  <c r="J129" i="11"/>
  <c r="O129" i="11" s="1"/>
  <c r="P129" i="11" s="1"/>
  <c r="J128" i="11"/>
  <c r="O128" i="11" s="1"/>
  <c r="P128" i="11" s="1"/>
  <c r="J127" i="11"/>
  <c r="J292" i="10"/>
  <c r="O292" i="10" s="1"/>
  <c r="P292" i="10" s="1"/>
  <c r="K297" i="10"/>
  <c r="L296" i="10"/>
  <c r="K295" i="10"/>
  <c r="L294" i="10"/>
  <c r="O294" i="10" s="1"/>
  <c r="L101" i="13"/>
  <c r="L100" i="13"/>
  <c r="L250" i="11"/>
  <c r="P250" i="11" s="1"/>
  <c r="L242" i="11"/>
  <c r="P242" i="11" s="1"/>
  <c r="L243" i="11"/>
  <c r="P243" i="11" s="1"/>
  <c r="L244" i="11"/>
  <c r="P244" i="11" s="1"/>
  <c r="L245" i="11"/>
  <c r="P245" i="11" s="1"/>
  <c r="L246" i="11"/>
  <c r="P246" i="11" s="1"/>
  <c r="L247" i="11"/>
  <c r="P247" i="11" s="1"/>
  <c r="L248" i="11"/>
  <c r="P248" i="11" s="1"/>
  <c r="K249" i="11"/>
  <c r="L249" i="11" s="1"/>
  <c r="P249" i="11" s="1"/>
  <c r="J236" i="11"/>
  <c r="O236" i="11" s="1"/>
  <c r="P236" i="11" s="1"/>
  <c r="J237" i="11"/>
  <c r="O237" i="11" s="1"/>
  <c r="P237" i="11" s="1"/>
  <c r="J238" i="11"/>
  <c r="O238" i="11" s="1"/>
  <c r="P238" i="11" s="1"/>
  <c r="J239" i="11"/>
  <c r="O239" i="11" s="1"/>
  <c r="P239" i="11" s="1"/>
  <c r="J240" i="11"/>
  <c r="O240" i="11" s="1"/>
  <c r="P240" i="11" s="1"/>
  <c r="J241" i="11"/>
  <c r="O241" i="11" s="1"/>
  <c r="P241" i="11" s="1"/>
  <c r="J235" i="11"/>
  <c r="K219" i="11"/>
  <c r="L219" i="11" s="1"/>
  <c r="O219" i="11" s="1"/>
  <c r="P219" i="11" s="1"/>
  <c r="K216" i="11"/>
  <c r="L216" i="11" s="1"/>
  <c r="O216" i="11" s="1"/>
  <c r="P216" i="11" s="1"/>
  <c r="K209" i="11"/>
  <c r="L209" i="11" s="1"/>
  <c r="O209" i="11" s="1"/>
  <c r="P209" i="11" s="1"/>
  <c r="K202" i="11"/>
  <c r="L202" i="11" s="1"/>
  <c r="O202" i="11" s="1"/>
  <c r="P202" i="11" s="1"/>
  <c r="K198" i="11"/>
  <c r="L198" i="11" s="1"/>
  <c r="O198" i="11" s="1"/>
  <c r="P198" i="11" s="1"/>
  <c r="K196" i="11"/>
  <c r="L196" i="11" s="1"/>
  <c r="O196" i="11" s="1"/>
  <c r="P196" i="11" s="1"/>
  <c r="K194" i="11"/>
  <c r="L194" i="11" s="1"/>
  <c r="O194" i="11" s="1"/>
  <c r="P194" i="11" s="1"/>
  <c r="K188" i="11"/>
  <c r="L188" i="11" s="1"/>
  <c r="O188" i="11" s="1"/>
  <c r="P188" i="11" s="1"/>
  <c r="K180" i="11"/>
  <c r="L180" i="11" s="1"/>
  <c r="O180" i="11" s="1"/>
  <c r="P180" i="11" s="1"/>
  <c r="K161" i="11"/>
  <c r="L161" i="11" s="1"/>
  <c r="O161" i="11" s="1"/>
  <c r="P161" i="11" s="1"/>
  <c r="K159" i="11"/>
  <c r="L159" i="11" s="1"/>
  <c r="O159" i="11" s="1"/>
  <c r="P159" i="11" s="1"/>
  <c r="K158" i="11"/>
  <c r="L158" i="11" s="1"/>
  <c r="O158" i="11" s="1"/>
  <c r="P158" i="11" s="1"/>
  <c r="K157" i="11"/>
  <c r="L157" i="11" s="1"/>
  <c r="O157" i="11" s="1"/>
  <c r="P157" i="11" s="1"/>
  <c r="K154" i="11"/>
  <c r="L154" i="11" s="1"/>
  <c r="O154" i="11" s="1"/>
  <c r="P154" i="11" s="1"/>
  <c r="K147" i="11"/>
  <c r="L147" i="11" s="1"/>
  <c r="O147" i="11" s="1"/>
  <c r="P147" i="11" s="1"/>
  <c r="K142" i="11"/>
  <c r="L142" i="11" s="1"/>
  <c r="O142" i="11" s="1"/>
  <c r="P142" i="11" s="1"/>
  <c r="K140" i="11"/>
  <c r="L140" i="11" s="1"/>
  <c r="O140" i="11" s="1"/>
  <c r="P140" i="11" s="1"/>
  <c r="K126" i="11"/>
  <c r="L126" i="11" s="1"/>
  <c r="O126" i="11" s="1"/>
  <c r="P126" i="11" s="1"/>
  <c r="K110" i="11"/>
  <c r="L110" i="11" s="1"/>
  <c r="O110" i="11" s="1"/>
  <c r="P110" i="11" s="1"/>
  <c r="K107" i="11"/>
  <c r="L107" i="11" s="1"/>
  <c r="O107" i="11" s="1"/>
  <c r="P107" i="11" s="1"/>
  <c r="K100" i="11"/>
  <c r="L100" i="11" s="1"/>
  <c r="O100" i="11" s="1"/>
  <c r="P100" i="11" s="1"/>
  <c r="K99" i="11"/>
  <c r="L99" i="11" s="1"/>
  <c r="O99" i="11" s="1"/>
  <c r="P99" i="11" s="1"/>
  <c r="K93" i="11"/>
  <c r="L93" i="11" s="1"/>
  <c r="O93" i="11" s="1"/>
  <c r="P93" i="11" s="1"/>
  <c r="K94" i="11"/>
  <c r="L94" i="11" s="1"/>
  <c r="O94" i="11" s="1"/>
  <c r="P94" i="11" s="1"/>
  <c r="K90" i="11"/>
  <c r="L90" i="11" s="1"/>
  <c r="O90" i="11" s="1"/>
  <c r="P90" i="11" s="1"/>
  <c r="K81" i="11"/>
  <c r="L81" i="11" s="1"/>
  <c r="O81" i="11" s="1"/>
  <c r="P81" i="11" s="1"/>
  <c r="K76" i="11"/>
  <c r="L76" i="11" s="1"/>
  <c r="O76" i="11" s="1"/>
  <c r="P76" i="11" s="1"/>
  <c r="K67" i="11"/>
  <c r="L67" i="11" s="1"/>
  <c r="O67" i="11" s="1"/>
  <c r="P67" i="11" s="1"/>
  <c r="K65" i="11"/>
  <c r="L65" i="11" s="1"/>
  <c r="O65" i="11" s="1"/>
  <c r="P65" i="11" s="1"/>
  <c r="K60" i="11"/>
  <c r="L60" i="11" s="1"/>
  <c r="O60" i="11" s="1"/>
  <c r="P60" i="11" s="1"/>
  <c r="K53" i="11"/>
  <c r="L53" i="11" s="1"/>
  <c r="O53" i="11" s="1"/>
  <c r="P53" i="11" s="1"/>
  <c r="K52" i="11"/>
  <c r="L52" i="11" s="1"/>
  <c r="O52" i="11" s="1"/>
  <c r="P52" i="11" s="1"/>
  <c r="K50" i="11"/>
  <c r="L50" i="11" s="1"/>
  <c r="O50" i="11" s="1"/>
  <c r="P50" i="11" s="1"/>
  <c r="K42" i="11"/>
  <c r="L42" i="11" s="1"/>
  <c r="O42" i="11" s="1"/>
  <c r="P42" i="11" s="1"/>
  <c r="I302" i="10"/>
  <c r="J302" i="10" s="1"/>
  <c r="I299" i="10"/>
  <c r="J299" i="10" s="1"/>
  <c r="I298" i="10"/>
  <c r="J298" i="10" s="1"/>
  <c r="J280" i="10"/>
  <c r="J281" i="10"/>
  <c r="O281" i="10" s="1"/>
  <c r="P281" i="10" s="1"/>
  <c r="J282" i="10"/>
  <c r="O282" i="10" s="1"/>
  <c r="P282" i="10" s="1"/>
  <c r="J283" i="10"/>
  <c r="J284" i="10"/>
  <c r="O284" i="10" s="1"/>
  <c r="P284" i="10" s="1"/>
  <c r="J285" i="10"/>
  <c r="O285" i="10" s="1"/>
  <c r="P285" i="10" s="1"/>
  <c r="J286" i="10"/>
  <c r="O286" i="10" s="1"/>
  <c r="P286" i="10" s="1"/>
  <c r="J287" i="10"/>
  <c r="O287" i="10" s="1"/>
  <c r="P287" i="10" s="1"/>
  <c r="J288" i="10"/>
  <c r="O288" i="10" s="1"/>
  <c r="P288" i="10" s="1"/>
  <c r="J289" i="10"/>
  <c r="O289" i="10" s="1"/>
  <c r="P289" i="10" s="1"/>
  <c r="J290" i="10"/>
  <c r="O290" i="10" s="1"/>
  <c r="P290" i="10" s="1"/>
  <c r="J291" i="10"/>
  <c r="O291" i="10" s="1"/>
  <c r="P291" i="10" s="1"/>
  <c r="J300" i="10"/>
  <c r="J301" i="10"/>
  <c r="J303" i="10"/>
  <c r="J304" i="10"/>
  <c r="J305" i="10"/>
  <c r="J306" i="10"/>
  <c r="J307" i="10"/>
  <c r="K130" i="13"/>
  <c r="L130" i="13" s="1"/>
  <c r="O130" i="13" s="1"/>
  <c r="P130" i="13" s="1"/>
  <c r="L111" i="13"/>
  <c r="L110" i="13"/>
  <c r="L109" i="13"/>
  <c r="L108" i="13"/>
  <c r="L107" i="13"/>
  <c r="L106" i="13"/>
  <c r="L105" i="13"/>
  <c r="L104" i="13"/>
  <c r="L103" i="13"/>
  <c r="L102" i="13"/>
  <c r="L99" i="13"/>
  <c r="L98" i="13"/>
  <c r="L97" i="13"/>
  <c r="L96" i="13"/>
  <c r="L95" i="13"/>
  <c r="L94" i="13"/>
  <c r="L93" i="13"/>
  <c r="L92" i="13"/>
  <c r="L91" i="13"/>
  <c r="L90" i="13"/>
  <c r="L89" i="13"/>
  <c r="L88" i="13"/>
  <c r="L87" i="13"/>
  <c r="L86" i="13"/>
  <c r="L85" i="13"/>
  <c r="K276" i="10"/>
  <c r="L276" i="10" s="1"/>
  <c r="K219" i="10"/>
  <c r="L219" i="10" s="1"/>
  <c r="K181" i="10"/>
  <c r="L181" i="10" s="1"/>
  <c r="K166" i="10"/>
  <c r="L166" i="10" s="1"/>
  <c r="K133" i="10"/>
  <c r="L133" i="10" s="1"/>
  <c r="K71" i="10"/>
  <c r="L71" i="10" s="1"/>
  <c r="O301" i="10" l="1"/>
  <c r="P301" i="10" s="1"/>
  <c r="O300" i="10"/>
  <c r="P300" i="10" s="1"/>
  <c r="P283" i="10"/>
  <c r="O283" i="10"/>
  <c r="O127" i="11"/>
  <c r="P127" i="11" s="1"/>
  <c r="O302" i="10"/>
  <c r="P302" i="10" s="1"/>
  <c r="O133" i="10"/>
  <c r="P133" i="10" s="1"/>
  <c r="P306" i="10"/>
  <c r="O306" i="10"/>
  <c r="O166" i="10"/>
  <c r="P166" i="10" s="1"/>
  <c r="O305" i="10"/>
  <c r="P305" i="10" s="1"/>
  <c r="O280" i="10"/>
  <c r="P280" i="10" s="1"/>
  <c r="P276" i="10"/>
  <c r="O276" i="10"/>
  <c r="O133" i="11"/>
  <c r="P133" i="11" s="1"/>
  <c r="Q127" i="11" s="1"/>
  <c r="O307" i="10"/>
  <c r="P307" i="10" s="1"/>
  <c r="O235" i="11"/>
  <c r="P235" i="11" s="1"/>
  <c r="P304" i="10"/>
  <c r="O304" i="10"/>
  <c r="O298" i="10"/>
  <c r="P298" i="10" s="1"/>
  <c r="O71" i="10"/>
  <c r="P71" i="10" s="1"/>
  <c r="Q37" i="10" s="1"/>
  <c r="O181" i="10"/>
  <c r="P181" i="10" s="1"/>
  <c r="P219" i="10"/>
  <c r="O219" i="10"/>
  <c r="O303" i="10"/>
  <c r="P303" i="10" s="1"/>
  <c r="O299" i="10"/>
  <c r="P299" i="10" s="1"/>
  <c r="P294" i="10"/>
  <c r="O296" i="10"/>
  <c r="P296" i="10" s="1"/>
  <c r="L297" i="10"/>
  <c r="O297" i="10" s="1"/>
  <c r="P297" i="10" s="1"/>
  <c r="L295" i="10"/>
  <c r="O295" i="10" s="1"/>
  <c r="P295" i="10" s="1"/>
  <c r="L293" i="10"/>
  <c r="O293" i="10" s="1"/>
  <c r="P293" i="10" s="1"/>
  <c r="Q85" i="13"/>
  <c r="R85" i="13" s="1"/>
  <c r="H57" i="2" s="1"/>
  <c r="G5" i="2"/>
  <c r="G14" i="2"/>
  <c r="G15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8" i="2"/>
  <c r="G39" i="2"/>
  <c r="G40" i="2"/>
  <c r="G41" i="2"/>
  <c r="G54" i="2"/>
  <c r="G55" i="2"/>
  <c r="G56" i="2"/>
  <c r="G57" i="2"/>
  <c r="Q280" i="10" l="1"/>
  <c r="R37" i="10"/>
  <c r="H39" i="2" s="1"/>
  <c r="R127" i="11"/>
  <c r="H43" i="2" s="1"/>
  <c r="Q143" i="11"/>
  <c r="R143" i="11" s="1"/>
  <c r="H44" i="2" s="1"/>
  <c r="Q28" i="11"/>
  <c r="R28" i="11" s="1"/>
  <c r="H42" i="2" s="1"/>
  <c r="Q38" i="13"/>
  <c r="R38" i="13" s="1"/>
  <c r="H55" i="2" s="1"/>
  <c r="R64" i="13"/>
  <c r="H56" i="2" s="1"/>
  <c r="Q2" i="11" l="1"/>
  <c r="R2" i="11" s="1"/>
  <c r="R280" i="10"/>
  <c r="H40" i="2" s="1"/>
  <c r="H41" i="2" l="1"/>
  <c r="J41" i="2" s="1"/>
  <c r="S2" i="11"/>
  <c r="I41" i="2" s="1"/>
  <c r="B14" i="2" s="1"/>
  <c r="S9" i="22" s="1"/>
  <c r="B4" i="25"/>
  <c r="B5" i="25" s="1"/>
  <c r="B6" i="25" s="1"/>
  <c r="B7" i="25" s="1"/>
  <c r="B8" i="25" s="1"/>
  <c r="B9" i="25" s="1"/>
  <c r="E3" i="26"/>
  <c r="G27" i="1"/>
  <c r="G22" i="1"/>
  <c r="G28" i="1" s="1"/>
  <c r="F22" i="1"/>
  <c r="F23" i="1"/>
  <c r="F24" i="1"/>
  <c r="F25" i="1"/>
  <c r="F26" i="1"/>
  <c r="F27" i="1"/>
  <c r="F28" i="1"/>
  <c r="F29" i="1"/>
  <c r="F30" i="1"/>
  <c r="F21" i="1"/>
  <c r="J83" i="6"/>
  <c r="O83" i="6" s="1"/>
  <c r="P83" i="6" s="1"/>
  <c r="J82" i="6"/>
  <c r="O82" i="6" s="1"/>
  <c r="P82" i="6" s="1"/>
  <c r="J81" i="6"/>
  <c r="O81" i="6" s="1"/>
  <c r="P81" i="6" s="1"/>
  <c r="J80" i="6"/>
  <c r="O80" i="6" s="1"/>
  <c r="P80" i="6" s="1"/>
  <c r="J79" i="6"/>
  <c r="O79" i="6" s="1"/>
  <c r="P79" i="6" s="1"/>
  <c r="J78" i="6"/>
  <c r="O78" i="6" s="1"/>
  <c r="P78" i="6" s="1"/>
  <c r="J77" i="6"/>
  <c r="O77" i="6" s="1"/>
  <c r="P77" i="6" s="1"/>
  <c r="J76" i="6"/>
  <c r="O76" i="6" s="1"/>
  <c r="P76" i="6" s="1"/>
  <c r="J75" i="6"/>
  <c r="O75" i="6" s="1"/>
  <c r="P75" i="6" s="1"/>
  <c r="J74" i="6"/>
  <c r="O74" i="6" s="1"/>
  <c r="P74" i="6" s="1"/>
  <c r="J73" i="6"/>
  <c r="O73" i="6" s="1"/>
  <c r="P73" i="6" s="1"/>
  <c r="J72" i="6"/>
  <c r="O72" i="6" s="1"/>
  <c r="P72" i="6" s="1"/>
  <c r="J71" i="6"/>
  <c r="O71" i="6" s="1"/>
  <c r="P71" i="6" s="1"/>
  <c r="J70" i="6"/>
  <c r="O70" i="6" s="1"/>
  <c r="P70" i="6" s="1"/>
  <c r="J69" i="6"/>
  <c r="O69" i="6" s="1"/>
  <c r="P69" i="6" s="1"/>
  <c r="Q69" i="6" l="1"/>
  <c r="R69" i="6" s="1"/>
  <c r="H29" i="2" s="1"/>
  <c r="G23" i="1"/>
  <c r="J83" i="4"/>
  <c r="J84" i="4"/>
  <c r="O84" i="4" s="1"/>
  <c r="P84" i="4" s="1"/>
  <c r="J85" i="4"/>
  <c r="O85" i="4" s="1"/>
  <c r="P85" i="4" s="1"/>
  <c r="J86" i="4"/>
  <c r="O86" i="4" s="1"/>
  <c r="P86" i="4" s="1"/>
  <c r="O83" i="4"/>
  <c r="P83" i="4" s="1"/>
  <c r="J82" i="4"/>
  <c r="O82" i="4" s="1"/>
  <c r="P82" i="4" s="1"/>
  <c r="J81" i="4"/>
  <c r="O81" i="4" s="1"/>
  <c r="P81" i="4" s="1"/>
  <c r="J80" i="4"/>
  <c r="O80" i="4" s="1"/>
  <c r="P80" i="4" s="1"/>
  <c r="J79" i="4"/>
  <c r="O79" i="4" s="1"/>
  <c r="P79" i="4" s="1"/>
  <c r="J78" i="4"/>
  <c r="O78" i="4" s="1"/>
  <c r="P78" i="4" s="1"/>
  <c r="J77" i="4"/>
  <c r="O77" i="4" s="1"/>
  <c r="P77" i="4" s="1"/>
  <c r="J76" i="4"/>
  <c r="O76" i="4" s="1"/>
  <c r="P76" i="4" s="1"/>
  <c r="J75" i="4"/>
  <c r="O75" i="4" s="1"/>
  <c r="P75" i="4" s="1"/>
  <c r="J74" i="4"/>
  <c r="O74" i="4" s="1"/>
  <c r="P74" i="4" s="1"/>
  <c r="J73" i="4"/>
  <c r="O73" i="4" s="1"/>
  <c r="P73" i="4" s="1"/>
  <c r="J72" i="4"/>
  <c r="O72" i="4" s="1"/>
  <c r="P72" i="4" s="1"/>
  <c r="J71" i="4"/>
  <c r="O71" i="4" s="1"/>
  <c r="P71" i="4" s="1"/>
  <c r="J70" i="4"/>
  <c r="O70" i="4" s="1"/>
  <c r="P70" i="4" s="1"/>
  <c r="J69" i="4"/>
  <c r="O69" i="4" s="1"/>
  <c r="P69" i="4" s="1"/>
  <c r="J68" i="4"/>
  <c r="O68" i="4" s="1"/>
  <c r="P68" i="4" s="1"/>
  <c r="J67" i="4"/>
  <c r="O67" i="4" s="1"/>
  <c r="P67" i="4" s="1"/>
  <c r="J66" i="4"/>
  <c r="O66" i="4" s="1"/>
  <c r="P66" i="4" s="1"/>
  <c r="J65" i="4"/>
  <c r="O65" i="4" s="1"/>
  <c r="P65" i="4" s="1"/>
  <c r="J64" i="4"/>
  <c r="O64" i="4" s="1"/>
  <c r="P64" i="4" s="1"/>
  <c r="J63" i="4"/>
  <c r="O63" i="4" s="1"/>
  <c r="P63" i="4" s="1"/>
  <c r="J62" i="4"/>
  <c r="O62" i="4" s="1"/>
  <c r="P62" i="4" s="1"/>
  <c r="J61" i="4"/>
  <c r="O61" i="4" s="1"/>
  <c r="P61" i="4" s="1"/>
  <c r="J60" i="4"/>
  <c r="O60" i="4" s="1"/>
  <c r="P60" i="4" s="1"/>
  <c r="J59" i="4"/>
  <c r="O59" i="4" s="1"/>
  <c r="P59" i="4" s="1"/>
  <c r="J58" i="4"/>
  <c r="O58" i="4" s="1"/>
  <c r="P58" i="4" s="1"/>
  <c r="Q58" i="4" l="1"/>
  <c r="R58" i="4" s="1"/>
  <c r="H17" i="2" s="1"/>
  <c r="G29" i="1"/>
  <c r="G24" i="1"/>
  <c r="G25" i="1" l="1"/>
  <c r="G30" i="1"/>
  <c r="G31" i="1" l="1"/>
  <c r="G26" i="1"/>
  <c r="J126" i="3" l="1"/>
  <c r="O126" i="3" s="1"/>
  <c r="P126" i="3" s="1"/>
  <c r="J127" i="3"/>
  <c r="O127" i="3" s="1"/>
  <c r="P127" i="3" s="1"/>
  <c r="J128" i="3"/>
  <c r="O128" i="3" s="1"/>
  <c r="P128" i="3" s="1"/>
  <c r="J129" i="3"/>
  <c r="O129" i="3" s="1"/>
  <c r="P129" i="3" s="1"/>
  <c r="J130" i="3"/>
  <c r="O130" i="3" s="1"/>
  <c r="P130" i="3" s="1"/>
  <c r="J131" i="3"/>
  <c r="O131" i="3" s="1"/>
  <c r="P131" i="3" s="1"/>
  <c r="J132" i="3"/>
  <c r="O132" i="3" s="1"/>
  <c r="P132" i="3" s="1"/>
  <c r="J134" i="3"/>
  <c r="O134" i="3" s="1"/>
  <c r="P134" i="3" s="1"/>
  <c r="J135" i="3"/>
  <c r="O135" i="3" s="1"/>
  <c r="P135" i="3" s="1"/>
  <c r="J136" i="3"/>
  <c r="O136" i="3" s="1"/>
  <c r="P136" i="3" s="1"/>
  <c r="J137" i="3"/>
  <c r="O137" i="3" s="1"/>
  <c r="P137" i="3" s="1"/>
  <c r="J138" i="3"/>
  <c r="O138" i="3" s="1"/>
  <c r="P138" i="3" s="1"/>
  <c r="J139" i="3"/>
  <c r="O139" i="3" s="1"/>
  <c r="P139" i="3" s="1"/>
  <c r="J140" i="3"/>
  <c r="O140" i="3" s="1"/>
  <c r="P140" i="3" s="1"/>
  <c r="J141" i="3"/>
  <c r="O141" i="3" s="1"/>
  <c r="P141" i="3" s="1"/>
  <c r="J143" i="3"/>
  <c r="O143" i="3" s="1"/>
  <c r="P143" i="3" s="1"/>
  <c r="J144" i="3"/>
  <c r="O144" i="3" s="1"/>
  <c r="P144" i="3" s="1"/>
  <c r="J145" i="3"/>
  <c r="O145" i="3" s="1"/>
  <c r="P145" i="3" s="1"/>
  <c r="J146" i="3"/>
  <c r="O146" i="3" s="1"/>
  <c r="P146" i="3" s="1"/>
  <c r="J147" i="3"/>
  <c r="O147" i="3" s="1"/>
  <c r="P147" i="3" s="1"/>
  <c r="J148" i="3"/>
  <c r="O148" i="3" s="1"/>
  <c r="P148" i="3" s="1"/>
  <c r="J149" i="3"/>
  <c r="O149" i="3" s="1"/>
  <c r="P149" i="3" s="1"/>
  <c r="J150" i="3"/>
  <c r="O150" i="3" s="1"/>
  <c r="P150" i="3" s="1"/>
  <c r="J151" i="3"/>
  <c r="O151" i="3" s="1"/>
  <c r="P151" i="3" s="1"/>
  <c r="J152" i="3"/>
  <c r="O152" i="3" s="1"/>
  <c r="P152" i="3" s="1"/>
  <c r="J153" i="3"/>
  <c r="O153" i="3" s="1"/>
  <c r="P153" i="3" s="1"/>
  <c r="J154" i="3"/>
  <c r="O154" i="3" s="1"/>
  <c r="P154" i="3" s="1"/>
  <c r="J155" i="3"/>
  <c r="O155" i="3" s="1"/>
  <c r="P155" i="3" s="1"/>
  <c r="J156" i="3"/>
  <c r="O156" i="3" s="1"/>
  <c r="P156" i="3" s="1"/>
  <c r="J157" i="3"/>
  <c r="O157" i="3" s="1"/>
  <c r="P157" i="3" s="1"/>
  <c r="J158" i="3"/>
  <c r="O158" i="3" s="1"/>
  <c r="P158" i="3" s="1"/>
  <c r="J159" i="3"/>
  <c r="O159" i="3" s="1"/>
  <c r="P159" i="3" s="1"/>
  <c r="J160" i="3"/>
  <c r="O160" i="3" s="1"/>
  <c r="P160" i="3" s="1"/>
  <c r="J161" i="3"/>
  <c r="O161" i="3" s="1"/>
  <c r="P161" i="3" s="1"/>
  <c r="J162" i="3"/>
  <c r="O162" i="3" s="1"/>
  <c r="P162" i="3" s="1"/>
  <c r="J163" i="3"/>
  <c r="O163" i="3" s="1"/>
  <c r="P163" i="3" s="1"/>
  <c r="J164" i="3"/>
  <c r="O164" i="3" s="1"/>
  <c r="P164" i="3" s="1"/>
  <c r="J165" i="3"/>
  <c r="O165" i="3" s="1"/>
  <c r="P165" i="3" s="1"/>
  <c r="J166" i="3"/>
  <c r="O166" i="3" s="1"/>
  <c r="P166" i="3" s="1"/>
  <c r="J167" i="3"/>
  <c r="O167" i="3" s="1"/>
  <c r="P167" i="3" s="1"/>
  <c r="J169" i="3"/>
  <c r="O169" i="3" s="1"/>
  <c r="P169" i="3" s="1"/>
  <c r="J170" i="3"/>
  <c r="O170" i="3" s="1"/>
  <c r="P170" i="3" s="1"/>
  <c r="J172" i="3"/>
  <c r="O172" i="3" s="1"/>
  <c r="P172" i="3" s="1"/>
  <c r="J173" i="3"/>
  <c r="O173" i="3" s="1"/>
  <c r="P173" i="3" s="1"/>
  <c r="J174" i="3"/>
  <c r="J175" i="3"/>
  <c r="O175" i="3" s="1"/>
  <c r="P175" i="3" s="1"/>
  <c r="J176" i="3"/>
  <c r="O176" i="3" s="1"/>
  <c r="P176" i="3" s="1"/>
  <c r="J177" i="3"/>
  <c r="O177" i="3" s="1"/>
  <c r="P177" i="3" s="1"/>
  <c r="J178" i="3"/>
  <c r="O178" i="3" s="1"/>
  <c r="P178" i="3" s="1"/>
  <c r="J179" i="3"/>
  <c r="O179" i="3" s="1"/>
  <c r="P179" i="3" s="1"/>
  <c r="J125" i="3"/>
  <c r="O125" i="3" s="1"/>
  <c r="P125" i="3" s="1"/>
  <c r="O174" i="3"/>
  <c r="P174" i="3" s="1"/>
  <c r="J6" i="12"/>
  <c r="O6" i="12" s="1"/>
  <c r="P6" i="12" s="1"/>
  <c r="J9" i="12"/>
  <c r="O9" i="12" s="1"/>
  <c r="P9" i="12" s="1"/>
  <c r="J10" i="12"/>
  <c r="O10" i="12" s="1"/>
  <c r="P10" i="12" s="1"/>
  <c r="J13" i="12"/>
  <c r="O13" i="12" s="1"/>
  <c r="P13" i="12" s="1"/>
  <c r="J14" i="12"/>
  <c r="O14" i="12" s="1"/>
  <c r="P14" i="12" s="1"/>
  <c r="J15" i="12"/>
  <c r="O15" i="12" s="1"/>
  <c r="P15" i="12" s="1"/>
  <c r="J16" i="12"/>
  <c r="O16" i="12" s="1"/>
  <c r="P16" i="12" s="1"/>
  <c r="J20" i="12"/>
  <c r="O20" i="12" s="1"/>
  <c r="P20" i="12" s="1"/>
  <c r="J22" i="12"/>
  <c r="O22" i="12" s="1"/>
  <c r="P22" i="12" s="1"/>
  <c r="J23" i="12"/>
  <c r="O23" i="12" s="1"/>
  <c r="P23" i="12" s="1"/>
  <c r="J25" i="12"/>
  <c r="O25" i="12" s="1"/>
  <c r="P25" i="12" s="1"/>
  <c r="J26" i="12"/>
  <c r="O26" i="12" s="1"/>
  <c r="P26" i="12" s="1"/>
  <c r="J27" i="12"/>
  <c r="O27" i="12" s="1"/>
  <c r="P27" i="12" s="1"/>
  <c r="J29" i="12"/>
  <c r="O29" i="12" s="1"/>
  <c r="P29" i="12" s="1"/>
  <c r="J30" i="12"/>
  <c r="O30" i="12" s="1"/>
  <c r="P30" i="12" s="1"/>
  <c r="J31" i="12"/>
  <c r="O31" i="12" s="1"/>
  <c r="P31" i="12" s="1"/>
  <c r="J32" i="12"/>
  <c r="O32" i="12" s="1"/>
  <c r="P32" i="12" s="1"/>
  <c r="J37" i="12"/>
  <c r="O37" i="12" s="1"/>
  <c r="P37" i="12" s="1"/>
  <c r="J38" i="12"/>
  <c r="O38" i="12" s="1"/>
  <c r="P38" i="12" s="1"/>
  <c r="J41" i="12"/>
  <c r="O41" i="12" s="1"/>
  <c r="P41" i="12" s="1"/>
  <c r="J44" i="12"/>
  <c r="O44" i="12" s="1"/>
  <c r="P44" i="12" s="1"/>
  <c r="J45" i="12"/>
  <c r="O45" i="12" s="1"/>
  <c r="P45" i="12" s="1"/>
  <c r="J46" i="12"/>
  <c r="O46" i="12" s="1"/>
  <c r="P46" i="12" s="1"/>
  <c r="J49" i="12"/>
  <c r="O49" i="12" s="1"/>
  <c r="P49" i="12" s="1"/>
  <c r="J50" i="12"/>
  <c r="O50" i="12" s="1"/>
  <c r="P50" i="12" s="1"/>
  <c r="J52" i="12"/>
  <c r="O52" i="12" s="1"/>
  <c r="P52" i="12" s="1"/>
  <c r="J54" i="12"/>
  <c r="O54" i="12" s="1"/>
  <c r="P54" i="12" s="1"/>
  <c r="J55" i="12"/>
  <c r="O55" i="12" s="1"/>
  <c r="P55" i="12" s="1"/>
  <c r="J56" i="12"/>
  <c r="O56" i="12" s="1"/>
  <c r="P56" i="12" s="1"/>
  <c r="J57" i="12"/>
  <c r="O57" i="12" s="1"/>
  <c r="P57" i="12" s="1"/>
  <c r="J58" i="12"/>
  <c r="O58" i="12" s="1"/>
  <c r="P58" i="12" s="1"/>
  <c r="J59" i="12"/>
  <c r="O59" i="12" s="1"/>
  <c r="P59" i="12" s="1"/>
  <c r="J60" i="12"/>
  <c r="O60" i="12" s="1"/>
  <c r="P60" i="12" s="1"/>
  <c r="J61" i="12"/>
  <c r="O61" i="12" s="1"/>
  <c r="P61" i="12" s="1"/>
  <c r="J64" i="12"/>
  <c r="O64" i="12" s="1"/>
  <c r="P64" i="12" s="1"/>
  <c r="J66" i="12"/>
  <c r="O66" i="12" s="1"/>
  <c r="P66" i="12" s="1"/>
  <c r="J67" i="12"/>
  <c r="O67" i="12" s="1"/>
  <c r="P67" i="12" s="1"/>
  <c r="J70" i="12"/>
  <c r="O70" i="12" s="1"/>
  <c r="P70" i="12" s="1"/>
  <c r="J72" i="12"/>
  <c r="O72" i="12" s="1"/>
  <c r="P72" i="12" s="1"/>
  <c r="J75" i="12"/>
  <c r="O75" i="12" s="1"/>
  <c r="P75" i="12" s="1"/>
  <c r="J76" i="12"/>
  <c r="O76" i="12" s="1"/>
  <c r="P76" i="12" s="1"/>
  <c r="J77" i="12"/>
  <c r="O77" i="12" s="1"/>
  <c r="P77" i="12" s="1"/>
  <c r="J78" i="12"/>
  <c r="O78" i="12" s="1"/>
  <c r="P78" i="12" s="1"/>
  <c r="J79" i="12"/>
  <c r="O79" i="12" s="1"/>
  <c r="P79" i="12" s="1"/>
  <c r="J80" i="12"/>
  <c r="O80" i="12" s="1"/>
  <c r="P80" i="12" s="1"/>
  <c r="J81" i="12"/>
  <c r="O81" i="12" s="1"/>
  <c r="P81" i="12" s="1"/>
  <c r="J82" i="12"/>
  <c r="O82" i="12" s="1"/>
  <c r="P82" i="12" s="1"/>
  <c r="J83" i="12"/>
  <c r="O83" i="12" s="1"/>
  <c r="P83" i="12" s="1"/>
  <c r="J85" i="12"/>
  <c r="O85" i="12" s="1"/>
  <c r="P85" i="12" s="1"/>
  <c r="J87" i="12"/>
  <c r="O87" i="12" s="1"/>
  <c r="P87" i="12" s="1"/>
  <c r="J88" i="12"/>
  <c r="O88" i="12" s="1"/>
  <c r="P88" i="12" s="1"/>
  <c r="J90" i="12"/>
  <c r="O90" i="12" s="1"/>
  <c r="P90" i="12" s="1"/>
  <c r="J93" i="12"/>
  <c r="O93" i="12" s="1"/>
  <c r="P93" i="12" s="1"/>
  <c r="J95" i="12"/>
  <c r="O95" i="12" s="1"/>
  <c r="P95" i="12" s="1"/>
  <c r="J97" i="12"/>
  <c r="O97" i="12" s="1"/>
  <c r="P97" i="12" s="1"/>
  <c r="J102" i="12"/>
  <c r="O102" i="12" s="1"/>
  <c r="P102" i="12" s="1"/>
  <c r="J36" i="10"/>
  <c r="N36" i="10" s="1"/>
  <c r="O36" i="10" s="1"/>
  <c r="P36" i="10" s="1"/>
  <c r="J35" i="10"/>
  <c r="N35" i="10" s="1"/>
  <c r="O35" i="10" s="1"/>
  <c r="P35" i="10" s="1"/>
  <c r="J34" i="10"/>
  <c r="N34" i="10" s="1"/>
  <c r="O34" i="10" s="1"/>
  <c r="P34" i="10" s="1"/>
  <c r="J33" i="10"/>
  <c r="N33" i="10" s="1"/>
  <c r="O33" i="10" s="1"/>
  <c r="P33" i="10" s="1"/>
  <c r="J32" i="10"/>
  <c r="N32" i="10" s="1"/>
  <c r="O32" i="10" s="1"/>
  <c r="P32" i="10" s="1"/>
  <c r="J31" i="10"/>
  <c r="N31" i="10" s="1"/>
  <c r="O31" i="10" s="1"/>
  <c r="P31" i="10" s="1"/>
  <c r="J30" i="10"/>
  <c r="N30" i="10" s="1"/>
  <c r="O30" i="10" s="1"/>
  <c r="P30" i="10" s="1"/>
  <c r="J28" i="10"/>
  <c r="N28" i="10" s="1"/>
  <c r="O28" i="10" s="1"/>
  <c r="P28" i="10" s="1"/>
  <c r="J27" i="10"/>
  <c r="N27" i="10" s="1"/>
  <c r="O27" i="10" s="1"/>
  <c r="P27" i="10" s="1"/>
  <c r="J26" i="10"/>
  <c r="N26" i="10" s="1"/>
  <c r="O26" i="10" s="1"/>
  <c r="P26" i="10" s="1"/>
  <c r="J25" i="10"/>
  <c r="N25" i="10" s="1"/>
  <c r="O25" i="10" s="1"/>
  <c r="P25" i="10" s="1"/>
  <c r="J23" i="10"/>
  <c r="N23" i="10" s="1"/>
  <c r="O23" i="10" s="1"/>
  <c r="P23" i="10" s="1"/>
  <c r="J22" i="10"/>
  <c r="N22" i="10" s="1"/>
  <c r="O22" i="10" s="1"/>
  <c r="P22" i="10" s="1"/>
  <c r="J21" i="10"/>
  <c r="N21" i="10" s="1"/>
  <c r="O21" i="10" s="1"/>
  <c r="P21" i="10" s="1"/>
  <c r="J20" i="10"/>
  <c r="N20" i="10" s="1"/>
  <c r="O20" i="10" s="1"/>
  <c r="P20" i="10" s="1"/>
  <c r="J19" i="10"/>
  <c r="N19" i="10" s="1"/>
  <c r="O19" i="10" s="1"/>
  <c r="P19" i="10" s="1"/>
  <c r="J18" i="10"/>
  <c r="N18" i="10" s="1"/>
  <c r="O18" i="10" s="1"/>
  <c r="P18" i="10" s="1"/>
  <c r="J17" i="10"/>
  <c r="N17" i="10" s="1"/>
  <c r="O17" i="10" s="1"/>
  <c r="P17" i="10" s="1"/>
  <c r="J16" i="10"/>
  <c r="N16" i="10" s="1"/>
  <c r="O16" i="10" s="1"/>
  <c r="P16" i="10" s="1"/>
  <c r="J15" i="10"/>
  <c r="N15" i="10" s="1"/>
  <c r="O15" i="10" s="1"/>
  <c r="P15" i="10" s="1"/>
  <c r="J14" i="10"/>
  <c r="N14" i="10" s="1"/>
  <c r="O14" i="10" s="1"/>
  <c r="P14" i="10" s="1"/>
  <c r="J13" i="10"/>
  <c r="N13" i="10" s="1"/>
  <c r="O13" i="10" s="1"/>
  <c r="P13" i="10" s="1"/>
  <c r="J12" i="10"/>
  <c r="N12" i="10" s="1"/>
  <c r="O12" i="10" s="1"/>
  <c r="P12" i="10" s="1"/>
  <c r="J11" i="10"/>
  <c r="N11" i="10" s="1"/>
  <c r="O11" i="10" s="1"/>
  <c r="P11" i="10" s="1"/>
  <c r="J10" i="10"/>
  <c r="N10" i="10" s="1"/>
  <c r="O10" i="10" s="1"/>
  <c r="P10" i="10" s="1"/>
  <c r="J9" i="10"/>
  <c r="N9" i="10" s="1"/>
  <c r="O9" i="10" s="1"/>
  <c r="P9" i="10" s="1"/>
  <c r="J8" i="10"/>
  <c r="N8" i="10" s="1"/>
  <c r="O8" i="10" s="1"/>
  <c r="P8" i="10" s="1"/>
  <c r="J7" i="10"/>
  <c r="N7" i="10" s="1"/>
  <c r="O7" i="10" s="1"/>
  <c r="P7" i="10" s="1"/>
  <c r="J6" i="10"/>
  <c r="N6" i="10" s="1"/>
  <c r="O6" i="10" s="1"/>
  <c r="P6" i="10" s="1"/>
  <c r="J5" i="10"/>
  <c r="N5" i="10" s="1"/>
  <c r="O5" i="10" s="1"/>
  <c r="P5" i="10" s="1"/>
  <c r="J4" i="10"/>
  <c r="N4" i="10" s="1"/>
  <c r="O4" i="10" s="1"/>
  <c r="P4" i="10" s="1"/>
  <c r="J3" i="10"/>
  <c r="N3" i="10" s="1"/>
  <c r="O3" i="10" s="1"/>
  <c r="P3" i="10" s="1"/>
  <c r="J2" i="10"/>
  <c r="N2" i="10" s="1"/>
  <c r="O2" i="10" s="1"/>
  <c r="P2" i="10" s="1"/>
  <c r="J3" i="8"/>
  <c r="O3" i="8" s="1"/>
  <c r="P3" i="8" s="1"/>
  <c r="J4" i="8"/>
  <c r="O4" i="8" s="1"/>
  <c r="P4" i="8" s="1"/>
  <c r="J5" i="8"/>
  <c r="O5" i="8" s="1"/>
  <c r="P5" i="8" s="1"/>
  <c r="J6" i="8"/>
  <c r="O6" i="8" s="1"/>
  <c r="P6" i="8" s="1"/>
  <c r="J7" i="8"/>
  <c r="O7" i="8" s="1"/>
  <c r="P7" i="8" s="1"/>
  <c r="J8" i="8"/>
  <c r="O8" i="8" s="1"/>
  <c r="P8" i="8" s="1"/>
  <c r="J9" i="8"/>
  <c r="O9" i="8" s="1"/>
  <c r="P9" i="8" s="1"/>
  <c r="J10" i="8"/>
  <c r="O10" i="8" s="1"/>
  <c r="P10" i="8" s="1"/>
  <c r="J11" i="8"/>
  <c r="O11" i="8" s="1"/>
  <c r="P11" i="8" s="1"/>
  <c r="J12" i="8"/>
  <c r="O12" i="8" s="1"/>
  <c r="P12" i="8" s="1"/>
  <c r="J13" i="8"/>
  <c r="O13" i="8" s="1"/>
  <c r="P13" i="8" s="1"/>
  <c r="J14" i="8"/>
  <c r="O14" i="8" s="1"/>
  <c r="P14" i="8" s="1"/>
  <c r="J15" i="8"/>
  <c r="O15" i="8" s="1"/>
  <c r="P15" i="8" s="1"/>
  <c r="J16" i="8"/>
  <c r="O16" i="8" s="1"/>
  <c r="P16" i="8" s="1"/>
  <c r="J2" i="8"/>
  <c r="J18" i="7"/>
  <c r="J19" i="7"/>
  <c r="P19" i="7" s="1"/>
  <c r="Q19" i="7" s="1"/>
  <c r="J20" i="7"/>
  <c r="P20" i="7" s="1"/>
  <c r="Q20" i="7" s="1"/>
  <c r="J21" i="7"/>
  <c r="P21" i="7" s="1"/>
  <c r="Q21" i="7" s="1"/>
  <c r="J22" i="7"/>
  <c r="P22" i="7" s="1"/>
  <c r="Q22" i="7" s="1"/>
  <c r="J23" i="7"/>
  <c r="P23" i="7" s="1"/>
  <c r="Q23" i="7" s="1"/>
  <c r="J24" i="7"/>
  <c r="P24" i="7" s="1"/>
  <c r="Q24" i="7" s="1"/>
  <c r="J25" i="7"/>
  <c r="P25" i="7" s="1"/>
  <c r="Q25" i="7" s="1"/>
  <c r="J26" i="7"/>
  <c r="P26" i="7" s="1"/>
  <c r="Q26" i="7" s="1"/>
  <c r="J27" i="7"/>
  <c r="P27" i="7" s="1"/>
  <c r="Q27" i="7" s="1"/>
  <c r="J28" i="7"/>
  <c r="P28" i="7" s="1"/>
  <c r="Q28" i="7" s="1"/>
  <c r="J29" i="7"/>
  <c r="P29" i="7" s="1"/>
  <c r="Q29" i="7" s="1"/>
  <c r="J30" i="7"/>
  <c r="P30" i="7" s="1"/>
  <c r="Q30" i="7" s="1"/>
  <c r="J31" i="7"/>
  <c r="P31" i="7" s="1"/>
  <c r="Q31" i="7" s="1"/>
  <c r="J32" i="7"/>
  <c r="P32" i="7" s="1"/>
  <c r="Q32" i="7" s="1"/>
  <c r="J33" i="7"/>
  <c r="P33" i="7" s="1"/>
  <c r="Q33" i="7" s="1"/>
  <c r="J34" i="7"/>
  <c r="J35" i="7"/>
  <c r="P35" i="7" s="1"/>
  <c r="Q35" i="7" s="1"/>
  <c r="J36" i="7"/>
  <c r="P36" i="7" s="1"/>
  <c r="Q36" i="7" s="1"/>
  <c r="J37" i="7"/>
  <c r="P37" i="7" s="1"/>
  <c r="Q37" i="7" s="1"/>
  <c r="J38" i="7"/>
  <c r="P38" i="7" s="1"/>
  <c r="Q38" i="7" s="1"/>
  <c r="J39" i="7"/>
  <c r="P39" i="7" s="1"/>
  <c r="Q39" i="7" s="1"/>
  <c r="J40" i="7"/>
  <c r="P40" i="7" s="1"/>
  <c r="Q40" i="7" s="1"/>
  <c r="J41" i="7"/>
  <c r="P41" i="7" s="1"/>
  <c r="Q41" i="7" s="1"/>
  <c r="J42" i="7"/>
  <c r="P42" i="7" s="1"/>
  <c r="Q42" i="7" s="1"/>
  <c r="J43" i="7"/>
  <c r="P43" i="7" s="1"/>
  <c r="Q43" i="7" s="1"/>
  <c r="J44" i="7"/>
  <c r="P44" i="7" s="1"/>
  <c r="Q44" i="7" s="1"/>
  <c r="J45" i="7"/>
  <c r="P45" i="7" s="1"/>
  <c r="Q45" i="7" s="1"/>
  <c r="J46" i="7"/>
  <c r="P46" i="7" s="1"/>
  <c r="Q46" i="7" s="1"/>
  <c r="J47" i="7"/>
  <c r="P47" i="7" s="1"/>
  <c r="Q47" i="7" s="1"/>
  <c r="J48" i="7"/>
  <c r="P48" i="7" s="1"/>
  <c r="Q48" i="7" s="1"/>
  <c r="J49" i="7"/>
  <c r="P49" i="7" s="1"/>
  <c r="Q49" i="7" s="1"/>
  <c r="J50" i="7"/>
  <c r="P50" i="7" s="1"/>
  <c r="Q50" i="7" s="1"/>
  <c r="J51" i="7"/>
  <c r="P51" i="7" s="1"/>
  <c r="Q51" i="7" s="1"/>
  <c r="J52" i="7"/>
  <c r="P52" i="7" s="1"/>
  <c r="Q52" i="7" s="1"/>
  <c r="J53" i="7"/>
  <c r="P53" i="7" s="1"/>
  <c r="Q53" i="7" s="1"/>
  <c r="J54" i="7"/>
  <c r="P54" i="7" s="1"/>
  <c r="Q54" i="7" s="1"/>
  <c r="J55" i="7"/>
  <c r="P55" i="7" s="1"/>
  <c r="Q55" i="7" s="1"/>
  <c r="J56" i="7"/>
  <c r="P56" i="7" s="1"/>
  <c r="Q56" i="7" s="1"/>
  <c r="J57" i="7"/>
  <c r="P57" i="7" s="1"/>
  <c r="Q57" i="7" s="1"/>
  <c r="J58" i="7"/>
  <c r="P58" i="7" s="1"/>
  <c r="Q58" i="7" s="1"/>
  <c r="J59" i="7"/>
  <c r="P59" i="7" s="1"/>
  <c r="Q59" i="7" s="1"/>
  <c r="J60" i="7"/>
  <c r="P60" i="7" s="1"/>
  <c r="Q60" i="7" s="1"/>
  <c r="J61" i="7"/>
  <c r="P61" i="7" s="1"/>
  <c r="Q61" i="7" s="1"/>
  <c r="J62" i="7"/>
  <c r="P62" i="7" s="1"/>
  <c r="Q62" i="7" s="1"/>
  <c r="J63" i="7"/>
  <c r="P63" i="7" s="1"/>
  <c r="Q63" i="7" s="1"/>
  <c r="J64" i="7"/>
  <c r="P64" i="7" s="1"/>
  <c r="Q64" i="7" s="1"/>
  <c r="J65" i="7"/>
  <c r="P65" i="7" s="1"/>
  <c r="Q65" i="7" s="1"/>
  <c r="J66" i="7"/>
  <c r="P66" i="7" s="1"/>
  <c r="Q66" i="7" s="1"/>
  <c r="J67" i="7"/>
  <c r="P67" i="7" s="1"/>
  <c r="Q67" i="7" s="1"/>
  <c r="J68" i="7"/>
  <c r="P68" i="7" s="1"/>
  <c r="Q68" i="7" s="1"/>
  <c r="J69" i="7"/>
  <c r="P69" i="7" s="1"/>
  <c r="Q69" i="7" s="1"/>
  <c r="J70" i="7"/>
  <c r="P70" i="7" s="1"/>
  <c r="Q70" i="7" s="1"/>
  <c r="J71" i="7"/>
  <c r="P71" i="7" s="1"/>
  <c r="Q71" i="7" s="1"/>
  <c r="J72" i="7"/>
  <c r="J73" i="7"/>
  <c r="P73" i="7" s="1"/>
  <c r="Q73" i="7" s="1"/>
  <c r="J74" i="7"/>
  <c r="P74" i="7" s="1"/>
  <c r="Q74" i="7" s="1"/>
  <c r="J75" i="7"/>
  <c r="P75" i="7" s="1"/>
  <c r="Q75" i="7" s="1"/>
  <c r="J76" i="7"/>
  <c r="P76" i="7" s="1"/>
  <c r="Q76" i="7" s="1"/>
  <c r="J77" i="7"/>
  <c r="P77" i="7" s="1"/>
  <c r="Q77" i="7" s="1"/>
  <c r="J78" i="7"/>
  <c r="P78" i="7" s="1"/>
  <c r="Q78" i="7" s="1"/>
  <c r="J79" i="7"/>
  <c r="P79" i="7" s="1"/>
  <c r="Q79" i="7" s="1"/>
  <c r="J80" i="7"/>
  <c r="P80" i="7" s="1"/>
  <c r="Q80" i="7" s="1"/>
  <c r="J81" i="7"/>
  <c r="P81" i="7" s="1"/>
  <c r="Q81" i="7" s="1"/>
  <c r="J82" i="7"/>
  <c r="P82" i="7" s="1"/>
  <c r="Q82" i="7" s="1"/>
  <c r="J83" i="7"/>
  <c r="P83" i="7" s="1"/>
  <c r="Q83" i="7" s="1"/>
  <c r="J84" i="7"/>
  <c r="P84" i="7" s="1"/>
  <c r="Q84" i="7" s="1"/>
  <c r="J85" i="7"/>
  <c r="P85" i="7" s="1"/>
  <c r="Q85" i="7" s="1"/>
  <c r="J86" i="7"/>
  <c r="P86" i="7" s="1"/>
  <c r="Q86" i="7" s="1"/>
  <c r="J87" i="7"/>
  <c r="P87" i="7" s="1"/>
  <c r="Q87" i="7" s="1"/>
  <c r="J3" i="7"/>
  <c r="J4" i="7"/>
  <c r="P4" i="7" s="1"/>
  <c r="Q4" i="7" s="1"/>
  <c r="J5" i="7"/>
  <c r="P5" i="7" s="1"/>
  <c r="Q5" i="7" s="1"/>
  <c r="J6" i="7"/>
  <c r="P6" i="7" s="1"/>
  <c r="Q6" i="7" s="1"/>
  <c r="J7" i="7"/>
  <c r="P7" i="7" s="1"/>
  <c r="Q7" i="7" s="1"/>
  <c r="J8" i="7"/>
  <c r="P8" i="7" s="1"/>
  <c r="Q8" i="7" s="1"/>
  <c r="J9" i="7"/>
  <c r="P9" i="7" s="1"/>
  <c r="Q9" i="7" s="1"/>
  <c r="J10" i="7"/>
  <c r="P10" i="7" s="1"/>
  <c r="Q10" i="7" s="1"/>
  <c r="J11" i="7"/>
  <c r="P11" i="7" s="1"/>
  <c r="Q11" i="7" s="1"/>
  <c r="J12" i="7"/>
  <c r="P12" i="7" s="1"/>
  <c r="Q12" i="7" s="1"/>
  <c r="J13" i="7"/>
  <c r="P13" i="7" s="1"/>
  <c r="Q13" i="7" s="1"/>
  <c r="J14" i="7"/>
  <c r="P14" i="7" s="1"/>
  <c r="Q14" i="7" s="1"/>
  <c r="J15" i="7"/>
  <c r="P15" i="7" s="1"/>
  <c r="Q15" i="7" s="1"/>
  <c r="J16" i="7"/>
  <c r="P16" i="7" s="1"/>
  <c r="Q16" i="7" s="1"/>
  <c r="J17" i="7"/>
  <c r="P17" i="7" s="1"/>
  <c r="Q17" i="7" s="1"/>
  <c r="J2" i="7"/>
  <c r="P2" i="7" s="1"/>
  <c r="Q2" i="7" s="1"/>
  <c r="J34" i="6"/>
  <c r="O34" i="6" s="1"/>
  <c r="P34" i="6" s="1"/>
  <c r="J35" i="6"/>
  <c r="O35" i="6" s="1"/>
  <c r="P35" i="6" s="1"/>
  <c r="J36" i="6"/>
  <c r="O36" i="6" s="1"/>
  <c r="P36" i="6" s="1"/>
  <c r="J37" i="6"/>
  <c r="O37" i="6" s="1"/>
  <c r="P37" i="6" s="1"/>
  <c r="J38" i="6"/>
  <c r="O38" i="6" s="1"/>
  <c r="P38" i="6" s="1"/>
  <c r="J39" i="6"/>
  <c r="O39" i="6" s="1"/>
  <c r="P39" i="6" s="1"/>
  <c r="J41" i="6"/>
  <c r="O41" i="6" s="1"/>
  <c r="P41" i="6" s="1"/>
  <c r="J42" i="6"/>
  <c r="O42" i="6" s="1"/>
  <c r="P42" i="6" s="1"/>
  <c r="J43" i="6"/>
  <c r="O43" i="6" s="1"/>
  <c r="P43" i="6" s="1"/>
  <c r="J44" i="6"/>
  <c r="O44" i="6" s="1"/>
  <c r="P44" i="6" s="1"/>
  <c r="J45" i="6"/>
  <c r="O45" i="6" s="1"/>
  <c r="P45" i="6" s="1"/>
  <c r="J46" i="6"/>
  <c r="O46" i="6" s="1"/>
  <c r="P46" i="6" s="1"/>
  <c r="J48" i="6"/>
  <c r="O48" i="6" s="1"/>
  <c r="P48" i="6" s="1"/>
  <c r="J33" i="6"/>
  <c r="O33" i="6" s="1"/>
  <c r="P33" i="6" s="1"/>
  <c r="J31" i="6"/>
  <c r="O31" i="6" s="1"/>
  <c r="P31" i="6" s="1"/>
  <c r="J32" i="6"/>
  <c r="O32" i="6" s="1"/>
  <c r="P32" i="6" s="1"/>
  <c r="J18" i="6"/>
  <c r="O18" i="6" s="1"/>
  <c r="P18" i="6" s="1"/>
  <c r="J19" i="6"/>
  <c r="O19" i="6" s="1"/>
  <c r="P19" i="6" s="1"/>
  <c r="J20" i="6"/>
  <c r="O20" i="6" s="1"/>
  <c r="P20" i="6" s="1"/>
  <c r="J21" i="6"/>
  <c r="J22" i="6"/>
  <c r="O22" i="6" s="1"/>
  <c r="P22" i="6" s="1"/>
  <c r="J23" i="6"/>
  <c r="O23" i="6" s="1"/>
  <c r="P23" i="6" s="1"/>
  <c r="J24" i="6"/>
  <c r="O24" i="6" s="1"/>
  <c r="P24" i="6" s="1"/>
  <c r="J25" i="6"/>
  <c r="O25" i="6" s="1"/>
  <c r="P25" i="6" s="1"/>
  <c r="J26" i="6"/>
  <c r="O26" i="6" s="1"/>
  <c r="P26" i="6" s="1"/>
  <c r="J27" i="6"/>
  <c r="O27" i="6" s="1"/>
  <c r="P27" i="6" s="1"/>
  <c r="J28" i="6"/>
  <c r="O28" i="6" s="1"/>
  <c r="P28" i="6" s="1"/>
  <c r="J29" i="6"/>
  <c r="O29" i="6" s="1"/>
  <c r="P29" i="6" s="1"/>
  <c r="J30" i="6"/>
  <c r="O30" i="6" s="1"/>
  <c r="P30" i="6" s="1"/>
  <c r="J17" i="6"/>
  <c r="J3" i="6"/>
  <c r="J4" i="6"/>
  <c r="O4" i="6" s="1"/>
  <c r="P4" i="6" s="1"/>
  <c r="J5" i="6"/>
  <c r="O5" i="6" s="1"/>
  <c r="P5" i="6" s="1"/>
  <c r="J6" i="6"/>
  <c r="O6" i="6" s="1"/>
  <c r="P6" i="6" s="1"/>
  <c r="J7" i="6"/>
  <c r="O7" i="6" s="1"/>
  <c r="P7" i="6" s="1"/>
  <c r="J8" i="6"/>
  <c r="O8" i="6" s="1"/>
  <c r="P8" i="6" s="1"/>
  <c r="J9" i="6"/>
  <c r="O9" i="6" s="1"/>
  <c r="P9" i="6" s="1"/>
  <c r="J10" i="6"/>
  <c r="O10" i="6" s="1"/>
  <c r="P10" i="6" s="1"/>
  <c r="J11" i="6"/>
  <c r="O11" i="6" s="1"/>
  <c r="P11" i="6" s="1"/>
  <c r="J12" i="6"/>
  <c r="O12" i="6" s="1"/>
  <c r="P12" i="6" s="1"/>
  <c r="J13" i="6"/>
  <c r="O13" i="6" s="1"/>
  <c r="P13" i="6" s="1"/>
  <c r="J14" i="6"/>
  <c r="O14" i="6" s="1"/>
  <c r="P14" i="6" s="1"/>
  <c r="J15" i="6"/>
  <c r="O15" i="6" s="1"/>
  <c r="P15" i="6" s="1"/>
  <c r="J16" i="6"/>
  <c r="O16" i="6" s="1"/>
  <c r="P16" i="6" s="1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18" i="5"/>
  <c r="J19" i="5"/>
  <c r="J20" i="5"/>
  <c r="J21" i="5"/>
  <c r="J22" i="5"/>
  <c r="J23" i="5"/>
  <c r="J24" i="5"/>
  <c r="O24" i="5" s="1"/>
  <c r="J25" i="5"/>
  <c r="J26" i="5"/>
  <c r="J27" i="5"/>
  <c r="J17" i="5"/>
  <c r="J16" i="5"/>
  <c r="J3" i="5"/>
  <c r="J5" i="5"/>
  <c r="J6" i="5"/>
  <c r="J8" i="5"/>
  <c r="J9" i="5"/>
  <c r="J10" i="5"/>
  <c r="J11" i="5"/>
  <c r="J12" i="5"/>
  <c r="O12" i="5" s="1"/>
  <c r="J13" i="5"/>
  <c r="J14" i="5"/>
  <c r="J2" i="5"/>
  <c r="O2" i="5" s="1"/>
  <c r="P2" i="5" s="1"/>
  <c r="J18" i="4"/>
  <c r="O18" i="4" s="1"/>
  <c r="P18" i="4" s="1"/>
  <c r="J19" i="4"/>
  <c r="O19" i="4" s="1"/>
  <c r="P19" i="4" s="1"/>
  <c r="J20" i="4"/>
  <c r="O20" i="4" s="1"/>
  <c r="P20" i="4" s="1"/>
  <c r="J21" i="4"/>
  <c r="O21" i="4" s="1"/>
  <c r="P21" i="4" s="1"/>
  <c r="J22" i="4"/>
  <c r="O22" i="4" s="1"/>
  <c r="P22" i="4" s="1"/>
  <c r="J23" i="4"/>
  <c r="O23" i="4" s="1"/>
  <c r="P23" i="4" s="1"/>
  <c r="J24" i="4"/>
  <c r="O24" i="4" s="1"/>
  <c r="P24" i="4" s="1"/>
  <c r="J25" i="4"/>
  <c r="O25" i="4" s="1"/>
  <c r="P25" i="4" s="1"/>
  <c r="J26" i="4"/>
  <c r="O26" i="4" s="1"/>
  <c r="P26" i="4" s="1"/>
  <c r="J27" i="4"/>
  <c r="O27" i="4" s="1"/>
  <c r="P27" i="4" s="1"/>
  <c r="J28" i="4"/>
  <c r="O28" i="4" s="1"/>
  <c r="P28" i="4" s="1"/>
  <c r="J29" i="4"/>
  <c r="O29" i="4" s="1"/>
  <c r="P29" i="4" s="1"/>
  <c r="J31" i="4"/>
  <c r="O31" i="4" s="1"/>
  <c r="P31" i="4" s="1"/>
  <c r="J32" i="4"/>
  <c r="O32" i="4" s="1"/>
  <c r="P32" i="4" s="1"/>
  <c r="J17" i="4"/>
  <c r="O17" i="4" s="1"/>
  <c r="P17" i="4" s="1"/>
  <c r="J3" i="4"/>
  <c r="O3" i="4" s="1"/>
  <c r="P3" i="4" s="1"/>
  <c r="J4" i="4"/>
  <c r="O4" i="4" s="1"/>
  <c r="P4" i="4" s="1"/>
  <c r="J5" i="4"/>
  <c r="O5" i="4" s="1"/>
  <c r="P5" i="4" s="1"/>
  <c r="J6" i="4"/>
  <c r="J7" i="4"/>
  <c r="O7" i="4" s="1"/>
  <c r="P7" i="4" s="1"/>
  <c r="J8" i="4"/>
  <c r="O8" i="4" s="1"/>
  <c r="P8" i="4" s="1"/>
  <c r="J9" i="4"/>
  <c r="O9" i="4" s="1"/>
  <c r="P9" i="4" s="1"/>
  <c r="J10" i="4"/>
  <c r="O10" i="4" s="1"/>
  <c r="P10" i="4" s="1"/>
  <c r="J11" i="4"/>
  <c r="O11" i="4" s="1"/>
  <c r="P11" i="4" s="1"/>
  <c r="J12" i="4"/>
  <c r="O12" i="4" s="1"/>
  <c r="P12" i="4" s="1"/>
  <c r="J13" i="4"/>
  <c r="O13" i="4" s="1"/>
  <c r="P13" i="4" s="1"/>
  <c r="J14" i="4"/>
  <c r="O14" i="4" s="1"/>
  <c r="P14" i="4" s="1"/>
  <c r="J15" i="4"/>
  <c r="O15" i="4" s="1"/>
  <c r="P15" i="4" s="1"/>
  <c r="J16" i="4"/>
  <c r="O16" i="4" s="1"/>
  <c r="P16" i="4" s="1"/>
  <c r="J2" i="4"/>
  <c r="I180" i="3"/>
  <c r="J180" i="3" s="1"/>
  <c r="O180" i="3" s="1"/>
  <c r="P180" i="3" s="1"/>
  <c r="I171" i="3"/>
  <c r="J171" i="3" s="1"/>
  <c r="O171" i="3" s="1"/>
  <c r="P171" i="3" s="1"/>
  <c r="I168" i="3"/>
  <c r="J168" i="3" s="1"/>
  <c r="O168" i="3" s="1"/>
  <c r="P168" i="3" s="1"/>
  <c r="I142" i="3"/>
  <c r="J142" i="3" s="1"/>
  <c r="O142" i="3" s="1"/>
  <c r="P142" i="3" s="1"/>
  <c r="I133" i="3"/>
  <c r="J133" i="3" s="1"/>
  <c r="O133" i="3" s="1"/>
  <c r="P133" i="3" s="1"/>
  <c r="I559" i="12"/>
  <c r="J559" i="12" s="1"/>
  <c r="N559" i="12" s="1"/>
  <c r="O559" i="12" s="1"/>
  <c r="P559" i="12" s="1"/>
  <c r="J558" i="12"/>
  <c r="N558" i="12" s="1"/>
  <c r="O558" i="12" s="1"/>
  <c r="P558" i="12" s="1"/>
  <c r="I557" i="12"/>
  <c r="J557" i="12" s="1"/>
  <c r="N557" i="12" s="1"/>
  <c r="O557" i="12" s="1"/>
  <c r="P557" i="12" s="1"/>
  <c r="I556" i="12"/>
  <c r="J556" i="12" s="1"/>
  <c r="N556" i="12" s="1"/>
  <c r="O556" i="12" s="1"/>
  <c r="P556" i="12" s="1"/>
  <c r="J555" i="12"/>
  <c r="N555" i="12" s="1"/>
  <c r="O555" i="12" s="1"/>
  <c r="P555" i="12" s="1"/>
  <c r="I554" i="12"/>
  <c r="J554" i="12" s="1"/>
  <c r="N554" i="12" s="1"/>
  <c r="J553" i="12"/>
  <c r="N553" i="12" s="1"/>
  <c r="O553" i="12" s="1"/>
  <c r="P553" i="12" s="1"/>
  <c r="I552" i="12"/>
  <c r="J552" i="12" s="1"/>
  <c r="N552" i="12" s="1"/>
  <c r="O552" i="12" s="1"/>
  <c r="P552" i="12" s="1"/>
  <c r="I551" i="12"/>
  <c r="J551" i="12" s="1"/>
  <c r="N551" i="12" s="1"/>
  <c r="O551" i="12" s="1"/>
  <c r="P551" i="12" s="1"/>
  <c r="I550" i="12"/>
  <c r="J550" i="12" s="1"/>
  <c r="N550" i="12" s="1"/>
  <c r="O550" i="12" s="1"/>
  <c r="P550" i="12" s="1"/>
  <c r="I549" i="12"/>
  <c r="J549" i="12" s="1"/>
  <c r="N549" i="12" s="1"/>
  <c r="O549" i="12" s="1"/>
  <c r="P549" i="12" s="1"/>
  <c r="I548" i="12"/>
  <c r="J548" i="12" s="1"/>
  <c r="N548" i="12" s="1"/>
  <c r="O548" i="12" s="1"/>
  <c r="P548" i="12" s="1"/>
  <c r="I547" i="12"/>
  <c r="J547" i="12" s="1"/>
  <c r="N547" i="12" s="1"/>
  <c r="O547" i="12" s="1"/>
  <c r="P547" i="12" s="1"/>
  <c r="I546" i="12"/>
  <c r="J546" i="12" s="1"/>
  <c r="N546" i="12" s="1"/>
  <c r="O546" i="12" s="1"/>
  <c r="P546" i="12" s="1"/>
  <c r="J545" i="12"/>
  <c r="N545" i="12" s="1"/>
  <c r="O545" i="12" s="1"/>
  <c r="P545" i="12" s="1"/>
  <c r="I544" i="12"/>
  <c r="J544" i="12" s="1"/>
  <c r="N544" i="12" s="1"/>
  <c r="O544" i="12" s="1"/>
  <c r="P544" i="12" s="1"/>
  <c r="I543" i="12"/>
  <c r="J543" i="12" s="1"/>
  <c r="N543" i="12" s="1"/>
  <c r="O543" i="12" s="1"/>
  <c r="P543" i="12" s="1"/>
  <c r="I542" i="12"/>
  <c r="J542" i="12" s="1"/>
  <c r="N542" i="12" s="1"/>
  <c r="O542" i="12" s="1"/>
  <c r="P542" i="12" s="1"/>
  <c r="J541" i="12"/>
  <c r="N541" i="12" s="1"/>
  <c r="O541" i="12" s="1"/>
  <c r="P541" i="12" s="1"/>
  <c r="I540" i="12"/>
  <c r="J540" i="12" s="1"/>
  <c r="N540" i="12" s="1"/>
  <c r="O540" i="12" s="1"/>
  <c r="P540" i="12" s="1"/>
  <c r="J539" i="12"/>
  <c r="N539" i="12" s="1"/>
  <c r="O539" i="12" s="1"/>
  <c r="P539" i="12" s="1"/>
  <c r="I538" i="12"/>
  <c r="J538" i="12" s="1"/>
  <c r="N538" i="12" s="1"/>
  <c r="O538" i="12" s="1"/>
  <c r="P538" i="12" s="1"/>
  <c r="I537" i="12"/>
  <c r="J537" i="12" s="1"/>
  <c r="N537" i="12" s="1"/>
  <c r="O537" i="12" s="1"/>
  <c r="P537" i="12" s="1"/>
  <c r="I536" i="12"/>
  <c r="J536" i="12" s="1"/>
  <c r="N536" i="12" s="1"/>
  <c r="O536" i="12" s="1"/>
  <c r="P536" i="12" s="1"/>
  <c r="I535" i="12"/>
  <c r="J535" i="12" s="1"/>
  <c r="N535" i="12" s="1"/>
  <c r="O535" i="12" s="1"/>
  <c r="P535" i="12" s="1"/>
  <c r="I534" i="12"/>
  <c r="J534" i="12" s="1"/>
  <c r="N534" i="12" s="1"/>
  <c r="O534" i="12" s="1"/>
  <c r="P534" i="12" s="1"/>
  <c r="J533" i="12"/>
  <c r="N533" i="12" s="1"/>
  <c r="O533" i="12" s="1"/>
  <c r="P533" i="12" s="1"/>
  <c r="J532" i="12"/>
  <c r="N532" i="12" s="1"/>
  <c r="O532" i="12" s="1"/>
  <c r="P532" i="12" s="1"/>
  <c r="J531" i="12"/>
  <c r="N531" i="12" s="1"/>
  <c r="O531" i="12" s="1"/>
  <c r="P531" i="12" s="1"/>
  <c r="I530" i="12"/>
  <c r="J530" i="12" s="1"/>
  <c r="N530" i="12" s="1"/>
  <c r="O530" i="12" s="1"/>
  <c r="P530" i="12" s="1"/>
  <c r="I529" i="12"/>
  <c r="J529" i="12" s="1"/>
  <c r="N529" i="12" s="1"/>
  <c r="O529" i="12" s="1"/>
  <c r="P529" i="12" s="1"/>
  <c r="I528" i="12"/>
  <c r="J528" i="12" s="1"/>
  <c r="N528" i="12" s="1"/>
  <c r="O528" i="12" s="1"/>
  <c r="P528" i="12" s="1"/>
  <c r="I527" i="12"/>
  <c r="J527" i="12" s="1"/>
  <c r="N527" i="12" s="1"/>
  <c r="O527" i="12" s="1"/>
  <c r="P527" i="12" s="1"/>
  <c r="I526" i="12"/>
  <c r="J526" i="12" s="1"/>
  <c r="N526" i="12" s="1"/>
  <c r="O526" i="12" s="1"/>
  <c r="P526" i="12" s="1"/>
  <c r="I525" i="12"/>
  <c r="J525" i="12" s="1"/>
  <c r="N525" i="12" s="1"/>
  <c r="O525" i="12" s="1"/>
  <c r="P525" i="12" s="1"/>
  <c r="I524" i="12"/>
  <c r="J524" i="12" s="1"/>
  <c r="N524" i="12" s="1"/>
  <c r="O524" i="12" s="1"/>
  <c r="P524" i="12" s="1"/>
  <c r="I523" i="12"/>
  <c r="J523" i="12" s="1"/>
  <c r="N523" i="12" s="1"/>
  <c r="O523" i="12" s="1"/>
  <c r="P523" i="12" s="1"/>
  <c r="I522" i="12"/>
  <c r="J522" i="12" s="1"/>
  <c r="N522" i="12" s="1"/>
  <c r="O522" i="12" s="1"/>
  <c r="P522" i="12" s="1"/>
  <c r="I521" i="12"/>
  <c r="J521" i="12" s="1"/>
  <c r="N521" i="12" s="1"/>
  <c r="O521" i="12" s="1"/>
  <c r="P521" i="12" s="1"/>
  <c r="J520" i="12"/>
  <c r="N520" i="12" s="1"/>
  <c r="O520" i="12" s="1"/>
  <c r="P520" i="12" s="1"/>
  <c r="J519" i="12"/>
  <c r="N519" i="12" s="1"/>
  <c r="O519" i="12" s="1"/>
  <c r="P519" i="12" s="1"/>
  <c r="J518" i="12"/>
  <c r="N518" i="12" s="1"/>
  <c r="O518" i="12" s="1"/>
  <c r="P518" i="12" s="1"/>
  <c r="J517" i="12"/>
  <c r="N517" i="12" s="1"/>
  <c r="O517" i="12" s="1"/>
  <c r="P517" i="12" s="1"/>
  <c r="J516" i="12"/>
  <c r="N516" i="12" s="1"/>
  <c r="O516" i="12" s="1"/>
  <c r="P516" i="12" s="1"/>
  <c r="J515" i="12"/>
  <c r="N515" i="12" s="1"/>
  <c r="O515" i="12" s="1"/>
  <c r="P515" i="12" s="1"/>
  <c r="J514" i="12"/>
  <c r="N514" i="12" s="1"/>
  <c r="O514" i="12" s="1"/>
  <c r="P514" i="12" s="1"/>
  <c r="J513" i="12"/>
  <c r="N513" i="12" s="1"/>
  <c r="O513" i="12" s="1"/>
  <c r="P513" i="12" s="1"/>
  <c r="J512" i="12"/>
  <c r="N512" i="12" s="1"/>
  <c r="O512" i="12" s="1"/>
  <c r="P512" i="12" s="1"/>
  <c r="J511" i="12"/>
  <c r="N511" i="12" s="1"/>
  <c r="O511" i="12" s="1"/>
  <c r="P511" i="12" s="1"/>
  <c r="J510" i="12"/>
  <c r="N510" i="12" s="1"/>
  <c r="O510" i="12" s="1"/>
  <c r="P510" i="12" s="1"/>
  <c r="J509" i="12"/>
  <c r="N509" i="12" s="1"/>
  <c r="O509" i="12" s="1"/>
  <c r="P509" i="12" s="1"/>
  <c r="J508" i="12"/>
  <c r="N508" i="12" s="1"/>
  <c r="O508" i="12" s="1"/>
  <c r="P508" i="12" s="1"/>
  <c r="J507" i="12"/>
  <c r="N507" i="12" s="1"/>
  <c r="O507" i="12" s="1"/>
  <c r="P507" i="12" s="1"/>
  <c r="J506" i="12"/>
  <c r="N506" i="12" s="1"/>
  <c r="O506" i="12" s="1"/>
  <c r="P506" i="12" s="1"/>
  <c r="J505" i="12"/>
  <c r="N505" i="12" s="1"/>
  <c r="O505" i="12" s="1"/>
  <c r="P505" i="12" s="1"/>
  <c r="J504" i="12"/>
  <c r="N504" i="12" s="1"/>
  <c r="O504" i="12" s="1"/>
  <c r="P504" i="12" s="1"/>
  <c r="J503" i="12"/>
  <c r="N503" i="12" s="1"/>
  <c r="O503" i="12" s="1"/>
  <c r="P503" i="12" s="1"/>
  <c r="J502" i="12"/>
  <c r="N502" i="12" s="1"/>
  <c r="O502" i="12" s="1"/>
  <c r="P502" i="12" s="1"/>
  <c r="J501" i="12"/>
  <c r="N501" i="12" s="1"/>
  <c r="O501" i="12" s="1"/>
  <c r="P501" i="12" s="1"/>
  <c r="J500" i="12"/>
  <c r="N500" i="12" s="1"/>
  <c r="O500" i="12" s="1"/>
  <c r="P500" i="12" s="1"/>
  <c r="J499" i="12"/>
  <c r="N499" i="12" s="1"/>
  <c r="O499" i="12" s="1"/>
  <c r="P499" i="12" s="1"/>
  <c r="J498" i="12"/>
  <c r="N498" i="12" s="1"/>
  <c r="O498" i="12" s="1"/>
  <c r="P498" i="12" s="1"/>
  <c r="J497" i="12"/>
  <c r="N497" i="12" s="1"/>
  <c r="O497" i="12" s="1"/>
  <c r="P497" i="12" s="1"/>
  <c r="J496" i="12"/>
  <c r="N496" i="12" s="1"/>
  <c r="O496" i="12" s="1"/>
  <c r="P496" i="12" s="1"/>
  <c r="J495" i="12"/>
  <c r="N495" i="12" s="1"/>
  <c r="O495" i="12" s="1"/>
  <c r="P495" i="12" s="1"/>
  <c r="J494" i="12"/>
  <c r="N494" i="12" s="1"/>
  <c r="O494" i="12" s="1"/>
  <c r="P494" i="12" s="1"/>
  <c r="J493" i="12"/>
  <c r="N493" i="12" s="1"/>
  <c r="O493" i="12" s="1"/>
  <c r="P493" i="12" s="1"/>
  <c r="J492" i="12"/>
  <c r="N492" i="12" s="1"/>
  <c r="O492" i="12" s="1"/>
  <c r="P492" i="12" s="1"/>
  <c r="J491" i="12"/>
  <c r="N491" i="12" s="1"/>
  <c r="O491" i="12" s="1"/>
  <c r="P491" i="12" s="1"/>
  <c r="J490" i="12"/>
  <c r="N490" i="12" s="1"/>
  <c r="O490" i="12" s="1"/>
  <c r="P490" i="12" s="1"/>
  <c r="J489" i="12"/>
  <c r="N489" i="12" s="1"/>
  <c r="O489" i="12" s="1"/>
  <c r="P489" i="12" s="1"/>
  <c r="J488" i="12"/>
  <c r="N488" i="12" s="1"/>
  <c r="O488" i="12" s="1"/>
  <c r="P488" i="12" s="1"/>
  <c r="J487" i="12"/>
  <c r="N487" i="12" s="1"/>
  <c r="O487" i="12" s="1"/>
  <c r="P487" i="12" s="1"/>
  <c r="J486" i="12"/>
  <c r="N486" i="12" s="1"/>
  <c r="O486" i="12" s="1"/>
  <c r="P486" i="12" s="1"/>
  <c r="J485" i="12"/>
  <c r="N485" i="12" s="1"/>
  <c r="O485" i="12" s="1"/>
  <c r="P485" i="12" s="1"/>
  <c r="I29" i="10"/>
  <c r="J29" i="10" s="1"/>
  <c r="N29" i="10" s="1"/>
  <c r="O29" i="10" s="1"/>
  <c r="P29" i="10" s="1"/>
  <c r="I24" i="10"/>
  <c r="J24" i="10" s="1"/>
  <c r="N24" i="10" s="1"/>
  <c r="O24" i="10" s="1"/>
  <c r="P24" i="10" s="1"/>
  <c r="J484" i="12"/>
  <c r="N484" i="12" s="1"/>
  <c r="O484" i="12" s="1"/>
  <c r="P484" i="12" s="1"/>
  <c r="J483" i="12"/>
  <c r="N483" i="12" s="1"/>
  <c r="O483" i="12" s="1"/>
  <c r="P483" i="12" s="1"/>
  <c r="I482" i="12"/>
  <c r="J482" i="12" s="1"/>
  <c r="N482" i="12" s="1"/>
  <c r="O482" i="12" s="1"/>
  <c r="P482" i="12" s="1"/>
  <c r="J481" i="12"/>
  <c r="N481" i="12" s="1"/>
  <c r="O481" i="12" s="1"/>
  <c r="P481" i="12" s="1"/>
  <c r="J480" i="12"/>
  <c r="N480" i="12" s="1"/>
  <c r="O480" i="12" s="1"/>
  <c r="P480" i="12" s="1"/>
  <c r="J479" i="12"/>
  <c r="N479" i="12" s="1"/>
  <c r="O479" i="12" s="1"/>
  <c r="P479" i="12" s="1"/>
  <c r="J478" i="12"/>
  <c r="N478" i="12" s="1"/>
  <c r="O478" i="12" s="1"/>
  <c r="P478" i="12" s="1"/>
  <c r="J477" i="12"/>
  <c r="N477" i="12" s="1"/>
  <c r="O477" i="12" s="1"/>
  <c r="P477" i="12" s="1"/>
  <c r="J476" i="12"/>
  <c r="N476" i="12" s="1"/>
  <c r="O476" i="12" s="1"/>
  <c r="P476" i="12" s="1"/>
  <c r="J475" i="12"/>
  <c r="N475" i="12" s="1"/>
  <c r="O475" i="12" s="1"/>
  <c r="P475" i="12" s="1"/>
  <c r="J474" i="12"/>
  <c r="N474" i="12" s="1"/>
  <c r="O474" i="12" s="1"/>
  <c r="P474" i="12" s="1"/>
  <c r="J473" i="12"/>
  <c r="N473" i="12" s="1"/>
  <c r="O473" i="12" s="1"/>
  <c r="P473" i="12" s="1"/>
  <c r="J472" i="12"/>
  <c r="N472" i="12" s="1"/>
  <c r="O472" i="12" s="1"/>
  <c r="P472" i="12" s="1"/>
  <c r="J471" i="12"/>
  <c r="N471" i="12" s="1"/>
  <c r="O471" i="12" s="1"/>
  <c r="P471" i="12" s="1"/>
  <c r="J470" i="12"/>
  <c r="N470" i="12" s="1"/>
  <c r="O470" i="12" s="1"/>
  <c r="P470" i="12" s="1"/>
  <c r="J469" i="12"/>
  <c r="N469" i="12" s="1"/>
  <c r="O469" i="12" s="1"/>
  <c r="P469" i="12" s="1"/>
  <c r="J468" i="12"/>
  <c r="N468" i="12" s="1"/>
  <c r="O468" i="12" s="1"/>
  <c r="P468" i="12" s="1"/>
  <c r="J467" i="12"/>
  <c r="N467" i="12" s="1"/>
  <c r="O467" i="12" s="1"/>
  <c r="P467" i="12" s="1"/>
  <c r="J466" i="12"/>
  <c r="N466" i="12" s="1"/>
  <c r="O466" i="12" s="1"/>
  <c r="P466" i="12" s="1"/>
  <c r="J465" i="12"/>
  <c r="N465" i="12" s="1"/>
  <c r="O465" i="12" s="1"/>
  <c r="P465" i="12" s="1"/>
  <c r="J464" i="12"/>
  <c r="N464" i="12" s="1"/>
  <c r="O464" i="12" s="1"/>
  <c r="P464" i="12" s="1"/>
  <c r="J463" i="12"/>
  <c r="N463" i="12" s="1"/>
  <c r="O463" i="12" s="1"/>
  <c r="P463" i="12" s="1"/>
  <c r="J462" i="12"/>
  <c r="N462" i="12" s="1"/>
  <c r="O462" i="12" s="1"/>
  <c r="P462" i="12" s="1"/>
  <c r="J461" i="12"/>
  <c r="N461" i="12" s="1"/>
  <c r="O461" i="12" s="1"/>
  <c r="P461" i="12" s="1"/>
  <c r="J460" i="12"/>
  <c r="N460" i="12" s="1"/>
  <c r="O460" i="12" s="1"/>
  <c r="P460" i="12" s="1"/>
  <c r="J459" i="12"/>
  <c r="N459" i="12" s="1"/>
  <c r="O459" i="12" s="1"/>
  <c r="P459" i="12" s="1"/>
  <c r="I458" i="12"/>
  <c r="J458" i="12" s="1"/>
  <c r="N458" i="12" s="1"/>
  <c r="O458" i="12" s="1"/>
  <c r="P458" i="12" s="1"/>
  <c r="J457" i="12"/>
  <c r="N457" i="12" s="1"/>
  <c r="O457" i="12" s="1"/>
  <c r="P457" i="12" s="1"/>
  <c r="J456" i="12"/>
  <c r="N456" i="12" s="1"/>
  <c r="O456" i="12" s="1"/>
  <c r="P456" i="12" s="1"/>
  <c r="J455" i="12"/>
  <c r="N455" i="12" s="1"/>
  <c r="O455" i="12" s="1"/>
  <c r="P455" i="12" s="1"/>
  <c r="J454" i="12"/>
  <c r="N454" i="12" s="1"/>
  <c r="O454" i="12" s="1"/>
  <c r="P454" i="12" s="1"/>
  <c r="J453" i="12"/>
  <c r="N453" i="12" s="1"/>
  <c r="O453" i="12" s="1"/>
  <c r="P453" i="12" s="1"/>
  <c r="J452" i="12"/>
  <c r="N452" i="12" s="1"/>
  <c r="O452" i="12" s="1"/>
  <c r="P452" i="12" s="1"/>
  <c r="J451" i="12"/>
  <c r="N451" i="12" s="1"/>
  <c r="O451" i="12" s="1"/>
  <c r="P451" i="12" s="1"/>
  <c r="I450" i="12"/>
  <c r="J450" i="12" s="1"/>
  <c r="N450" i="12" s="1"/>
  <c r="O450" i="12" s="1"/>
  <c r="P450" i="12" s="1"/>
  <c r="I449" i="12"/>
  <c r="J449" i="12" s="1"/>
  <c r="N449" i="12" s="1"/>
  <c r="O449" i="12" s="1"/>
  <c r="P449" i="12" s="1"/>
  <c r="J448" i="12"/>
  <c r="N448" i="12" s="1"/>
  <c r="O448" i="12" s="1"/>
  <c r="P448" i="12" s="1"/>
  <c r="J447" i="12"/>
  <c r="N447" i="12" s="1"/>
  <c r="O447" i="12" s="1"/>
  <c r="P447" i="12" s="1"/>
  <c r="J446" i="12"/>
  <c r="N446" i="12" s="1"/>
  <c r="O446" i="12" s="1"/>
  <c r="P446" i="12" s="1"/>
  <c r="I445" i="12"/>
  <c r="J445" i="12" s="1"/>
  <c r="N445" i="12" s="1"/>
  <c r="O445" i="12" s="1"/>
  <c r="P445" i="12" s="1"/>
  <c r="J444" i="12"/>
  <c r="N444" i="12" s="1"/>
  <c r="O444" i="12" s="1"/>
  <c r="P444" i="12" s="1"/>
  <c r="J443" i="12"/>
  <c r="N443" i="12" s="1"/>
  <c r="O443" i="12" s="1"/>
  <c r="P443" i="12" s="1"/>
  <c r="J442" i="12"/>
  <c r="N442" i="12" s="1"/>
  <c r="O442" i="12" s="1"/>
  <c r="P442" i="12" s="1"/>
  <c r="J441" i="12"/>
  <c r="N441" i="12" s="1"/>
  <c r="O441" i="12" s="1"/>
  <c r="P441" i="12" s="1"/>
  <c r="J440" i="12"/>
  <c r="N440" i="12" s="1"/>
  <c r="O440" i="12" s="1"/>
  <c r="P440" i="12" s="1"/>
  <c r="J439" i="12"/>
  <c r="N439" i="12" s="1"/>
  <c r="O439" i="12" s="1"/>
  <c r="P439" i="12" s="1"/>
  <c r="J438" i="12"/>
  <c r="N438" i="12" s="1"/>
  <c r="O438" i="12" s="1"/>
  <c r="P438" i="12" s="1"/>
  <c r="J437" i="12"/>
  <c r="N437" i="12" s="1"/>
  <c r="O437" i="12" s="1"/>
  <c r="P437" i="12" s="1"/>
  <c r="J436" i="12"/>
  <c r="N436" i="12" s="1"/>
  <c r="O436" i="12" s="1"/>
  <c r="P436" i="12" s="1"/>
  <c r="J435" i="12"/>
  <c r="N435" i="12" s="1"/>
  <c r="O435" i="12" s="1"/>
  <c r="P435" i="12" s="1"/>
  <c r="J434" i="12"/>
  <c r="N434" i="12" s="1"/>
  <c r="O434" i="12" s="1"/>
  <c r="P434" i="12" s="1"/>
  <c r="J433" i="12"/>
  <c r="N433" i="12" s="1"/>
  <c r="O433" i="12" s="1"/>
  <c r="P433" i="12" s="1"/>
  <c r="I432" i="12"/>
  <c r="J432" i="12" s="1"/>
  <c r="N432" i="12" s="1"/>
  <c r="O432" i="12" s="1"/>
  <c r="P432" i="12" s="1"/>
  <c r="J431" i="12"/>
  <c r="N431" i="12" s="1"/>
  <c r="O431" i="12" s="1"/>
  <c r="P431" i="12" s="1"/>
  <c r="J430" i="12"/>
  <c r="N430" i="12" s="1"/>
  <c r="O430" i="12" s="1"/>
  <c r="P430" i="12" s="1"/>
  <c r="J429" i="12"/>
  <c r="N429" i="12" s="1"/>
  <c r="O429" i="12" s="1"/>
  <c r="P429" i="12" s="1"/>
  <c r="J428" i="12"/>
  <c r="N428" i="12" s="1"/>
  <c r="O428" i="12" s="1"/>
  <c r="P428" i="12" s="1"/>
  <c r="J427" i="12"/>
  <c r="N427" i="12" s="1"/>
  <c r="O427" i="12" s="1"/>
  <c r="P427" i="12" s="1"/>
  <c r="J426" i="12"/>
  <c r="N426" i="12" s="1"/>
  <c r="O426" i="12" s="1"/>
  <c r="P426" i="12" s="1"/>
  <c r="J425" i="12"/>
  <c r="N425" i="12" s="1"/>
  <c r="O425" i="12" s="1"/>
  <c r="P425" i="12" s="1"/>
  <c r="J424" i="12"/>
  <c r="N424" i="12" s="1"/>
  <c r="O424" i="12" s="1"/>
  <c r="P424" i="12" s="1"/>
  <c r="J423" i="12"/>
  <c r="N423" i="12" s="1"/>
  <c r="O423" i="12" s="1"/>
  <c r="P423" i="12" s="1"/>
  <c r="J422" i="12"/>
  <c r="N422" i="12" s="1"/>
  <c r="O422" i="12" s="1"/>
  <c r="P422" i="12" s="1"/>
  <c r="I421" i="12"/>
  <c r="J421" i="12" s="1"/>
  <c r="N421" i="12" s="1"/>
  <c r="O421" i="12" s="1"/>
  <c r="P421" i="12" s="1"/>
  <c r="I420" i="12"/>
  <c r="J420" i="12" s="1"/>
  <c r="N420" i="12" s="1"/>
  <c r="O420" i="12" s="1"/>
  <c r="P420" i="12" s="1"/>
  <c r="J419" i="12"/>
  <c r="N419" i="12" s="1"/>
  <c r="O419" i="12" s="1"/>
  <c r="P419" i="12" s="1"/>
  <c r="J418" i="12"/>
  <c r="N418" i="12" s="1"/>
  <c r="O418" i="12" s="1"/>
  <c r="P418" i="12" s="1"/>
  <c r="J417" i="12"/>
  <c r="N417" i="12" s="1"/>
  <c r="O417" i="12" s="1"/>
  <c r="P417" i="12" s="1"/>
  <c r="J416" i="12"/>
  <c r="N416" i="12" s="1"/>
  <c r="O416" i="12" s="1"/>
  <c r="P416" i="12" s="1"/>
  <c r="J415" i="12"/>
  <c r="N415" i="12" s="1"/>
  <c r="O415" i="12" s="1"/>
  <c r="P415" i="12" s="1"/>
  <c r="I414" i="12"/>
  <c r="J414" i="12" s="1"/>
  <c r="N414" i="12" s="1"/>
  <c r="J413" i="12"/>
  <c r="N413" i="12" s="1"/>
  <c r="O413" i="12" s="1"/>
  <c r="P413" i="12" s="1"/>
  <c r="J412" i="12"/>
  <c r="N412" i="12" s="1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I156" i="5"/>
  <c r="J156" i="5" s="1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411" i="12"/>
  <c r="O411" i="12" s="1"/>
  <c r="P411" i="12" s="1"/>
  <c r="J410" i="12"/>
  <c r="O410" i="12" s="1"/>
  <c r="P410" i="12" s="1"/>
  <c r="J409" i="12"/>
  <c r="O409" i="12" s="1"/>
  <c r="P409" i="12" s="1"/>
  <c r="J408" i="12"/>
  <c r="O408" i="12" s="1"/>
  <c r="P408" i="12" s="1"/>
  <c r="J407" i="12"/>
  <c r="O407" i="12" s="1"/>
  <c r="P407" i="12" s="1"/>
  <c r="J406" i="12"/>
  <c r="O406" i="12" s="1"/>
  <c r="P406" i="12" s="1"/>
  <c r="J405" i="12"/>
  <c r="O405" i="12" s="1"/>
  <c r="P405" i="12" s="1"/>
  <c r="J404" i="12"/>
  <c r="O404" i="12" s="1"/>
  <c r="P404" i="12" s="1"/>
  <c r="J403" i="12"/>
  <c r="O403" i="12" s="1"/>
  <c r="P403" i="12" s="1"/>
  <c r="J402" i="12"/>
  <c r="O402" i="12" s="1"/>
  <c r="P402" i="12" s="1"/>
  <c r="J401" i="12"/>
  <c r="O401" i="12" s="1"/>
  <c r="P401" i="12" s="1"/>
  <c r="J400" i="12"/>
  <c r="O400" i="12" s="1"/>
  <c r="P400" i="12" s="1"/>
  <c r="J399" i="12"/>
  <c r="O399" i="12" s="1"/>
  <c r="P399" i="12" s="1"/>
  <c r="J398" i="12"/>
  <c r="O398" i="12" s="1"/>
  <c r="P398" i="12" s="1"/>
  <c r="J397" i="12"/>
  <c r="O397" i="12" s="1"/>
  <c r="P397" i="12" s="1"/>
  <c r="J396" i="12"/>
  <c r="O396" i="12" s="1"/>
  <c r="P396" i="12" s="1"/>
  <c r="J395" i="12"/>
  <c r="N395" i="12" s="1"/>
  <c r="J394" i="12"/>
  <c r="N394" i="12" s="1"/>
  <c r="O394" i="12" s="1"/>
  <c r="P394" i="12" s="1"/>
  <c r="J393" i="12"/>
  <c r="N393" i="12" s="1"/>
  <c r="O393" i="12" s="1"/>
  <c r="P393" i="12" s="1"/>
  <c r="J392" i="12"/>
  <c r="N392" i="12" s="1"/>
  <c r="O392" i="12" s="1"/>
  <c r="P392" i="12" s="1"/>
  <c r="J391" i="12"/>
  <c r="N391" i="12" s="1"/>
  <c r="O391" i="12" s="1"/>
  <c r="P391" i="12" s="1"/>
  <c r="J390" i="12"/>
  <c r="N390" i="12" s="1"/>
  <c r="O390" i="12" s="1"/>
  <c r="P390" i="12" s="1"/>
  <c r="J389" i="12"/>
  <c r="N389" i="12" s="1"/>
  <c r="O389" i="12" s="1"/>
  <c r="P389" i="12" s="1"/>
  <c r="J388" i="12"/>
  <c r="N388" i="12" s="1"/>
  <c r="O388" i="12" s="1"/>
  <c r="P388" i="12" s="1"/>
  <c r="J387" i="12"/>
  <c r="N387" i="12" s="1"/>
  <c r="O387" i="12" s="1"/>
  <c r="P387" i="12" s="1"/>
  <c r="J386" i="12"/>
  <c r="N386" i="12" s="1"/>
  <c r="O386" i="12" s="1"/>
  <c r="P386" i="12" s="1"/>
  <c r="J385" i="12"/>
  <c r="N385" i="12" s="1"/>
  <c r="O385" i="12" s="1"/>
  <c r="P385" i="12" s="1"/>
  <c r="J384" i="12"/>
  <c r="N384" i="12" s="1"/>
  <c r="O384" i="12" s="1"/>
  <c r="P384" i="12" s="1"/>
  <c r="J383" i="12"/>
  <c r="N383" i="12" s="1"/>
  <c r="O383" i="12" s="1"/>
  <c r="P383" i="12" s="1"/>
  <c r="J382" i="12"/>
  <c r="N382" i="12" s="1"/>
  <c r="O382" i="12" s="1"/>
  <c r="P382" i="12" s="1"/>
  <c r="J381" i="12"/>
  <c r="N381" i="12" s="1"/>
  <c r="O381" i="12" s="1"/>
  <c r="P381" i="12" s="1"/>
  <c r="J380" i="12"/>
  <c r="N380" i="12" s="1"/>
  <c r="O380" i="12" s="1"/>
  <c r="P380" i="12" s="1"/>
  <c r="J379" i="12"/>
  <c r="N379" i="12" s="1"/>
  <c r="O379" i="12" s="1"/>
  <c r="P379" i="12" s="1"/>
  <c r="J378" i="12"/>
  <c r="N378" i="12" s="1"/>
  <c r="O378" i="12" s="1"/>
  <c r="P378" i="12" s="1"/>
  <c r="J377" i="12"/>
  <c r="N377" i="12" s="1"/>
  <c r="O377" i="12" s="1"/>
  <c r="P377" i="12" s="1"/>
  <c r="J376" i="12"/>
  <c r="N376" i="12" s="1"/>
  <c r="O376" i="12" s="1"/>
  <c r="P376" i="12" s="1"/>
  <c r="J375" i="12"/>
  <c r="N375" i="12" s="1"/>
  <c r="O375" i="12" s="1"/>
  <c r="P375" i="12" s="1"/>
  <c r="J374" i="12"/>
  <c r="N374" i="12" s="1"/>
  <c r="O374" i="12" s="1"/>
  <c r="P374" i="12" s="1"/>
  <c r="J373" i="12"/>
  <c r="N373" i="12" s="1"/>
  <c r="O373" i="12" s="1"/>
  <c r="P373" i="12" s="1"/>
  <c r="J372" i="12"/>
  <c r="N372" i="12" s="1"/>
  <c r="O372" i="12" s="1"/>
  <c r="P372" i="12" s="1"/>
  <c r="J371" i="12"/>
  <c r="N371" i="12" s="1"/>
  <c r="O371" i="12" s="1"/>
  <c r="P371" i="12" s="1"/>
  <c r="J370" i="12"/>
  <c r="N370" i="12" s="1"/>
  <c r="O370" i="12" s="1"/>
  <c r="P370" i="12" s="1"/>
  <c r="J369" i="12"/>
  <c r="N369" i="12" s="1"/>
  <c r="O369" i="12" s="1"/>
  <c r="P369" i="12" s="1"/>
  <c r="J368" i="12"/>
  <c r="N368" i="12" s="1"/>
  <c r="O368" i="12" s="1"/>
  <c r="P368" i="12" s="1"/>
  <c r="J367" i="12"/>
  <c r="N367" i="12" s="1"/>
  <c r="O367" i="12" s="1"/>
  <c r="P367" i="12" s="1"/>
  <c r="J366" i="12"/>
  <c r="N366" i="12" s="1"/>
  <c r="O366" i="12" s="1"/>
  <c r="P366" i="12" s="1"/>
  <c r="J365" i="12"/>
  <c r="N365" i="12" s="1"/>
  <c r="O365" i="12" s="1"/>
  <c r="P365" i="12" s="1"/>
  <c r="J364" i="12"/>
  <c r="N364" i="12" s="1"/>
  <c r="O364" i="12" s="1"/>
  <c r="P364" i="12" s="1"/>
  <c r="J363" i="12"/>
  <c r="N363" i="12" s="1"/>
  <c r="O363" i="12" s="1"/>
  <c r="P363" i="12" s="1"/>
  <c r="J362" i="12"/>
  <c r="N362" i="12" s="1"/>
  <c r="O362" i="12" s="1"/>
  <c r="P362" i="12" s="1"/>
  <c r="J361" i="12"/>
  <c r="N361" i="12" s="1"/>
  <c r="O361" i="12" s="1"/>
  <c r="P361" i="12" s="1"/>
  <c r="J360" i="12"/>
  <c r="N360" i="12" s="1"/>
  <c r="O360" i="12" s="1"/>
  <c r="P360" i="12" s="1"/>
  <c r="J359" i="12"/>
  <c r="N359" i="12" s="1"/>
  <c r="O359" i="12" s="1"/>
  <c r="P359" i="12" s="1"/>
  <c r="J358" i="12"/>
  <c r="N358" i="12" s="1"/>
  <c r="O358" i="12" s="1"/>
  <c r="P358" i="12" s="1"/>
  <c r="J357" i="12"/>
  <c r="N357" i="12" s="1"/>
  <c r="O357" i="12" s="1"/>
  <c r="P357" i="12" s="1"/>
  <c r="J356" i="12"/>
  <c r="N356" i="12" s="1"/>
  <c r="O356" i="12" s="1"/>
  <c r="P356" i="12" s="1"/>
  <c r="J355" i="12"/>
  <c r="N355" i="12" s="1"/>
  <c r="O355" i="12" s="1"/>
  <c r="P355" i="12" s="1"/>
  <c r="J354" i="12"/>
  <c r="N354" i="12" s="1"/>
  <c r="O354" i="12" s="1"/>
  <c r="P354" i="12" s="1"/>
  <c r="J353" i="12"/>
  <c r="N353" i="12" s="1"/>
  <c r="O353" i="12" s="1"/>
  <c r="P353" i="12" s="1"/>
  <c r="J352" i="12"/>
  <c r="N352" i="12" s="1"/>
  <c r="O352" i="12" s="1"/>
  <c r="P352" i="12" s="1"/>
  <c r="J351" i="12"/>
  <c r="N351" i="12" s="1"/>
  <c r="O351" i="12" s="1"/>
  <c r="P351" i="12" s="1"/>
  <c r="J350" i="12"/>
  <c r="N350" i="12" s="1"/>
  <c r="O350" i="12" s="1"/>
  <c r="P350" i="12" s="1"/>
  <c r="J349" i="12"/>
  <c r="N349" i="12" s="1"/>
  <c r="O349" i="12" s="1"/>
  <c r="P349" i="12" s="1"/>
  <c r="J348" i="12"/>
  <c r="N348" i="12" s="1"/>
  <c r="O348" i="12" s="1"/>
  <c r="P348" i="12" s="1"/>
  <c r="J347" i="12"/>
  <c r="N347" i="12" s="1"/>
  <c r="O347" i="12" s="1"/>
  <c r="P347" i="12" s="1"/>
  <c r="J346" i="12"/>
  <c r="N346" i="12" s="1"/>
  <c r="O346" i="12" s="1"/>
  <c r="P346" i="12" s="1"/>
  <c r="J345" i="12"/>
  <c r="N345" i="12" s="1"/>
  <c r="O345" i="12" s="1"/>
  <c r="P345" i="12" s="1"/>
  <c r="J344" i="12"/>
  <c r="N344" i="12" s="1"/>
  <c r="O344" i="12" s="1"/>
  <c r="P344" i="12" s="1"/>
  <c r="J343" i="12"/>
  <c r="N343" i="12" s="1"/>
  <c r="O343" i="12" s="1"/>
  <c r="P343" i="12" s="1"/>
  <c r="J342" i="12"/>
  <c r="N342" i="12" s="1"/>
  <c r="O342" i="12" s="1"/>
  <c r="P342" i="12" s="1"/>
  <c r="J341" i="12"/>
  <c r="N341" i="12" s="1"/>
  <c r="O341" i="12" s="1"/>
  <c r="P341" i="12" s="1"/>
  <c r="J340" i="12"/>
  <c r="N340" i="12" s="1"/>
  <c r="O340" i="12" s="1"/>
  <c r="P340" i="12" s="1"/>
  <c r="J339" i="12"/>
  <c r="N339" i="12" s="1"/>
  <c r="O339" i="12" s="1"/>
  <c r="P339" i="12" s="1"/>
  <c r="J338" i="12"/>
  <c r="N338" i="12" s="1"/>
  <c r="O338" i="12" s="1"/>
  <c r="P338" i="12" s="1"/>
  <c r="J337" i="12"/>
  <c r="N337" i="12" s="1"/>
  <c r="O337" i="12" s="1"/>
  <c r="P337" i="12" s="1"/>
  <c r="J336" i="12"/>
  <c r="N336" i="12" s="1"/>
  <c r="O336" i="12" s="1"/>
  <c r="P336" i="12" s="1"/>
  <c r="J335" i="12"/>
  <c r="N335" i="12" s="1"/>
  <c r="O335" i="12" s="1"/>
  <c r="P335" i="12" s="1"/>
  <c r="J334" i="12"/>
  <c r="N334" i="12" s="1"/>
  <c r="O334" i="12" s="1"/>
  <c r="P334" i="12" s="1"/>
  <c r="J333" i="12"/>
  <c r="N333" i="12" s="1"/>
  <c r="O333" i="12" s="1"/>
  <c r="P333" i="12" s="1"/>
  <c r="J332" i="12"/>
  <c r="N332" i="12" s="1"/>
  <c r="O332" i="12" s="1"/>
  <c r="P332" i="12" s="1"/>
  <c r="J331" i="12"/>
  <c r="N331" i="12" s="1"/>
  <c r="O331" i="12" s="1"/>
  <c r="P331" i="12" s="1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I330" i="12"/>
  <c r="J330" i="12" s="1"/>
  <c r="N330" i="12" s="1"/>
  <c r="O330" i="12" s="1"/>
  <c r="P330" i="12" s="1"/>
  <c r="J329" i="12"/>
  <c r="N329" i="12" s="1"/>
  <c r="O329" i="12" s="1"/>
  <c r="P329" i="12" s="1"/>
  <c r="J328" i="12"/>
  <c r="N328" i="12" s="1"/>
  <c r="O328" i="12" s="1"/>
  <c r="P328" i="12" s="1"/>
  <c r="J327" i="12"/>
  <c r="N327" i="12" s="1"/>
  <c r="O327" i="12" s="1"/>
  <c r="P327" i="12" s="1"/>
  <c r="J326" i="12"/>
  <c r="N326" i="12" s="1"/>
  <c r="O326" i="12" s="1"/>
  <c r="P326" i="12" s="1"/>
  <c r="J325" i="12"/>
  <c r="N325" i="12" s="1"/>
  <c r="O325" i="12" s="1"/>
  <c r="P325" i="12" s="1"/>
  <c r="J324" i="12"/>
  <c r="N324" i="12" s="1"/>
  <c r="O324" i="12" s="1"/>
  <c r="P324" i="12" s="1"/>
  <c r="J323" i="12"/>
  <c r="N323" i="12" s="1"/>
  <c r="O323" i="12" s="1"/>
  <c r="P323" i="12" s="1"/>
  <c r="J322" i="12"/>
  <c r="N322" i="12" s="1"/>
  <c r="O322" i="12" s="1"/>
  <c r="P322" i="12" s="1"/>
  <c r="J321" i="12"/>
  <c r="N321" i="12" s="1"/>
  <c r="O321" i="12" s="1"/>
  <c r="P321" i="12" s="1"/>
  <c r="I320" i="12"/>
  <c r="J320" i="12" s="1"/>
  <c r="N320" i="12" s="1"/>
  <c r="O320" i="12" s="1"/>
  <c r="P320" i="12" s="1"/>
  <c r="I319" i="12"/>
  <c r="J319" i="12" s="1"/>
  <c r="N319" i="12" s="1"/>
  <c r="O319" i="12" s="1"/>
  <c r="P319" i="12" s="1"/>
  <c r="J318" i="12"/>
  <c r="N318" i="12" s="1"/>
  <c r="O318" i="12" s="1"/>
  <c r="P318" i="12" s="1"/>
  <c r="J317" i="12"/>
  <c r="N317" i="12" s="1"/>
  <c r="O317" i="12" s="1"/>
  <c r="P317" i="12" s="1"/>
  <c r="J316" i="12"/>
  <c r="N316" i="12" s="1"/>
  <c r="O316" i="12" s="1"/>
  <c r="P316" i="12" s="1"/>
  <c r="J315" i="12"/>
  <c r="N315" i="12" s="1"/>
  <c r="O315" i="12" s="1"/>
  <c r="P315" i="12" s="1"/>
  <c r="J314" i="12"/>
  <c r="N314" i="12" s="1"/>
  <c r="O314" i="12" s="1"/>
  <c r="P314" i="12" s="1"/>
  <c r="J313" i="12"/>
  <c r="N313" i="12" s="1"/>
  <c r="O313" i="12" s="1"/>
  <c r="P313" i="12" s="1"/>
  <c r="J312" i="12"/>
  <c r="N312" i="12" s="1"/>
  <c r="O312" i="12" s="1"/>
  <c r="P312" i="12" s="1"/>
  <c r="J311" i="12"/>
  <c r="N311" i="12" s="1"/>
  <c r="O311" i="12" s="1"/>
  <c r="P311" i="12" s="1"/>
  <c r="J310" i="12"/>
  <c r="N310" i="12" s="1"/>
  <c r="O310" i="12" s="1"/>
  <c r="P310" i="12" s="1"/>
  <c r="J309" i="12"/>
  <c r="N309" i="12" s="1"/>
  <c r="O309" i="12" s="1"/>
  <c r="P309" i="12" s="1"/>
  <c r="J308" i="12"/>
  <c r="N308" i="12" s="1"/>
  <c r="O308" i="12" s="1"/>
  <c r="P308" i="12" s="1"/>
  <c r="I307" i="12"/>
  <c r="J307" i="12" s="1"/>
  <c r="N307" i="12" s="1"/>
  <c r="O307" i="12" s="1"/>
  <c r="P307" i="12" s="1"/>
  <c r="J306" i="12"/>
  <c r="N306" i="12" s="1"/>
  <c r="O306" i="12" s="1"/>
  <c r="P306" i="12" s="1"/>
  <c r="J305" i="12"/>
  <c r="N305" i="12" s="1"/>
  <c r="O305" i="12" s="1"/>
  <c r="P305" i="12" s="1"/>
  <c r="I304" i="12"/>
  <c r="J304" i="12" s="1"/>
  <c r="N304" i="12" s="1"/>
  <c r="O304" i="12" s="1"/>
  <c r="P304" i="12" s="1"/>
  <c r="J303" i="12"/>
  <c r="N303" i="12" s="1"/>
  <c r="O303" i="12" s="1"/>
  <c r="P303" i="12" s="1"/>
  <c r="J302" i="12"/>
  <c r="N302" i="12" s="1"/>
  <c r="O302" i="12" s="1"/>
  <c r="P302" i="12" s="1"/>
  <c r="J301" i="12"/>
  <c r="N301" i="12" s="1"/>
  <c r="O301" i="12" s="1"/>
  <c r="P301" i="12" s="1"/>
  <c r="J300" i="12"/>
  <c r="N300" i="12" s="1"/>
  <c r="O300" i="12" s="1"/>
  <c r="P300" i="12" s="1"/>
  <c r="J299" i="12"/>
  <c r="N299" i="12" s="1"/>
  <c r="O299" i="12" s="1"/>
  <c r="P299" i="12" s="1"/>
  <c r="J298" i="12"/>
  <c r="N298" i="12" s="1"/>
  <c r="O298" i="12" s="1"/>
  <c r="P298" i="12" s="1"/>
  <c r="J297" i="12"/>
  <c r="N297" i="12" s="1"/>
  <c r="O297" i="12" s="1"/>
  <c r="P297" i="12" s="1"/>
  <c r="J296" i="12"/>
  <c r="N296" i="12" s="1"/>
  <c r="O296" i="12" s="1"/>
  <c r="P296" i="12" s="1"/>
  <c r="I295" i="12"/>
  <c r="J295" i="12" s="1"/>
  <c r="N295" i="12" s="1"/>
  <c r="O295" i="12" s="1"/>
  <c r="P295" i="12" s="1"/>
  <c r="J294" i="12"/>
  <c r="N294" i="12" s="1"/>
  <c r="O294" i="12" s="1"/>
  <c r="P294" i="12" s="1"/>
  <c r="J293" i="12"/>
  <c r="N293" i="12" s="1"/>
  <c r="O293" i="12" s="1"/>
  <c r="P293" i="12" s="1"/>
  <c r="J292" i="12"/>
  <c r="N292" i="12" s="1"/>
  <c r="O292" i="12" s="1"/>
  <c r="P292" i="12" s="1"/>
  <c r="J291" i="12"/>
  <c r="N291" i="12" s="1"/>
  <c r="O291" i="12" s="1"/>
  <c r="P291" i="12" s="1"/>
  <c r="J290" i="12"/>
  <c r="N290" i="12" s="1"/>
  <c r="O290" i="12" s="1"/>
  <c r="P290" i="12" s="1"/>
  <c r="J289" i="12"/>
  <c r="N289" i="12" s="1"/>
  <c r="O289" i="12" s="1"/>
  <c r="P289" i="12" s="1"/>
  <c r="J288" i="12"/>
  <c r="N288" i="12" s="1"/>
  <c r="O288" i="12" s="1"/>
  <c r="P288" i="12" s="1"/>
  <c r="J287" i="12"/>
  <c r="N287" i="12" s="1"/>
  <c r="O287" i="12" s="1"/>
  <c r="P287" i="12" s="1"/>
  <c r="J286" i="12"/>
  <c r="N286" i="12" s="1"/>
  <c r="O286" i="12" s="1"/>
  <c r="P286" i="12" s="1"/>
  <c r="J285" i="12"/>
  <c r="N285" i="12" s="1"/>
  <c r="O285" i="12" s="1"/>
  <c r="P285" i="12" s="1"/>
  <c r="J284" i="12"/>
  <c r="N284" i="12" s="1"/>
  <c r="O284" i="12" s="1"/>
  <c r="P284" i="12" s="1"/>
  <c r="I283" i="12"/>
  <c r="J283" i="12" s="1"/>
  <c r="N283" i="12" s="1"/>
  <c r="O283" i="12" s="1"/>
  <c r="P283" i="12" s="1"/>
  <c r="J282" i="12"/>
  <c r="N282" i="12" s="1"/>
  <c r="O282" i="12" s="1"/>
  <c r="P282" i="12" s="1"/>
  <c r="J281" i="12"/>
  <c r="N281" i="12" s="1"/>
  <c r="O281" i="12" s="1"/>
  <c r="P281" i="12" s="1"/>
  <c r="J280" i="12"/>
  <c r="N280" i="12" s="1"/>
  <c r="O280" i="12" s="1"/>
  <c r="P280" i="12" s="1"/>
  <c r="J279" i="12"/>
  <c r="N279" i="12" s="1"/>
  <c r="O279" i="12" s="1"/>
  <c r="P279" i="12" s="1"/>
  <c r="J278" i="12"/>
  <c r="N278" i="12" s="1"/>
  <c r="O278" i="12" s="1"/>
  <c r="P278" i="12" s="1"/>
  <c r="J277" i="12"/>
  <c r="N277" i="12" s="1"/>
  <c r="O277" i="12" s="1"/>
  <c r="P277" i="12" s="1"/>
  <c r="J276" i="12"/>
  <c r="N276" i="12" s="1"/>
  <c r="O276" i="12" s="1"/>
  <c r="P276" i="12" s="1"/>
  <c r="J275" i="12"/>
  <c r="N275" i="12" s="1"/>
  <c r="O275" i="12" s="1"/>
  <c r="P275" i="12" s="1"/>
  <c r="J274" i="12"/>
  <c r="N274" i="12" s="1"/>
  <c r="O274" i="12" s="1"/>
  <c r="P274" i="12" s="1"/>
  <c r="J273" i="12"/>
  <c r="N273" i="12" s="1"/>
  <c r="O273" i="12" s="1"/>
  <c r="P273" i="12" s="1"/>
  <c r="J272" i="12"/>
  <c r="N272" i="12" s="1"/>
  <c r="O272" i="12" s="1"/>
  <c r="P272" i="12" s="1"/>
  <c r="J271" i="12"/>
  <c r="N271" i="12" s="1"/>
  <c r="O271" i="12" s="1"/>
  <c r="P271" i="12" s="1"/>
  <c r="J270" i="12"/>
  <c r="N270" i="12" s="1"/>
  <c r="O270" i="12" s="1"/>
  <c r="P270" i="12" s="1"/>
  <c r="J269" i="12"/>
  <c r="N269" i="12" s="1"/>
  <c r="O269" i="12" s="1"/>
  <c r="P269" i="12" s="1"/>
  <c r="J268" i="12"/>
  <c r="N268" i="12" s="1"/>
  <c r="O268" i="12" s="1"/>
  <c r="P268" i="12" s="1"/>
  <c r="J267" i="12"/>
  <c r="N267" i="12" s="1"/>
  <c r="O267" i="12" s="1"/>
  <c r="P267" i="12" s="1"/>
  <c r="J266" i="12"/>
  <c r="N266" i="12" s="1"/>
  <c r="O266" i="12" s="1"/>
  <c r="P266" i="12" s="1"/>
  <c r="J265" i="12"/>
  <c r="N265" i="12" s="1"/>
  <c r="O265" i="12" s="1"/>
  <c r="P265" i="12" s="1"/>
  <c r="J264" i="12"/>
  <c r="N264" i="12" s="1"/>
  <c r="O264" i="12" s="1"/>
  <c r="P264" i="12" s="1"/>
  <c r="J263" i="12"/>
  <c r="N263" i="12" s="1"/>
  <c r="O263" i="12" s="1"/>
  <c r="P263" i="12" s="1"/>
  <c r="J262" i="12"/>
  <c r="N262" i="12" s="1"/>
  <c r="O262" i="12" s="1"/>
  <c r="P262" i="12" s="1"/>
  <c r="J261" i="12"/>
  <c r="N261" i="12" s="1"/>
  <c r="O261" i="12" s="1"/>
  <c r="P261" i="12" s="1"/>
  <c r="J260" i="12"/>
  <c r="N260" i="12" s="1"/>
  <c r="O260" i="12" s="1"/>
  <c r="P260" i="12" s="1"/>
  <c r="J259" i="12"/>
  <c r="N259" i="12" s="1"/>
  <c r="O259" i="12" s="1"/>
  <c r="P259" i="12" s="1"/>
  <c r="J37" i="13"/>
  <c r="N37" i="13" s="1"/>
  <c r="O37" i="13" s="1"/>
  <c r="P37" i="13" s="1"/>
  <c r="J36" i="13"/>
  <c r="N36" i="13" s="1"/>
  <c r="O36" i="13" s="1"/>
  <c r="P36" i="13" s="1"/>
  <c r="J35" i="13"/>
  <c r="N35" i="13" s="1"/>
  <c r="O35" i="13" s="1"/>
  <c r="P35" i="13" s="1"/>
  <c r="J34" i="13"/>
  <c r="N34" i="13" s="1"/>
  <c r="O34" i="13" s="1"/>
  <c r="P34" i="13" s="1"/>
  <c r="J33" i="13"/>
  <c r="N33" i="13" s="1"/>
  <c r="O33" i="13" s="1"/>
  <c r="P33" i="13" s="1"/>
  <c r="J32" i="13"/>
  <c r="N32" i="13" s="1"/>
  <c r="O32" i="13" s="1"/>
  <c r="P32" i="13" s="1"/>
  <c r="J31" i="13"/>
  <c r="N31" i="13" s="1"/>
  <c r="O31" i="13" s="1"/>
  <c r="P31" i="13" s="1"/>
  <c r="J30" i="13"/>
  <c r="N30" i="13" s="1"/>
  <c r="O30" i="13" s="1"/>
  <c r="P30" i="13" s="1"/>
  <c r="J29" i="13"/>
  <c r="N29" i="13" s="1"/>
  <c r="O29" i="13" s="1"/>
  <c r="P29" i="13" s="1"/>
  <c r="J28" i="13"/>
  <c r="N28" i="13" s="1"/>
  <c r="O28" i="13" s="1"/>
  <c r="P28" i="13" s="1"/>
  <c r="J27" i="13"/>
  <c r="N27" i="13" s="1"/>
  <c r="O27" i="13" s="1"/>
  <c r="P27" i="13" s="1"/>
  <c r="J26" i="13"/>
  <c r="N26" i="13" s="1"/>
  <c r="O26" i="13" s="1"/>
  <c r="P26" i="13" s="1"/>
  <c r="J25" i="13"/>
  <c r="N25" i="13" s="1"/>
  <c r="O25" i="13" s="1"/>
  <c r="P25" i="13" s="1"/>
  <c r="J24" i="13"/>
  <c r="N24" i="13" s="1"/>
  <c r="O24" i="13" s="1"/>
  <c r="P24" i="13" s="1"/>
  <c r="J23" i="13"/>
  <c r="N23" i="13" s="1"/>
  <c r="O23" i="13" s="1"/>
  <c r="P23" i="13" s="1"/>
  <c r="J22" i="13"/>
  <c r="N22" i="13" s="1"/>
  <c r="O22" i="13" s="1"/>
  <c r="P22" i="13" s="1"/>
  <c r="J21" i="13"/>
  <c r="N21" i="13" s="1"/>
  <c r="O21" i="13" s="1"/>
  <c r="P21" i="13" s="1"/>
  <c r="J20" i="13"/>
  <c r="N20" i="13" s="1"/>
  <c r="O20" i="13" s="1"/>
  <c r="P20" i="13" s="1"/>
  <c r="J19" i="13"/>
  <c r="N19" i="13" s="1"/>
  <c r="O19" i="13" s="1"/>
  <c r="P19" i="13" s="1"/>
  <c r="J18" i="13"/>
  <c r="N18" i="13" s="1"/>
  <c r="O18" i="13" s="1"/>
  <c r="P18" i="13" s="1"/>
  <c r="J17" i="13"/>
  <c r="N17" i="13" s="1"/>
  <c r="O17" i="13" s="1"/>
  <c r="P17" i="13" s="1"/>
  <c r="J16" i="13"/>
  <c r="N16" i="13" s="1"/>
  <c r="O16" i="13" s="1"/>
  <c r="P16" i="13" s="1"/>
  <c r="J15" i="13"/>
  <c r="N15" i="13" s="1"/>
  <c r="O15" i="13" s="1"/>
  <c r="P15" i="13" s="1"/>
  <c r="J14" i="13"/>
  <c r="N14" i="13" s="1"/>
  <c r="O14" i="13" s="1"/>
  <c r="P14" i="13" s="1"/>
  <c r="J13" i="13"/>
  <c r="N13" i="13" s="1"/>
  <c r="O13" i="13" s="1"/>
  <c r="P13" i="13" s="1"/>
  <c r="J12" i="13"/>
  <c r="N12" i="13" s="1"/>
  <c r="O12" i="13" s="1"/>
  <c r="P12" i="13" s="1"/>
  <c r="J11" i="13"/>
  <c r="N11" i="13" s="1"/>
  <c r="O11" i="13" s="1"/>
  <c r="P11" i="13" s="1"/>
  <c r="J10" i="13"/>
  <c r="N10" i="13" s="1"/>
  <c r="O10" i="13" s="1"/>
  <c r="P10" i="13" s="1"/>
  <c r="J9" i="13"/>
  <c r="N9" i="13" s="1"/>
  <c r="O9" i="13" s="1"/>
  <c r="P9" i="13" s="1"/>
  <c r="J8" i="13"/>
  <c r="N8" i="13" s="1"/>
  <c r="O8" i="13" s="1"/>
  <c r="P8" i="13" s="1"/>
  <c r="J7" i="13"/>
  <c r="N7" i="13" s="1"/>
  <c r="O7" i="13" s="1"/>
  <c r="P7" i="13" s="1"/>
  <c r="J6" i="13"/>
  <c r="N6" i="13" s="1"/>
  <c r="O6" i="13" s="1"/>
  <c r="P6" i="13" s="1"/>
  <c r="J5" i="13"/>
  <c r="N5" i="13" s="1"/>
  <c r="O5" i="13" s="1"/>
  <c r="P5" i="13" s="1"/>
  <c r="J4" i="13"/>
  <c r="N4" i="13" s="1"/>
  <c r="O4" i="13" s="1"/>
  <c r="P4" i="13" s="1"/>
  <c r="J3" i="13"/>
  <c r="N3" i="13" s="1"/>
  <c r="O3" i="13" s="1"/>
  <c r="P3" i="13" s="1"/>
  <c r="J2" i="13"/>
  <c r="N2" i="13" s="1"/>
  <c r="J57" i="4"/>
  <c r="O57" i="4" s="1"/>
  <c r="P57" i="4" s="1"/>
  <c r="J56" i="4"/>
  <c r="O56" i="4" s="1"/>
  <c r="P56" i="4" s="1"/>
  <c r="J55" i="4"/>
  <c r="O55" i="4" s="1"/>
  <c r="P55" i="4" s="1"/>
  <c r="J54" i="4"/>
  <c r="O54" i="4" s="1"/>
  <c r="P54" i="4" s="1"/>
  <c r="J53" i="4"/>
  <c r="O53" i="4" s="1"/>
  <c r="P53" i="4" s="1"/>
  <c r="J52" i="4"/>
  <c r="O52" i="4" s="1"/>
  <c r="P52" i="4" s="1"/>
  <c r="J51" i="4"/>
  <c r="O51" i="4" s="1"/>
  <c r="P51" i="4" s="1"/>
  <c r="J50" i="4"/>
  <c r="O50" i="4" s="1"/>
  <c r="P50" i="4" s="1"/>
  <c r="J49" i="4"/>
  <c r="O49" i="4" s="1"/>
  <c r="P49" i="4" s="1"/>
  <c r="J48" i="4"/>
  <c r="O48" i="4" s="1"/>
  <c r="P48" i="4" s="1"/>
  <c r="J47" i="4"/>
  <c r="O47" i="4" s="1"/>
  <c r="P47" i="4" s="1"/>
  <c r="J46" i="4"/>
  <c r="O46" i="4" s="1"/>
  <c r="P46" i="4" s="1"/>
  <c r="J45" i="4"/>
  <c r="O45" i="4" s="1"/>
  <c r="P45" i="4" s="1"/>
  <c r="J44" i="4"/>
  <c r="O44" i="4" s="1"/>
  <c r="P44" i="4" s="1"/>
  <c r="J43" i="4"/>
  <c r="O43" i="4" s="1"/>
  <c r="P43" i="4" s="1"/>
  <c r="J42" i="4"/>
  <c r="O42" i="4" s="1"/>
  <c r="P42" i="4" s="1"/>
  <c r="J41" i="4"/>
  <c r="O41" i="4" s="1"/>
  <c r="P41" i="4" s="1"/>
  <c r="J40" i="4"/>
  <c r="O40" i="4" s="1"/>
  <c r="P40" i="4" s="1"/>
  <c r="J39" i="4"/>
  <c r="O39" i="4" s="1"/>
  <c r="P39" i="4" s="1"/>
  <c r="J38" i="4"/>
  <c r="O38" i="4" s="1"/>
  <c r="P38" i="4" s="1"/>
  <c r="J37" i="4"/>
  <c r="O37" i="4" s="1"/>
  <c r="P37" i="4" s="1"/>
  <c r="J36" i="4"/>
  <c r="O36" i="4" s="1"/>
  <c r="P36" i="4" s="1"/>
  <c r="J35" i="4"/>
  <c r="O35" i="4" s="1"/>
  <c r="P35" i="4" s="1"/>
  <c r="J34" i="4"/>
  <c r="O34" i="4" s="1"/>
  <c r="P34" i="4" s="1"/>
  <c r="J33" i="4"/>
  <c r="K242" i="12"/>
  <c r="K238" i="12"/>
  <c r="K237" i="12"/>
  <c r="K231" i="12"/>
  <c r="K226" i="12"/>
  <c r="K196" i="12"/>
  <c r="K184" i="12"/>
  <c r="K182" i="12"/>
  <c r="K179" i="12"/>
  <c r="K176" i="12"/>
  <c r="K169" i="12"/>
  <c r="K166" i="12"/>
  <c r="K164" i="12"/>
  <c r="K161" i="12"/>
  <c r="K151" i="12"/>
  <c r="K141" i="12"/>
  <c r="K136" i="12"/>
  <c r="K134" i="12"/>
  <c r="K133" i="12"/>
  <c r="K131" i="12"/>
  <c r="K129" i="12"/>
  <c r="K122" i="12"/>
  <c r="K118" i="12"/>
  <c r="K112" i="12"/>
  <c r="K111" i="12"/>
  <c r="K110" i="12"/>
  <c r="J119" i="5"/>
  <c r="J118" i="5"/>
  <c r="J117" i="5"/>
  <c r="J116" i="5"/>
  <c r="J115" i="5"/>
  <c r="J114" i="5"/>
  <c r="J113" i="5"/>
  <c r="J112" i="5"/>
  <c r="J111" i="5"/>
  <c r="I110" i="5"/>
  <c r="J110" i="5" s="1"/>
  <c r="J109" i="5"/>
  <c r="I108" i="5"/>
  <c r="J108" i="5" s="1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I66" i="5"/>
  <c r="J66" i="5" s="1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I68" i="6"/>
  <c r="J68" i="6" s="1"/>
  <c r="O68" i="6" s="1"/>
  <c r="P68" i="6" s="1"/>
  <c r="J67" i="6"/>
  <c r="O67" i="6" s="1"/>
  <c r="P67" i="6" s="1"/>
  <c r="J66" i="6"/>
  <c r="O66" i="6" s="1"/>
  <c r="P66" i="6" s="1"/>
  <c r="J65" i="6"/>
  <c r="O65" i="6" s="1"/>
  <c r="P65" i="6" s="1"/>
  <c r="J64" i="6"/>
  <c r="O64" i="6" s="1"/>
  <c r="P64" i="6" s="1"/>
  <c r="J63" i="6"/>
  <c r="O63" i="6" s="1"/>
  <c r="P63" i="6" s="1"/>
  <c r="J62" i="6"/>
  <c r="O62" i="6" s="1"/>
  <c r="P62" i="6" s="1"/>
  <c r="I61" i="6"/>
  <c r="J61" i="6" s="1"/>
  <c r="O61" i="6" s="1"/>
  <c r="P61" i="6" s="1"/>
  <c r="J60" i="6"/>
  <c r="O60" i="6" s="1"/>
  <c r="P60" i="6" s="1"/>
  <c r="J59" i="6"/>
  <c r="O59" i="6" s="1"/>
  <c r="P59" i="6" s="1"/>
  <c r="J58" i="6"/>
  <c r="O58" i="6" s="1"/>
  <c r="P58" i="6" s="1"/>
  <c r="J57" i="6"/>
  <c r="O57" i="6" s="1"/>
  <c r="P57" i="6" s="1"/>
  <c r="J56" i="6"/>
  <c r="O56" i="6" s="1"/>
  <c r="P56" i="6" s="1"/>
  <c r="J55" i="6"/>
  <c r="O55" i="6" s="1"/>
  <c r="P55" i="6" s="1"/>
  <c r="J54" i="6"/>
  <c r="O54" i="6" s="1"/>
  <c r="P54" i="6" s="1"/>
  <c r="J53" i="6"/>
  <c r="O53" i="6" s="1"/>
  <c r="P53" i="6" s="1"/>
  <c r="I52" i="6"/>
  <c r="J52" i="6" s="1"/>
  <c r="O52" i="6" s="1"/>
  <c r="P52" i="6" s="1"/>
  <c r="J51" i="6"/>
  <c r="O51" i="6" s="1"/>
  <c r="P51" i="6" s="1"/>
  <c r="J50" i="6"/>
  <c r="O50" i="6" s="1"/>
  <c r="P50" i="6" s="1"/>
  <c r="I49" i="6"/>
  <c r="J49" i="6" s="1"/>
  <c r="I101" i="12"/>
  <c r="J101" i="12" s="1"/>
  <c r="O101" i="12" s="1"/>
  <c r="P101" i="12" s="1"/>
  <c r="I100" i="12"/>
  <c r="J100" i="12" s="1"/>
  <c r="O100" i="12" s="1"/>
  <c r="P100" i="12" s="1"/>
  <c r="I99" i="12"/>
  <c r="J99" i="12" s="1"/>
  <c r="O99" i="12" s="1"/>
  <c r="P99" i="12" s="1"/>
  <c r="I98" i="12"/>
  <c r="J98" i="12" s="1"/>
  <c r="O98" i="12" s="1"/>
  <c r="P98" i="12" s="1"/>
  <c r="I96" i="12"/>
  <c r="J96" i="12" s="1"/>
  <c r="O96" i="12" s="1"/>
  <c r="P96" i="12" s="1"/>
  <c r="I94" i="12"/>
  <c r="J94" i="12" s="1"/>
  <c r="O94" i="12" s="1"/>
  <c r="P94" i="12" s="1"/>
  <c r="I92" i="12"/>
  <c r="J92" i="12" s="1"/>
  <c r="O92" i="12" s="1"/>
  <c r="P92" i="12" s="1"/>
  <c r="I91" i="12"/>
  <c r="J91" i="12" s="1"/>
  <c r="O91" i="12" s="1"/>
  <c r="P91" i="12" s="1"/>
  <c r="I89" i="12"/>
  <c r="J89" i="12" s="1"/>
  <c r="O89" i="12" s="1"/>
  <c r="P89" i="12" s="1"/>
  <c r="I86" i="12"/>
  <c r="J86" i="12" s="1"/>
  <c r="O86" i="12" s="1"/>
  <c r="P86" i="12" s="1"/>
  <c r="I84" i="12"/>
  <c r="J84" i="12" s="1"/>
  <c r="O84" i="12" s="1"/>
  <c r="P84" i="12" s="1"/>
  <c r="I74" i="12"/>
  <c r="J74" i="12" s="1"/>
  <c r="O74" i="12" s="1"/>
  <c r="P74" i="12" s="1"/>
  <c r="I73" i="12"/>
  <c r="J73" i="12" s="1"/>
  <c r="O73" i="12" s="1"/>
  <c r="P73" i="12" s="1"/>
  <c r="I71" i="12"/>
  <c r="J71" i="12" s="1"/>
  <c r="O71" i="12" s="1"/>
  <c r="P71" i="12" s="1"/>
  <c r="I69" i="12"/>
  <c r="J69" i="12" s="1"/>
  <c r="O69" i="12" s="1"/>
  <c r="P69" i="12" s="1"/>
  <c r="I68" i="12"/>
  <c r="J68" i="12" s="1"/>
  <c r="O68" i="12" s="1"/>
  <c r="P68" i="12" s="1"/>
  <c r="I65" i="12"/>
  <c r="J65" i="12" s="1"/>
  <c r="O65" i="12" s="1"/>
  <c r="P65" i="12" s="1"/>
  <c r="I63" i="12"/>
  <c r="J63" i="12" s="1"/>
  <c r="O63" i="12" s="1"/>
  <c r="P63" i="12" s="1"/>
  <c r="I62" i="12"/>
  <c r="J62" i="12" s="1"/>
  <c r="O62" i="12" s="1"/>
  <c r="P62" i="12" s="1"/>
  <c r="I53" i="12"/>
  <c r="J53" i="12" s="1"/>
  <c r="O53" i="12" s="1"/>
  <c r="P53" i="12" s="1"/>
  <c r="I51" i="12"/>
  <c r="J51" i="12" s="1"/>
  <c r="O51" i="12" s="1"/>
  <c r="P51" i="12" s="1"/>
  <c r="I48" i="12"/>
  <c r="J48" i="12" s="1"/>
  <c r="O48" i="12" s="1"/>
  <c r="P48" i="12" s="1"/>
  <c r="I47" i="12"/>
  <c r="J47" i="12" s="1"/>
  <c r="O47" i="12" s="1"/>
  <c r="P47" i="12" s="1"/>
  <c r="I43" i="12"/>
  <c r="J43" i="12" s="1"/>
  <c r="O43" i="12" s="1"/>
  <c r="P43" i="12" s="1"/>
  <c r="I42" i="12"/>
  <c r="J42" i="12" s="1"/>
  <c r="O42" i="12" s="1"/>
  <c r="P42" i="12" s="1"/>
  <c r="I40" i="12"/>
  <c r="J40" i="12" s="1"/>
  <c r="O40" i="12" s="1"/>
  <c r="P40" i="12" s="1"/>
  <c r="I39" i="12"/>
  <c r="J39" i="12" s="1"/>
  <c r="O39" i="12" s="1"/>
  <c r="P39" i="12" s="1"/>
  <c r="I36" i="12"/>
  <c r="J36" i="12" s="1"/>
  <c r="O36" i="12" s="1"/>
  <c r="P36" i="12" s="1"/>
  <c r="I35" i="12"/>
  <c r="J35" i="12" s="1"/>
  <c r="O35" i="12" s="1"/>
  <c r="P35" i="12" s="1"/>
  <c r="I34" i="12"/>
  <c r="J34" i="12" s="1"/>
  <c r="O34" i="12" s="1"/>
  <c r="P34" i="12" s="1"/>
  <c r="I33" i="12"/>
  <c r="J33" i="12" s="1"/>
  <c r="O33" i="12" s="1"/>
  <c r="P33" i="12" s="1"/>
  <c r="I28" i="12"/>
  <c r="J28" i="12" s="1"/>
  <c r="O28" i="12" s="1"/>
  <c r="P28" i="12" s="1"/>
  <c r="I24" i="12"/>
  <c r="J24" i="12" s="1"/>
  <c r="O24" i="12" s="1"/>
  <c r="P24" i="12" s="1"/>
  <c r="I21" i="12"/>
  <c r="J21" i="12" s="1"/>
  <c r="O21" i="12" s="1"/>
  <c r="P21" i="12" s="1"/>
  <c r="I19" i="12"/>
  <c r="J19" i="12" s="1"/>
  <c r="O19" i="12" s="1"/>
  <c r="P19" i="12" s="1"/>
  <c r="I18" i="12"/>
  <c r="J18" i="12" s="1"/>
  <c r="O18" i="12" s="1"/>
  <c r="P18" i="12" s="1"/>
  <c r="I17" i="12"/>
  <c r="J17" i="12" s="1"/>
  <c r="O17" i="12" s="1"/>
  <c r="P17" i="12" s="1"/>
  <c r="I12" i="12"/>
  <c r="J12" i="12" s="1"/>
  <c r="O12" i="12" s="1"/>
  <c r="P12" i="12" s="1"/>
  <c r="I11" i="12"/>
  <c r="J11" i="12" s="1"/>
  <c r="O11" i="12" s="1"/>
  <c r="P11" i="12" s="1"/>
  <c r="I8" i="12"/>
  <c r="J8" i="12" s="1"/>
  <c r="O8" i="12" s="1"/>
  <c r="P8" i="12" s="1"/>
  <c r="I7" i="12"/>
  <c r="J7" i="12" s="1"/>
  <c r="O7" i="12" s="1"/>
  <c r="P7" i="12" s="1"/>
  <c r="I5" i="12"/>
  <c r="J5" i="12" s="1"/>
  <c r="O5" i="12" s="1"/>
  <c r="P5" i="12" s="1"/>
  <c r="I4" i="12"/>
  <c r="J4" i="12" s="1"/>
  <c r="O4" i="12" s="1"/>
  <c r="P4" i="12" s="1"/>
  <c r="I3" i="12"/>
  <c r="J3" i="12" s="1"/>
  <c r="O3" i="12" s="1"/>
  <c r="P3" i="12" s="1"/>
  <c r="I2" i="12"/>
  <c r="J2" i="12" s="1"/>
  <c r="O2" i="12" s="1"/>
  <c r="P2" i="12" s="1"/>
  <c r="Q2" i="12" s="1"/>
  <c r="I47" i="6"/>
  <c r="J47" i="6" s="1"/>
  <c r="O47" i="6" s="1"/>
  <c r="P47" i="6" s="1"/>
  <c r="I40" i="6"/>
  <c r="J40" i="6" s="1"/>
  <c r="O40" i="6" s="1"/>
  <c r="P40" i="6" s="1"/>
  <c r="I2" i="6"/>
  <c r="J2" i="6" s="1"/>
  <c r="I15" i="5"/>
  <c r="J15" i="5" s="1"/>
  <c r="I7" i="5"/>
  <c r="J7" i="5" s="1"/>
  <c r="I4" i="5"/>
  <c r="J4" i="5" s="1"/>
  <c r="I30" i="4"/>
  <c r="J30" i="4" s="1"/>
  <c r="O30" i="4" s="1"/>
  <c r="P30" i="4" s="1"/>
  <c r="J124" i="3"/>
  <c r="O124" i="3" s="1"/>
  <c r="P124" i="3" s="1"/>
  <c r="J123" i="3"/>
  <c r="O123" i="3" s="1"/>
  <c r="P123" i="3" s="1"/>
  <c r="J122" i="3"/>
  <c r="O122" i="3" s="1"/>
  <c r="P122" i="3" s="1"/>
  <c r="J121" i="3"/>
  <c r="O121" i="3" s="1"/>
  <c r="P121" i="3" s="1"/>
  <c r="J120" i="3"/>
  <c r="O120" i="3" s="1"/>
  <c r="P120" i="3" s="1"/>
  <c r="J119" i="3"/>
  <c r="O119" i="3" s="1"/>
  <c r="P119" i="3" s="1"/>
  <c r="I118" i="3"/>
  <c r="J118" i="3" s="1"/>
  <c r="O118" i="3" s="1"/>
  <c r="P118" i="3" s="1"/>
  <c r="J117" i="3"/>
  <c r="O117" i="3" s="1"/>
  <c r="P117" i="3" s="1"/>
  <c r="I116" i="3"/>
  <c r="J116" i="3" s="1"/>
  <c r="O116" i="3" s="1"/>
  <c r="P116" i="3" s="1"/>
  <c r="J115" i="3"/>
  <c r="O115" i="3" s="1"/>
  <c r="P115" i="3" s="1"/>
  <c r="J114" i="3"/>
  <c r="O114" i="3" s="1"/>
  <c r="P114" i="3" s="1"/>
  <c r="I113" i="3"/>
  <c r="J113" i="3" s="1"/>
  <c r="O113" i="3" s="1"/>
  <c r="P113" i="3" s="1"/>
  <c r="I112" i="3"/>
  <c r="J112" i="3" s="1"/>
  <c r="O112" i="3" s="1"/>
  <c r="P112" i="3" s="1"/>
  <c r="J111" i="3"/>
  <c r="O111" i="3" s="1"/>
  <c r="P111" i="3" s="1"/>
  <c r="J110" i="3"/>
  <c r="O110" i="3" s="1"/>
  <c r="P110" i="3" s="1"/>
  <c r="I109" i="3"/>
  <c r="J109" i="3" s="1"/>
  <c r="O109" i="3" s="1"/>
  <c r="P109" i="3" s="1"/>
  <c r="J108" i="3"/>
  <c r="O108" i="3" s="1"/>
  <c r="P108" i="3" s="1"/>
  <c r="I107" i="3"/>
  <c r="J107" i="3" s="1"/>
  <c r="O107" i="3" s="1"/>
  <c r="P107" i="3" s="1"/>
  <c r="J106" i="3"/>
  <c r="O106" i="3" s="1"/>
  <c r="P106" i="3" s="1"/>
  <c r="J105" i="3"/>
  <c r="O105" i="3" s="1"/>
  <c r="P105" i="3" s="1"/>
  <c r="I104" i="3"/>
  <c r="J104" i="3" s="1"/>
  <c r="O104" i="3" s="1"/>
  <c r="P104" i="3" s="1"/>
  <c r="J103" i="3"/>
  <c r="O103" i="3" s="1"/>
  <c r="P103" i="3" s="1"/>
  <c r="J102" i="3"/>
  <c r="O102" i="3" s="1"/>
  <c r="P102" i="3" s="1"/>
  <c r="J101" i="3"/>
  <c r="O101" i="3" s="1"/>
  <c r="P101" i="3" s="1"/>
  <c r="J100" i="3"/>
  <c r="O100" i="3" s="1"/>
  <c r="P100" i="3" s="1"/>
  <c r="J99" i="3"/>
  <c r="O99" i="3" s="1"/>
  <c r="P99" i="3" s="1"/>
  <c r="J98" i="3"/>
  <c r="O98" i="3" s="1"/>
  <c r="P98" i="3" s="1"/>
  <c r="J97" i="3"/>
  <c r="O97" i="3" s="1"/>
  <c r="P97" i="3" s="1"/>
  <c r="J96" i="3"/>
  <c r="O96" i="3" s="1"/>
  <c r="P96" i="3" s="1"/>
  <c r="J95" i="3"/>
  <c r="O95" i="3" s="1"/>
  <c r="P95" i="3" s="1"/>
  <c r="J94" i="3"/>
  <c r="O94" i="3" s="1"/>
  <c r="P94" i="3" s="1"/>
  <c r="J93" i="3"/>
  <c r="O93" i="3" s="1"/>
  <c r="P93" i="3" s="1"/>
  <c r="J92" i="3"/>
  <c r="O92" i="3" s="1"/>
  <c r="P92" i="3" s="1"/>
  <c r="J91" i="3"/>
  <c r="O91" i="3" s="1"/>
  <c r="P91" i="3" s="1"/>
  <c r="J90" i="3"/>
  <c r="O90" i="3" s="1"/>
  <c r="P90" i="3" s="1"/>
  <c r="J89" i="3"/>
  <c r="O89" i="3" s="1"/>
  <c r="P89" i="3" s="1"/>
  <c r="J88" i="3"/>
  <c r="O88" i="3" s="1"/>
  <c r="P88" i="3" s="1"/>
  <c r="J87" i="3"/>
  <c r="O87" i="3" s="1"/>
  <c r="P87" i="3" s="1"/>
  <c r="J86" i="3"/>
  <c r="O86" i="3" s="1"/>
  <c r="P86" i="3" s="1"/>
  <c r="J85" i="3"/>
  <c r="O85" i="3" s="1"/>
  <c r="P85" i="3" s="1"/>
  <c r="J84" i="3"/>
  <c r="O84" i="3" s="1"/>
  <c r="P84" i="3" s="1"/>
  <c r="J83" i="3"/>
  <c r="O83" i="3" s="1"/>
  <c r="P83" i="3" s="1"/>
  <c r="J82" i="3"/>
  <c r="O82" i="3" s="1"/>
  <c r="P82" i="3" s="1"/>
  <c r="J81" i="3"/>
  <c r="O81" i="3" s="1"/>
  <c r="P81" i="3" s="1"/>
  <c r="J80" i="3"/>
  <c r="O80" i="3" s="1"/>
  <c r="P80" i="3" s="1"/>
  <c r="J79" i="3"/>
  <c r="O79" i="3" s="1"/>
  <c r="P79" i="3" s="1"/>
  <c r="J78" i="3"/>
  <c r="O78" i="3" s="1"/>
  <c r="P78" i="3" s="1"/>
  <c r="J77" i="3"/>
  <c r="O77" i="3" s="1"/>
  <c r="P77" i="3" s="1"/>
  <c r="J76" i="3"/>
  <c r="O76" i="3" s="1"/>
  <c r="P76" i="3" s="1"/>
  <c r="J75" i="3"/>
  <c r="O75" i="3" s="1"/>
  <c r="P75" i="3" s="1"/>
  <c r="J74" i="3"/>
  <c r="O74" i="3" s="1"/>
  <c r="P74" i="3" s="1"/>
  <c r="J73" i="3"/>
  <c r="O73" i="3" s="1"/>
  <c r="P73" i="3" s="1"/>
  <c r="J72" i="3"/>
  <c r="O72" i="3" s="1"/>
  <c r="P72" i="3" s="1"/>
  <c r="J71" i="3"/>
  <c r="O71" i="3" s="1"/>
  <c r="P71" i="3" s="1"/>
  <c r="J70" i="3"/>
  <c r="O70" i="3" s="1"/>
  <c r="P70" i="3" s="1"/>
  <c r="J69" i="3"/>
  <c r="O69" i="3" s="1"/>
  <c r="P69" i="3" s="1"/>
  <c r="J68" i="3"/>
  <c r="O68" i="3" s="1"/>
  <c r="P68" i="3" s="1"/>
  <c r="J67" i="3"/>
  <c r="O67" i="3" s="1"/>
  <c r="P67" i="3" s="1"/>
  <c r="J66" i="3"/>
  <c r="O66" i="3" s="1"/>
  <c r="P66" i="3" s="1"/>
  <c r="J65" i="3"/>
  <c r="O65" i="3" s="1"/>
  <c r="P65" i="3" s="1"/>
  <c r="J64" i="3"/>
  <c r="O64" i="3" s="1"/>
  <c r="P64" i="3" s="1"/>
  <c r="J63" i="3"/>
  <c r="O63" i="3" s="1"/>
  <c r="P63" i="3" s="1"/>
  <c r="J62" i="3"/>
  <c r="O62" i="3" s="1"/>
  <c r="P62" i="3" s="1"/>
  <c r="J61" i="3"/>
  <c r="O61" i="3" s="1"/>
  <c r="P61" i="3" s="1"/>
  <c r="J60" i="3"/>
  <c r="O60" i="3" s="1"/>
  <c r="P60" i="3" s="1"/>
  <c r="J59" i="3"/>
  <c r="O59" i="3" s="1"/>
  <c r="P59" i="3" s="1"/>
  <c r="J58" i="3"/>
  <c r="O58" i="3" s="1"/>
  <c r="P58" i="3" s="1"/>
  <c r="J57" i="3"/>
  <c r="O57" i="3" s="1"/>
  <c r="P57" i="3" s="1"/>
  <c r="J56" i="3"/>
  <c r="O56" i="3" s="1"/>
  <c r="P56" i="3" s="1"/>
  <c r="J55" i="3"/>
  <c r="O55" i="3" s="1"/>
  <c r="P55" i="3" s="1"/>
  <c r="J54" i="3"/>
  <c r="O54" i="3" s="1"/>
  <c r="P54" i="3" s="1"/>
  <c r="J53" i="3"/>
  <c r="O53" i="3" s="1"/>
  <c r="P53" i="3" s="1"/>
  <c r="J52" i="3"/>
  <c r="O52" i="3" s="1"/>
  <c r="P52" i="3" s="1"/>
  <c r="J51" i="3"/>
  <c r="O51" i="3" s="1"/>
  <c r="P51" i="3" s="1"/>
  <c r="J50" i="3"/>
  <c r="O50" i="3" s="1"/>
  <c r="P50" i="3" s="1"/>
  <c r="J49" i="3"/>
  <c r="O49" i="3" s="1"/>
  <c r="P49" i="3" s="1"/>
  <c r="J48" i="3"/>
  <c r="O48" i="3" s="1"/>
  <c r="P48" i="3" s="1"/>
  <c r="I47" i="3"/>
  <c r="J47" i="3" s="1"/>
  <c r="O47" i="3" s="1"/>
  <c r="P47" i="3" s="1"/>
  <c r="J46" i="3"/>
  <c r="O46" i="3" s="1"/>
  <c r="P46" i="3" s="1"/>
  <c r="J45" i="3"/>
  <c r="O45" i="3" s="1"/>
  <c r="P45" i="3" s="1"/>
  <c r="J44" i="3"/>
  <c r="O44" i="3" s="1"/>
  <c r="P44" i="3" s="1"/>
  <c r="J43" i="3"/>
  <c r="O43" i="3" s="1"/>
  <c r="P43" i="3" s="1"/>
  <c r="J42" i="3"/>
  <c r="O42" i="3" s="1"/>
  <c r="P42" i="3" s="1"/>
  <c r="J41" i="3"/>
  <c r="O41" i="3" s="1"/>
  <c r="P41" i="3" s="1"/>
  <c r="J40" i="3"/>
  <c r="O40" i="3" s="1"/>
  <c r="P40" i="3" s="1"/>
  <c r="J39" i="3"/>
  <c r="O39" i="3" s="1"/>
  <c r="P39" i="3" s="1"/>
  <c r="J38" i="3"/>
  <c r="O38" i="3" s="1"/>
  <c r="P38" i="3" s="1"/>
  <c r="J37" i="3"/>
  <c r="O37" i="3" s="1"/>
  <c r="P37" i="3" s="1"/>
  <c r="J36" i="3"/>
  <c r="O36" i="3" s="1"/>
  <c r="P36" i="3" s="1"/>
  <c r="J35" i="3"/>
  <c r="O35" i="3" s="1"/>
  <c r="P35" i="3" s="1"/>
  <c r="J34" i="3"/>
  <c r="O34" i="3" s="1"/>
  <c r="P34" i="3" s="1"/>
  <c r="J33" i="3"/>
  <c r="O33" i="3" s="1"/>
  <c r="P33" i="3" s="1"/>
  <c r="J32" i="3"/>
  <c r="O32" i="3" s="1"/>
  <c r="P32" i="3" s="1"/>
  <c r="J31" i="3"/>
  <c r="O31" i="3" s="1"/>
  <c r="P31" i="3" s="1"/>
  <c r="J30" i="3"/>
  <c r="O30" i="3" s="1"/>
  <c r="P30" i="3" s="1"/>
  <c r="J29" i="3"/>
  <c r="O29" i="3" s="1"/>
  <c r="P29" i="3" s="1"/>
  <c r="J28" i="3"/>
  <c r="O28" i="3" s="1"/>
  <c r="P28" i="3" s="1"/>
  <c r="J27" i="3"/>
  <c r="O27" i="3" s="1"/>
  <c r="P27" i="3" s="1"/>
  <c r="J26" i="3"/>
  <c r="O26" i="3" s="1"/>
  <c r="P26" i="3" s="1"/>
  <c r="J25" i="3"/>
  <c r="O25" i="3" s="1"/>
  <c r="P25" i="3" s="1"/>
  <c r="J24" i="3"/>
  <c r="O24" i="3" s="1"/>
  <c r="P24" i="3" s="1"/>
  <c r="J23" i="3"/>
  <c r="O23" i="3" s="1"/>
  <c r="P23" i="3" s="1"/>
  <c r="J22" i="3"/>
  <c r="O22" i="3" s="1"/>
  <c r="P22" i="3" s="1"/>
  <c r="J21" i="3"/>
  <c r="O21" i="3" s="1"/>
  <c r="P21" i="3" s="1"/>
  <c r="J20" i="3"/>
  <c r="O20" i="3" s="1"/>
  <c r="P20" i="3" s="1"/>
  <c r="J19" i="3"/>
  <c r="O19" i="3" s="1"/>
  <c r="P19" i="3" s="1"/>
  <c r="J18" i="3"/>
  <c r="O18" i="3" s="1"/>
  <c r="P18" i="3" s="1"/>
  <c r="J17" i="3"/>
  <c r="O17" i="3" s="1"/>
  <c r="P17" i="3" s="1"/>
  <c r="J16" i="3"/>
  <c r="O16" i="3" s="1"/>
  <c r="P16" i="3" s="1"/>
  <c r="J15" i="3"/>
  <c r="O15" i="3" s="1"/>
  <c r="P15" i="3" s="1"/>
  <c r="J14" i="3"/>
  <c r="O14" i="3" s="1"/>
  <c r="P14" i="3" s="1"/>
  <c r="J13" i="3"/>
  <c r="O13" i="3" s="1"/>
  <c r="P13" i="3" s="1"/>
  <c r="J12" i="3"/>
  <c r="O12" i="3" s="1"/>
  <c r="P12" i="3" s="1"/>
  <c r="J11" i="3"/>
  <c r="O11" i="3" s="1"/>
  <c r="P11" i="3" s="1"/>
  <c r="J10" i="3"/>
  <c r="O10" i="3" s="1"/>
  <c r="P10" i="3" s="1"/>
  <c r="J9" i="3"/>
  <c r="O9" i="3" s="1"/>
  <c r="P9" i="3" s="1"/>
  <c r="J8" i="3"/>
  <c r="O8" i="3" s="1"/>
  <c r="P8" i="3" s="1"/>
  <c r="J7" i="3"/>
  <c r="O7" i="3" s="1"/>
  <c r="P7" i="3" s="1"/>
  <c r="J6" i="3"/>
  <c r="O6" i="3" s="1"/>
  <c r="P6" i="3" s="1"/>
  <c r="J5" i="3"/>
  <c r="O5" i="3" s="1"/>
  <c r="P5" i="3" s="1"/>
  <c r="J4" i="3"/>
  <c r="O4" i="3" s="1"/>
  <c r="P4" i="3" s="1"/>
  <c r="J3" i="3"/>
  <c r="O3" i="3" s="1"/>
  <c r="P3" i="3" s="1"/>
  <c r="J2" i="3"/>
  <c r="O2" i="3" s="1"/>
  <c r="P2" i="3" s="1"/>
  <c r="L242" i="12" l="1"/>
  <c r="O242" i="12" s="1"/>
  <c r="P242" i="12" s="1"/>
  <c r="O17" i="6"/>
  <c r="P17" i="6" s="1"/>
  <c r="P112" i="12"/>
  <c r="L112" i="12"/>
  <c r="O112" i="12" s="1"/>
  <c r="L118" i="12"/>
  <c r="O118" i="12" s="1"/>
  <c r="P118" i="12" s="1"/>
  <c r="L151" i="12"/>
  <c r="O151" i="12" s="1"/>
  <c r="P151" i="12" s="1"/>
  <c r="L184" i="12"/>
  <c r="O184" i="12" s="1"/>
  <c r="P184" i="12" s="1"/>
  <c r="P2" i="13"/>
  <c r="O2" i="13"/>
  <c r="O6" i="4"/>
  <c r="P6" i="4" s="1"/>
  <c r="O21" i="6"/>
  <c r="P21" i="6" s="1"/>
  <c r="L136" i="12"/>
  <c r="O136" i="12" s="1"/>
  <c r="P136" i="12" s="1"/>
  <c r="P141" i="12"/>
  <c r="L141" i="12"/>
  <c r="O141" i="12" s="1"/>
  <c r="L122" i="12"/>
  <c r="O122" i="12" s="1"/>
  <c r="P122" i="12" s="1"/>
  <c r="L161" i="12"/>
  <c r="O161" i="12" s="1"/>
  <c r="P161" i="12" s="1"/>
  <c r="L196" i="12"/>
  <c r="O196" i="12" s="1"/>
  <c r="P196" i="12" s="1"/>
  <c r="P34" i="7"/>
  <c r="Q34" i="7" s="1"/>
  <c r="R34" i="7" s="1"/>
  <c r="S34" i="7" s="1"/>
  <c r="H32" i="2" s="1"/>
  <c r="P18" i="7"/>
  <c r="Q18" i="7" s="1"/>
  <c r="R18" i="7" s="1"/>
  <c r="S18" i="7" s="1"/>
  <c r="H31" i="2" s="1"/>
  <c r="L129" i="12"/>
  <c r="O129" i="12" s="1"/>
  <c r="P129" i="12" s="1"/>
  <c r="O395" i="12"/>
  <c r="P395" i="12" s="1"/>
  <c r="Q331" i="12" s="1"/>
  <c r="R331" i="12" s="1"/>
  <c r="H49" i="2" s="1"/>
  <c r="L226" i="12"/>
  <c r="O226" i="12" s="1"/>
  <c r="P226" i="12" s="1"/>
  <c r="O554" i="12"/>
  <c r="P554" i="12" s="1"/>
  <c r="Q520" i="12" s="1"/>
  <c r="R520" i="12" s="1"/>
  <c r="H53" i="2" s="1"/>
  <c r="O2" i="6"/>
  <c r="P2" i="6" s="1"/>
  <c r="Q2" i="6" s="1"/>
  <c r="R2" i="6" s="1"/>
  <c r="O49" i="6"/>
  <c r="P49" i="6" s="1"/>
  <c r="Q49" i="6" s="1"/>
  <c r="R49" i="6" s="1"/>
  <c r="H28" i="2" s="1"/>
  <c r="L131" i="12"/>
  <c r="O131" i="12" s="1"/>
  <c r="P131" i="12" s="1"/>
  <c r="L166" i="12"/>
  <c r="O166" i="12" s="1"/>
  <c r="P166" i="12" s="1"/>
  <c r="L231" i="12"/>
  <c r="O231" i="12" s="1"/>
  <c r="P231" i="12" s="1"/>
  <c r="P3" i="7"/>
  <c r="Q3" i="7" s="1"/>
  <c r="R2" i="7" s="1"/>
  <c r="S2" i="7" s="1"/>
  <c r="P72" i="7"/>
  <c r="Q72" i="7" s="1"/>
  <c r="R68" i="7" s="1"/>
  <c r="S68" i="7" s="1"/>
  <c r="H33" i="2" s="1"/>
  <c r="L111" i="12"/>
  <c r="O111" i="12" s="1"/>
  <c r="P111" i="12" s="1"/>
  <c r="L182" i="12"/>
  <c r="O182" i="12" s="1"/>
  <c r="P182" i="12" s="1"/>
  <c r="L164" i="12"/>
  <c r="O164" i="12" s="1"/>
  <c r="P164" i="12" s="1"/>
  <c r="O412" i="12"/>
  <c r="P412" i="12" s="1"/>
  <c r="O2" i="8"/>
  <c r="P2" i="8" s="1"/>
  <c r="Q2" i="8" s="1"/>
  <c r="R2" i="8" s="1"/>
  <c r="S2" i="8" s="1"/>
  <c r="L133" i="12"/>
  <c r="O133" i="12" s="1"/>
  <c r="P133" i="12" s="1"/>
  <c r="L169" i="12"/>
  <c r="O169" i="12" s="1"/>
  <c r="P169" i="12" s="1"/>
  <c r="L237" i="12"/>
  <c r="O237" i="12" s="1"/>
  <c r="P237" i="12" s="1"/>
  <c r="O414" i="12"/>
  <c r="P414" i="12" s="1"/>
  <c r="L179" i="12"/>
  <c r="O179" i="12" s="1"/>
  <c r="P179" i="12" s="1"/>
  <c r="L110" i="12"/>
  <c r="O110" i="12" s="1"/>
  <c r="P110" i="12" s="1"/>
  <c r="L134" i="12"/>
  <c r="O134" i="12" s="1"/>
  <c r="P134" i="12" s="1"/>
  <c r="L176" i="12"/>
  <c r="O176" i="12" s="1"/>
  <c r="P176" i="12" s="1"/>
  <c r="L238" i="12"/>
  <c r="O238" i="12" s="1"/>
  <c r="P238" i="12" s="1"/>
  <c r="O3" i="6"/>
  <c r="P3" i="6" s="1"/>
  <c r="Q259" i="12"/>
  <c r="R259" i="12" s="1"/>
  <c r="H47" i="2" s="1"/>
  <c r="Q2" i="10"/>
  <c r="Q166" i="3"/>
  <c r="R166" i="3" s="1"/>
  <c r="H13" i="2" s="1"/>
  <c r="O33" i="4"/>
  <c r="P33" i="4" s="1"/>
  <c r="Q33" i="4" s="1"/>
  <c r="R33" i="4" s="1"/>
  <c r="H16" i="2" s="1"/>
  <c r="Q33" i="6"/>
  <c r="R33" i="6" s="1"/>
  <c r="H27" i="2" s="1"/>
  <c r="Q125" i="3"/>
  <c r="R125" i="3" s="1"/>
  <c r="H11" i="2" s="1"/>
  <c r="Q102" i="3"/>
  <c r="R102" i="3" s="1"/>
  <c r="H10" i="2" s="1"/>
  <c r="Q55" i="3"/>
  <c r="R55" i="3" s="1"/>
  <c r="H8" i="2" s="1"/>
  <c r="Q141" i="3"/>
  <c r="R141" i="3" s="1"/>
  <c r="H12" i="2" s="1"/>
  <c r="Q80" i="3"/>
  <c r="R80" i="3" s="1"/>
  <c r="H9" i="2" s="1"/>
  <c r="Q2" i="3"/>
  <c r="R2" i="3" s="1"/>
  <c r="Q18" i="3"/>
  <c r="R18" i="3" s="1"/>
  <c r="H6" i="2" s="1"/>
  <c r="Q34" i="3"/>
  <c r="R34" i="3" s="1"/>
  <c r="H7" i="2" s="1"/>
  <c r="Q2" i="13"/>
  <c r="R2" i="13" s="1"/>
  <c r="O7" i="5"/>
  <c r="P7" i="5" s="1"/>
  <c r="O49" i="5"/>
  <c r="P49" i="5" s="1"/>
  <c r="O57" i="5"/>
  <c r="P57" i="5" s="1"/>
  <c r="O65" i="5"/>
  <c r="P65" i="5" s="1"/>
  <c r="O73" i="5"/>
  <c r="P73" i="5" s="1"/>
  <c r="O81" i="5"/>
  <c r="P81" i="5" s="1"/>
  <c r="O89" i="5"/>
  <c r="P89" i="5" s="1"/>
  <c r="O97" i="5"/>
  <c r="P97" i="5" s="1"/>
  <c r="O105" i="5"/>
  <c r="P105" i="5" s="1"/>
  <c r="O113" i="5"/>
  <c r="P113" i="5" s="1"/>
  <c r="O120" i="5"/>
  <c r="P120" i="5" s="1"/>
  <c r="O128" i="5"/>
  <c r="P128" i="5" s="1"/>
  <c r="O136" i="5"/>
  <c r="P136" i="5" s="1"/>
  <c r="O143" i="5"/>
  <c r="P143" i="5" s="1"/>
  <c r="O151" i="5"/>
  <c r="P151" i="5" s="1"/>
  <c r="O159" i="5"/>
  <c r="P159" i="5" s="1"/>
  <c r="O167" i="5"/>
  <c r="P167" i="5" s="1"/>
  <c r="O14" i="5"/>
  <c r="P14" i="5" s="1"/>
  <c r="O5" i="5"/>
  <c r="P5" i="5" s="1"/>
  <c r="O23" i="5"/>
  <c r="P23" i="5" s="1"/>
  <c r="O39" i="5"/>
  <c r="P39" i="5" s="1"/>
  <c r="O31" i="5"/>
  <c r="P31" i="5" s="1"/>
  <c r="O58" i="5"/>
  <c r="P58" i="5" s="1"/>
  <c r="O66" i="5"/>
  <c r="P66" i="5" s="1"/>
  <c r="O74" i="5"/>
  <c r="P74" i="5" s="1"/>
  <c r="O82" i="5"/>
  <c r="P82" i="5" s="1"/>
  <c r="O90" i="5"/>
  <c r="P90" i="5" s="1"/>
  <c r="O98" i="5"/>
  <c r="P98" i="5" s="1"/>
  <c r="O106" i="5"/>
  <c r="P106" i="5" s="1"/>
  <c r="O114" i="5"/>
  <c r="P114" i="5" s="1"/>
  <c r="O121" i="5"/>
  <c r="P121" i="5" s="1"/>
  <c r="O129" i="5"/>
  <c r="P129" i="5" s="1"/>
  <c r="O137" i="5"/>
  <c r="P137" i="5" s="1"/>
  <c r="O144" i="5"/>
  <c r="P144" i="5" s="1"/>
  <c r="O152" i="5"/>
  <c r="P152" i="5" s="1"/>
  <c r="O160" i="5"/>
  <c r="P160" i="5" s="1"/>
  <c r="O168" i="5"/>
  <c r="P168" i="5" s="1"/>
  <c r="O13" i="5"/>
  <c r="P13" i="5" s="1"/>
  <c r="O3" i="5"/>
  <c r="P3" i="5" s="1"/>
  <c r="O22" i="5"/>
  <c r="P22" i="5" s="1"/>
  <c r="O38" i="5"/>
  <c r="P38" i="5" s="1"/>
  <c r="O30" i="5"/>
  <c r="P30" i="5" s="1"/>
  <c r="O42" i="5"/>
  <c r="P42" i="5" s="1"/>
  <c r="O43" i="5"/>
  <c r="P43" i="5" s="1"/>
  <c r="O51" i="5"/>
  <c r="P51" i="5" s="1"/>
  <c r="O59" i="5"/>
  <c r="P59" i="5" s="1"/>
  <c r="O67" i="5"/>
  <c r="P67" i="5" s="1"/>
  <c r="O75" i="5"/>
  <c r="P75" i="5" s="1"/>
  <c r="O83" i="5"/>
  <c r="P83" i="5" s="1"/>
  <c r="O91" i="5"/>
  <c r="P91" i="5" s="1"/>
  <c r="O99" i="5"/>
  <c r="P99" i="5" s="1"/>
  <c r="O107" i="5"/>
  <c r="P107" i="5" s="1"/>
  <c r="O115" i="5"/>
  <c r="P115" i="5" s="1"/>
  <c r="O122" i="5"/>
  <c r="P122" i="5" s="1"/>
  <c r="O130" i="5"/>
  <c r="P130" i="5" s="1"/>
  <c r="O138" i="5"/>
  <c r="P138" i="5" s="1"/>
  <c r="O145" i="5"/>
  <c r="P145" i="5" s="1"/>
  <c r="O153" i="5"/>
  <c r="P153" i="5" s="1"/>
  <c r="O161" i="5"/>
  <c r="P161" i="5" s="1"/>
  <c r="O169" i="5"/>
  <c r="P169" i="5" s="1"/>
  <c r="P12" i="5"/>
  <c r="O16" i="5"/>
  <c r="P16" i="5" s="1"/>
  <c r="O21" i="5"/>
  <c r="P21" i="5" s="1"/>
  <c r="O37" i="5"/>
  <c r="P37" i="5" s="1"/>
  <c r="O29" i="5"/>
  <c r="P29" i="5" s="1"/>
  <c r="O50" i="5"/>
  <c r="P50" i="5" s="1"/>
  <c r="O44" i="5"/>
  <c r="P44" i="5" s="1"/>
  <c r="O52" i="5"/>
  <c r="P52" i="5" s="1"/>
  <c r="O60" i="5"/>
  <c r="P60" i="5" s="1"/>
  <c r="O68" i="5"/>
  <c r="P68" i="5" s="1"/>
  <c r="O76" i="5"/>
  <c r="P76" i="5" s="1"/>
  <c r="O84" i="5"/>
  <c r="P84" i="5" s="1"/>
  <c r="O92" i="5"/>
  <c r="P92" i="5" s="1"/>
  <c r="O100" i="5"/>
  <c r="P100" i="5" s="1"/>
  <c r="O108" i="5"/>
  <c r="P108" i="5" s="1"/>
  <c r="O116" i="5"/>
  <c r="P116" i="5" s="1"/>
  <c r="O123" i="5"/>
  <c r="P123" i="5" s="1"/>
  <c r="O131" i="5"/>
  <c r="P131" i="5" s="1"/>
  <c r="O139" i="5"/>
  <c r="P139" i="5" s="1"/>
  <c r="O146" i="5"/>
  <c r="P146" i="5" s="1"/>
  <c r="O154" i="5"/>
  <c r="P154" i="5" s="1"/>
  <c r="O162" i="5"/>
  <c r="P162" i="5" s="1"/>
  <c r="O170" i="5"/>
  <c r="P170" i="5" s="1"/>
  <c r="O11" i="5"/>
  <c r="P11" i="5" s="1"/>
  <c r="O17" i="5"/>
  <c r="P17" i="5" s="1"/>
  <c r="O20" i="5"/>
  <c r="P20" i="5" s="1"/>
  <c r="O36" i="5"/>
  <c r="P36" i="5" s="1"/>
  <c r="O28" i="5"/>
  <c r="P28" i="5" s="1"/>
  <c r="O45" i="5"/>
  <c r="P45" i="5" s="1"/>
  <c r="O53" i="5"/>
  <c r="P53" i="5" s="1"/>
  <c r="O61" i="5"/>
  <c r="P61" i="5" s="1"/>
  <c r="O69" i="5"/>
  <c r="P69" i="5" s="1"/>
  <c r="O77" i="5"/>
  <c r="P77" i="5" s="1"/>
  <c r="O85" i="5"/>
  <c r="P85" i="5" s="1"/>
  <c r="O93" i="5"/>
  <c r="P93" i="5" s="1"/>
  <c r="O101" i="5"/>
  <c r="P101" i="5" s="1"/>
  <c r="O109" i="5"/>
  <c r="P109" i="5" s="1"/>
  <c r="O117" i="5"/>
  <c r="P117" i="5" s="1"/>
  <c r="O124" i="5"/>
  <c r="P124" i="5" s="1"/>
  <c r="O132" i="5"/>
  <c r="P132" i="5" s="1"/>
  <c r="O140" i="5"/>
  <c r="P140" i="5" s="1"/>
  <c r="O147" i="5"/>
  <c r="P147" i="5" s="1"/>
  <c r="O155" i="5"/>
  <c r="P155" i="5" s="1"/>
  <c r="O163" i="5"/>
  <c r="P163" i="5" s="1"/>
  <c r="O171" i="5"/>
  <c r="P171" i="5" s="1"/>
  <c r="O10" i="5"/>
  <c r="P10" i="5" s="1"/>
  <c r="O27" i="5"/>
  <c r="P27" i="5" s="1"/>
  <c r="O19" i="5"/>
  <c r="P19" i="5" s="1"/>
  <c r="O35" i="5"/>
  <c r="P35" i="5" s="1"/>
  <c r="O15" i="5"/>
  <c r="P15" i="5" s="1"/>
  <c r="O46" i="5"/>
  <c r="P46" i="5" s="1"/>
  <c r="O54" i="5"/>
  <c r="P54" i="5" s="1"/>
  <c r="O62" i="5"/>
  <c r="P62" i="5" s="1"/>
  <c r="O70" i="5"/>
  <c r="P70" i="5" s="1"/>
  <c r="O78" i="5"/>
  <c r="P78" i="5" s="1"/>
  <c r="O86" i="5"/>
  <c r="P86" i="5" s="1"/>
  <c r="O94" i="5"/>
  <c r="P94" i="5" s="1"/>
  <c r="O102" i="5"/>
  <c r="P102" i="5" s="1"/>
  <c r="O110" i="5"/>
  <c r="P110" i="5" s="1"/>
  <c r="O118" i="5"/>
  <c r="P118" i="5" s="1"/>
  <c r="O125" i="5"/>
  <c r="P125" i="5" s="1"/>
  <c r="O133" i="5"/>
  <c r="P133" i="5" s="1"/>
  <c r="O141" i="5"/>
  <c r="P141" i="5" s="1"/>
  <c r="O148" i="5"/>
  <c r="P148" i="5" s="1"/>
  <c r="O156" i="5"/>
  <c r="P156" i="5" s="1"/>
  <c r="O164" i="5"/>
  <c r="P164" i="5" s="1"/>
  <c r="O172" i="5"/>
  <c r="P172" i="5" s="1"/>
  <c r="O9" i="5"/>
  <c r="P9" i="5" s="1"/>
  <c r="O26" i="5"/>
  <c r="P26" i="5" s="1"/>
  <c r="O18" i="5"/>
  <c r="P18" i="5" s="1"/>
  <c r="O34" i="5"/>
  <c r="P34" i="5" s="1"/>
  <c r="O47" i="5"/>
  <c r="P47" i="5" s="1"/>
  <c r="O55" i="5"/>
  <c r="P55" i="5" s="1"/>
  <c r="O63" i="5"/>
  <c r="P63" i="5" s="1"/>
  <c r="O71" i="5"/>
  <c r="P71" i="5" s="1"/>
  <c r="O79" i="5"/>
  <c r="P79" i="5" s="1"/>
  <c r="O87" i="5"/>
  <c r="P87" i="5" s="1"/>
  <c r="O95" i="5"/>
  <c r="P95" i="5" s="1"/>
  <c r="O103" i="5"/>
  <c r="P103" i="5" s="1"/>
  <c r="O111" i="5"/>
  <c r="P111" i="5" s="1"/>
  <c r="O119" i="5"/>
  <c r="P119" i="5" s="1"/>
  <c r="O126" i="5"/>
  <c r="P126" i="5" s="1"/>
  <c r="O134" i="5"/>
  <c r="P134" i="5" s="1"/>
  <c r="O149" i="5"/>
  <c r="P149" i="5" s="1"/>
  <c r="O157" i="5"/>
  <c r="P157" i="5" s="1"/>
  <c r="O165" i="5"/>
  <c r="P165" i="5" s="1"/>
  <c r="O8" i="5"/>
  <c r="P8" i="5" s="1"/>
  <c r="O25" i="5"/>
  <c r="P25" i="5" s="1"/>
  <c r="O41" i="5"/>
  <c r="P41" i="5" s="1"/>
  <c r="O33" i="5"/>
  <c r="P33" i="5" s="1"/>
  <c r="O4" i="5"/>
  <c r="P4" i="5" s="1"/>
  <c r="O48" i="5"/>
  <c r="P48" i="5" s="1"/>
  <c r="O56" i="5"/>
  <c r="P56" i="5" s="1"/>
  <c r="O64" i="5"/>
  <c r="P64" i="5" s="1"/>
  <c r="O72" i="5"/>
  <c r="P72" i="5" s="1"/>
  <c r="O80" i="5"/>
  <c r="P80" i="5" s="1"/>
  <c r="O88" i="5"/>
  <c r="P88" i="5" s="1"/>
  <c r="O96" i="5"/>
  <c r="P96" i="5" s="1"/>
  <c r="O104" i="5"/>
  <c r="P104" i="5" s="1"/>
  <c r="O112" i="5"/>
  <c r="P112" i="5" s="1"/>
  <c r="O127" i="5"/>
  <c r="P127" i="5" s="1"/>
  <c r="O135" i="5"/>
  <c r="P135" i="5" s="1"/>
  <c r="O142" i="5"/>
  <c r="P142" i="5" s="1"/>
  <c r="O150" i="5"/>
  <c r="P150" i="5" s="1"/>
  <c r="O158" i="5"/>
  <c r="P158" i="5" s="1"/>
  <c r="O166" i="5"/>
  <c r="P166" i="5" s="1"/>
  <c r="O6" i="5"/>
  <c r="P6" i="5" s="1"/>
  <c r="P24" i="5"/>
  <c r="O40" i="5"/>
  <c r="P40" i="5" s="1"/>
  <c r="O32" i="5"/>
  <c r="P32" i="5" s="1"/>
  <c r="O2" i="4"/>
  <c r="P2" i="4" s="1"/>
  <c r="Q449" i="12"/>
  <c r="R449" i="12" s="1"/>
  <c r="H51" i="2" s="1"/>
  <c r="Q485" i="12"/>
  <c r="R485" i="12" s="1"/>
  <c r="H52" i="2" s="1"/>
  <c r="Q295" i="12"/>
  <c r="R295" i="12" s="1"/>
  <c r="H48" i="2" s="1"/>
  <c r="R2" i="10"/>
  <c r="H38" i="2" s="1"/>
  <c r="J38" i="2" s="1"/>
  <c r="R2" i="12"/>
  <c r="H45" i="2" s="1"/>
  <c r="Q17" i="4"/>
  <c r="R17" i="4" s="1"/>
  <c r="H15" i="2" s="1"/>
  <c r="Q412" i="12" l="1"/>
  <c r="R412" i="12" s="1"/>
  <c r="H50" i="2" s="1"/>
  <c r="Q17" i="6"/>
  <c r="R17" i="6" s="1"/>
  <c r="H26" i="2" s="1"/>
  <c r="Q103" i="12"/>
  <c r="R103" i="12" s="1"/>
  <c r="H46" i="2" s="1"/>
  <c r="J45" i="2" s="1"/>
  <c r="I34" i="2"/>
  <c r="B11" i="2" s="1"/>
  <c r="H34" i="2"/>
  <c r="Q2" i="5"/>
  <c r="R2" i="5" s="1"/>
  <c r="T2" i="7"/>
  <c r="H54" i="2"/>
  <c r="J54" i="2" s="1"/>
  <c r="S2" i="13"/>
  <c r="I54" i="2" s="1"/>
  <c r="B16" i="2" s="1"/>
  <c r="W9" i="22" s="1"/>
  <c r="Q2" i="4"/>
  <c r="R2" i="4" s="1"/>
  <c r="S2" i="3"/>
  <c r="H5" i="2"/>
  <c r="J5" i="2" s="1"/>
  <c r="S2" i="12"/>
  <c r="I45" i="2" s="1"/>
  <c r="B15" i="2" s="1"/>
  <c r="U9" i="22" s="1"/>
  <c r="H25" i="2"/>
  <c r="J25" i="2" s="1"/>
  <c r="S2" i="6"/>
  <c r="I25" i="2" s="1"/>
  <c r="S2" i="10"/>
  <c r="I38" i="2" s="1"/>
  <c r="H30" i="2"/>
  <c r="J30" i="2" s="1"/>
  <c r="Q120" i="5"/>
  <c r="R120" i="5" s="1"/>
  <c r="Q67" i="5"/>
  <c r="R67" i="5" s="1"/>
  <c r="H21" i="2" s="1"/>
  <c r="Q42" i="5"/>
  <c r="R42" i="5" s="1"/>
  <c r="H20" i="2" s="1"/>
  <c r="Q101" i="5"/>
  <c r="R101" i="5" s="1"/>
  <c r="H22" i="2" s="1"/>
  <c r="Q17" i="5"/>
  <c r="R17" i="5" s="1"/>
  <c r="H19" i="2" s="1"/>
  <c r="Q142" i="5"/>
  <c r="R142" i="5" s="1"/>
  <c r="H24" i="2" s="1"/>
  <c r="B13" i="2" l="1"/>
  <c r="Q9" i="22" s="1"/>
  <c r="B9" i="2"/>
  <c r="I9" i="22" s="1"/>
  <c r="H14" i="2"/>
  <c r="J14" i="2" s="1"/>
  <c r="S2" i="4"/>
  <c r="I14" i="2" s="1"/>
  <c r="B7" i="2" s="1"/>
  <c r="E9" i="22" s="1"/>
  <c r="I5" i="2"/>
  <c r="B6" i="2" s="1"/>
  <c r="C9" i="22" s="1"/>
  <c r="H18" i="2"/>
  <c r="S2" i="5"/>
  <c r="H23" i="2"/>
  <c r="I30" i="2"/>
  <c r="M9" i="22"/>
  <c r="B10" i="2" l="1"/>
  <c r="K9" i="22" s="1"/>
  <c r="J18" i="2"/>
  <c r="I18" i="2"/>
  <c r="H22" i="18"/>
  <c r="L22" i="18"/>
  <c r="P22" i="18" s="1"/>
  <c r="B8" i="2" l="1"/>
  <c r="G9" i="22" s="1"/>
  <c r="R22" i="18"/>
  <c r="S22" i="18" s="1"/>
  <c r="H25" i="25" l="1"/>
  <c r="H26" i="25"/>
  <c r="H27" i="25"/>
  <c r="H28" i="25"/>
  <c r="H29" i="25"/>
  <c r="H30" i="25"/>
  <c r="H31" i="25"/>
  <c r="H32" i="25"/>
  <c r="H33" i="25"/>
  <c r="H34" i="25"/>
  <c r="H35" i="25"/>
  <c r="E4" i="26" l="1"/>
  <c r="B12" i="25"/>
  <c r="I35" i="25"/>
  <c r="I34" i="25"/>
  <c r="I33" i="25"/>
  <c r="I32" i="25"/>
  <c r="I31" i="25"/>
  <c r="I30" i="25"/>
  <c r="I29" i="25"/>
  <c r="I28" i="25"/>
  <c r="I27" i="25"/>
  <c r="I26" i="25"/>
  <c r="I25" i="25"/>
  <c r="I11" i="24"/>
  <c r="C11" i="24"/>
  <c r="J26" i="21"/>
  <c r="J27" i="21"/>
  <c r="J28" i="21"/>
  <c r="J25" i="21"/>
  <c r="J24" i="21"/>
  <c r="J23" i="21"/>
  <c r="J22" i="21"/>
  <c r="J21" i="21"/>
  <c r="J20" i="21"/>
  <c r="J19" i="21"/>
  <c r="J18" i="21"/>
  <c r="J17" i="21"/>
  <c r="L21" i="18"/>
  <c r="P21" i="18" s="1"/>
  <c r="Q22" i="18" s="1"/>
  <c r="H21" i="18"/>
  <c r="L20" i="18"/>
  <c r="P20" i="18" s="1"/>
  <c r="R20" i="18" s="1"/>
  <c r="H20" i="18"/>
  <c r="L19" i="18"/>
  <c r="P19" i="18" s="1"/>
  <c r="H19" i="18"/>
  <c r="L18" i="18"/>
  <c r="P18" i="18" s="1"/>
  <c r="H18" i="18"/>
  <c r="L17" i="18"/>
  <c r="P17" i="18" s="1"/>
  <c r="H17" i="18"/>
  <c r="L16" i="18"/>
  <c r="P16" i="18" s="1"/>
  <c r="R16" i="18" s="1"/>
  <c r="H16" i="18"/>
  <c r="E5" i="26" l="1"/>
  <c r="E6" i="26" s="1"/>
  <c r="E7" i="26" s="1"/>
  <c r="E8" i="26" s="1"/>
  <c r="E9" i="26" s="1"/>
  <c r="AZ9" i="22" s="1"/>
  <c r="F32" i="21"/>
  <c r="G32" i="21" s="1"/>
  <c r="AX9" i="22" s="1"/>
  <c r="B13" i="25"/>
  <c r="Q17" i="18"/>
  <c r="R17" i="18"/>
  <c r="S17" i="18" s="1"/>
  <c r="Q21" i="18"/>
  <c r="R21" i="18"/>
  <c r="S21" i="18" s="1"/>
  <c r="S16" i="18"/>
  <c r="R18" i="18"/>
  <c r="S18" i="18" s="1"/>
  <c r="Q18" i="18"/>
  <c r="R19" i="18"/>
  <c r="S19" i="18" s="1"/>
  <c r="Q19" i="18"/>
  <c r="S20" i="18"/>
  <c r="Q16" i="18"/>
  <c r="Q20" i="18"/>
  <c r="F9" i="22"/>
  <c r="H9" i="22"/>
  <c r="J9" i="22"/>
  <c r="L9" i="22"/>
  <c r="N9" i="22"/>
  <c r="P9" i="22"/>
  <c r="R9" i="22"/>
  <c r="T9" i="22"/>
  <c r="V9" i="22"/>
  <c r="X9" i="22"/>
  <c r="D9" i="22" l="1"/>
  <c r="G7" i="24"/>
  <c r="G4" i="24"/>
  <c r="G8" i="24"/>
  <c r="G6" i="24"/>
  <c r="G5" i="24"/>
  <c r="G10" i="24"/>
  <c r="G9" i="24"/>
  <c r="B14" i="25"/>
  <c r="BA9" i="22"/>
  <c r="G11" i="24" l="1"/>
  <c r="B15" i="25"/>
  <c r="D7" i="24"/>
  <c r="C7" i="25" s="1"/>
  <c r="D8" i="24"/>
  <c r="C8" i="25" s="1"/>
  <c r="D9" i="24"/>
  <c r="C9" i="25" s="1"/>
  <c r="D4" i="24"/>
  <c r="C4" i="25" s="1"/>
  <c r="D10" i="24"/>
  <c r="C10" i="25" s="1"/>
  <c r="D5" i="24"/>
  <c r="C5" i="25" s="1"/>
  <c r="D6" i="24"/>
  <c r="C6" i="25" s="1"/>
  <c r="C11" i="25" l="1"/>
  <c r="C12" i="25" s="1"/>
  <c r="B16" i="25"/>
  <c r="D11" i="24"/>
  <c r="B17" i="25" l="1"/>
  <c r="C13" i="25"/>
  <c r="C14" i="25" s="1"/>
  <c r="C15" i="25" l="1"/>
  <c r="B18" i="25"/>
  <c r="B19" i="25" l="1"/>
  <c r="C16" i="25"/>
  <c r="C17" i="25" l="1"/>
  <c r="B20" i="25"/>
  <c r="B21" i="25" l="1"/>
  <c r="B22" i="25" s="1"/>
  <c r="C18" i="25"/>
  <c r="C19" i="25" l="1"/>
  <c r="B23" i="25"/>
  <c r="C20" i="25" l="1"/>
  <c r="B24" i="25"/>
  <c r="C21" i="25" l="1"/>
  <c r="C22" i="25" s="1"/>
  <c r="B25" i="25"/>
  <c r="C23" i="25" l="1"/>
  <c r="C24" i="25" s="1"/>
  <c r="B26" i="25"/>
  <c r="B27" i="25" l="1"/>
  <c r="C25" i="25"/>
  <c r="B28" i="25" l="1"/>
  <c r="C26" i="25"/>
  <c r="C27" i="25" s="1"/>
  <c r="C28" i="25" l="1"/>
  <c r="C29" i="25" s="1"/>
  <c r="B29" i="25"/>
  <c r="B30" i="25" l="1"/>
  <c r="C30" i="25" s="1"/>
  <c r="B31" i="25" l="1"/>
  <c r="C31" i="25" s="1"/>
  <c r="B32" i="25" l="1"/>
  <c r="B33" i="25" l="1"/>
  <c r="B34" i="25" l="1"/>
  <c r="B35" i="25" l="1"/>
  <c r="B36" i="25" l="1"/>
  <c r="B37" i="25" s="1"/>
  <c r="C32" i="25"/>
  <c r="C33" i="25" s="1"/>
  <c r="T2" i="31"/>
  <c r="I76" i="2" s="1"/>
  <c r="B21" i="2" s="1"/>
  <c r="AG9" i="22" s="1"/>
  <c r="AK9" i="22" s="1"/>
  <c r="K5" i="2" s="1"/>
  <c r="C34" i="25" l="1"/>
  <c r="C35" i="25"/>
  <c r="B38" i="25"/>
  <c r="B39" i="25" s="1"/>
  <c r="AM9" i="22"/>
  <c r="AP9" i="22" s="1"/>
  <c r="AQ9" i="22" s="1"/>
  <c r="AN9" i="22"/>
  <c r="B40" i="25" l="1"/>
  <c r="B41" i="25" s="1"/>
  <c r="C36" i="25"/>
  <c r="C37" i="25" s="1"/>
  <c r="AU9" i="22"/>
  <c r="AR9" i="22"/>
  <c r="AT9" i="22"/>
  <c r="C38" i="25" l="1"/>
  <c r="C39" i="25"/>
  <c r="AW9" i="22"/>
  <c r="AY9" i="22" s="1"/>
  <c r="C40" i="25" l="1"/>
  <c r="C41" i="25"/>
  <c r="E8" i="24"/>
  <c r="H8" i="24" s="1"/>
  <c r="E7" i="24"/>
  <c r="H7" i="24" s="1"/>
  <c r="E6" i="24"/>
  <c r="H6" i="24" s="1"/>
  <c r="E10" i="24"/>
  <c r="H10" i="24" s="1"/>
  <c r="E4" i="24"/>
  <c r="H4" i="24" s="1"/>
  <c r="E9" i="24"/>
  <c r="H9" i="24" s="1"/>
  <c r="E5" i="24"/>
  <c r="BB9" i="22"/>
  <c r="BC9" i="22"/>
  <c r="J7" i="24" l="1"/>
  <c r="K7" i="24" s="1"/>
  <c r="J10" i="24"/>
  <c r="K10" i="24" s="1"/>
  <c r="E11" i="24"/>
  <c r="O4" i="24" s="1"/>
  <c r="P4" i="24" s="1"/>
  <c r="J8" i="24"/>
  <c r="K8" i="24" s="1"/>
  <c r="J6" i="24"/>
  <c r="K6" i="24" s="1"/>
  <c r="J4" i="24"/>
  <c r="K4" i="24" s="1"/>
  <c r="F4" i="24"/>
  <c r="F5" i="24" s="1"/>
  <c r="H5" i="24"/>
  <c r="H11" i="24" s="1"/>
  <c r="J5" i="24"/>
  <c r="J9" i="24"/>
  <c r="K9" i="24" s="1"/>
  <c r="BD9" i="22"/>
  <c r="K5" i="24" l="1"/>
  <c r="K11" i="24" s="1"/>
  <c r="D4" i="25"/>
  <c r="E4" i="25" s="1"/>
  <c r="J11" i="24"/>
  <c r="D5" i="25"/>
  <c r="F6" i="24"/>
  <c r="F4" i="25" l="1"/>
  <c r="D6" i="25"/>
  <c r="F7" i="24"/>
  <c r="E5" i="25"/>
  <c r="F5" i="25"/>
  <c r="G4" i="25" l="1"/>
  <c r="H4" i="25" s="1"/>
  <c r="I4" i="25" s="1"/>
  <c r="G5" i="25"/>
  <c r="H5" i="25" s="1"/>
  <c r="I5" i="25" s="1"/>
  <c r="D7" i="25"/>
  <c r="F8" i="24"/>
  <c r="E6" i="25"/>
  <c r="F6" i="25"/>
  <c r="G6" i="25" s="1"/>
  <c r="H6" i="25" s="1"/>
  <c r="I6" i="25" s="1"/>
  <c r="D8" i="25" l="1"/>
  <c r="F9" i="24"/>
  <c r="F7" i="25"/>
  <c r="G7" i="25" s="1"/>
  <c r="H7" i="25" s="1"/>
  <c r="I7" i="25" s="1"/>
  <c r="E7" i="25"/>
  <c r="F8" i="25" l="1"/>
  <c r="G8" i="25" s="1"/>
  <c r="H8" i="25" s="1"/>
  <c r="I8" i="25" s="1"/>
  <c r="E8" i="25"/>
  <c r="D9" i="25"/>
  <c r="F10" i="24"/>
  <c r="D10" i="25" s="1"/>
  <c r="F10" i="25" l="1"/>
  <c r="E10" i="25"/>
  <c r="D11" i="25"/>
  <c r="F9" i="25"/>
  <c r="E9" i="25"/>
  <c r="G9" i="25" l="1"/>
  <c r="H9" i="25" s="1"/>
  <c r="I9" i="25" s="1"/>
  <c r="D12" i="25"/>
  <c r="D13" i="25" s="1"/>
  <c r="F11" i="25"/>
  <c r="G11" i="25" s="1"/>
  <c r="H11" i="25" s="1"/>
  <c r="I11" i="25" s="1"/>
  <c r="E11" i="25"/>
  <c r="G10" i="25"/>
  <c r="H10" i="25" s="1"/>
  <c r="I10" i="25" s="1"/>
  <c r="D14" i="25" l="1"/>
  <c r="D15" i="25" s="1"/>
  <c r="F13" i="25"/>
  <c r="E13" i="25"/>
  <c r="F12" i="25"/>
  <c r="G12" i="25" s="1"/>
  <c r="H12" i="25" s="1"/>
  <c r="I12" i="25" s="1"/>
  <c r="E12" i="25"/>
  <c r="D16" i="25" l="1"/>
  <c r="D17" i="25" s="1"/>
  <c r="F15" i="25"/>
  <c r="E15" i="25"/>
  <c r="G13" i="25"/>
  <c r="E14" i="25"/>
  <c r="F14" i="25"/>
  <c r="G14" i="25" s="1"/>
  <c r="H14" i="25" s="1"/>
  <c r="I14" i="25" s="1"/>
  <c r="E17" i="25" l="1"/>
  <c r="F17" i="25"/>
  <c r="H13" i="25"/>
  <c r="I13" i="25" s="1"/>
  <c r="G15" i="25"/>
  <c r="H15" i="25" s="1"/>
  <c r="I15" i="25" s="1"/>
  <c r="D18" i="25"/>
  <c r="E16" i="25"/>
  <c r="F16" i="25"/>
  <c r="G16" i="25" s="1"/>
  <c r="H16" i="25" s="1"/>
  <c r="I16" i="25" s="1"/>
  <c r="D19" i="25" l="1"/>
  <c r="D20" i="25" s="1"/>
  <c r="E18" i="25"/>
  <c r="F18" i="25"/>
  <c r="G18" i="25" s="1"/>
  <c r="H18" i="25" s="1"/>
  <c r="I18" i="25" s="1"/>
  <c r="G17" i="25"/>
  <c r="H17" i="25" s="1"/>
  <c r="I17" i="25" s="1"/>
  <c r="D21" i="25" l="1"/>
  <c r="D22" i="25" s="1"/>
  <c r="F20" i="25"/>
  <c r="E20" i="25"/>
  <c r="F19" i="25"/>
  <c r="G19" i="25" s="1"/>
  <c r="H19" i="25" s="1"/>
  <c r="I19" i="25" s="1"/>
  <c r="E19" i="25"/>
  <c r="D23" i="25" l="1"/>
  <c r="D24" i="25" s="1"/>
  <c r="F22" i="25"/>
  <c r="E22" i="25"/>
  <c r="G20" i="25"/>
  <c r="H20" i="25" s="1"/>
  <c r="I20" i="25" s="1"/>
  <c r="E21" i="25"/>
  <c r="F21" i="25"/>
  <c r="G21" i="25" s="1"/>
  <c r="G22" i="25" l="1"/>
  <c r="D25" i="25"/>
  <c r="D26" i="25" s="1"/>
  <c r="F24" i="25"/>
  <c r="E24" i="25"/>
  <c r="H22" i="25"/>
  <c r="I22" i="25" s="1"/>
  <c r="E23" i="25"/>
  <c r="F23" i="25"/>
  <c r="D27" i="25" l="1"/>
  <c r="D28" i="25" s="1"/>
  <c r="E26" i="25"/>
  <c r="F26" i="25"/>
  <c r="F25" i="25"/>
  <c r="E25" i="25"/>
  <c r="E28" i="25" l="1"/>
  <c r="F28" i="25"/>
  <c r="D29" i="25"/>
  <c r="E27" i="25"/>
  <c r="F27" i="25"/>
  <c r="D30" i="25" l="1"/>
  <c r="D31" i="25" s="1"/>
  <c r="E29" i="25"/>
  <c r="F29" i="25"/>
  <c r="F31" i="25" l="1"/>
  <c r="E31" i="25"/>
  <c r="D32" i="25"/>
  <c r="E30" i="25"/>
  <c r="F30" i="25"/>
  <c r="D33" i="25" l="1"/>
  <c r="D34" i="25" s="1"/>
  <c r="E32" i="25"/>
  <c r="F32" i="25"/>
  <c r="F34" i="25" l="1"/>
  <c r="E34" i="25"/>
  <c r="D35" i="25"/>
  <c r="E33" i="25"/>
  <c r="F33" i="25"/>
  <c r="D36" i="25" l="1"/>
  <c r="F35" i="25"/>
  <c r="E35" i="25"/>
  <c r="F36" i="25" l="1"/>
  <c r="E36" i="25"/>
  <c r="D37" i="25"/>
  <c r="H21" i="25"/>
  <c r="I21" i="25" s="1"/>
  <c r="D38" i="25" l="1"/>
  <c r="D39" i="25" s="1"/>
  <c r="F37" i="25"/>
  <c r="E37" i="25"/>
  <c r="H24" i="25"/>
  <c r="I24" i="25" s="1"/>
  <c r="E39" i="25" l="1"/>
  <c r="F39" i="25"/>
  <c r="E38" i="25"/>
  <c r="F38" i="25"/>
  <c r="D40" i="25"/>
  <c r="D41" i="25" l="1"/>
  <c r="E40" i="25"/>
  <c r="F40" i="25"/>
  <c r="E41" i="25" l="1"/>
  <c r="F41" i="25"/>
  <c r="F42" i="25" s="1"/>
  <c r="F43" i="25" s="1"/>
  <c r="J36" i="25" l="1"/>
  <c r="J37" i="25"/>
  <c r="J38" i="25"/>
  <c r="G23" i="25"/>
  <c r="H23" i="25" s="1"/>
  <c r="I23" i="25" s="1"/>
  <c r="J39" i="25"/>
  <c r="J40" i="25"/>
  <c r="J41" i="25"/>
  <c r="J16" i="25"/>
  <c r="J27" i="25"/>
  <c r="J33" i="25"/>
  <c r="J19" i="25"/>
  <c r="J30" i="25"/>
  <c r="J5" i="25"/>
  <c r="J20" i="25"/>
  <c r="J4" i="25"/>
  <c r="J21" i="25"/>
  <c r="J17" i="25"/>
  <c r="J28" i="25"/>
  <c r="J32" i="25"/>
  <c r="J8" i="25"/>
  <c r="J12" i="25"/>
  <c r="J18" i="25"/>
  <c r="J10" i="25"/>
  <c r="J23" i="25"/>
  <c r="J35" i="25"/>
  <c r="J14" i="25"/>
  <c r="J31" i="25"/>
  <c r="J15" i="25"/>
  <c r="J34" i="25"/>
  <c r="J25" i="25"/>
  <c r="J13" i="25"/>
  <c r="J22" i="25"/>
  <c r="J11" i="25"/>
  <c r="J26" i="25"/>
  <c r="J6" i="25"/>
  <c r="J29" i="25"/>
  <c r="J9" i="25"/>
  <c r="J24" i="25"/>
  <c r="J7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Rajat Singh</author>
    <author>Sahil Pathan</author>
  </authors>
  <commentList>
    <comment ref="F2" authorId="0" shapeId="0" xr:uid="{E43F7FC4-D88D-48BB-AA75-615A2E9BE4F4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As per CDM Tool 14</t>
        </r>
      </text>
    </comment>
    <comment ref="H2" authorId="0" shapeId="0" xr:uid="{F49C478D-1C23-4776-8B8B-CC0599FE0AD0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Average annual rainfall is less than 1000 mm and elevation is also less than 1000m  of Andra Pradesh</t>
        </r>
      </text>
    </comment>
    <comment ref="I2" authorId="0" shapeId="0" xr:uid="{C52CD415-B5BA-4BB9-AB43-78E62B49BF14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as Per CDM Tool 12</t>
        </r>
      </text>
    </comment>
    <comment ref="J2" authorId="0" shapeId="0" xr:uid="{572509B6-6730-46CC-A440-BDF45ED78545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Average annual rainfall is less than 1000 mm and elevation is also less than 1000m  of Andra Pradesh</t>
        </r>
      </text>
    </comment>
    <comment ref="D11" authorId="1" shapeId="0" xr:uid="{DFE9077C-A730-4C10-8436-087995676C8F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5899BF6A-A18C-4898-99D0-65B2C90F488B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As per CDM Tool 14</t>
        </r>
      </text>
    </comment>
    <comment ref="H14" authorId="0" shapeId="0" xr:uid="{1C0198C7-AB5A-40F2-9988-C403BF5623E6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As per the Tool- 14</t>
        </r>
      </text>
    </comment>
    <comment ref="I14" authorId="0" shapeId="0" xr:uid="{BC41940F-6817-4FB0-A17D-43BA1439F3B9}">
      <text>
        <r>
          <rPr>
            <b/>
            <sz val="9"/>
            <color indexed="81"/>
            <rFont val="Tahoma"/>
            <family val="2"/>
          </rPr>
          <t>Rajat Singh:</t>
        </r>
        <r>
          <rPr>
            <sz val="9"/>
            <color indexed="81"/>
            <rFont val="Tahoma"/>
            <family val="2"/>
          </rPr>
          <t xml:space="preserve">
As per the IPPC default value, 
Table 3.1.9-2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Sahil Pathan</author>
  </authors>
  <commentList>
    <comment ref="A33" authorId="0" shapeId="0" xr:uid="{FA9E439A-0ED6-4554-8906-7C71B849EF05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Number of statum</t>
        </r>
      </text>
    </comment>
    <comment ref="A34" authorId="0" shapeId="0" xr:uid="{1883FF2F-06C1-434A-A11A-A4868C11FE4D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Number of PSP</t>
        </r>
      </text>
    </comment>
    <comment ref="A35" authorId="0" shapeId="0" xr:uid="{1AA76674-7F44-4494-9F92-672D4C1367C4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t value for 90 confidence interval degree of freedom 39</t>
        </r>
      </text>
    </comment>
    <comment ref="B35" authorId="0" shapeId="0" xr:uid="{65EA47FA-C7C6-45C7-B5EF-C8B9D3BAFC50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https://goodcalculators.com/student-t-value-calculator/</t>
        </r>
      </text>
    </comment>
    <comment ref="A36" authorId="0" shapeId="0" xr:uid="{51F4E603-CD39-404A-BBD6-1A18E97781C0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As per tool 14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Himanshu</author>
  </authors>
  <commentList>
    <comment ref="L11" authorId="0" shapeId="0" xr:uid="{B1DED8BB-AB17-496D-AE95-831036C8C9CE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L12" authorId="0" shapeId="0" xr:uid="{1F487E0A-BC1A-43F9-8A21-7A72A250C3C9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for Forest in India as per table 3A.1.4 of IPCC GPG-LULUCF 2003</t>
        </r>
      </text>
    </comment>
    <comment ref="J13" authorId="0" shapeId="0" xr:uid="{063EAFAF-8B10-4C9F-8CCB-A1BC9C36DFAF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L13" authorId="0" shapeId="0" xr:uid="{7B379F54-0B87-421C-A65B-1FA112F7D1A5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as per the CDM AR- Tool 14 Estimation of carbon stocks and change 
in carbon stocks of trees and shrubs in A/R CDM project activities, version 04.2, para 64, table 2</t>
        </r>
      </text>
    </comment>
    <comment ref="L14" authorId="0" shapeId="0" xr:uid="{BFE2B3B9-A063-4201-B444-083147C4647B}">
      <text>
        <r>
          <rPr>
            <b/>
            <sz val="9"/>
            <color indexed="81"/>
            <rFont val="Tahoma"/>
            <family val="2"/>
          </rPr>
          <t>Pankaj Kumar Tomar:</t>
        </r>
        <r>
          <rPr>
            <sz val="9"/>
            <color indexed="81"/>
            <rFont val="Tahoma"/>
            <family val="2"/>
          </rPr>
          <t xml:space="preserve">
Default value from tool AR-TOOL 14</t>
        </r>
      </text>
    </comment>
    <comment ref="J15" authorId="0" shapeId="0" xr:uid="{AB0BAADB-77D3-49CB-95A2-74135718DAC4}">
      <text>
        <r>
          <rPr>
            <b/>
            <sz val="9"/>
            <color indexed="81"/>
            <rFont val="Tahoma"/>
            <family val="2"/>
          </rPr>
          <t xml:space="preserve">Pankaj Kumar Tomar:
</t>
        </r>
        <r>
          <rPr>
            <sz val="9"/>
            <color indexed="81"/>
            <rFont val="Tahoma"/>
            <family val="2"/>
          </rPr>
          <t>Default value from tool AR-TOOL 14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Sahil Pathan</author>
  </authors>
  <commentList>
    <comment ref="D10" authorId="0" shapeId="0" xr:uid="{5384A113-4A5E-4FE7-91C7-B6B57A025ED4}">
      <text>
        <r>
          <rPr>
            <b/>
            <sz val="9"/>
            <color indexed="81"/>
            <rFont val="Tahoma"/>
            <family val="2"/>
          </rPr>
          <t>Sahil Pathan:</t>
        </r>
        <r>
          <rPr>
            <sz val="9"/>
            <color indexed="81"/>
            <rFont val="Tahoma"/>
            <family val="2"/>
          </rPr>
          <t xml:space="preserve">
1st monitoring period</t>
        </r>
      </text>
    </comment>
  </commentList>
</comments>
</file>

<file path=xl/sharedStrings.xml><?xml version="1.0" encoding="utf-8"?>
<sst xmlns="http://schemas.openxmlformats.org/spreadsheetml/2006/main" count="3940" uniqueCount="700">
  <si>
    <t>Parameters</t>
  </si>
  <si>
    <t>Sr.No.</t>
  </si>
  <si>
    <t>Species</t>
  </si>
  <si>
    <t>Botanical name</t>
  </si>
  <si>
    <t>Allometric equation</t>
  </si>
  <si>
    <t>Referense</t>
  </si>
  <si>
    <t>Root-shoot ratio</t>
  </si>
  <si>
    <t>Carbon fraction</t>
  </si>
  <si>
    <t>Litter</t>
  </si>
  <si>
    <t>CF for Litter</t>
  </si>
  <si>
    <t>Deadwood</t>
  </si>
  <si>
    <t xml:space="preserve">Mango </t>
  </si>
  <si>
    <t>Mangifera indica</t>
  </si>
  <si>
    <t>https://www.tandfonline.com/doi/pdf/10.1080/17583004.2019.1642043</t>
  </si>
  <si>
    <t>Gauva</t>
  </si>
  <si>
    <t>Psidium guajava</t>
  </si>
  <si>
    <t>Volume Equation</t>
  </si>
  <si>
    <t>Biomass Eapnasion Factor (BEF)</t>
  </si>
  <si>
    <t>Carbon Fraction</t>
  </si>
  <si>
    <t>Wood Desity</t>
  </si>
  <si>
    <t xml:space="preserve">Red Sander </t>
  </si>
  <si>
    <t>Pterocarpus santalinus</t>
  </si>
  <si>
    <t>v^1/2=-0.144504+2.943115*D</t>
  </si>
  <si>
    <t>As per the IPPC default value, Tale 3.19.</t>
  </si>
  <si>
    <t>Stratum Name</t>
  </si>
  <si>
    <t xml:space="preserve">Stratum Code </t>
  </si>
  <si>
    <t>Area</t>
  </si>
  <si>
    <t>Wi</t>
  </si>
  <si>
    <t>Plot Size (ha)</t>
  </si>
  <si>
    <t>i=1</t>
  </si>
  <si>
    <t>2019 Mango</t>
  </si>
  <si>
    <t>i=2</t>
  </si>
  <si>
    <t>2020 Mango</t>
  </si>
  <si>
    <t>i=3</t>
  </si>
  <si>
    <t>2021 Mango</t>
  </si>
  <si>
    <t>i=4</t>
  </si>
  <si>
    <t>i=5</t>
  </si>
  <si>
    <t>2023 Mango</t>
  </si>
  <si>
    <t>i=6</t>
  </si>
  <si>
    <t>i=7</t>
  </si>
  <si>
    <t>i=8</t>
  </si>
  <si>
    <t>i=9</t>
  </si>
  <si>
    <t>i=10</t>
  </si>
  <si>
    <t>i=11</t>
  </si>
  <si>
    <t>Stratum</t>
  </si>
  <si>
    <t>Table 3A.1.5</t>
  </si>
  <si>
    <t>Table 3A.1.8</t>
  </si>
  <si>
    <t>Table 3A.1.4,IPCC Guidelines for National Greenhouse Gas Inventories</t>
  </si>
  <si>
    <t xml:space="preserve"> IPCC Guidelines for National Greenhouse Gas Inventories</t>
  </si>
  <si>
    <t>Year</t>
  </si>
  <si>
    <t>Carbon fraction of tree biomass in the baseline; t C (t.d.m.)-1</t>
  </si>
  <si>
    <t>Default mean annual increment of above-ground biomass in forest in the region;
t d.m. ha-1 yr-1</t>
  </si>
  <si>
    <r>
      <t>Root-shoot ratio appropriate for biomass increment; t d.m. t</t>
    </r>
    <r>
      <rPr>
        <b/>
        <vertAlign val="superscript"/>
        <sz val="10"/>
        <rFont val="Arial"/>
        <family val="2"/>
      </rPr>
      <t xml:space="preserve">-1 </t>
    </r>
    <r>
      <rPr>
        <b/>
        <sz val="10"/>
        <rFont val="Arial"/>
        <family val="2"/>
      </rPr>
      <t>d.m</t>
    </r>
  </si>
  <si>
    <t>Crown cover of trees in the baseline, in baseline stratum i, at the start of the A/R CDM project activity, expressed as a fraction</t>
  </si>
  <si>
    <t>Area of stratum i in the baseline, delineated on the basis of tree crown cover at the start of the A/R CDM project activity; ha</t>
  </si>
  <si>
    <t>Average annual change in carbon stock in tree biomass in the
baseline in baseline stratum i; t CO2-e yr-1</t>
  </si>
  <si>
    <t>Crown cover of shrubs in shrub biomass stratum i at a given point
of time in year t expressed as a fraction; dimensionless</t>
  </si>
  <si>
    <t>Default above-ground biomass content in forest in the region/ country where the A/R CDM project is located; t d.m. ha-</t>
  </si>
  <si>
    <t>Ratio of shrub biomass per hectare in land having a shrub crown cover of 1.0 and default above-ground biomass content per
hectare in forest in the region/country where the A/R CDM project
is located; dimensionless</t>
  </si>
  <si>
    <t>Shrub biomass per hectare in shrub biomass stratum i at a given
point of time in year t; t d.m. ha-1</t>
  </si>
  <si>
    <t>Carbon fraction of shrub biomass; t C (t.d.m.)-1</t>
  </si>
  <si>
    <t>Root-shoot ratio for shrubs; dimensionless</t>
  </si>
  <si>
    <t>Area of shrub biomass stratum i at a given point of time in year t;
ha</t>
  </si>
  <si>
    <t>Carbon stock in shrub biomass within the project boundary at a
given point of time in year t; t CO2-e</t>
  </si>
  <si>
    <t>Rate of change in carbon stock in shrub biomass within the project
boundary during the period between a point of time in year t1 and
a point of time in year t2; t CO2-e yr-1</t>
  </si>
  <si>
    <t>Change in carbon stock in shrub biomass within the project
boundary in year t; t CO2-e</t>
  </si>
  <si>
    <t>Baseline net GHG removals by sinks in year t; t CO-e</t>
  </si>
  <si>
    <t>t</t>
  </si>
  <si>
    <r>
      <t>CF</t>
    </r>
    <r>
      <rPr>
        <b/>
        <vertAlign val="subscript"/>
        <sz val="10"/>
        <rFont val="Arial"/>
        <family val="2"/>
      </rPr>
      <t>TREE_BSL</t>
    </r>
  </si>
  <si>
    <r>
      <t>Δb</t>
    </r>
    <r>
      <rPr>
        <b/>
        <vertAlign val="subscript"/>
        <sz val="10"/>
        <rFont val="Arial"/>
        <family val="2"/>
      </rPr>
      <t>FOREST</t>
    </r>
  </si>
  <si>
    <r>
      <t>R</t>
    </r>
    <r>
      <rPr>
        <b/>
        <vertAlign val="subscript"/>
        <sz val="10"/>
        <rFont val="Arial"/>
        <family val="2"/>
      </rPr>
      <t>TREE_BSL</t>
    </r>
  </si>
  <si>
    <r>
      <t>CC</t>
    </r>
    <r>
      <rPr>
        <b/>
        <i/>
        <vertAlign val="subscript"/>
        <sz val="10"/>
        <rFont val="Arial"/>
        <family val="2"/>
      </rPr>
      <t>TREE_BSL,i</t>
    </r>
  </si>
  <si>
    <r>
      <t>A</t>
    </r>
    <r>
      <rPr>
        <b/>
        <i/>
        <vertAlign val="subscript"/>
        <sz val="10"/>
        <rFont val="Arial"/>
        <family val="2"/>
      </rPr>
      <t>BSL</t>
    </r>
    <r>
      <rPr>
        <b/>
        <vertAlign val="subscript"/>
        <sz val="10"/>
        <rFont val="Arial"/>
        <family val="2"/>
      </rPr>
      <t>,</t>
    </r>
    <r>
      <rPr>
        <b/>
        <i/>
        <vertAlign val="subscript"/>
        <sz val="10"/>
        <rFont val="Arial"/>
        <family val="2"/>
      </rPr>
      <t>i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</si>
  <si>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>ΔC</t>
    </r>
    <r>
      <rPr>
        <b/>
        <vertAlign val="subscript"/>
        <sz val="10"/>
        <color theme="1"/>
        <rFont val="Arial"/>
        <family val="2"/>
      </rPr>
      <t>TREE,BSL,i</t>
    </r>
  </si>
  <si>
    <r>
      <t>CC</t>
    </r>
    <r>
      <rPr>
        <b/>
        <i/>
        <vertAlign val="subscript"/>
        <sz val="10"/>
        <rFont val="Arial"/>
        <family val="2"/>
      </rPr>
      <t>SHRUB_BSL,i</t>
    </r>
  </si>
  <si>
    <r>
      <t>b</t>
    </r>
    <r>
      <rPr>
        <b/>
        <i/>
        <vertAlign val="subscript"/>
        <sz val="10"/>
        <rFont val="Arial"/>
        <family val="2"/>
      </rPr>
      <t>FOREST</t>
    </r>
  </si>
  <si>
    <r>
      <t>BDR</t>
    </r>
    <r>
      <rPr>
        <b/>
        <i/>
        <vertAlign val="subscript"/>
        <sz val="10"/>
        <rFont val="Arial"/>
        <family val="2"/>
      </rPr>
      <t>SF</t>
    </r>
  </si>
  <si>
    <r>
      <t>B</t>
    </r>
    <r>
      <rPr>
        <b/>
        <i/>
        <vertAlign val="subscript"/>
        <sz val="10"/>
        <rFont val="Arial"/>
        <family val="2"/>
      </rPr>
      <t>SHRUB_BSL,I,t</t>
    </r>
  </si>
  <si>
    <r>
      <t>CF</t>
    </r>
    <r>
      <rPr>
        <b/>
        <vertAlign val="subscript"/>
        <sz val="10"/>
        <rFont val="Arial"/>
        <family val="2"/>
      </rPr>
      <t>s</t>
    </r>
  </si>
  <si>
    <r>
      <t>R</t>
    </r>
    <r>
      <rPr>
        <b/>
        <vertAlign val="subscript"/>
        <sz val="10"/>
        <rFont val="Arial"/>
        <family val="2"/>
      </rPr>
      <t>s</t>
    </r>
  </si>
  <si>
    <r>
      <t>A</t>
    </r>
    <r>
      <rPr>
        <b/>
        <i/>
        <vertAlign val="subscript"/>
        <sz val="10"/>
        <rFont val="Arial"/>
        <family val="2"/>
      </rPr>
      <t>SHRUB,i</t>
    </r>
  </si>
  <si>
    <r>
      <t>C</t>
    </r>
    <r>
      <rPr>
        <b/>
        <i/>
        <vertAlign val="subscript"/>
        <sz val="10"/>
        <rFont val="Arial"/>
        <family val="2"/>
      </rPr>
      <t>SHRUB_BSL,t</t>
    </r>
  </si>
  <si>
    <r>
      <t>dC</t>
    </r>
    <r>
      <rPr>
        <b/>
        <vertAlign val="subscript"/>
        <sz val="10"/>
        <rFont val="Arial"/>
        <family val="2"/>
      </rPr>
      <t>SHRUB,(t1,t2)</t>
    </r>
  </si>
  <si>
    <r>
      <t>ΔC</t>
    </r>
    <r>
      <rPr>
        <b/>
        <vertAlign val="subscript"/>
        <sz val="10"/>
        <color theme="1"/>
        <rFont val="Arial"/>
        <family val="2"/>
      </rPr>
      <t>SHRUB_BSL,t</t>
    </r>
  </si>
  <si>
    <r>
      <t>ΔC</t>
    </r>
    <r>
      <rPr>
        <b/>
        <vertAlign val="subscript"/>
        <sz val="10"/>
        <color theme="1"/>
        <rFont val="Arial"/>
        <family val="2"/>
      </rPr>
      <t>BSL,t</t>
    </r>
  </si>
  <si>
    <t>Parameter</t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</si>
  <si>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REF,i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</si>
  <si>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LU,i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</si>
  <si>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MG,i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</si>
  <si>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IN,i</t>
    </r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</si>
  <si>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INITIAL,i</t>
    </r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</si>
  <si>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LOSS,i</t>
    </r>
  </si>
  <si>
    <t xml:space="preserve">Annual dSOC </t>
  </si>
  <si>
    <t>Andra Pradesh</t>
  </si>
  <si>
    <t>Refe/ Justificatiom</t>
  </si>
  <si>
    <t>https://oar.icrisat.org/6817/1/CurrentSc_104_10_1308-1323_2013.pdf</t>
  </si>
  <si>
    <t>Area has been continuously managed for crops for more than 20 years</t>
  </si>
  <si>
    <t>In the Baseline, Substantial soil disturbance with  frequent (within-year) tillage operations.Substantial soil disturbance with frequent tillage operations. At planting time, less than 30% of the surface is covered by residues.</t>
  </si>
  <si>
    <t xml:space="preserve">In baseline the project land is crop land.In the baseline,production of  crops yielding low residues crops . </t>
  </si>
  <si>
    <t>Monitoring Period</t>
  </si>
  <si>
    <t>The rate of change in SOC stock in stratum i=1 of the areas of land, in year t;
t C ha-1 yr-1</t>
  </si>
  <si>
    <t>The rate of change in SOC stock in stratum i=2 of the areas of land, in year t;
t C ha-1 yr-1</t>
  </si>
  <si>
    <t>The rate of change in SOC stock in stratum i=3  of the areas of land, in year t;
t C ha-1 yr-1</t>
  </si>
  <si>
    <t>The rate of change in SOC stock in stratum i=4 of the areas of land, in year t;
t C ha-1 yr-1</t>
  </si>
  <si>
    <t>The rate of change in SOC stock in stratum i=5 of the areas of land, in year t;
t C ha-1 yr-1</t>
  </si>
  <si>
    <t>The rate of change in SOC stock in stratum i=6 of the areas of land, in year t;
t C ha-1 yr-1</t>
  </si>
  <si>
    <t>The rate of change in SOC stock in stratum i=7 of the areas of land, in year t;
t C ha-1 yr-1</t>
  </si>
  <si>
    <t>The rate of change in SOC stock in stratum i=8 of the areas of land, in year t;
t C ha-1 yr-1</t>
  </si>
  <si>
    <t>The rate of change in SOC stock in stratum i=9 of the areas of land, in year t;
t C ha-1 yr-1</t>
  </si>
  <si>
    <t>The rate of change in SOC stock in stratum i=10 of the areas of land, in year t;
t C ha-1 yr-1</t>
  </si>
  <si>
    <t>The rate of change in SOC stock in stratum i=11 of the areas of land, in year t;
t C ha-1 yr-1</t>
  </si>
  <si>
    <t>The area of stratum i=1 of the areas of land; ha</t>
  </si>
  <si>
    <t>The area of stratum i=2 of the areas of land; ha</t>
  </si>
  <si>
    <t>The area of stratum i=3 of the areas of land; ha</t>
  </si>
  <si>
    <t>The area of stratum i=4 of the areas of land; ha</t>
  </si>
  <si>
    <t>The area of stratum i=5 of the areas of land; ha</t>
  </si>
  <si>
    <t>The area of stratum i=6 of the areas of land; ha</t>
  </si>
  <si>
    <t>The area of stratum i=7 of the areas of land; ha</t>
  </si>
  <si>
    <t>The area of stratum i=8 of the areas of land; ha</t>
  </si>
  <si>
    <t>The area of stratum i=9 of the areas of land; ha</t>
  </si>
  <si>
    <t>The area of stratum i=10 of the areas of land; ha</t>
  </si>
  <si>
    <t>The area of stratum i=11 of the areas of land; ha</t>
  </si>
  <si>
    <t>Change in carbon stock in SOC in project, in year t; t CO2-e</t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</si>
  <si>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</si>
  <si>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</si>
  <si>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t,3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</si>
  <si>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t,4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</si>
  <si>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t,5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</si>
  <si>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t,6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</si>
  <si>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t,7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</si>
  <si>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t,8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</si>
  <si>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t,9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</si>
  <si>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t,10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</si>
  <si>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t,11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</si>
  <si>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</si>
  <si>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</si>
  <si>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</si>
  <si>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</si>
  <si>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5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</si>
  <si>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</si>
  <si>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</si>
  <si>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</si>
  <si>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9</t>
    </r>
  </si>
  <si>
    <t>A10</t>
  </si>
  <si>
    <t>A11</t>
  </si>
  <si>
    <t>01/01/2020 to 31/12/2020</t>
  </si>
  <si>
    <t>01/01/2021 to 31/12/2021</t>
  </si>
  <si>
    <t>01/01/2022 to 31/12/2022</t>
  </si>
  <si>
    <t>01/01/2023 to 31/12/2023</t>
  </si>
  <si>
    <t>Strata</t>
  </si>
  <si>
    <t>Monitoring period</t>
  </si>
  <si>
    <t>Area burnt in stratum i in year t; ha</t>
  </si>
  <si>
    <t>Mean aboveground tree biomass per hectare in stratum i in year tL which is the year in which last verification was carried out before occurrence of the fire; t d.m. ha-1</t>
  </si>
  <si>
    <t>Combustion factor for stratum i; dimensionless</t>
  </si>
  <si>
    <t>Emission factor for CH4 in stratum i</t>
  </si>
  <si>
    <t>Global warming potential for CH4; dimensionless</t>
  </si>
  <si>
    <t>Emission factor for N2O in stratum i</t>
  </si>
  <si>
    <t>Global warming potential for N2O; dimensionless</t>
  </si>
  <si>
    <t>01/03/2018  to 30/09/2024</t>
  </si>
  <si>
    <t>01/01/2019  to 30/09/2024</t>
  </si>
  <si>
    <t>01/01/2020  to 30/09/2024</t>
  </si>
  <si>
    <t>01/01/2021  to 30/09/2024</t>
  </si>
  <si>
    <t>01/01/2022  to 30/09/2024</t>
  </si>
  <si>
    <t>01/01/2023  to 30/09/2024</t>
  </si>
  <si>
    <t xml:space="preserve">Year </t>
  </si>
  <si>
    <t xml:space="preserve">Emission of non-CO2 GHGs resulting from fire in year t; tCO2-e </t>
  </si>
  <si>
    <t>Age</t>
  </si>
  <si>
    <t>Sum of areas of the biomass estimation strata within the project
boundary; ha</t>
  </si>
  <si>
    <t>Total tree biomass within the project boundary at a given point of
time in year t; t d.m.</t>
  </si>
  <si>
    <t>Uncertainty (%)</t>
  </si>
  <si>
    <t>Carbon fraction of tree biomass; t C t d.m.-1 (Default value used as per tool)</t>
  </si>
  <si>
    <t>Carbon stock in tree biomass within the project boundary at a
given point of time in year t; t CO2-e</t>
  </si>
  <si>
    <t>Change in carbon stock in tree biomass within the project
boundary in year t; t CO2-e</t>
  </si>
  <si>
    <t>Change in carbon stock in tree biomass in project in year t; t CO2-e</t>
  </si>
  <si>
    <t>Change in carbon stock in shrub biomass in project in year t; t CO2-e</t>
  </si>
  <si>
    <t>Change in carbon stock in dead wood in project in year t; t CO2-e</t>
  </si>
  <si>
    <t>Change in carbon stock in litter in project in year t; t CO2-e</t>
  </si>
  <si>
    <t>Change in the carbon stocks in project, occurring in the selected carbon pools, in year t; t CO2-e</t>
  </si>
  <si>
    <r>
      <t>Increase in non-CO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GHG emissions within the project boundary as a result of the implementation of the A/R CDM project activity, in year t; t CO2-e</t>
    </r>
  </si>
  <si>
    <t>Actual net GHG removals by sinks, in year t; t CO2-e</t>
  </si>
  <si>
    <t>GHG emissions due to leakage, in year t; t CO2-e</t>
  </si>
  <si>
    <t>Baseline net GHG removals by sinks, in year t; t CO2-e</t>
  </si>
  <si>
    <t>Net anthropogenic GHG removals by sinks, in year t; t CO2-e</t>
  </si>
  <si>
    <t>Buffer Pool allocation</t>
  </si>
  <si>
    <t xml:space="preserve">VCUs
eligible
for
Issuance
</t>
  </si>
  <si>
    <t>A</t>
  </si>
  <si>
    <t>%</t>
  </si>
  <si>
    <t>Vintage period</t>
  </si>
  <si>
    <t>No. Of days</t>
  </si>
  <si>
    <r>
      <t>Baseline emissions (tCO</t>
    </r>
    <r>
      <rPr>
        <b/>
        <vertAlign val="subscript"/>
        <sz val="9.5"/>
        <color rgb="FFFFFFFF"/>
        <rFont val="Franklin Gothic Book"/>
        <family val="2"/>
      </rPr>
      <t>2</t>
    </r>
    <r>
      <rPr>
        <b/>
        <sz val="9.5"/>
        <color rgb="FFFFFFFF"/>
        <rFont val="Franklin Gothic Book"/>
        <family val="2"/>
      </rPr>
      <t>e)</t>
    </r>
  </si>
  <si>
    <r>
      <t>Project emissions (tCO</t>
    </r>
    <r>
      <rPr>
        <b/>
        <vertAlign val="subscript"/>
        <sz val="9.5"/>
        <color rgb="FFFFFFFF"/>
        <rFont val="Franklin Gothic Book"/>
        <family val="2"/>
      </rPr>
      <t>2</t>
    </r>
    <r>
      <rPr>
        <b/>
        <sz val="9.5"/>
        <color rgb="FFFFFFFF"/>
        <rFont val="Franklin Gothic Book"/>
        <family val="2"/>
      </rPr>
      <t>e)</t>
    </r>
  </si>
  <si>
    <r>
      <t>Project emissions to date (tCO</t>
    </r>
    <r>
      <rPr>
        <b/>
        <vertAlign val="subscript"/>
        <sz val="9.5"/>
        <color rgb="FFFFFFFF"/>
        <rFont val="Franklin Gothic Book"/>
        <family val="2"/>
      </rPr>
      <t>2</t>
    </r>
    <r>
      <rPr>
        <b/>
        <sz val="9.5"/>
        <color rgb="FFFFFFFF"/>
        <rFont val="Franklin Gothic Book"/>
        <family val="2"/>
      </rPr>
      <t>e)</t>
    </r>
  </si>
  <si>
    <r>
      <t>Leakage emissions (tCO</t>
    </r>
    <r>
      <rPr>
        <b/>
        <vertAlign val="subscript"/>
        <sz val="9.5"/>
        <color rgb="FFFFFFFF"/>
        <rFont val="Franklin Gothic Book"/>
        <family val="2"/>
      </rPr>
      <t>2</t>
    </r>
    <r>
      <rPr>
        <b/>
        <sz val="9.5"/>
        <color rgb="FFFFFFFF"/>
        <rFont val="Franklin Gothic Book"/>
        <family val="2"/>
      </rPr>
      <t>e)</t>
    </r>
  </si>
  <si>
    <t>Buffer pool allocation (tCO2e)</t>
  </si>
  <si>
    <t>Reductions VCUs (tCO2e)</t>
  </si>
  <si>
    <t>Removals VCUs (tCO2e)</t>
  </si>
  <si>
    <t>Total VCU issuance (tCO2e)</t>
  </si>
  <si>
    <t>EX ante estimatation</t>
  </si>
  <si>
    <t>Ex post estimation</t>
  </si>
  <si>
    <t>Differenses</t>
  </si>
  <si>
    <t>Total</t>
  </si>
  <si>
    <t>Vinatge Period</t>
  </si>
  <si>
    <r>
      <t>Estimated Baseline emissions or removals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</si>
  <si>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r>
      <t>Estimated GHG emission reductions or removals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</si>
  <si>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r>
      <t>Estimated Leakage emissions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</si>
  <si>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t>Buffer pool allocation</t>
  </si>
  <si>
    <r>
      <t>Estimated reduction VCUs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</si>
  <si>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r>
      <t>Estimated removal VCUs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</si>
  <si>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r>
      <t>Estimated total VCU issuance (tCO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e)</t>
    </r>
  </si>
  <si>
    <t>Long Term Average Calculation</t>
  </si>
  <si>
    <t>VCS Buffer</t>
  </si>
  <si>
    <t>Vintage Period</t>
  </si>
  <si>
    <t>Baseline 
scenario: to_x0002_date GHG 
emission 
reductions 
and removals 
at year t</t>
  </si>
  <si>
    <t>Project scenario: to_x0002_date GHG emission reductions and removals at year t</t>
  </si>
  <si>
    <t>Annual change in GHG benefit (tCO2e/yr)</t>
  </si>
  <si>
    <t>Expected Total GHG Benefit to Date (tCO2e) 
(PEt-BEt)</t>
  </si>
  <si>
    <t>Total credit available each year (tCO2e/Yr)</t>
  </si>
  <si>
    <t>Buffer pool (20%)</t>
  </si>
  <si>
    <t>Total number of VCUs for issuance</t>
  </si>
  <si>
    <t>LTA value</t>
  </si>
  <si>
    <t>01/01/2026 to 31/12/2026</t>
  </si>
  <si>
    <t>01/01/2027 to 31/12/2027</t>
  </si>
  <si>
    <t>01/01/2028 to 31/12/2028</t>
  </si>
  <si>
    <t>01/01/2029 to 31/12/2029</t>
  </si>
  <si>
    <t>01/01/2030 to 31/12/2030</t>
  </si>
  <si>
    <t>01/01/2031 to 31/12/2031</t>
  </si>
  <si>
    <t>01/01/2032 to 31/12/2032</t>
  </si>
  <si>
    <t>01/01/2033 to 31/12/2033</t>
  </si>
  <si>
    <t>01/01/2034 to 31/12/2034</t>
  </si>
  <si>
    <t>01/01/2035 to 31/12/2035</t>
  </si>
  <si>
    <t>01/01/2036 to 31/12/2036</t>
  </si>
  <si>
    <t>01/01/2037 to 31/12/2037</t>
  </si>
  <si>
    <t>01/01/2038 to 31/12/2038</t>
  </si>
  <si>
    <t>01/01/2039 to 31/12/2039</t>
  </si>
  <si>
    <t>01/01/2040 to 31/12/2040</t>
  </si>
  <si>
    <t>01/01/2041 to 31/12/2041</t>
  </si>
  <si>
    <t>01/01/2042 to 31/12/2042</t>
  </si>
  <si>
    <t>01/01/2043 to 31/12/2043</t>
  </si>
  <si>
    <t>01/01/2044 to 31/12/2044</t>
  </si>
  <si>
    <t>01/01/2045 to 31/12/2045</t>
  </si>
  <si>
    <t>01/01/2046 to 31/12/2046</t>
  </si>
  <si>
    <t>01/01/2047 to 31/12/2047</t>
  </si>
  <si>
    <t>01/01/2048 to 31/12/2048</t>
  </si>
  <si>
    <t>01/01/2049 to 31/12/2049</t>
  </si>
  <si>
    <t>01/01/2050 to 31/12/2050</t>
  </si>
  <si>
    <t>01/01/2051 to 31/12/2051</t>
  </si>
  <si>
    <t>01/01/2052 to 31/12/2052</t>
  </si>
  <si>
    <t>Sum</t>
  </si>
  <si>
    <t>LTA</t>
  </si>
  <si>
    <t>Latitude</t>
  </si>
  <si>
    <t>Longitude</t>
  </si>
  <si>
    <t>GBH (cm)</t>
  </si>
  <si>
    <t>DBH (cm)</t>
  </si>
  <si>
    <t>Year of Plantation</t>
  </si>
  <si>
    <t>S. no.</t>
  </si>
  <si>
    <t>Name of farmer</t>
  </si>
  <si>
    <t>Village</t>
  </si>
  <si>
    <t>Collar girth (cm)</t>
  </si>
  <si>
    <t>CD (cm)</t>
  </si>
  <si>
    <t>Height (m)</t>
  </si>
  <si>
    <t>C. Uday kumar</t>
  </si>
  <si>
    <t>Beemavaram</t>
  </si>
  <si>
    <t>Tirupati</t>
  </si>
  <si>
    <t>Mango</t>
  </si>
  <si>
    <t>Sesbania grandiflora</t>
  </si>
  <si>
    <t>Sweet orange</t>
  </si>
  <si>
    <t>B. Usha rani</t>
  </si>
  <si>
    <t>Lemon</t>
  </si>
  <si>
    <t>Mallareddy kandriga</t>
  </si>
  <si>
    <t xml:space="preserve">Chittoor </t>
  </si>
  <si>
    <t>Sri Sathya Sai </t>
  </si>
  <si>
    <t>VANAVOLU</t>
  </si>
  <si>
    <t>Ralla ananthapuram</t>
  </si>
  <si>
    <t>NUTHANAKALUVA(R)NIGGIDI EGUVA</t>
  </si>
  <si>
    <t>NUTHANAKALUVA(R)EGUVA NIGGIDI</t>
  </si>
  <si>
    <t>Prakasam</t>
  </si>
  <si>
    <t>Chirukurivaripalli</t>
  </si>
  <si>
    <t>Tirupathi</t>
  </si>
  <si>
    <t>Raju Aregoppa</t>
  </si>
  <si>
    <t xml:space="preserve">Malvalli </t>
  </si>
  <si>
    <t>Uttara Kannada</t>
  </si>
  <si>
    <t>Akkamma S Sarve</t>
  </si>
  <si>
    <t xml:space="preserve">Hullatti </t>
  </si>
  <si>
    <t xml:space="preserve">Haveri </t>
  </si>
  <si>
    <t>Ashok Tippanna Satusannadi</t>
  </si>
  <si>
    <t>Yalavala</t>
  </si>
  <si>
    <t>Haveri</t>
  </si>
  <si>
    <t>Praveen Kumar Karapudi</t>
  </si>
  <si>
    <t>Kadampur</t>
  </si>
  <si>
    <t>Gadag</t>
  </si>
  <si>
    <t>Nayaz Ahmed</t>
  </si>
  <si>
    <t>Biliki</t>
  </si>
  <si>
    <t>Shimoga</t>
  </si>
  <si>
    <t>Sankavva Gadigeppa Mulimani</t>
  </si>
  <si>
    <t>Bhadrapur</t>
  </si>
  <si>
    <t>Uttara kannada</t>
  </si>
  <si>
    <t>HusenSab M Muller</t>
  </si>
  <si>
    <t>Gajipur</t>
  </si>
  <si>
    <t>Rudraswamy M. S.</t>
  </si>
  <si>
    <t>Bilaki</t>
  </si>
  <si>
    <t>Rajashekargowda M Patil</t>
  </si>
  <si>
    <t>Puttappa Gowda</t>
  </si>
  <si>
    <t xml:space="preserve">Kanasogi </t>
  </si>
  <si>
    <t>Raghunathsa Rajoli</t>
  </si>
  <si>
    <t>Churchihal</t>
  </si>
  <si>
    <t>Mahogany</t>
  </si>
  <si>
    <t>Mudakappa Mevundi</t>
  </si>
  <si>
    <t>Dambal</t>
  </si>
  <si>
    <t>Cashewnut</t>
  </si>
  <si>
    <t>Guava</t>
  </si>
  <si>
    <t>Sandal</t>
  </si>
  <si>
    <t>Basavaraj Maduvinamani</t>
  </si>
  <si>
    <t xml:space="preserve">Hulihond </t>
  </si>
  <si>
    <t xml:space="preserve">Uttar kannada </t>
  </si>
  <si>
    <t>Arecanut</t>
  </si>
  <si>
    <t>Tammibayi Jannu Varak</t>
  </si>
  <si>
    <t>Mainalli</t>
  </si>
  <si>
    <t>H. P. Channabasappagowda</t>
  </si>
  <si>
    <t>Hacnhi</t>
  </si>
  <si>
    <t xml:space="preserve">Sadhanagowda B. P. </t>
  </si>
  <si>
    <t xml:space="preserve">Barangi </t>
  </si>
  <si>
    <t>Manjunath F Ooikeri</t>
  </si>
  <si>
    <t>Bhadrapuar</t>
  </si>
  <si>
    <t>Basairpai Alakukli</t>
  </si>
  <si>
    <t xml:space="preserve">Hungunda </t>
  </si>
  <si>
    <t xml:space="preserve">Karavar </t>
  </si>
  <si>
    <t>Asok B Honneli</t>
  </si>
  <si>
    <t xml:space="preserve">Malavalli </t>
  </si>
  <si>
    <t xml:space="preserve">Uttara kannada </t>
  </si>
  <si>
    <t>Bhagawandas Toshniwal</t>
  </si>
  <si>
    <t>Doni</t>
  </si>
  <si>
    <t>Jamun</t>
  </si>
  <si>
    <t>Sakku Biru Yedage</t>
  </si>
  <si>
    <t xml:space="preserve">Mainalli </t>
  </si>
  <si>
    <t>Shivlila Annappa Shiggavi</t>
  </si>
  <si>
    <t>Kallalli</t>
  </si>
  <si>
    <t>14.8939.97</t>
  </si>
  <si>
    <t>Sunita Anand Ingole</t>
  </si>
  <si>
    <t>Sharanappa Shanshi</t>
  </si>
  <si>
    <t>Peta aluru</t>
  </si>
  <si>
    <t>Tamarind</t>
  </si>
  <si>
    <t>Sheranappa Kavaluru</t>
  </si>
  <si>
    <t>Shirur</t>
  </si>
  <si>
    <t>Janu Navlu Misal</t>
  </si>
  <si>
    <t>Rudragowda</t>
  </si>
  <si>
    <t>Dasaratakoppa</t>
  </si>
  <si>
    <t>Fayaz Beg</t>
  </si>
  <si>
    <t xml:space="preserve">Chikkajamburu </t>
  </si>
  <si>
    <t xml:space="preserve">Ramanna Hanumantappa </t>
  </si>
  <si>
    <t>Yalival</t>
  </si>
  <si>
    <r>
      <t>Above ground Volume (m</t>
    </r>
    <r>
      <rPr>
        <b/>
        <vertAlign val="superscript"/>
        <sz val="12"/>
        <color theme="0"/>
        <rFont val="Calibri"/>
        <family val="2"/>
        <scheme val="minor"/>
      </rPr>
      <t>3</t>
    </r>
    <r>
      <rPr>
        <b/>
        <sz val="12"/>
        <color theme="0"/>
        <rFont val="Calibri"/>
        <family val="2"/>
        <scheme val="minor"/>
      </rPr>
      <t>/tree)</t>
    </r>
  </si>
  <si>
    <t xml:space="preserve">Cashewnut </t>
  </si>
  <si>
    <t>Development and Evaluation of Species-Specific Biomass Models for Most Common Timber and Fuelwood Species of Bangladesh (scirp.org)</t>
  </si>
  <si>
    <t>Gulu rani</t>
  </si>
  <si>
    <t xml:space="preserve">Bhaluka guri </t>
  </si>
  <si>
    <t>Anil Dutta</t>
  </si>
  <si>
    <t xml:space="preserve">Koumor gaon </t>
  </si>
  <si>
    <t>Som tree</t>
  </si>
  <si>
    <t>Swietenia macrophylla</t>
  </si>
  <si>
    <t>Persea bombycina</t>
  </si>
  <si>
    <t>Harea Das</t>
  </si>
  <si>
    <t>Average Biomass in stratum (t.d.m)</t>
  </si>
  <si>
    <r>
      <t>Total Biomass per quadrat (t.d.m/900m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</si>
  <si>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Total Biomass (t.d.m/tree)</t>
  </si>
  <si>
    <t>Above ground biomass (t.d.m/tree)</t>
  </si>
  <si>
    <r>
      <t>Mean tree biomass per hectare in stratum  at a given point of time in year t; t d.m. ha</t>
    </r>
    <r>
      <rPr>
        <b/>
        <vertAlign val="superscript"/>
        <sz val="10.5"/>
        <color theme="1"/>
        <rFont val="Calibri"/>
        <family val="2"/>
        <scheme val="minor"/>
      </rPr>
      <t>-1</t>
    </r>
  </si>
  <si>
    <t>Tamarindus indica</t>
  </si>
  <si>
    <t>Citrus spp</t>
  </si>
  <si>
    <r>
      <t>Basal Area (cm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</si>
  <si>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District</t>
  </si>
  <si>
    <t>Total Biomass (t.d.m/ha)</t>
  </si>
  <si>
    <t>Areca catechu</t>
  </si>
  <si>
    <t>3. METHODS FOR ESTIMATING BIOMASS DENSITY FROM EXISTING DATA</t>
  </si>
  <si>
    <t>Age At first Monitoring (year) (01/04/2025)</t>
  </si>
  <si>
    <t>Karnataka</t>
  </si>
  <si>
    <t>Bihar</t>
  </si>
  <si>
    <t>Assam</t>
  </si>
  <si>
    <t>01/07/2019 to 31/12/2019</t>
  </si>
  <si>
    <t>01/01/2024 to 31/12/2024</t>
  </si>
  <si>
    <t>01/01/2025 to 01/04/2025</t>
  </si>
  <si>
    <t>Ex-ante estimates</t>
  </si>
  <si>
    <t>Ex-post estimates</t>
  </si>
  <si>
    <t>2022 Mango</t>
  </si>
  <si>
    <t>2024 Mango</t>
  </si>
  <si>
    <t>2019 Mix</t>
  </si>
  <si>
    <t>2020 Mix</t>
  </si>
  <si>
    <t>2021 Mix</t>
  </si>
  <si>
    <t>2022 Mix</t>
  </si>
  <si>
    <t>2023 Mix</t>
  </si>
  <si>
    <t>2024 Mix</t>
  </si>
  <si>
    <t>01/07/2019 to 01/04/2025</t>
  </si>
  <si>
    <t>02/04/2025 to 31/12/2025</t>
  </si>
  <si>
    <t>01/01/2053 to 31/12/2053</t>
  </si>
  <si>
    <t>Teak</t>
  </si>
  <si>
    <t>Tectona grandis</t>
  </si>
  <si>
    <t>P jagadeswari</t>
  </si>
  <si>
    <t>G saraswami</t>
  </si>
  <si>
    <t>D Nagaraju</t>
  </si>
  <si>
    <t>K krishnamoorthy reddy</t>
  </si>
  <si>
    <t>R. Sreeramulu</t>
  </si>
  <si>
    <t>K BHASKAR REDDY</t>
  </si>
  <si>
    <t>T. Nagaraju</t>
  </si>
  <si>
    <t>P SREENIVASULU</t>
  </si>
  <si>
    <t>M MUNIRATHNAM</t>
  </si>
  <si>
    <t>CHINNAPOTHULA,HARI PRASAD NAIDU</t>
  </si>
  <si>
    <t>B.LAKSHMIDEVI</t>
  </si>
  <si>
    <t>P Subbaiah</t>
  </si>
  <si>
    <t>SINAKURTHI RAJENDRA</t>
  </si>
  <si>
    <t>S.ALLABAKASH</t>
  </si>
  <si>
    <t>Bollam Edukondalu</t>
  </si>
  <si>
    <t>Sundarakumari vachavayee</t>
  </si>
  <si>
    <t>G. JAYA CHANDRA REDDY</t>
  </si>
  <si>
    <t xml:space="preserve">M. Thirupalamma </t>
  </si>
  <si>
    <t>B. Veeranarappa</t>
  </si>
  <si>
    <t>B.MALLIREDDY</t>
  </si>
  <si>
    <t>Ponugupati pedda Anjaneyulu</t>
  </si>
  <si>
    <t>Kolleboina chenchaiah</t>
  </si>
  <si>
    <t>Karnati ramanaiah</t>
  </si>
  <si>
    <t>S thirapathamm</t>
  </si>
  <si>
    <t>N.Ramalaxmma</t>
  </si>
  <si>
    <t>Stratum name</t>
  </si>
  <si>
    <t>YoP</t>
  </si>
  <si>
    <t>Guntha Gadanki</t>
  </si>
  <si>
    <t>NUTHANAKALUVA(R)THOTAVARIPALLI</t>
  </si>
  <si>
    <t>Chigara Palli</t>
  </si>
  <si>
    <t xml:space="preserve">Morumpalli </t>
  </si>
  <si>
    <t>YELLAMPALLI</t>
  </si>
  <si>
    <t>Morampalle</t>
  </si>
  <si>
    <t>Konreddykandriga</t>
  </si>
  <si>
    <t xml:space="preserve">Chigarapalli </t>
  </si>
  <si>
    <t>Puchulavaripalli</t>
  </si>
  <si>
    <t>Kotha sanambatla</t>
  </si>
  <si>
    <t>Thalakondapadu</t>
  </si>
  <si>
    <t>GANGAM PLLI</t>
  </si>
  <si>
    <t xml:space="preserve">Ralla ananthapuram </t>
  </si>
  <si>
    <t>NUTHANAKALUVA(R)THOTAVANDLAPALLI</t>
  </si>
  <si>
    <t>Pedagogulapalli</t>
  </si>
  <si>
    <t>Venganagunta</t>
  </si>
  <si>
    <t>Aaulavaripalli</t>
  </si>
  <si>
    <t>Arjun Kumar</t>
  </si>
  <si>
    <t>Pramod Kumar Yadav</t>
  </si>
  <si>
    <t>Banka</t>
  </si>
  <si>
    <t>Kenduar</t>
  </si>
  <si>
    <t>Bulumani chetia</t>
  </si>
  <si>
    <t>Bhalukaguri</t>
  </si>
  <si>
    <t xml:space="preserve">Lakhimpur </t>
  </si>
  <si>
    <t xml:space="preserve">Kumar Gyanesh </t>
  </si>
  <si>
    <t xml:space="preserve">Katoria </t>
  </si>
  <si>
    <t>Manoj Prasad Singh</t>
  </si>
  <si>
    <t>Chatakurum</t>
  </si>
  <si>
    <t>Nageshwar mandal</t>
  </si>
  <si>
    <t>Karwamarani</t>
  </si>
  <si>
    <t>Lakhimpur</t>
  </si>
  <si>
    <t>Nijar kumar sah</t>
  </si>
  <si>
    <t>Radhanagar</t>
  </si>
  <si>
    <t>Ratanlal Yadav</t>
  </si>
  <si>
    <t>Prahlad Thappa</t>
  </si>
  <si>
    <t>Chotelal Bhagath</t>
  </si>
  <si>
    <t>Gmelina</t>
  </si>
  <si>
    <t>Sissoo</t>
  </si>
  <si>
    <t>Shambhu Yadav</t>
  </si>
  <si>
    <t>Dalbergia sissoo</t>
  </si>
  <si>
    <t>TB=0.904*DBH^1.760</t>
  </si>
  <si>
    <t>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</t>
  </si>
  <si>
    <t>Mean tree biomass per hectare in stratum  at a given point of time in year t; t d.m. ha-1</t>
  </si>
  <si>
    <t>Variance of mean tree biomass per hectare in stratum i (t d.m. ha-1)</t>
  </si>
  <si>
    <t>Uncertainity</t>
  </si>
  <si>
    <t>Value Considered</t>
  </si>
  <si>
    <t>M</t>
  </si>
  <si>
    <t>n</t>
  </si>
  <si>
    <r>
      <t>t</t>
    </r>
    <r>
      <rPr>
        <vertAlign val="subscript"/>
        <sz val="11"/>
        <color theme="1"/>
        <rFont val="Calibri"/>
        <family val="2"/>
        <scheme val="minor"/>
      </rPr>
      <t>val</t>
    </r>
  </si>
  <si>
    <t>Degree of freedom</t>
  </si>
  <si>
    <t>No. of PSPs</t>
  </si>
  <si>
    <t>01-January-2025 to 01-April-2025</t>
  </si>
  <si>
    <t>01-July-2019 to 31-December-2019</t>
  </si>
  <si>
    <t>01-January-2020 to 31-December-2020</t>
  </si>
  <si>
    <t>01-January-2021 to 31-December-2021</t>
  </si>
  <si>
    <t>01-January-2022 to 31-December-2022</t>
  </si>
  <si>
    <t>01-January-2023 to 31-December-2023</t>
  </si>
  <si>
    <t>01-January-2024 to 31-December-2024</t>
  </si>
  <si>
    <t>Shobhan Yadav</t>
  </si>
  <si>
    <t>Citrus spp.</t>
  </si>
  <si>
    <t>https://www.fao.org/4/w4095e/w4095e0c.htm</t>
  </si>
  <si>
    <t>CF</t>
  </si>
  <si>
    <t>Rs</t>
  </si>
  <si>
    <t>Number of trees</t>
  </si>
  <si>
    <t>Reference</t>
  </si>
  <si>
    <t>Number of trees planted can be accessed from  T28:T33 cells of overview tab in attached sheet</t>
  </si>
  <si>
    <t>(PDF) Emission Removal Capability of India’s Forest and Tree Cover</t>
  </si>
  <si>
    <t xml:space="preserve">V = 0.131-1.87132*D+9.47861*D² </t>
  </si>
  <si>
    <t xml:space="preserve">https://fsi.nic.in/uploads/isfr2023/isfr_book_eng-vol-1_2023.pdf </t>
  </si>
  <si>
    <t>Y=(0.18*D^2.16)*1.32</t>
  </si>
  <si>
    <t>Allometric Models for Estimation of Forest Biomass in North East India</t>
  </si>
  <si>
    <t>Y= 3.264 * X^1.012+ 1.643</t>
  </si>
  <si>
    <t>Microsoft Word - May25O</t>
  </si>
  <si>
    <t>2019 Non Harvesting</t>
  </si>
  <si>
    <t>2019 Harvesting</t>
  </si>
  <si>
    <t xml:space="preserve">V = 0.08847-1.46936*D+11.98979*D²+1.970560*D³ </t>
  </si>
  <si>
    <t xml:space="preserve">V = 0.1156+0.21230*D+5.10448*D² </t>
  </si>
  <si>
    <t>2020 Non Harvesting</t>
  </si>
  <si>
    <t>2020 Harvesting</t>
  </si>
  <si>
    <t>Syzygium cumini</t>
  </si>
  <si>
    <t>V = (0.30706+5.12731*D-2.0987*√D)^2</t>
  </si>
  <si>
    <t>2021 Non Harvesting</t>
  </si>
  <si>
    <t>2022 Non Harvesting</t>
  </si>
  <si>
    <t>2024 Non Harvesting</t>
  </si>
  <si>
    <t>2020  Harvesting</t>
  </si>
  <si>
    <t>2022 Harvesting</t>
  </si>
  <si>
    <t>2023 Non Harvesting</t>
  </si>
  <si>
    <t>2021 Harvesting</t>
  </si>
  <si>
    <t>2023 Harvesting</t>
  </si>
  <si>
    <t>i=12</t>
  </si>
  <si>
    <t>i=13</t>
  </si>
  <si>
    <t>i=14</t>
  </si>
  <si>
    <t>i=15</t>
  </si>
  <si>
    <t>i=16</t>
  </si>
  <si>
    <t>i=17</t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</si>
  <si>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t,13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</si>
  <si>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t,14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</si>
  <si>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t,15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</si>
  <si>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t,16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</si>
  <si>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t,17</t>
    </r>
    <r>
      <rPr>
        <sz val="11"/>
        <color theme="1"/>
        <rFont val="Calibri"/>
        <family val="2"/>
        <scheme val="minor"/>
      </rPr>
      <t/>
    </r>
  </si>
  <si>
    <t>The rate of change in SOC stock in stratum i=12 of the areas of land, in year t;
t C ha-1 yr-1</t>
  </si>
  <si>
    <t>The rate of change in SOC stock in stratum i=13 of the areas of land, in year t;
t C ha-1 yr-1</t>
  </si>
  <si>
    <t>A12</t>
  </si>
  <si>
    <t>A13</t>
  </si>
  <si>
    <t>A14</t>
  </si>
  <si>
    <t>A15</t>
  </si>
  <si>
    <t>A16</t>
  </si>
  <si>
    <t>A17</t>
  </si>
  <si>
    <t>The area of stratum i=12 of the areas of land; ha</t>
  </si>
  <si>
    <t>The area of stratum i=13 of the areas of land; ha</t>
  </si>
  <si>
    <t>The area of stratum i=14 of the areas of land; ha</t>
  </si>
  <si>
    <t>The area of stratum i=15 of the areas of land; ha</t>
  </si>
  <si>
    <t>The area of stratum i=16 of the areas of land; ha</t>
  </si>
  <si>
    <t>The area of stratum i=17 of the areas of land; ha</t>
  </si>
  <si>
    <t>2023-2024 Harvesting</t>
  </si>
  <si>
    <t>Sesbania grandifolia</t>
  </si>
  <si>
    <t xml:space="preserve">V = 0.17994-2.78776*D+14.44961*D^2 </t>
  </si>
  <si>
    <t>[1] http://forests.ap.gov.in/Downloads/publications/forest_inventory_report.pdf</t>
  </si>
  <si>
    <t>[1] https://www.sciencedirect.com/science/article/pii/S2665972721000167</t>
  </si>
  <si>
    <r>
      <t>Basal Area (cm</t>
    </r>
    <r>
      <rPr>
        <b/>
        <vertAlign val="super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>)</t>
    </r>
  </si>
  <si>
    <r>
      <t>Total Biomass per quadrat (t.d.m/900m</t>
    </r>
    <r>
      <rPr>
        <b/>
        <vertAlign val="superscript"/>
        <sz val="10"/>
        <color theme="0"/>
        <rFont val="Calibri"/>
        <family val="2"/>
        <scheme val="minor"/>
      </rPr>
      <t>2</t>
    </r>
    <r>
      <rPr>
        <b/>
        <sz val="10"/>
        <color theme="0"/>
        <rFont val="Calibri"/>
        <family val="2"/>
        <scheme val="minor"/>
      </rPr>
      <t>)</t>
    </r>
  </si>
  <si>
    <t>AGB=exp((LN(-1.853+0.728*LN(DBH^2*H))</t>
  </si>
  <si>
    <t>Tamarid</t>
  </si>
  <si>
    <r>
      <t>Basal Area (cm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</si>
  <si>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r>
      <t>Total Biomass per quadrat (t.d.m/900m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</si>
  <si>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t>Anacardium occidentale</t>
  </si>
  <si>
    <t>Gmelina arborea</t>
  </si>
  <si>
    <t>Gamhar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</si>
  <si>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/C</t>
    </r>
  </si>
  <si>
    <r>
      <t>Y= exp (-2.302+0.894 Ln(D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*H)</t>
    </r>
  </si>
  <si>
    <r>
      <t>Y =10^{-0.535+log</t>
    </r>
    <r>
      <rPr>
        <vertAlign val="subscript"/>
        <sz val="11"/>
        <color rgb="FF000000"/>
        <rFont val="Calibri"/>
        <family val="2"/>
        <scheme val="minor"/>
      </rPr>
      <t>10</t>
    </r>
    <r>
      <rPr>
        <sz val="11"/>
        <color rgb="FF000000"/>
        <rFont val="Calibri"/>
        <family val="2"/>
        <scheme val="minor"/>
      </rPr>
      <t> (BA)}</t>
    </r>
  </si>
  <si>
    <r>
      <rPr>
        <i/>
        <sz val="11"/>
        <color theme="1"/>
        <rFont val="Calibri"/>
        <family val="2"/>
        <scheme val="minor"/>
      </rPr>
      <t>Citrus</t>
    </r>
    <r>
      <rPr>
        <sz val="11"/>
        <color theme="1"/>
        <rFont val="Calibri"/>
        <family val="2"/>
        <scheme val="minor"/>
      </rPr>
      <t xml:space="preserve"> spp. </t>
    </r>
  </si>
  <si>
    <t>Agathi</t>
  </si>
  <si>
    <t>All Citrus species</t>
  </si>
  <si>
    <r>
      <t>Annual Leakage emissions (tCO</t>
    </r>
    <r>
      <rPr>
        <b/>
        <vertAlign val="subscript"/>
        <sz val="11"/>
        <color rgb="FFFFFFFF"/>
        <rFont val="Calibri"/>
        <family val="2"/>
        <scheme val="minor"/>
      </rPr>
      <t>2</t>
    </r>
    <r>
      <rPr>
        <b/>
        <sz val="11"/>
        <color rgb="FFFFFFFF"/>
        <rFont val="Calibri"/>
        <family val="2"/>
        <scheme val="minor"/>
      </rPr>
      <t>e)</t>
    </r>
  </si>
  <si>
    <r>
      <t>Total Leakage emissions (t CO</t>
    </r>
    <r>
      <rPr>
        <b/>
        <vertAlign val="subscript"/>
        <sz val="11"/>
        <color rgb="FFFFFFFF"/>
        <rFont val="Calibri"/>
        <family val="2"/>
        <scheme val="minor"/>
      </rPr>
      <t>2</t>
    </r>
    <r>
      <rPr>
        <b/>
        <sz val="11"/>
        <color rgb="FFFFFFFF"/>
        <rFont val="Calibri"/>
        <family val="2"/>
        <scheme val="minor"/>
      </rPr>
      <t>e)</t>
    </r>
  </si>
  <si>
    <r>
      <t>∆SOC</t>
    </r>
    <r>
      <rPr>
        <vertAlign val="subscript"/>
        <sz val="11"/>
        <color theme="1"/>
        <rFont val="Calibri"/>
        <family val="2"/>
        <scheme val="minor"/>
      </rPr>
      <t>LUC,t</t>
    </r>
  </si>
  <si>
    <r>
      <t>BDR</t>
    </r>
    <r>
      <rPr>
        <vertAlign val="subscript"/>
        <sz val="11"/>
        <color theme="1"/>
        <rFont val="Calibri"/>
        <family val="2"/>
        <scheme val="minor"/>
      </rPr>
      <t>SF</t>
    </r>
  </si>
  <si>
    <r>
      <t>b</t>
    </r>
    <r>
      <rPr>
        <vertAlign val="subscript"/>
        <sz val="11"/>
        <color theme="1"/>
        <rFont val="Calibri"/>
        <family val="2"/>
        <scheme val="minor"/>
      </rPr>
      <t>TREE</t>
    </r>
  </si>
  <si>
    <r>
      <t>b</t>
    </r>
    <r>
      <rPr>
        <vertAlign val="subscript"/>
        <sz val="11"/>
        <color theme="1"/>
        <rFont val="Calibri"/>
        <family val="2"/>
        <scheme val="minor"/>
      </rPr>
      <t>FOREST</t>
    </r>
    <r>
      <rPr>
        <sz val="11"/>
        <color theme="1"/>
        <rFont val="Calibri"/>
        <family val="2"/>
        <scheme val="minor"/>
      </rPr>
      <t xml:space="preserve"> </t>
    </r>
  </si>
  <si>
    <r>
      <t>R</t>
    </r>
    <r>
      <rPr>
        <vertAlign val="subscript"/>
        <sz val="11"/>
        <color theme="1"/>
        <rFont val="Calibri"/>
        <family val="2"/>
        <scheme val="minor"/>
      </rPr>
      <t>TREE</t>
    </r>
  </si>
  <si>
    <r>
      <t>CC</t>
    </r>
    <r>
      <rPr>
        <vertAlign val="subscript"/>
        <sz val="11"/>
        <color theme="1"/>
        <rFont val="Calibri"/>
        <family val="2"/>
        <scheme val="minor"/>
      </rPr>
      <t>SHRUB,i</t>
    </r>
    <r>
      <rPr>
        <sz val="11"/>
        <color theme="1"/>
        <rFont val="Calibri"/>
        <family val="2"/>
        <scheme val="minor"/>
      </rPr>
      <t xml:space="preserve"> </t>
    </r>
  </si>
  <si>
    <r>
      <t>A</t>
    </r>
    <r>
      <rPr>
        <vertAlign val="subscript"/>
        <sz val="11"/>
        <color theme="1"/>
        <rFont val="Calibri"/>
        <family val="2"/>
        <scheme val="minor"/>
      </rPr>
      <t>DISP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</si>
  <si>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shrub</t>
    </r>
  </si>
  <si>
    <r>
      <t>As per the tool GHG</t>
    </r>
    <r>
      <rPr>
        <vertAlign val="subscript"/>
        <sz val="11"/>
        <color theme="1"/>
        <rFont val="Calibri"/>
        <family val="2"/>
        <scheme val="minor"/>
      </rPr>
      <t>SPF,t</t>
    </r>
    <r>
      <rPr>
        <sz val="11"/>
        <color theme="1"/>
        <rFont val="Calibri"/>
        <family val="2"/>
        <scheme val="minor"/>
      </rPr>
      <t xml:space="preserve"> and GHG</t>
    </r>
    <r>
      <rPr>
        <vertAlign val="subscript"/>
        <sz val="11"/>
        <color theme="1"/>
        <rFont val="Calibri"/>
        <family val="2"/>
        <scheme val="minor"/>
      </rPr>
      <t>FMF,t</t>
    </r>
    <r>
      <rPr>
        <sz val="11"/>
        <color theme="1"/>
        <rFont val="Calibri"/>
        <family val="2"/>
        <scheme val="minor"/>
      </rPr>
      <t xml:space="preserve"> are ZERO. </t>
    </r>
  </si>
  <si>
    <r>
      <t>GHG</t>
    </r>
    <r>
      <rPr>
        <vertAlign val="subscript"/>
        <sz val="11"/>
        <color theme="1"/>
        <rFont val="Calibri"/>
        <family val="2"/>
        <scheme val="minor"/>
      </rPr>
      <t>FF_DOM,t</t>
    </r>
    <r>
      <rPr>
        <sz val="11"/>
        <color theme="1"/>
        <rFont val="Calibri"/>
        <family val="2"/>
        <scheme val="minor"/>
      </rPr>
      <t xml:space="preserve"> conservatively assumed zero since Dead Organic Matter is excluded from the GHG accounting. </t>
    </r>
  </si>
  <si>
    <r>
      <t>GHG</t>
    </r>
    <r>
      <rPr>
        <vertAlign val="subscript"/>
        <sz val="11"/>
        <color theme="1"/>
        <rFont val="Calibri"/>
        <family val="2"/>
        <scheme val="minor"/>
      </rPr>
      <t>FF_TREE,t</t>
    </r>
    <r>
      <rPr>
        <sz val="11"/>
        <color theme="1"/>
        <rFont val="Calibri"/>
        <family val="2"/>
        <scheme val="minor"/>
      </rPr>
      <t xml:space="preserve"> is calculated as follows:</t>
    </r>
  </si>
  <si>
    <r>
      <t>Emission of non-CO2 gases resulting from the loss of aboveground biomass of trees due to fire (tCO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</si>
  <si>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i</t>
    </r>
    <r>
      <rPr>
        <vertAlign val="subscript"/>
        <sz val="11"/>
        <color theme="1"/>
        <rFont val="Calibri"/>
        <family val="2"/>
        <scheme val="minor"/>
      </rPr>
      <t>1</t>
    </r>
  </si>
  <si>
    <r>
      <t>A</t>
    </r>
    <r>
      <rPr>
        <vertAlign val="subscript"/>
        <sz val="11"/>
        <color theme="1"/>
        <rFont val="Calibri"/>
        <family val="2"/>
        <scheme val="minor"/>
      </rPr>
      <t>BURN,I,t</t>
    </r>
  </si>
  <si>
    <r>
      <t>b</t>
    </r>
    <r>
      <rPr>
        <vertAlign val="subscript"/>
        <sz val="11"/>
        <color theme="1"/>
        <rFont val="Calibri"/>
        <family val="2"/>
        <scheme val="minor"/>
      </rPr>
      <t>TREE,i,tL</t>
    </r>
  </si>
  <si>
    <r>
      <t>COMF</t>
    </r>
    <r>
      <rPr>
        <vertAlign val="subscript"/>
        <sz val="11"/>
        <color theme="1"/>
        <rFont val="Calibri"/>
        <family val="2"/>
        <scheme val="minor"/>
      </rPr>
      <t>i</t>
    </r>
  </si>
  <si>
    <r>
      <t>EF</t>
    </r>
    <r>
      <rPr>
        <vertAlign val="subscript"/>
        <sz val="11"/>
        <color theme="1"/>
        <rFont val="Calibri"/>
        <family val="2"/>
        <scheme val="minor"/>
      </rPr>
      <t>CH4,i</t>
    </r>
  </si>
  <si>
    <r>
      <t>GWP</t>
    </r>
    <r>
      <rPr>
        <vertAlign val="subscript"/>
        <sz val="11"/>
        <color theme="1"/>
        <rFont val="Calibri"/>
        <family val="2"/>
        <scheme val="minor"/>
      </rPr>
      <t>CH4</t>
    </r>
  </si>
  <si>
    <r>
      <t>EF</t>
    </r>
    <r>
      <rPr>
        <vertAlign val="subscript"/>
        <sz val="11"/>
        <color theme="1"/>
        <rFont val="Calibri"/>
        <family val="2"/>
        <scheme val="minor"/>
      </rPr>
      <t>N2O,i</t>
    </r>
  </si>
  <si>
    <r>
      <t>GWP</t>
    </r>
    <r>
      <rPr>
        <vertAlign val="subscript"/>
        <sz val="11"/>
        <color theme="1"/>
        <rFont val="Calibri"/>
        <family val="2"/>
        <scheme val="minor"/>
      </rPr>
      <t>N2O</t>
    </r>
  </si>
  <si>
    <r>
      <t>GHG</t>
    </r>
    <r>
      <rPr>
        <vertAlign val="subscript"/>
        <sz val="11"/>
        <color theme="1"/>
        <rFont val="Calibri"/>
        <family val="2"/>
        <scheme val="minor"/>
      </rPr>
      <t>FF_TREE,t</t>
    </r>
  </si>
  <si>
    <r>
      <t>Emission of non-CO2 GHGs resulting from use of fire in site preparation in year t; 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</t>
    </r>
  </si>
  <si>
    <r>
      <t>Emission of non-CO2 GHGs resulting from use of fire to clear the land of harvest residue prior to replanting of the land or other forest management, in year t; 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</t>
    </r>
  </si>
  <si>
    <r>
      <t>Emission of non-CO2 GHGs resulting from burning of biomass and forest fires within the project boundary in year t; 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-e</t>
    </r>
  </si>
  <si>
    <r>
      <t>GHG</t>
    </r>
    <r>
      <rPr>
        <b/>
        <vertAlign val="subscript"/>
        <sz val="11"/>
        <color theme="1"/>
        <rFont val="Calibri"/>
        <family val="2"/>
        <scheme val="minor"/>
      </rPr>
      <t xml:space="preserve">SPF,t </t>
    </r>
  </si>
  <si>
    <r>
      <t>GHG</t>
    </r>
    <r>
      <rPr>
        <b/>
        <vertAlign val="subscript"/>
        <sz val="11"/>
        <color theme="1"/>
        <rFont val="Calibri"/>
        <family val="2"/>
        <scheme val="minor"/>
      </rPr>
      <t>FMF,t</t>
    </r>
  </si>
  <si>
    <r>
      <t>GHG</t>
    </r>
    <r>
      <rPr>
        <b/>
        <vertAlign val="subscript"/>
        <sz val="11"/>
        <color theme="1"/>
        <rFont val="Calibri"/>
        <family val="2"/>
        <scheme val="minor"/>
      </rPr>
      <t>FF,t</t>
    </r>
  </si>
  <si>
    <r>
      <t>GHG</t>
    </r>
    <r>
      <rPr>
        <b/>
        <vertAlign val="subscript"/>
        <sz val="11"/>
        <color theme="1"/>
        <rFont val="Calibri"/>
        <family val="2"/>
        <scheme val="minor"/>
      </rPr>
      <t xml:space="preserve">E,t </t>
    </r>
  </si>
  <si>
    <t>Y= 30.40 *EXP(-5.07*EXP(-0.26*CD)+ 1.277)</t>
  </si>
  <si>
    <t>Inventory_25-3-10.p65</t>
  </si>
  <si>
    <r>
      <t>Mean tree biomass per hectare in stratum i</t>
    </r>
    <r>
      <rPr>
        <b/>
        <vertAlign val="sub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</si>
  <si>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</si>
  <si>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</si>
  <si>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</si>
  <si>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</si>
  <si>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</si>
  <si>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</si>
  <si>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</si>
  <si>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5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</si>
  <si>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5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</si>
  <si>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6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</si>
  <si>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6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</si>
  <si>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7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</si>
  <si>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7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</si>
  <si>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8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</si>
  <si>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8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</si>
  <si>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9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</si>
  <si>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9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</si>
  <si>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10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</si>
  <si>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10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</si>
  <si>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11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</si>
  <si>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11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</si>
  <si>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12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</si>
  <si>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12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</si>
  <si>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13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</si>
  <si>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13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</si>
  <si>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14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</si>
  <si>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14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</si>
  <si>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15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</si>
  <si>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15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</si>
  <si>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16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</si>
  <si>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16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</si>
  <si>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17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</si>
  <si>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Ratio of the area of stratum i</t>
    </r>
    <r>
      <rPr>
        <b/>
        <vertAlign val="subscript"/>
        <sz val="11"/>
        <rFont val="Arial"/>
        <family val="2"/>
      </rPr>
      <t>17</t>
    </r>
    <r>
      <rPr>
        <b/>
        <sz val="11"/>
        <rFont val="Arial"/>
        <family val="2"/>
      </rPr>
      <t xml:space="preserve"> to the sum of areas of biomass
estimation strata; dimensionless</t>
    </r>
  </si>
  <si>
    <r>
      <t>Mean tree biomass per hectare in stratum i</t>
    </r>
    <r>
      <rPr>
        <b/>
        <vertAlign val="subscript"/>
        <sz val="11"/>
        <rFont val="Arial"/>
        <family val="2"/>
      </rPr>
      <t>=1 to 17</t>
    </r>
    <r>
      <rPr>
        <b/>
        <sz val="11"/>
        <rFont val="Arial"/>
        <family val="2"/>
      </rPr>
      <t xml:space="preserve"> at a given point of time in year t; t d.m. ha</t>
    </r>
    <r>
      <rPr>
        <b/>
        <vertAlign val="superscript"/>
        <sz val="11"/>
        <rFont val="Arial"/>
        <family val="2"/>
      </rPr>
      <t>-1</t>
    </r>
  </si>
  <si>
    <r>
      <t>b</t>
    </r>
    <r>
      <rPr>
        <b/>
        <vertAlign val="subscript"/>
        <sz val="11"/>
        <rFont val="Arial"/>
        <family val="2"/>
      </rPr>
      <t>TREE,i,t</t>
    </r>
  </si>
  <si>
    <r>
      <t>w</t>
    </r>
    <r>
      <rPr>
        <b/>
        <vertAlign val="subscript"/>
        <sz val="11"/>
        <rFont val="Arial"/>
        <family val="2"/>
      </rPr>
      <t>1</t>
    </r>
  </si>
  <si>
    <r>
      <t>w</t>
    </r>
    <r>
      <rPr>
        <b/>
        <vertAlign val="subscript"/>
        <sz val="11"/>
        <rFont val="Arial"/>
        <family val="2"/>
      </rPr>
      <t>2</t>
    </r>
  </si>
  <si>
    <r>
      <t>w</t>
    </r>
    <r>
      <rPr>
        <b/>
        <vertAlign val="subscript"/>
        <sz val="11"/>
        <rFont val="Arial"/>
        <family val="2"/>
      </rPr>
      <t>3</t>
    </r>
  </si>
  <si>
    <r>
      <t>w</t>
    </r>
    <r>
      <rPr>
        <b/>
        <vertAlign val="subscript"/>
        <sz val="11"/>
        <rFont val="Arial"/>
        <family val="2"/>
      </rPr>
      <t>4</t>
    </r>
  </si>
  <si>
    <r>
      <t>w</t>
    </r>
    <r>
      <rPr>
        <b/>
        <vertAlign val="subscript"/>
        <sz val="11"/>
        <rFont val="Arial"/>
        <family val="2"/>
      </rPr>
      <t>5</t>
    </r>
  </si>
  <si>
    <r>
      <t>w</t>
    </r>
    <r>
      <rPr>
        <b/>
        <vertAlign val="subscript"/>
        <sz val="11"/>
        <rFont val="Arial"/>
        <family val="2"/>
      </rPr>
      <t>6</t>
    </r>
  </si>
  <si>
    <r>
      <t>w</t>
    </r>
    <r>
      <rPr>
        <b/>
        <vertAlign val="subscript"/>
        <sz val="11"/>
        <rFont val="Arial"/>
        <family val="2"/>
      </rPr>
      <t>7</t>
    </r>
  </si>
  <si>
    <r>
      <t>w</t>
    </r>
    <r>
      <rPr>
        <b/>
        <vertAlign val="subscript"/>
        <sz val="11"/>
        <rFont val="Arial"/>
        <family val="2"/>
      </rPr>
      <t>8</t>
    </r>
  </si>
  <si>
    <r>
      <t>w</t>
    </r>
    <r>
      <rPr>
        <b/>
        <vertAlign val="subscript"/>
        <sz val="11"/>
        <rFont val="Arial"/>
        <family val="2"/>
      </rPr>
      <t>9</t>
    </r>
  </si>
  <si>
    <r>
      <t>w</t>
    </r>
    <r>
      <rPr>
        <b/>
        <vertAlign val="subscript"/>
        <sz val="11"/>
        <rFont val="Arial"/>
        <family val="2"/>
      </rPr>
      <t>10</t>
    </r>
  </si>
  <si>
    <r>
      <t>w</t>
    </r>
    <r>
      <rPr>
        <b/>
        <vertAlign val="subscript"/>
        <sz val="11"/>
        <rFont val="Arial"/>
        <family val="2"/>
      </rPr>
      <t>11</t>
    </r>
  </si>
  <si>
    <r>
      <t>w</t>
    </r>
    <r>
      <rPr>
        <b/>
        <vertAlign val="subscript"/>
        <sz val="11"/>
        <rFont val="Arial"/>
        <family val="2"/>
      </rPr>
      <t>12</t>
    </r>
  </si>
  <si>
    <r>
      <t>w</t>
    </r>
    <r>
      <rPr>
        <b/>
        <vertAlign val="subscript"/>
        <sz val="11"/>
        <rFont val="Arial"/>
        <family val="2"/>
      </rPr>
      <t>13</t>
    </r>
  </si>
  <si>
    <r>
      <t>w</t>
    </r>
    <r>
      <rPr>
        <b/>
        <vertAlign val="subscript"/>
        <sz val="11"/>
        <rFont val="Arial"/>
        <family val="2"/>
      </rPr>
      <t>14</t>
    </r>
  </si>
  <si>
    <r>
      <t>w</t>
    </r>
    <r>
      <rPr>
        <b/>
        <vertAlign val="subscript"/>
        <sz val="11"/>
        <rFont val="Arial"/>
        <family val="2"/>
      </rPr>
      <t>15</t>
    </r>
  </si>
  <si>
    <r>
      <t>w</t>
    </r>
    <r>
      <rPr>
        <b/>
        <vertAlign val="subscript"/>
        <sz val="11"/>
        <rFont val="Arial"/>
        <family val="2"/>
      </rPr>
      <t>16</t>
    </r>
  </si>
  <si>
    <r>
      <t>w</t>
    </r>
    <r>
      <rPr>
        <b/>
        <vertAlign val="subscript"/>
        <sz val="11"/>
        <rFont val="Arial"/>
        <family val="2"/>
      </rPr>
      <t>17</t>
    </r>
  </si>
  <si>
    <r>
      <t>B</t>
    </r>
    <r>
      <rPr>
        <b/>
        <vertAlign val="subscript"/>
        <sz val="11"/>
        <rFont val="Arial"/>
        <family val="2"/>
      </rPr>
      <t>TREE,t</t>
    </r>
  </si>
  <si>
    <r>
      <t>CF</t>
    </r>
    <r>
      <rPr>
        <b/>
        <vertAlign val="subscript"/>
        <sz val="11"/>
        <rFont val="Arial"/>
        <family val="2"/>
      </rPr>
      <t>TREE</t>
    </r>
  </si>
  <si>
    <r>
      <t>C</t>
    </r>
    <r>
      <rPr>
        <b/>
        <vertAlign val="subscript"/>
        <sz val="11"/>
        <rFont val="Arial"/>
        <family val="2"/>
      </rPr>
      <t>TREE,t</t>
    </r>
  </si>
  <si>
    <r>
      <t>∆C</t>
    </r>
    <r>
      <rPr>
        <b/>
        <i/>
        <vertAlign val="subscript"/>
        <sz val="11"/>
        <rFont val="Arial"/>
        <family val="2"/>
      </rPr>
      <t>TREE,t</t>
    </r>
  </si>
  <si>
    <r>
      <t>∆C</t>
    </r>
    <r>
      <rPr>
        <b/>
        <i/>
        <vertAlign val="subscript"/>
        <sz val="11"/>
        <rFont val="Arial"/>
        <family val="2"/>
      </rPr>
      <t>TREE_PROJ,t</t>
    </r>
  </si>
  <si>
    <r>
      <t>∆C</t>
    </r>
    <r>
      <rPr>
        <b/>
        <i/>
        <vertAlign val="subscript"/>
        <sz val="11"/>
        <rFont val="Arial"/>
        <family val="2"/>
      </rPr>
      <t>SHRUB_PROJ,t</t>
    </r>
  </si>
  <si>
    <r>
      <t>∆C</t>
    </r>
    <r>
      <rPr>
        <b/>
        <i/>
        <vertAlign val="subscript"/>
        <sz val="11"/>
        <rFont val="Arial"/>
        <family val="2"/>
      </rPr>
      <t>DW_PROJ,t</t>
    </r>
  </si>
  <si>
    <r>
      <t>∆C</t>
    </r>
    <r>
      <rPr>
        <b/>
        <i/>
        <vertAlign val="subscript"/>
        <sz val="11"/>
        <rFont val="Arial"/>
        <family val="2"/>
      </rPr>
      <t>LI_PROJ,t</t>
    </r>
  </si>
  <si>
    <r>
      <t>∆SOC</t>
    </r>
    <r>
      <rPr>
        <b/>
        <i/>
        <vertAlign val="subscript"/>
        <sz val="11"/>
        <rFont val="Arial"/>
        <family val="2"/>
      </rPr>
      <t>AL,t</t>
    </r>
  </si>
  <si>
    <r>
      <t>∆C</t>
    </r>
    <r>
      <rPr>
        <b/>
        <i/>
        <vertAlign val="subscript"/>
        <sz val="11"/>
        <rFont val="Arial"/>
        <family val="2"/>
      </rPr>
      <t>P,t</t>
    </r>
  </si>
  <si>
    <r>
      <t>GHG</t>
    </r>
    <r>
      <rPr>
        <b/>
        <vertAlign val="subscript"/>
        <sz val="11"/>
        <rFont val="Arial"/>
        <family val="2"/>
      </rPr>
      <t>E,t</t>
    </r>
  </si>
  <si>
    <r>
      <t>∆C</t>
    </r>
    <r>
      <rPr>
        <b/>
        <i/>
        <vertAlign val="subscript"/>
        <sz val="11"/>
        <rFont val="Arial"/>
        <family val="2"/>
      </rPr>
      <t>ACTUAL,t</t>
    </r>
  </si>
  <si>
    <r>
      <t>LK</t>
    </r>
    <r>
      <rPr>
        <b/>
        <i/>
        <vertAlign val="subscript"/>
        <sz val="11"/>
        <rFont val="Arial"/>
        <family val="2"/>
      </rPr>
      <t>t</t>
    </r>
  </si>
  <si>
    <r>
      <t>∆C</t>
    </r>
    <r>
      <rPr>
        <b/>
        <vertAlign val="subscript"/>
        <sz val="11"/>
        <rFont val="Arial"/>
        <family val="2"/>
      </rPr>
      <t>BSL,t</t>
    </r>
  </si>
  <si>
    <r>
      <t>∆C</t>
    </r>
    <r>
      <rPr>
        <b/>
        <vertAlign val="subscript"/>
        <sz val="11"/>
        <rFont val="Arial"/>
        <family val="2"/>
      </rPr>
      <t>AR-CDM,t</t>
    </r>
  </si>
  <si>
    <t>Source</t>
  </si>
  <si>
    <t>Table 3: HAC soils, Tropical dry</t>
  </si>
  <si>
    <t>Table 3: HAC soils, Tropical moist.</t>
  </si>
  <si>
    <t>The rate of change in SOC stock in stratum i=14 of the areas of land, in year t;
t C ha-1 yr-2</t>
  </si>
  <si>
    <t>The rate of change in SOC stock in stratum i=15 of the areas of land, in year t;
t C ha-1 yr-2</t>
  </si>
  <si>
    <t>The rate of change in SOC stock in stratum i=16 of the areas of land, in year t;
t C ha-1 yr-3</t>
  </si>
  <si>
    <t>The rate of change in SOC stock in stratum i=17 of the areas of land, in year t;
t C ha-1 yr-3</t>
  </si>
  <si>
    <t>The rate of change in SOC stock in stratum i=18 of the areas of land, in year t;
t C ha-1 yr-4</t>
  </si>
  <si>
    <t>The rate of change in SOC stock in stratum i=19 of the areas of land, in year t;
t C ha-1 yr-5</t>
  </si>
  <si>
    <t>The rate of change in SOC stock in stratum i=20 of the areas of land, in year t;
t C ha-1 yr-5</t>
  </si>
  <si>
    <t>The rate of change in SOC stock in stratum i=21 of the areas of land, in year t;
t C ha-1 yr-6</t>
  </si>
  <si>
    <t>The rate of change in SOC stock in stratum i=22 of the areas of land, in year t;
t C ha-1 yr-6</t>
  </si>
  <si>
    <t>The rate of change in SOC stock in stratum i=23 of the areas of land, in year t;
t C ha-1 yr-7</t>
  </si>
  <si>
    <t>The rate of change in SOC stock in stratum i=24 of the areas of land, in year t;
t C ha-1 yr-7</t>
  </si>
  <si>
    <t>The area of stratum i=18 of the areas of land; ha</t>
  </si>
  <si>
    <t>The area of stratum i=19 of the areas of land; ha</t>
  </si>
  <si>
    <t>The area of stratum i=20 of the areas of land; ha</t>
  </si>
  <si>
    <t>The area of stratum i=21 of the areas of land; ha</t>
  </si>
  <si>
    <t>The area of stratum i=22 of the areas of land; ha</t>
  </si>
  <si>
    <t>The area of stratum i=23 of the areas of land; ha</t>
  </si>
  <si>
    <t>The area of stratum i=24 of the areas of land; ha</t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</si>
  <si>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t,12</t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</si>
  <si>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t,18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</si>
  <si>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t,19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</si>
  <si>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t,20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</si>
  <si>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t,21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</si>
  <si>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t,22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</si>
  <si>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t,23</t>
    </r>
    <r>
      <rPr>
        <sz val="11"/>
        <color theme="1"/>
        <rFont val="Calibri"/>
        <family val="2"/>
        <scheme val="minor"/>
      </rPr>
      <t/>
    </r>
  </si>
  <si>
    <r>
      <t>dSOC</t>
    </r>
    <r>
      <rPr>
        <b/>
        <vertAlign val="subscript"/>
        <sz val="11"/>
        <color theme="1"/>
        <rFont val="Calibri"/>
        <family val="2"/>
        <scheme val="minor"/>
      </rPr>
      <t>t,24</t>
    </r>
    <r>
      <rPr>
        <sz val="11"/>
        <color theme="1"/>
        <rFont val="Calibri"/>
        <family val="2"/>
        <scheme val="minor"/>
      </rPr>
      <t/>
    </r>
  </si>
  <si>
    <t>A18</t>
  </si>
  <si>
    <t>A19</t>
  </si>
  <si>
    <t>A20</t>
  </si>
  <si>
    <t>A21</t>
  </si>
  <si>
    <t>A22</t>
  </si>
  <si>
    <t>A23</t>
  </si>
  <si>
    <t>A24</t>
  </si>
  <si>
    <r>
      <t>∆SOC</t>
    </r>
    <r>
      <rPr>
        <b/>
        <i/>
        <vertAlign val="subscript"/>
        <sz val="10"/>
        <rFont val="Arial"/>
        <family val="2"/>
      </rPr>
      <t>AL,t</t>
    </r>
  </si>
  <si>
    <t>Sum of  Area in Ha.</t>
  </si>
  <si>
    <t>Row Labels</t>
  </si>
  <si>
    <t>Andhra Pradesh</t>
  </si>
  <si>
    <t>Grand Total</t>
  </si>
  <si>
    <t>PSP Monitored</t>
  </si>
  <si>
    <t>01/01/2054 to 31/12/2054</t>
  </si>
  <si>
    <t>01/01/2055 to 30/06/2055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</si>
</sst>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 * #,##0.00_ ;_ * \-#,##0.00_ ;_ * &quot;-&quot;??_ ;_ @_ "/>
    <numFmt numFmtId="165" formatCode="[Red][&lt;0]\-General;[Black]General;[Black]General"/>
    <numFmt numFmtId="166" formatCode="0.0000"/>
    <numFmt numFmtId="167" formatCode="0.0"/>
    <numFmt numFmtId="168" formatCode="_(* #,##0_);_(* \(#,##0\);_(* &quot;-&quot;??_);_(@_)"/>
    <numFmt numFmtId="169" formatCode="0.000000"/>
    <numFmt numFmtId="170" formatCode="0.000"/>
    <numFmt numFmtId="171" formatCode="_ * #,##0_ ;_ * \-#,##0_ ;_ * &quot;-&quot;??_ ;_ @_ "/>
    <numFmt numFmtId="172" formatCode="_ * #,##0.0000_ ;_ * \-#,##0.0000_ ;_ * &quot;-&quot;??_ ;_ @_ "/>
    <numFmt numFmtId="173" formatCode="_ * #,##0.00000_ ;_ * \-#,##0.00000_ ;_ * &quot;-&quot;??_ ;_ @_ "/>
    <numFmt numFmtId="174" formatCode="_(* #,##0.000_);_(* \(#,##0.000\);_(* &quot;-&quot;??_);_(@_)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vertAlign val="subscript"/>
      <sz val="10"/>
      <name val="Arial"/>
      <family val="2"/>
    </font>
    <font>
      <b/>
      <vertAlign val="subscript"/>
      <sz val="10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 Light"/>
      <family val="2"/>
      <scheme val="major"/>
    </font>
    <font>
      <sz val="10.5"/>
      <color theme="1"/>
      <name val="Franklin Gothic Book"/>
      <family val="2"/>
    </font>
    <font>
      <b/>
      <sz val="9"/>
      <name val="Arial"/>
      <family val="2"/>
    </font>
    <font>
      <sz val="11"/>
      <name val="Calibri"/>
      <family val="2"/>
    </font>
    <font>
      <b/>
      <sz val="9.5"/>
      <color rgb="FFFFFFFF"/>
      <name val="Franklin Gothic Book"/>
      <family val="2"/>
    </font>
    <font>
      <b/>
      <vertAlign val="subscript"/>
      <sz val="9.5"/>
      <color rgb="FFFFFFFF"/>
      <name val="Franklin Gothic Book"/>
      <family val="2"/>
    </font>
    <font>
      <b/>
      <sz val="11"/>
      <color rgb="FFFFFFFF"/>
      <name val="Times New Roman"/>
      <family val="1"/>
    </font>
    <font>
      <b/>
      <vertAlign val="subscript"/>
      <sz val="11"/>
      <color rgb="FFFFFFFF"/>
      <name val="Times New Roman"/>
      <family val="1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vertAlign val="superscript"/>
      <sz val="12"/>
      <color theme="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Calibri"/>
      <family val="2"/>
      <scheme val="minor"/>
    </font>
    <font>
      <b/>
      <vertAlign val="superscript"/>
      <sz val="10.5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10"/>
      <color theme="1"/>
      <name val="Franklin Gothic Book"/>
      <family val="2"/>
    </font>
    <font>
      <b/>
      <vertAlign val="superscript"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1"/>
      <color rgb="FF4F51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vertAlign val="subscript"/>
      <sz val="11"/>
      <color rgb="FFFFFFFF"/>
      <name val="Calibri"/>
      <family val="2"/>
      <scheme val="minor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vertAlign val="superscript"/>
      <sz val="11"/>
      <name val="Arial"/>
      <family val="2"/>
    </font>
    <font>
      <b/>
      <i/>
      <vertAlign val="subscript"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0"/>
      <name val="Times New Roman"/>
      <family val="1"/>
      <charset val="1"/>
    </font>
    <font>
      <sz val="11"/>
      <color theme="4" tint="-0.249977111117893"/>
      <name val="Calibri Light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0CECE"/>
        <bgColor rgb="FFE0E5EB"/>
      </patternFill>
    </fill>
    <fill>
      <patternFill patternType="solid">
        <fgColor theme="5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5" fontId="10" fillId="4" borderId="9">
      <alignment wrapText="1"/>
      <protection locked="0"/>
    </xf>
    <xf numFmtId="0" fontId="10" fillId="0" borderId="0"/>
    <xf numFmtId="0" fontId="25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5">
    <xf numFmtId="0" fontId="0" fillId="0" borderId="0" xfId="0"/>
    <xf numFmtId="0" fontId="0" fillId="0" borderId="1" xfId="0" applyBorder="1"/>
    <xf numFmtId="14" fontId="0" fillId="0" borderId="0" xfId="0" applyNumberFormat="1"/>
    <xf numFmtId="166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0" xfId="0" applyFont="1"/>
    <xf numFmtId="1" fontId="0" fillId="0" borderId="1" xfId="0" applyNumberFormat="1" applyBorder="1"/>
    <xf numFmtId="1" fontId="0" fillId="0" borderId="0" xfId="0" applyNumberFormat="1"/>
    <xf numFmtId="166" fontId="0" fillId="0" borderId="1" xfId="0" applyNumberFormat="1" applyBorder="1"/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justify" vertical="top" wrapText="1"/>
    </xf>
    <xf numFmtId="0" fontId="17" fillId="0" borderId="1" xfId="0" applyFont="1" applyBorder="1" applyAlignment="1">
      <alignment vertical="top" wrapText="1"/>
    </xf>
    <xf numFmtId="0" fontId="17" fillId="5" borderId="1" xfId="0" applyFont="1" applyFill="1" applyBorder="1" applyAlignment="1">
      <alignment vertical="top" wrapText="1"/>
    </xf>
    <xf numFmtId="2" fontId="17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0" fillId="0" borderId="1" xfId="4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2" fontId="16" fillId="0" borderId="1" xfId="0" applyNumberFormat="1" applyFont="1" applyBorder="1"/>
    <xf numFmtId="0" fontId="16" fillId="5" borderId="1" xfId="0" applyFont="1" applyFill="1" applyBorder="1"/>
    <xf numFmtId="0" fontId="0" fillId="0" borderId="0" xfId="0" applyAlignment="1">
      <alignment wrapText="1"/>
    </xf>
    <xf numFmtId="0" fontId="0" fillId="5" borderId="11" xfId="0" applyFill="1" applyBorder="1"/>
    <xf numFmtId="0" fontId="3" fillId="10" borderId="1" xfId="0" applyFont="1" applyFill="1" applyBorder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/>
    </xf>
    <xf numFmtId="0" fontId="26" fillId="0" borderId="0" xfId="0" applyFont="1"/>
    <xf numFmtId="0" fontId="3" fillId="0" borderId="1" xfId="0" applyFont="1" applyBorder="1"/>
    <xf numFmtId="2" fontId="12" fillId="0" borderId="1" xfId="5" applyNumberFormat="1" applyFont="1" applyBorder="1" applyAlignment="1">
      <alignment horizontal="center" vertical="top"/>
    </xf>
    <xf numFmtId="4" fontId="12" fillId="0" borderId="1" xfId="5" applyNumberFormat="1" applyFont="1" applyBorder="1" applyAlignment="1">
      <alignment horizontal="center" vertical="center"/>
    </xf>
    <xf numFmtId="2" fontId="12" fillId="0" borderId="1" xfId="5" applyNumberFormat="1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7" fillId="0" borderId="1" xfId="2" applyFill="1" applyBorder="1" applyAlignment="1"/>
    <xf numFmtId="0" fontId="0" fillId="0" borderId="0" xfId="0" applyAlignment="1">
      <alignment horizontal="center" vertical="center" wrapText="1"/>
    </xf>
    <xf numFmtId="0" fontId="3" fillId="5" borderId="0" xfId="0" applyFont="1" applyFill="1"/>
    <xf numFmtId="2" fontId="14" fillId="5" borderId="1" xfId="0" applyNumberFormat="1" applyFont="1" applyFill="1" applyBorder="1" applyAlignment="1">
      <alignment horizontal="center"/>
    </xf>
    <xf numFmtId="43" fontId="14" fillId="5" borderId="1" xfId="1" applyFont="1" applyFill="1" applyBorder="1" applyAlignment="1">
      <alignment horizontal="center"/>
    </xf>
    <xf numFmtId="1" fontId="14" fillId="5" borderId="1" xfId="1" applyNumberFormat="1" applyFont="1" applyFill="1" applyBorder="1" applyAlignment="1">
      <alignment horizontal="center"/>
    </xf>
    <xf numFmtId="2" fontId="2" fillId="5" borderId="16" xfId="0" applyNumberFormat="1" applyFont="1" applyFill="1" applyBorder="1" applyAlignment="1">
      <alignment horizontal="center" vertical="center" wrapText="1"/>
    </xf>
    <xf numFmtId="2" fontId="2" fillId="5" borderId="0" xfId="0" applyNumberFormat="1" applyFont="1" applyFill="1" applyAlignment="1">
      <alignment horizontal="center"/>
    </xf>
    <xf numFmtId="1" fontId="30" fillId="12" borderId="1" xfId="0" applyNumberFormat="1" applyFont="1" applyFill="1" applyBorder="1" applyAlignment="1">
      <alignment vertical="center" wrapText="1"/>
    </xf>
    <xf numFmtId="1" fontId="3" fillId="0" borderId="1" xfId="0" applyNumberFormat="1" applyFont="1" applyBorder="1"/>
    <xf numFmtId="0" fontId="28" fillId="7" borderId="11" xfId="4" applyFont="1" applyFill="1" applyBorder="1" applyAlignment="1">
      <alignment horizontal="center" vertical="center" wrapText="1"/>
    </xf>
    <xf numFmtId="0" fontId="28" fillId="7" borderId="1" xfId="4" applyFont="1" applyFill="1" applyBorder="1" applyAlignment="1">
      <alignment horizontal="center" vertical="center" wrapText="1"/>
    </xf>
    <xf numFmtId="0" fontId="3" fillId="13" borderId="12" xfId="0" applyFont="1" applyFill="1" applyBorder="1"/>
    <xf numFmtId="1" fontId="3" fillId="13" borderId="12" xfId="0" applyNumberFormat="1" applyFont="1" applyFill="1" applyBorder="1"/>
    <xf numFmtId="0" fontId="3" fillId="13" borderId="1" xfId="0" applyFont="1" applyFill="1" applyBorder="1"/>
    <xf numFmtId="1" fontId="3" fillId="13" borderId="1" xfId="0" applyNumberFormat="1" applyFont="1" applyFill="1" applyBorder="1"/>
    <xf numFmtId="0" fontId="3" fillId="0" borderId="14" xfId="0" applyFont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8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34" fillId="15" borderId="1" xfId="0" applyFont="1" applyFill="1" applyBorder="1" applyAlignment="1">
      <alignment horizontal="center" vertical="center" wrapText="1"/>
    </xf>
    <xf numFmtId="167" fontId="34" fillId="15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67" fontId="0" fillId="8" borderId="1" xfId="0" applyNumberFormat="1" applyFill="1" applyBorder="1" applyAlignment="1">
      <alignment vertical="center" wrapText="1"/>
    </xf>
    <xf numFmtId="167" fontId="0" fillId="0" borderId="0" xfId="0" applyNumberFormat="1" applyAlignment="1">
      <alignment vertical="center" wrapText="1"/>
    </xf>
    <xf numFmtId="170" fontId="34" fillId="15" borderId="1" xfId="0" applyNumberFormat="1" applyFont="1" applyFill="1" applyBorder="1" applyAlignment="1">
      <alignment horizontal="center" vertical="center" wrapText="1"/>
    </xf>
    <xf numFmtId="170" fontId="0" fillId="0" borderId="0" xfId="0" applyNumberFormat="1" applyAlignment="1">
      <alignment vertical="center" wrapText="1"/>
    </xf>
    <xf numFmtId="167" fontId="14" fillId="8" borderId="1" xfId="0" applyNumberFormat="1" applyFont="1" applyFill="1" applyBorder="1" applyAlignment="1">
      <alignment horizontal="right" vertical="center" wrapText="1"/>
    </xf>
    <xf numFmtId="0" fontId="0" fillId="8" borderId="1" xfId="0" applyFill="1" applyBorder="1" applyAlignment="1">
      <alignment vertical="center" wrapText="1"/>
    </xf>
    <xf numFmtId="170" fontId="0" fillId="0" borderId="0" xfId="0" applyNumberFormat="1" applyAlignment="1">
      <alignment horizontal="center" vertical="center" wrapText="1"/>
    </xf>
    <xf numFmtId="0" fontId="39" fillId="0" borderId="1" xfId="0" applyFont="1" applyBorder="1" applyAlignment="1">
      <alignment horizontal="center" vertical="top" wrapText="1"/>
    </xf>
    <xf numFmtId="0" fontId="32" fillId="12" borderId="1" xfId="0" applyFont="1" applyFill="1" applyBorder="1" applyAlignment="1">
      <alignment horizontal="left" vertical="top" wrapText="1"/>
    </xf>
    <xf numFmtId="0" fontId="32" fillId="12" borderId="1" xfId="0" applyFont="1" applyFill="1" applyBorder="1" applyAlignment="1">
      <alignment vertical="top" wrapText="1"/>
    </xf>
    <xf numFmtId="2" fontId="15" fillId="0" borderId="1" xfId="0" applyNumberFormat="1" applyFont="1" applyBorder="1" applyAlignment="1">
      <alignment horizontal="left"/>
    </xf>
    <xf numFmtId="164" fontId="0" fillId="0" borderId="0" xfId="0" applyNumberFormat="1"/>
    <xf numFmtId="170" fontId="8" fillId="0" borderId="0" xfId="0" applyNumberFormat="1" applyFont="1" applyAlignment="1">
      <alignment horizontal="center" vertical="center" wrapText="1"/>
    </xf>
    <xf numFmtId="170" fontId="0" fillId="0" borderId="0" xfId="0" applyNumberFormat="1"/>
    <xf numFmtId="167" fontId="0" fillId="0" borderId="0" xfId="0" applyNumberFormat="1"/>
    <xf numFmtId="174" fontId="34" fillId="15" borderId="1" xfId="1" applyNumberFormat="1" applyFont="1" applyFill="1" applyBorder="1" applyAlignment="1">
      <alignment horizontal="center" vertical="center" wrapText="1"/>
    </xf>
    <xf numFmtId="174" fontId="0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5" borderId="0" xfId="0" applyFill="1"/>
    <xf numFmtId="0" fontId="0" fillId="18" borderId="1" xfId="0" applyFill="1" applyBorder="1" applyAlignment="1">
      <alignment horizontal="center" vertical="center" wrapText="1"/>
    </xf>
    <xf numFmtId="2" fontId="14" fillId="18" borderId="1" xfId="0" applyNumberFormat="1" applyFont="1" applyFill="1" applyBorder="1" applyAlignment="1">
      <alignment horizontal="center" vertical="center" wrapText="1"/>
    </xf>
    <xf numFmtId="2" fontId="0" fillId="18" borderId="1" xfId="0" applyNumberFormat="1" applyFill="1" applyBorder="1" applyAlignment="1">
      <alignment horizontal="center" vertical="center" wrapText="1"/>
    </xf>
    <xf numFmtId="174" fontId="0" fillId="0" borderId="0" xfId="1" applyNumberFormat="1" applyFont="1" applyFill="1" applyAlignment="1">
      <alignment vertical="center" wrapText="1"/>
    </xf>
    <xf numFmtId="0" fontId="3" fillId="2" borderId="0" xfId="0" applyFont="1" applyFill="1"/>
    <xf numFmtId="0" fontId="3" fillId="0" borderId="23" xfId="0" applyFont="1" applyBorder="1" applyAlignment="1">
      <alignment wrapText="1"/>
    </xf>
    <xf numFmtId="165" fontId="13" fillId="0" borderId="1" xfId="3" applyFont="1" applyFill="1" applyBorder="1" applyAlignment="1">
      <alignment horizontal="left"/>
      <protection locked="0"/>
    </xf>
    <xf numFmtId="2" fontId="0" fillId="0" borderId="1" xfId="0" applyNumberFormat="1" applyBorder="1" applyAlignment="1">
      <alignment vertical="center"/>
    </xf>
    <xf numFmtId="0" fontId="3" fillId="1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wrapText="1"/>
    </xf>
    <xf numFmtId="0" fontId="3" fillId="18" borderId="1" xfId="0" applyFont="1" applyFill="1" applyBorder="1" applyAlignment="1">
      <alignment horizontal="center" vertical="center" wrapText="1"/>
    </xf>
    <xf numFmtId="43" fontId="0" fillId="0" borderId="21" xfId="1" applyFont="1" applyFill="1" applyBorder="1" applyAlignment="1">
      <alignment horizontal="center"/>
    </xf>
    <xf numFmtId="0" fontId="0" fillId="18" borderId="1" xfId="0" applyFill="1" applyBorder="1" applyAlignment="1">
      <alignment horizontal="center" vertical="top" wrapText="1"/>
    </xf>
    <xf numFmtId="0" fontId="0" fillId="18" borderId="1" xfId="0" applyFill="1" applyBorder="1" applyAlignment="1">
      <alignment vertical="center" wrapText="1"/>
    </xf>
    <xf numFmtId="167" fontId="14" fillId="18" borderId="1" xfId="0" applyNumberFormat="1" applyFont="1" applyFill="1" applyBorder="1" applyAlignment="1">
      <alignment horizontal="right" vertical="center" wrapText="1"/>
    </xf>
    <xf numFmtId="0" fontId="14" fillId="18" borderId="1" xfId="0" applyFont="1" applyFill="1" applyBorder="1" applyAlignment="1">
      <alignment horizontal="right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top" wrapText="1"/>
    </xf>
    <xf numFmtId="2" fontId="0" fillId="8" borderId="1" xfId="0" applyNumberForma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8" fillId="15" borderId="1" xfId="0" applyFont="1" applyFill="1" applyBorder="1" applyAlignment="1">
      <alignment horizontal="center" vertical="center" wrapText="1"/>
    </xf>
    <xf numFmtId="167" fontId="48" fillId="15" borderId="1" xfId="0" applyNumberFormat="1" applyFont="1" applyFill="1" applyBorder="1" applyAlignment="1">
      <alignment horizontal="center" vertical="center" wrapText="1"/>
    </xf>
    <xf numFmtId="170" fontId="48" fillId="15" borderId="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5" fillId="0" borderId="0" xfId="0" applyFont="1"/>
    <xf numFmtId="0" fontId="45" fillId="18" borderId="1" xfId="0" applyFont="1" applyFill="1" applyBorder="1" applyAlignment="1">
      <alignment horizontal="center" vertical="top" wrapText="1"/>
    </xf>
    <xf numFmtId="0" fontId="45" fillId="18" borderId="1" xfId="0" applyFont="1" applyFill="1" applyBorder="1" applyAlignment="1">
      <alignment horizontal="center" vertical="center" wrapText="1"/>
    </xf>
    <xf numFmtId="2" fontId="45" fillId="18" borderId="1" xfId="0" applyNumberFormat="1" applyFont="1" applyFill="1" applyBorder="1" applyAlignment="1">
      <alignment horizontal="right" vertical="center" wrapText="1"/>
    </xf>
    <xf numFmtId="2" fontId="45" fillId="18" borderId="1" xfId="0" applyNumberFormat="1" applyFont="1" applyFill="1" applyBorder="1" applyAlignment="1">
      <alignment horizontal="right"/>
    </xf>
    <xf numFmtId="2" fontId="46" fillId="18" borderId="1" xfId="0" applyNumberFormat="1" applyFont="1" applyFill="1" applyBorder="1" applyAlignment="1">
      <alignment horizontal="right" vertical="center" wrapText="1"/>
    </xf>
    <xf numFmtId="2" fontId="14" fillId="18" borderId="1" xfId="0" applyNumberFormat="1" applyFont="1" applyFill="1" applyBorder="1" applyAlignment="1">
      <alignment horizontal="right" vertical="center" wrapText="1"/>
    </xf>
    <xf numFmtId="2" fontId="0" fillId="18" borderId="1" xfId="0" applyNumberFormat="1" applyFill="1" applyBorder="1" applyAlignment="1">
      <alignment vertical="center" wrapText="1"/>
    </xf>
    <xf numFmtId="2" fontId="14" fillId="8" borderId="1" xfId="0" applyNumberFormat="1" applyFont="1" applyFill="1" applyBorder="1" applyAlignment="1">
      <alignment horizontal="right" vertical="center" wrapText="1"/>
    </xf>
    <xf numFmtId="2" fontId="0" fillId="8" borderId="1" xfId="0" applyNumberForma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0" fillId="18" borderId="1" xfId="0" applyNumberFormat="1" applyFill="1" applyBorder="1" applyAlignment="1">
      <alignment horizontal="right" vertical="center" wrapText="1"/>
    </xf>
    <xf numFmtId="0" fontId="36" fillId="18" borderId="1" xfId="0" applyFont="1" applyFill="1" applyBorder="1" applyAlignment="1">
      <alignment horizontal="center" vertical="top" wrapText="1"/>
    </xf>
    <xf numFmtId="167" fontId="29" fillId="18" borderId="1" xfId="0" applyNumberFormat="1" applyFont="1" applyFill="1" applyBorder="1" applyAlignment="1">
      <alignment horizontal="right" vertical="center" wrapText="1"/>
    </xf>
    <xf numFmtId="2" fontId="29" fillId="18" borderId="1" xfId="0" applyNumberFormat="1" applyFont="1" applyFill="1" applyBorder="1" applyAlignment="1">
      <alignment horizontal="right" vertical="center" wrapText="1"/>
    </xf>
    <xf numFmtId="2" fontId="0" fillId="18" borderId="1" xfId="0" applyNumberFormat="1" applyFill="1" applyBorder="1" applyAlignment="1">
      <alignment horizontal="right" vertical="center"/>
    </xf>
    <xf numFmtId="0" fontId="35" fillId="8" borderId="1" xfId="0" applyFont="1" applyFill="1" applyBorder="1" applyAlignment="1">
      <alignment horizontal="center" vertical="top" wrapText="1"/>
    </xf>
    <xf numFmtId="0" fontId="35" fillId="8" borderId="1" xfId="0" applyFont="1" applyFill="1" applyBorder="1" applyAlignment="1">
      <alignment horizontal="center" vertical="center" wrapText="1"/>
    </xf>
    <xf numFmtId="2" fontId="0" fillId="8" borderId="1" xfId="0" applyNumberFormat="1" applyFill="1" applyBorder="1" applyAlignment="1">
      <alignment horizontal="right" vertical="center" wrapText="1"/>
    </xf>
    <xf numFmtId="2" fontId="45" fillId="18" borderId="0" xfId="0" applyNumberFormat="1" applyFont="1" applyFill="1" applyAlignment="1">
      <alignment vertical="center" wrapText="1"/>
    </xf>
    <xf numFmtId="2" fontId="45" fillId="18" borderId="0" xfId="0" applyNumberFormat="1" applyFont="1" applyFill="1"/>
    <xf numFmtId="2" fontId="45" fillId="5" borderId="0" xfId="0" applyNumberFormat="1" applyFont="1" applyFill="1"/>
    <xf numFmtId="0" fontId="45" fillId="5" borderId="0" xfId="0" applyFont="1" applyFill="1" applyAlignment="1">
      <alignment vertical="center" wrapText="1"/>
    </xf>
    <xf numFmtId="2" fontId="45" fillId="5" borderId="0" xfId="0" applyNumberFormat="1" applyFont="1" applyFill="1" applyAlignment="1">
      <alignment vertical="center" wrapText="1"/>
    </xf>
    <xf numFmtId="170" fontId="45" fillId="0" borderId="0" xfId="0" applyNumberFormat="1" applyFont="1" applyAlignment="1">
      <alignment horizontal="center" vertical="center" wrapText="1"/>
    </xf>
    <xf numFmtId="164" fontId="38" fillId="18" borderId="1" xfId="6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vertical="center" wrapText="1"/>
    </xf>
    <xf numFmtId="164" fontId="38" fillId="8" borderId="1" xfId="6" applyFont="1" applyFill="1" applyBorder="1" applyAlignment="1">
      <alignment horizontal="center" wrapText="1"/>
    </xf>
    <xf numFmtId="2" fontId="45" fillId="8" borderId="1" xfId="0" applyNumberFormat="1" applyFont="1" applyFill="1" applyBorder="1" applyAlignment="1">
      <alignment horizontal="right" vertical="center" wrapText="1"/>
    </xf>
    <xf numFmtId="2" fontId="46" fillId="8" borderId="1" xfId="0" applyNumberFormat="1" applyFont="1" applyFill="1" applyBorder="1" applyAlignment="1">
      <alignment horizontal="right" vertical="center" wrapText="1"/>
    </xf>
    <xf numFmtId="2" fontId="38" fillId="18" borderId="1" xfId="6" applyNumberFormat="1" applyFont="1" applyFill="1" applyBorder="1" applyAlignment="1">
      <alignment horizontal="right" vertical="center" wrapText="1"/>
    </xf>
    <xf numFmtId="2" fontId="50" fillId="18" borderId="1" xfId="0" applyNumberFormat="1" applyFont="1" applyFill="1" applyBorder="1" applyAlignment="1">
      <alignment horizontal="right"/>
    </xf>
    <xf numFmtId="2" fontId="38" fillId="8" borderId="1" xfId="6" applyNumberFormat="1" applyFont="1" applyFill="1" applyBorder="1" applyAlignment="1">
      <alignment horizontal="right" vertical="center" wrapText="1"/>
    </xf>
    <xf numFmtId="2" fontId="50" fillId="8" borderId="1" xfId="0" applyNumberFormat="1" applyFont="1" applyFill="1" applyBorder="1" applyAlignment="1">
      <alignment horizontal="right"/>
    </xf>
    <xf numFmtId="167" fontId="45" fillId="0" borderId="0" xfId="0" applyNumberFormat="1" applyFont="1" applyAlignment="1">
      <alignment horizontal="right" vertical="center" wrapText="1"/>
    </xf>
    <xf numFmtId="170" fontId="45" fillId="0" borderId="0" xfId="0" applyNumberFormat="1" applyFont="1" applyAlignment="1">
      <alignment horizontal="right" vertical="center" wrapText="1"/>
    </xf>
    <xf numFmtId="0" fontId="45" fillId="0" borderId="0" xfId="0" applyFont="1" applyAlignment="1">
      <alignment horizontal="right"/>
    </xf>
    <xf numFmtId="0" fontId="43" fillId="15" borderId="1" xfId="0" applyFont="1" applyFill="1" applyBorder="1" applyAlignment="1">
      <alignment horizontal="center" vertical="center" wrapText="1"/>
    </xf>
    <xf numFmtId="167" fontId="43" fillId="15" borderId="1" xfId="0" applyNumberFormat="1" applyFont="1" applyFill="1" applyBorder="1" applyAlignment="1">
      <alignment horizontal="center" vertical="center" wrapText="1"/>
    </xf>
    <xf numFmtId="170" fontId="43" fillId="1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7" fontId="0" fillId="8" borderId="1" xfId="0" applyNumberFormat="1" applyFill="1" applyBorder="1" applyAlignment="1">
      <alignment horizontal="right" vertical="center" wrapText="1"/>
    </xf>
    <xf numFmtId="167" fontId="0" fillId="18" borderId="1" xfId="0" applyNumberForma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67" fontId="0" fillId="18" borderId="1" xfId="0" applyNumberFormat="1" applyFill="1" applyBorder="1" applyAlignment="1">
      <alignment vertical="center" wrapText="1"/>
    </xf>
    <xf numFmtId="170" fontId="0" fillId="0" borderId="0" xfId="0" applyNumberFormat="1" applyAlignment="1">
      <alignment vertical="top" wrapText="1"/>
    </xf>
    <xf numFmtId="2" fontId="14" fillId="18" borderId="1" xfId="0" applyNumberFormat="1" applyFont="1" applyFill="1" applyBorder="1" applyAlignment="1">
      <alignment vertical="center" wrapText="1"/>
    </xf>
    <xf numFmtId="2" fontId="0" fillId="18" borderId="1" xfId="1" applyNumberFormat="1" applyFont="1" applyFill="1" applyBorder="1" applyAlignment="1">
      <alignment vertical="center" wrapText="1"/>
    </xf>
    <xf numFmtId="2" fontId="0" fillId="8" borderId="1" xfId="1" applyNumberFormat="1" applyFont="1" applyFill="1" applyBorder="1" applyAlignment="1">
      <alignment vertical="center" wrapText="1"/>
    </xf>
    <xf numFmtId="167" fontId="0" fillId="8" borderId="1" xfId="0" applyNumberFormat="1" applyFill="1" applyBorder="1"/>
    <xf numFmtId="2" fontId="0" fillId="8" borderId="1" xfId="0" applyNumberFormat="1" applyFill="1" applyBorder="1"/>
    <xf numFmtId="0" fontId="0" fillId="18" borderId="1" xfId="0" applyFill="1" applyBorder="1" applyAlignment="1">
      <alignment horizontal="right" vertical="top" wrapText="1"/>
    </xf>
    <xf numFmtId="0" fontId="0" fillId="0" borderId="0" xfId="0" applyAlignment="1">
      <alignment horizontal="right" vertical="center" wrapText="1"/>
    </xf>
    <xf numFmtId="170" fontId="0" fillId="0" borderId="0" xfId="0" applyNumberFormat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18" borderId="1" xfId="0" applyFill="1" applyBorder="1" applyAlignment="1">
      <alignment vertical="top"/>
    </xf>
    <xf numFmtId="0" fontId="0" fillId="18" borderId="1" xfId="0" applyFill="1" applyBorder="1"/>
    <xf numFmtId="2" fontId="0" fillId="18" borderId="1" xfId="0" applyNumberFormat="1" applyFill="1" applyBorder="1" applyAlignment="1">
      <alignment horizontal="right"/>
    </xf>
    <xf numFmtId="170" fontId="0" fillId="0" borderId="0" xfId="0" applyNumberFormat="1" applyAlignment="1">
      <alignment vertical="top"/>
    </xf>
    <xf numFmtId="2" fontId="0" fillId="8" borderId="1" xfId="0" applyNumberFormat="1" applyFill="1" applyBorder="1" applyAlignment="1">
      <alignment horizontal="right"/>
    </xf>
    <xf numFmtId="2" fontId="0" fillId="8" borderId="1" xfId="6" applyNumberFormat="1" applyFont="1" applyFill="1" applyBorder="1" applyAlignment="1">
      <alignment horizontal="right" vertical="center" wrapText="1"/>
    </xf>
    <xf numFmtId="2" fontId="0" fillId="8" borderId="1" xfId="0" applyNumberFormat="1" applyFill="1" applyBorder="1" applyAlignment="1">
      <alignment horizontal="right" vertical="center"/>
    </xf>
    <xf numFmtId="2" fontId="0" fillId="0" borderId="1" xfId="0" applyNumberFormat="1" applyBorder="1" applyAlignment="1">
      <alignment vertical="center" wrapText="1"/>
    </xf>
    <xf numFmtId="0" fontId="0" fillId="14" borderId="1" xfId="0" applyFill="1" applyBorder="1" applyAlignment="1">
      <alignment horizontal="center" vertical="top" wrapText="1"/>
    </xf>
    <xf numFmtId="2" fontId="14" fillId="14" borderId="1" xfId="0" applyNumberFormat="1" applyFont="1" applyFill="1" applyBorder="1" applyAlignment="1">
      <alignment horizontal="right" vertical="center" wrapText="1"/>
    </xf>
    <xf numFmtId="2" fontId="0" fillId="14" borderId="1" xfId="0" applyNumberFormat="1" applyFill="1" applyBorder="1" applyAlignment="1">
      <alignment horizontal="right" vertical="center" wrapText="1"/>
    </xf>
    <xf numFmtId="0" fontId="35" fillId="8" borderId="19" xfId="0" applyFont="1" applyFill="1" applyBorder="1" applyAlignment="1">
      <alignment horizontal="center" vertical="top" wrapText="1"/>
    </xf>
    <xf numFmtId="2" fontId="14" fillId="8" borderId="11" xfId="0" applyNumberFormat="1" applyFont="1" applyFill="1" applyBorder="1" applyAlignment="1">
      <alignment horizontal="right" vertical="center" wrapText="1"/>
    </xf>
    <xf numFmtId="2" fontId="0" fillId="8" borderId="11" xfId="0" applyNumberFormat="1" applyFill="1" applyBorder="1" applyAlignment="1">
      <alignment horizontal="center" vertical="center" wrapText="1"/>
    </xf>
    <xf numFmtId="2" fontId="14" fillId="8" borderId="1" xfId="0" applyNumberFormat="1" applyFont="1" applyFill="1" applyBorder="1" applyAlignment="1">
      <alignment horizontal="center" vertical="center" wrapText="1"/>
    </xf>
    <xf numFmtId="0" fontId="14" fillId="20" borderId="1" xfId="0" applyFont="1" applyFill="1" applyBorder="1" applyAlignment="1">
      <alignment horizontal="center" vertical="top" wrapText="1"/>
    </xf>
    <xf numFmtId="2" fontId="14" fillId="20" borderId="1" xfId="0" applyNumberFormat="1" applyFont="1" applyFill="1" applyBorder="1" applyAlignment="1">
      <alignment horizontal="right" vertical="center" wrapText="1"/>
    </xf>
    <xf numFmtId="174" fontId="43" fillId="15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2" fontId="0" fillId="0" borderId="1" xfId="1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 wrapText="1"/>
    </xf>
    <xf numFmtId="174" fontId="0" fillId="0" borderId="0" xfId="1" applyNumberFormat="1" applyFont="1" applyAlignment="1">
      <alignment vertical="top" wrapText="1"/>
    </xf>
    <xf numFmtId="0" fontId="0" fillId="8" borderId="1" xfId="0" applyFill="1" applyBorder="1" applyAlignment="1">
      <alignment horizontal="right" vertical="top" wrapText="1"/>
    </xf>
    <xf numFmtId="2" fontId="0" fillId="14" borderId="1" xfId="0" applyNumberFormat="1" applyFill="1" applyBorder="1" applyAlignment="1">
      <alignment vertical="center" wrapText="1"/>
    </xf>
    <xf numFmtId="2" fontId="14" fillId="14" borderId="1" xfId="0" applyNumberFormat="1" applyFont="1" applyFill="1" applyBorder="1" applyAlignment="1">
      <alignment vertical="center" wrapText="1"/>
    </xf>
    <xf numFmtId="2" fontId="14" fillId="8" borderId="1" xfId="0" applyNumberFormat="1" applyFont="1" applyFill="1" applyBorder="1" applyAlignment="1">
      <alignment vertical="center" wrapText="1"/>
    </xf>
    <xf numFmtId="2" fontId="14" fillId="8" borderId="11" xfId="0" applyNumberFormat="1" applyFont="1" applyFill="1" applyBorder="1" applyAlignment="1">
      <alignment vertical="center" wrapText="1"/>
    </xf>
    <xf numFmtId="2" fontId="0" fillId="8" borderId="11" xfId="0" applyNumberFormat="1" applyFill="1" applyBorder="1" applyAlignment="1">
      <alignment vertical="center" wrapText="1"/>
    </xf>
    <xf numFmtId="0" fontId="0" fillId="14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170" fontId="43" fillId="15" borderId="1" xfId="0" applyNumberFormat="1" applyFont="1" applyFill="1" applyBorder="1" applyAlignment="1">
      <alignment horizontal="center" vertical="top" wrapText="1"/>
    </xf>
    <xf numFmtId="0" fontId="35" fillId="18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34" fillId="15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34" fillId="15" borderId="1" xfId="0" applyNumberFormat="1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2" fontId="3" fillId="18" borderId="11" xfId="0" applyNumberFormat="1" applyFont="1" applyFill="1" applyBorder="1"/>
    <xf numFmtId="2" fontId="0" fillId="18" borderId="21" xfId="0" applyNumberFormat="1" applyFill="1" applyBorder="1"/>
    <xf numFmtId="2" fontId="0" fillId="18" borderId="12" xfId="0" applyNumberFormat="1" applyFill="1" applyBorder="1"/>
    <xf numFmtId="2" fontId="0" fillId="18" borderId="1" xfId="1" applyNumberFormat="1" applyFont="1" applyFill="1" applyBorder="1" applyAlignment="1">
      <alignment horizontal="right" vertical="center" wrapText="1"/>
    </xf>
    <xf numFmtId="2" fontId="0" fillId="8" borderId="1" xfId="1" applyNumberFormat="1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 vertical="center" wrapText="1"/>
    </xf>
    <xf numFmtId="164" fontId="0" fillId="18" borderId="1" xfId="6" applyFont="1" applyFill="1" applyBorder="1" applyAlignment="1">
      <alignment horizontal="center" vertical="center" wrapText="1"/>
    </xf>
    <xf numFmtId="0" fontId="35" fillId="18" borderId="1" xfId="0" applyFont="1" applyFill="1" applyBorder="1" applyAlignment="1">
      <alignment horizontal="right" vertical="top" wrapText="1"/>
    </xf>
    <xf numFmtId="0" fontId="2" fillId="18" borderId="1" xfId="0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4" fontId="0" fillId="8" borderId="1" xfId="6" applyFont="1" applyFill="1" applyBorder="1" applyAlignment="1">
      <alignment horizontal="center" vertical="center" wrapText="1"/>
    </xf>
    <xf numFmtId="167" fontId="0" fillId="8" borderId="1" xfId="0" applyNumberFormat="1" applyFill="1" applyBorder="1" applyAlignment="1">
      <alignment horizontal="right" vertical="center"/>
    </xf>
    <xf numFmtId="167" fontId="38" fillId="8" borderId="1" xfId="6" applyNumberFormat="1" applyFont="1" applyFill="1" applyBorder="1" applyAlignment="1">
      <alignment horizontal="right" vertical="center" wrapText="1"/>
    </xf>
    <xf numFmtId="2" fontId="27" fillId="8" borderId="1" xfId="0" applyNumberFormat="1" applyFont="1" applyFill="1" applyBorder="1" applyAlignment="1">
      <alignment horizontal="right"/>
    </xf>
    <xf numFmtId="0" fontId="4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3" fillId="5" borderId="1" xfId="0" applyFont="1" applyFill="1" applyBorder="1" applyAlignment="1">
      <alignment horizontal="center" vertical="center"/>
    </xf>
    <xf numFmtId="0" fontId="7" fillId="0" borderId="1" xfId="2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7" fillId="0" borderId="1" xfId="2" applyBorder="1" applyAlignment="1"/>
    <xf numFmtId="0" fontId="3" fillId="5" borderId="1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7" fillId="5" borderId="1" xfId="2" applyFill="1" applyBorder="1" applyAlignment="1">
      <alignment horizontal="center" vertical="center"/>
    </xf>
    <xf numFmtId="0" fontId="7" fillId="0" borderId="1" xfId="2" applyBorder="1"/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0" xfId="2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5" fillId="0" borderId="1" xfId="0" applyFont="1" applyBorder="1" applyAlignment="1">
      <alignment horizontal="left"/>
    </xf>
    <xf numFmtId="0" fontId="7" fillId="0" borderId="1" xfId="2" applyBorder="1" applyAlignment="1">
      <alignment horizontal="center"/>
    </xf>
    <xf numFmtId="0" fontId="53" fillId="0" borderId="1" xfId="0" applyFont="1" applyBorder="1"/>
    <xf numFmtId="0" fontId="14" fillId="0" borderId="0" xfId="0" applyFont="1"/>
    <xf numFmtId="0" fontId="57" fillId="2" borderId="1" xfId="0" applyFont="1" applyFill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 wrapText="1"/>
    </xf>
    <xf numFmtId="165" fontId="14" fillId="5" borderId="1" xfId="3" applyFont="1" applyFill="1" applyBorder="1" applyAlignment="1">
      <alignment horizontal="center" wrapText="1"/>
      <protection locked="0"/>
    </xf>
    <xf numFmtId="2" fontId="14" fillId="5" borderId="1" xfId="3" applyNumberFormat="1" applyFont="1" applyFill="1" applyBorder="1" applyAlignment="1">
      <alignment horizontal="center" wrapText="1"/>
      <protection locked="0"/>
    </xf>
    <xf numFmtId="0" fontId="3" fillId="3" borderId="3" xfId="0" applyFont="1" applyFill="1" applyBorder="1" applyAlignment="1">
      <alignment vertical="center"/>
    </xf>
    <xf numFmtId="2" fontId="0" fillId="0" borderId="12" xfId="0" applyNumberFormat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57" fillId="2" borderId="1" xfId="0" applyFont="1" applyFill="1" applyBorder="1" applyAlignment="1">
      <alignment vertical="center"/>
    </xf>
    <xf numFmtId="165" fontId="14" fillId="5" borderId="1" xfId="3" applyFont="1" applyFill="1" applyBorder="1" applyAlignment="1">
      <protection locked="0"/>
    </xf>
    <xf numFmtId="0" fontId="3" fillId="19" borderId="1" xfId="0" applyFont="1" applyFill="1" applyBorder="1" applyAlignment="1">
      <alignment vertical="center" wrapText="1"/>
    </xf>
    <xf numFmtId="2" fontId="0" fillId="18" borderId="1" xfId="0" applyNumberFormat="1" applyFill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vertical="center"/>
    </xf>
    <xf numFmtId="0" fontId="5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3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165" fontId="14" fillId="0" borderId="1" xfId="3" applyFont="1" applyFill="1" applyBorder="1" applyAlignment="1">
      <protection locked="0"/>
    </xf>
    <xf numFmtId="0" fontId="0" fillId="11" borderId="13" xfId="0" applyFill="1" applyBorder="1" applyAlignment="1">
      <alignment horizontal="center" vertical="center" wrapText="1"/>
    </xf>
    <xf numFmtId="2" fontId="0" fillId="0" borderId="1" xfId="0" applyNumberFormat="1" applyBorder="1"/>
    <xf numFmtId="2" fontId="0" fillId="0" borderId="18" xfId="0" applyNumberFormat="1" applyBorder="1"/>
    <xf numFmtId="168" fontId="0" fillId="0" borderId="1" xfId="1" applyNumberFormat="1" applyFont="1" applyBorder="1" applyAlignment="1">
      <alignment horizontal="center" vertical="center"/>
    </xf>
    <xf numFmtId="168" fontId="0" fillId="0" borderId="1" xfId="1" applyNumberFormat="1" applyFont="1" applyBorder="1"/>
    <xf numFmtId="0" fontId="0" fillId="0" borderId="13" xfId="0" applyBorder="1"/>
    <xf numFmtId="2" fontId="0" fillId="0" borderId="14" xfId="0" applyNumberFormat="1" applyBorder="1"/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18" xfId="0" applyBorder="1"/>
    <xf numFmtId="0" fontId="42" fillId="0" borderId="15" xfId="0" applyFont="1" applyBorder="1"/>
    <xf numFmtId="0" fontId="0" fillId="0" borderId="25" xfId="0" applyBorder="1"/>
    <xf numFmtId="0" fontId="0" fillId="0" borderId="26" xfId="0" applyBorder="1"/>
    <xf numFmtId="2" fontId="0" fillId="0" borderId="27" xfId="0" applyNumberFormat="1" applyBorder="1"/>
    <xf numFmtId="0" fontId="0" fillId="11" borderId="14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15" xfId="0" applyFill="1" applyBorder="1"/>
    <xf numFmtId="0" fontId="0" fillId="11" borderId="1" xfId="0" applyFill="1" applyBorder="1"/>
    <xf numFmtId="0" fontId="0" fillId="11" borderId="18" xfId="0" applyFill="1" applyBorder="1"/>
    <xf numFmtId="165" fontId="14" fillId="5" borderId="10" xfId="3" applyFont="1" applyFill="1" applyBorder="1" applyAlignment="1">
      <protection locked="0"/>
    </xf>
    <xf numFmtId="0" fontId="3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165" fontId="14" fillId="5" borderId="0" xfId="3" applyFont="1" applyFill="1" applyBorder="1" applyAlignment="1">
      <protection locked="0"/>
    </xf>
    <xf numFmtId="165" fontId="14" fillId="5" borderId="29" xfId="3" applyFont="1" applyFill="1" applyBorder="1" applyAlignment="1">
      <protection locked="0"/>
    </xf>
    <xf numFmtId="0" fontId="14" fillId="0" borderId="1" xfId="4" applyFont="1" applyBorder="1"/>
    <xf numFmtId="0" fontId="59" fillId="21" borderId="13" xfId="0" applyFont="1" applyFill="1" applyBorder="1" applyAlignment="1">
      <alignment horizontal="center" vertical="center"/>
    </xf>
    <xf numFmtId="0" fontId="59" fillId="21" borderId="14" xfId="0" applyFont="1" applyFill="1" applyBorder="1" applyAlignment="1">
      <alignment horizontal="center" vertical="center"/>
    </xf>
    <xf numFmtId="0" fontId="59" fillId="21" borderId="14" xfId="0" applyFont="1" applyFill="1" applyBorder="1" applyAlignment="1">
      <alignment horizontal="center" vertical="center" wrapText="1"/>
    </xf>
    <xf numFmtId="0" fontId="59" fillId="21" borderId="6" xfId="0" applyFont="1" applyFill="1" applyBorder="1" applyAlignment="1">
      <alignment horizontal="center" vertical="center" wrapText="1"/>
    </xf>
    <xf numFmtId="0" fontId="7" fillId="0" borderId="0" xfId="2"/>
    <xf numFmtId="0" fontId="61" fillId="5" borderId="1" xfId="0" applyFont="1" applyFill="1" applyBorder="1" applyAlignment="1">
      <alignment vertical="top" wrapText="1"/>
    </xf>
    <xf numFmtId="2" fontId="61" fillId="5" borderId="1" xfId="0" applyNumberFormat="1" applyFont="1" applyFill="1" applyBorder="1" applyAlignment="1">
      <alignment vertical="top" wrapText="1"/>
    </xf>
    <xf numFmtId="166" fontId="61" fillId="5" borderId="1" xfId="0" applyNumberFormat="1" applyFont="1" applyFill="1" applyBorder="1" applyAlignment="1">
      <alignment vertical="top" wrapText="1"/>
    </xf>
    <xf numFmtId="2" fontId="61" fillId="5" borderId="1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wrapText="1"/>
    </xf>
    <xf numFmtId="0" fontId="61" fillId="5" borderId="1" xfId="0" applyFont="1" applyFill="1" applyBorder="1" applyAlignment="1">
      <alignment horizontal="center"/>
    </xf>
    <xf numFmtId="2" fontId="61" fillId="5" borderId="1" xfId="0" applyNumberFormat="1" applyFont="1" applyFill="1" applyBorder="1" applyAlignment="1">
      <alignment horizontal="center"/>
    </xf>
    <xf numFmtId="166" fontId="61" fillId="5" borderId="1" xfId="0" applyNumberFormat="1" applyFont="1" applyFill="1" applyBorder="1" applyAlignment="1">
      <alignment horizontal="center"/>
    </xf>
    <xf numFmtId="0" fontId="65" fillId="5" borderId="1" xfId="0" applyFont="1" applyFill="1" applyBorder="1" applyAlignment="1">
      <alignment horizontal="center"/>
    </xf>
    <xf numFmtId="3" fontId="61" fillId="5" borderId="1" xfId="0" applyNumberFormat="1" applyFont="1" applyFill="1" applyBorder="1" applyAlignment="1">
      <alignment horizontal="center"/>
    </xf>
    <xf numFmtId="0" fontId="66" fillId="0" borderId="15" xfId="4" applyFont="1" applyBorder="1"/>
    <xf numFmtId="3" fontId="0" fillId="0" borderId="0" xfId="0" applyNumberFormat="1"/>
    <xf numFmtId="0" fontId="67" fillId="22" borderId="12" xfId="2" applyFont="1" applyFill="1" applyBorder="1" applyAlignment="1" applyProtection="1">
      <alignment horizontal="center" vertical="center" wrapText="1"/>
    </xf>
    <xf numFmtId="0" fontId="7" fillId="0" borderId="30" xfId="2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2" fontId="18" fillId="0" borderId="6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/>
    </xf>
    <xf numFmtId="2" fontId="18" fillId="0" borderId="18" xfId="0" applyNumberFormat="1" applyFont="1" applyBorder="1" applyAlignment="1">
      <alignment horizontal="center"/>
    </xf>
    <xf numFmtId="0" fontId="27" fillId="0" borderId="15" xfId="0" applyFont="1" applyBorder="1" applyAlignment="1">
      <alignment vertical="center" wrapText="1"/>
    </xf>
    <xf numFmtId="2" fontId="26" fillId="18" borderId="1" xfId="0" applyNumberFormat="1" applyFont="1" applyFill="1" applyBorder="1"/>
    <xf numFmtId="2" fontId="68" fillId="2" borderId="1" xfId="0" applyNumberFormat="1" applyFont="1" applyFill="1" applyBorder="1"/>
    <xf numFmtId="2" fontId="26" fillId="23" borderId="1" xfId="0" applyNumberFormat="1" applyFont="1" applyFill="1" applyBorder="1"/>
    <xf numFmtId="2" fontId="26" fillId="17" borderId="1" xfId="0" applyNumberFormat="1" applyFont="1" applyFill="1" applyBorder="1"/>
    <xf numFmtId="2" fontId="26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2" fontId="26" fillId="0" borderId="18" xfId="0" applyNumberFormat="1" applyFont="1" applyBorder="1"/>
    <xf numFmtId="2" fontId="26" fillId="2" borderId="12" xfId="0" applyNumberFormat="1" applyFont="1" applyFill="1" applyBorder="1" applyAlignment="1">
      <alignment horizontal="right"/>
    </xf>
    <xf numFmtId="0" fontId="0" fillId="23" borderId="1" xfId="0" applyFill="1" applyBorder="1"/>
    <xf numFmtId="0" fontId="0" fillId="2" borderId="1" xfId="0" applyFill="1" applyBorder="1"/>
    <xf numFmtId="168" fontId="0" fillId="0" borderId="18" xfId="1" applyNumberFormat="1" applyFont="1" applyBorder="1" applyAlignment="1">
      <alignment horizontal="center" vertical="center"/>
    </xf>
    <xf numFmtId="43" fontId="0" fillId="0" borderId="0" xfId="0" applyNumberFormat="1"/>
    <xf numFmtId="10" fontId="0" fillId="0" borderId="1" xfId="7" applyNumberFormat="1" applyFont="1" applyBorder="1"/>
    <xf numFmtId="2" fontId="14" fillId="5" borderId="0" xfId="3" applyNumberFormat="1" applyFont="1" applyFill="1" applyBorder="1" applyAlignment="1">
      <alignment horizontal="center" wrapText="1"/>
      <protection locked="0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18" borderId="1" xfId="0" applyNumberForma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center"/>
    </xf>
    <xf numFmtId="0" fontId="40" fillId="6" borderId="1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2" fontId="0" fillId="18" borderId="11" xfId="0" applyNumberFormat="1" applyFill="1" applyBorder="1" applyAlignment="1">
      <alignment horizontal="center" vertical="center" wrapText="1"/>
    </xf>
    <xf numFmtId="2" fontId="0" fillId="18" borderId="21" xfId="0" applyNumberFormat="1" applyFill="1" applyBorder="1" applyAlignment="1">
      <alignment horizontal="center" vertical="center" wrapText="1"/>
    </xf>
    <xf numFmtId="2" fontId="0" fillId="18" borderId="12" xfId="0" applyNumberForma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8" fillId="9" borderId="1" xfId="4" applyFont="1" applyFill="1" applyBorder="1" applyAlignment="1">
      <alignment horizontal="center" vertical="center" wrapText="1"/>
    </xf>
    <xf numFmtId="0" fontId="28" fillId="9" borderId="1" xfId="4" applyFon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top" wrapText="1"/>
    </xf>
    <xf numFmtId="0" fontId="0" fillId="18" borderId="1" xfId="0" applyFill="1" applyBorder="1" applyAlignment="1">
      <alignment horizontal="center" vertical="top" wrapText="1"/>
    </xf>
    <xf numFmtId="2" fontId="3" fillId="0" borderId="28" xfId="0" applyNumberFormat="1" applyFont="1" applyBorder="1" applyAlignment="1">
      <alignment horizontal="center" vertical="top" wrapText="1"/>
    </xf>
    <xf numFmtId="2" fontId="3" fillId="0" borderId="16" xfId="0" applyNumberFormat="1" applyFont="1" applyBorder="1" applyAlignment="1">
      <alignment horizontal="center" vertical="top" wrapText="1"/>
    </xf>
    <xf numFmtId="2" fontId="0" fillId="18" borderId="11" xfId="0" applyNumberFormat="1" applyFill="1" applyBorder="1" applyAlignment="1">
      <alignment horizontal="center" vertical="top" wrapText="1"/>
    </xf>
    <xf numFmtId="2" fontId="0" fillId="18" borderId="21" xfId="0" applyNumberFormat="1" applyFill="1" applyBorder="1" applyAlignment="1">
      <alignment horizontal="center" vertical="top" wrapText="1"/>
    </xf>
    <xf numFmtId="2" fontId="0" fillId="18" borderId="12" xfId="0" applyNumberFormat="1" applyFill="1" applyBorder="1" applyAlignment="1">
      <alignment horizontal="center" vertical="top" wrapText="1"/>
    </xf>
    <xf numFmtId="0" fontId="14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2" fontId="14" fillId="8" borderId="1" xfId="0" applyNumberFormat="1" applyFont="1" applyFill="1" applyBorder="1" applyAlignment="1">
      <alignment horizontal="center" vertical="top" wrapText="1"/>
    </xf>
    <xf numFmtId="43" fontId="3" fillId="0" borderId="11" xfId="1" applyFont="1" applyFill="1" applyBorder="1" applyAlignment="1">
      <alignment horizontal="center" vertical="top" wrapText="1"/>
    </xf>
    <xf numFmtId="43" fontId="3" fillId="0" borderId="21" xfId="1" applyFont="1" applyFill="1" applyBorder="1" applyAlignment="1">
      <alignment horizontal="center" vertical="top" wrapText="1"/>
    </xf>
    <xf numFmtId="43" fontId="3" fillId="0" borderId="12" xfId="1" applyFont="1" applyFill="1" applyBorder="1" applyAlignment="1">
      <alignment horizontal="center" vertical="top" wrapText="1"/>
    </xf>
    <xf numFmtId="2" fontId="0" fillId="8" borderId="1" xfId="0" applyNumberFormat="1" applyFill="1" applyBorder="1" applyAlignment="1">
      <alignment horizontal="center" vertical="top" wrapText="1"/>
    </xf>
    <xf numFmtId="0" fontId="52" fillId="18" borderId="1" xfId="0" applyFont="1" applyFill="1" applyBorder="1" applyAlignment="1">
      <alignment horizontal="center" vertical="top" wrapText="1"/>
    </xf>
    <xf numFmtId="0" fontId="52" fillId="8" borderId="1" xfId="0" applyFont="1" applyFill="1" applyBorder="1" applyAlignment="1">
      <alignment horizontal="center" vertical="top" wrapText="1"/>
    </xf>
    <xf numFmtId="173" fontId="0" fillId="8" borderId="1" xfId="6" applyNumberFormat="1" applyFont="1" applyFill="1" applyBorder="1" applyAlignment="1">
      <alignment horizontal="right" vertical="top" wrapText="1"/>
    </xf>
    <xf numFmtId="0" fontId="0" fillId="8" borderId="1" xfId="6" applyNumberFormat="1" applyFont="1" applyFill="1" applyBorder="1" applyAlignment="1">
      <alignment horizontal="center" vertical="top" wrapText="1"/>
    </xf>
    <xf numFmtId="171" fontId="0" fillId="18" borderId="1" xfId="6" applyNumberFormat="1" applyFont="1" applyFill="1" applyBorder="1" applyAlignment="1">
      <alignment horizontal="center" vertical="top" wrapText="1"/>
    </xf>
    <xf numFmtId="164" fontId="0" fillId="18" borderId="1" xfId="6" applyFont="1" applyFill="1" applyBorder="1" applyAlignment="1">
      <alignment horizontal="center" vertical="top" wrapText="1"/>
    </xf>
    <xf numFmtId="173" fontId="0" fillId="18" borderId="1" xfId="6" applyNumberFormat="1" applyFont="1" applyFill="1" applyBorder="1" applyAlignment="1">
      <alignment horizontal="right" vertical="top" wrapText="1"/>
    </xf>
    <xf numFmtId="171" fontId="0" fillId="8" borderId="1" xfId="6" applyNumberFormat="1" applyFont="1" applyFill="1" applyBorder="1" applyAlignment="1">
      <alignment horizontal="center" vertical="top" wrapText="1"/>
    </xf>
    <xf numFmtId="173" fontId="0" fillId="8" borderId="1" xfId="6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0" fillId="8" borderId="1" xfId="6" applyNumberFormat="1" applyFont="1" applyFill="1" applyBorder="1" applyAlignment="1">
      <alignment horizontal="center" vertical="top" wrapText="1"/>
    </xf>
    <xf numFmtId="0" fontId="0" fillId="18" borderId="1" xfId="6" applyNumberFormat="1" applyFont="1" applyFill="1" applyBorder="1" applyAlignment="1">
      <alignment horizontal="center" vertical="top" wrapText="1"/>
    </xf>
    <xf numFmtId="2" fontId="0" fillId="18" borderId="1" xfId="6" applyNumberFormat="1" applyFont="1" applyFill="1" applyBorder="1" applyAlignment="1">
      <alignment horizontal="center" vertical="top" wrapText="1"/>
    </xf>
    <xf numFmtId="2" fontId="35" fillId="18" borderId="1" xfId="0" applyNumberFormat="1" applyFont="1" applyFill="1" applyBorder="1" applyAlignment="1">
      <alignment horizontal="center" vertical="top" wrapText="1"/>
    </xf>
    <xf numFmtId="2" fontId="35" fillId="8" borderId="1" xfId="0" applyNumberFormat="1" applyFont="1" applyFill="1" applyBorder="1" applyAlignment="1">
      <alignment horizontal="center" vertical="top" wrapText="1"/>
    </xf>
    <xf numFmtId="0" fontId="35" fillId="8" borderId="1" xfId="0" applyFont="1" applyFill="1" applyBorder="1" applyAlignment="1">
      <alignment horizontal="center" vertical="top" wrapText="1"/>
    </xf>
    <xf numFmtId="2" fontId="0" fillId="0" borderId="28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171" fontId="38" fillId="8" borderId="1" xfId="6" applyNumberFormat="1" applyFont="1" applyFill="1" applyBorder="1" applyAlignment="1">
      <alignment horizontal="center" vertical="top" wrapText="1"/>
    </xf>
    <xf numFmtId="171" fontId="38" fillId="8" borderId="11" xfId="6" applyNumberFormat="1" applyFont="1" applyFill="1" applyBorder="1" applyAlignment="1">
      <alignment horizontal="center" vertical="top" wrapText="1"/>
    </xf>
    <xf numFmtId="164" fontId="38" fillId="8" borderId="1" xfId="6" applyFont="1" applyFill="1" applyBorder="1" applyAlignment="1">
      <alignment horizontal="center" vertical="top" wrapText="1"/>
    </xf>
    <xf numFmtId="164" fontId="38" fillId="8" borderId="11" xfId="6" applyFont="1" applyFill="1" applyBorder="1" applyAlignment="1">
      <alignment horizontal="center" vertical="top" wrapText="1"/>
    </xf>
    <xf numFmtId="172" fontId="38" fillId="8" borderId="1" xfId="6" applyNumberFormat="1" applyFont="1" applyFill="1" applyBorder="1" applyAlignment="1">
      <alignment horizontal="center" vertical="top" wrapText="1"/>
    </xf>
    <xf numFmtId="0" fontId="38" fillId="8" borderId="1" xfId="6" applyNumberFormat="1" applyFont="1" applyFill="1" applyBorder="1" applyAlignment="1">
      <alignment horizontal="center" vertical="top" wrapText="1"/>
    </xf>
    <xf numFmtId="2" fontId="38" fillId="8" borderId="1" xfId="6" applyNumberFormat="1" applyFont="1" applyFill="1" applyBorder="1" applyAlignment="1">
      <alignment horizontal="center" vertical="top" wrapText="1"/>
    </xf>
    <xf numFmtId="2" fontId="44" fillId="18" borderId="1" xfId="0" applyNumberFormat="1" applyFont="1" applyFill="1" applyBorder="1" applyAlignment="1">
      <alignment horizontal="center" vertical="top" wrapText="1"/>
    </xf>
    <xf numFmtId="0" fontId="45" fillId="8" borderId="1" xfId="0" applyFont="1" applyFill="1" applyBorder="1" applyAlignment="1">
      <alignment horizontal="center" vertical="top" wrapText="1"/>
    </xf>
    <xf numFmtId="2" fontId="45" fillId="8" borderId="1" xfId="0" applyNumberFormat="1" applyFont="1" applyFill="1" applyBorder="1" applyAlignment="1">
      <alignment horizontal="center" vertical="top" wrapText="1"/>
    </xf>
    <xf numFmtId="0" fontId="44" fillId="18" borderId="1" xfId="0" applyFont="1" applyFill="1" applyBorder="1" applyAlignment="1">
      <alignment horizontal="center" vertical="top" wrapText="1"/>
    </xf>
    <xf numFmtId="0" fontId="45" fillId="18" borderId="1" xfId="0" applyFont="1" applyFill="1" applyBorder="1" applyAlignment="1">
      <alignment horizontal="center" vertical="top" wrapText="1"/>
    </xf>
    <xf numFmtId="171" fontId="38" fillId="5" borderId="1" xfId="6" applyNumberFormat="1" applyFont="1" applyFill="1" applyBorder="1" applyAlignment="1">
      <alignment horizontal="center" vertical="top" wrapText="1"/>
    </xf>
    <xf numFmtId="164" fontId="38" fillId="18" borderId="1" xfId="6" applyFont="1" applyFill="1" applyBorder="1" applyAlignment="1">
      <alignment horizontal="center" vertical="top" wrapText="1"/>
    </xf>
    <xf numFmtId="173" fontId="38" fillId="18" borderId="1" xfId="6" applyNumberFormat="1" applyFont="1" applyFill="1" applyBorder="1" applyAlignment="1">
      <alignment horizontal="center" vertical="top" wrapText="1"/>
    </xf>
    <xf numFmtId="0" fontId="38" fillId="18" borderId="1" xfId="6" applyNumberFormat="1" applyFont="1" applyFill="1" applyBorder="1" applyAlignment="1">
      <alignment horizontal="center" vertical="top" wrapText="1"/>
    </xf>
    <xf numFmtId="2" fontId="38" fillId="18" borderId="1" xfId="6" applyNumberFormat="1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right" vertical="top" wrapText="1"/>
    </xf>
    <xf numFmtId="0" fontId="0" fillId="18" borderId="1" xfId="0" applyFill="1" applyBorder="1" applyAlignment="1">
      <alignment horizontal="right" vertical="top" wrapText="1"/>
    </xf>
    <xf numFmtId="170" fontId="0" fillId="0" borderId="11" xfId="0" applyNumberFormat="1" applyBorder="1" applyAlignment="1">
      <alignment horizontal="center" vertical="top" wrapText="1"/>
    </xf>
    <xf numFmtId="170" fontId="0" fillId="0" borderId="21" xfId="0" applyNumberFormat="1" applyBorder="1" applyAlignment="1">
      <alignment horizontal="center" vertical="top" wrapText="1"/>
    </xf>
    <xf numFmtId="170" fontId="0" fillId="0" borderId="12" xfId="0" applyNumberFormat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0" fillId="8" borderId="21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right" vertical="top" wrapText="1"/>
    </xf>
    <xf numFmtId="0" fontId="0" fillId="8" borderId="21" xfId="0" applyFill="1" applyBorder="1" applyAlignment="1">
      <alignment horizontal="right" vertical="top" wrapText="1"/>
    </xf>
    <xf numFmtId="0" fontId="0" fillId="8" borderId="12" xfId="0" applyFill="1" applyBorder="1" applyAlignment="1">
      <alignment horizontal="right" vertical="top" wrapText="1"/>
    </xf>
    <xf numFmtId="2" fontId="0" fillId="8" borderId="11" xfId="0" applyNumberFormat="1" applyFill="1" applyBorder="1" applyAlignment="1">
      <alignment horizontal="center" vertical="top" wrapText="1"/>
    </xf>
    <xf numFmtId="2" fontId="0" fillId="8" borderId="21" xfId="0" applyNumberFormat="1" applyFill="1" applyBorder="1" applyAlignment="1">
      <alignment horizontal="center" vertical="top" wrapText="1"/>
    </xf>
    <xf numFmtId="2" fontId="0" fillId="8" borderId="12" xfId="0" applyNumberFormat="1" applyFill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/>
    </xf>
    <xf numFmtId="0" fontId="0" fillId="8" borderId="21" xfId="0" applyFill="1" applyBorder="1" applyAlignment="1">
      <alignment horizontal="center" vertical="top"/>
    </xf>
    <xf numFmtId="0" fontId="0" fillId="8" borderId="12" xfId="0" applyFill="1" applyBorder="1" applyAlignment="1">
      <alignment horizontal="center" vertical="top"/>
    </xf>
    <xf numFmtId="2" fontId="0" fillId="8" borderId="11" xfId="0" applyNumberFormat="1" applyFill="1" applyBorder="1" applyAlignment="1">
      <alignment horizontal="center" vertical="top"/>
    </xf>
    <xf numFmtId="2" fontId="0" fillId="8" borderId="21" xfId="0" applyNumberFormat="1" applyFill="1" applyBorder="1" applyAlignment="1">
      <alignment horizontal="center" vertical="top"/>
    </xf>
    <xf numFmtId="2" fontId="0" fillId="8" borderId="12" xfId="0" applyNumberFormat="1" applyFill="1" applyBorder="1" applyAlignment="1">
      <alignment horizontal="center" vertical="top"/>
    </xf>
    <xf numFmtId="170" fontId="0" fillId="8" borderId="11" xfId="0" applyNumberFormat="1" applyFill="1" applyBorder="1" applyAlignment="1">
      <alignment horizontal="center" vertical="top"/>
    </xf>
    <xf numFmtId="170" fontId="0" fillId="8" borderId="21" xfId="0" applyNumberFormat="1" applyFill="1" applyBorder="1" applyAlignment="1">
      <alignment horizontal="center" vertical="top"/>
    </xf>
    <xf numFmtId="170" fontId="0" fillId="8" borderId="12" xfId="0" applyNumberFormat="1" applyFill="1" applyBorder="1" applyAlignment="1">
      <alignment horizontal="center" vertical="top"/>
    </xf>
    <xf numFmtId="0" fontId="0" fillId="18" borderId="11" xfId="0" applyFill="1" applyBorder="1" applyAlignment="1">
      <alignment horizontal="center" vertical="top"/>
    </xf>
    <xf numFmtId="0" fontId="0" fillId="18" borderId="21" xfId="0" applyFill="1" applyBorder="1" applyAlignment="1">
      <alignment horizontal="center" vertical="top"/>
    </xf>
    <xf numFmtId="0" fontId="0" fillId="18" borderId="12" xfId="0" applyFill="1" applyBorder="1" applyAlignment="1">
      <alignment horizontal="center" vertical="top"/>
    </xf>
    <xf numFmtId="0" fontId="0" fillId="18" borderId="11" xfId="0" applyFill="1" applyBorder="1" applyAlignment="1">
      <alignment horizontal="right" vertical="top"/>
    </xf>
    <xf numFmtId="0" fontId="0" fillId="18" borderId="21" xfId="0" applyFill="1" applyBorder="1" applyAlignment="1">
      <alignment horizontal="right" vertical="top"/>
    </xf>
    <xf numFmtId="0" fontId="0" fillId="18" borderId="12" xfId="0" applyFill="1" applyBorder="1" applyAlignment="1">
      <alignment horizontal="right" vertical="top"/>
    </xf>
    <xf numFmtId="0" fontId="0" fillId="8" borderId="11" xfId="0" applyFill="1" applyBorder="1" applyAlignment="1">
      <alignment horizontal="right" vertical="top"/>
    </xf>
    <xf numFmtId="0" fontId="0" fillId="8" borderId="21" xfId="0" applyFill="1" applyBorder="1" applyAlignment="1">
      <alignment horizontal="right" vertical="top"/>
    </xf>
    <xf numFmtId="0" fontId="0" fillId="8" borderId="12" xfId="0" applyFill="1" applyBorder="1" applyAlignment="1">
      <alignment horizontal="right" vertical="top"/>
    </xf>
    <xf numFmtId="2" fontId="0" fillId="18" borderId="11" xfId="0" applyNumberFormat="1" applyFill="1" applyBorder="1" applyAlignment="1">
      <alignment horizontal="center" vertical="top"/>
    </xf>
    <xf numFmtId="2" fontId="0" fillId="18" borderId="21" xfId="0" applyNumberFormat="1" applyFill="1" applyBorder="1" applyAlignment="1">
      <alignment horizontal="center" vertical="top"/>
    </xf>
    <xf numFmtId="2" fontId="0" fillId="18" borderId="12" xfId="0" applyNumberFormat="1" applyFill="1" applyBorder="1" applyAlignment="1">
      <alignment horizontal="center" vertical="top"/>
    </xf>
    <xf numFmtId="170" fontId="0" fillId="18" borderId="11" xfId="0" applyNumberFormat="1" applyFill="1" applyBorder="1" applyAlignment="1">
      <alignment horizontal="center" vertical="top"/>
    </xf>
    <xf numFmtId="170" fontId="0" fillId="18" borderId="21" xfId="0" applyNumberFormat="1" applyFill="1" applyBorder="1" applyAlignment="1">
      <alignment horizontal="center" vertical="top"/>
    </xf>
    <xf numFmtId="170" fontId="0" fillId="18" borderId="12" xfId="0" applyNumberFormat="1" applyFill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2" fontId="0" fillId="14" borderId="11" xfId="0" applyNumberFormat="1" applyFill="1" applyBorder="1" applyAlignment="1">
      <alignment horizontal="center" vertical="top" wrapText="1"/>
    </xf>
    <xf numFmtId="2" fontId="0" fillId="14" borderId="21" xfId="0" applyNumberFormat="1" applyFill="1" applyBorder="1" applyAlignment="1">
      <alignment horizontal="center" vertical="top" wrapText="1"/>
    </xf>
    <xf numFmtId="2" fontId="0" fillId="14" borderId="12" xfId="0" applyNumberFormat="1" applyFill="1" applyBorder="1" applyAlignment="1">
      <alignment horizontal="center" vertical="top" wrapText="1"/>
    </xf>
    <xf numFmtId="0" fontId="0" fillId="14" borderId="1" xfId="0" applyFill="1" applyBorder="1" applyAlignment="1">
      <alignment horizontal="center" vertical="top" wrapText="1"/>
    </xf>
    <xf numFmtId="0" fontId="14" fillId="20" borderId="1" xfId="0" applyFont="1" applyFill="1" applyBorder="1" applyAlignment="1">
      <alignment horizontal="center" vertical="top" wrapText="1"/>
    </xf>
    <xf numFmtId="0" fontId="14" fillId="16" borderId="1" xfId="0" applyFont="1" applyFill="1" applyBorder="1" applyAlignment="1">
      <alignment horizontal="center" vertical="top" wrapText="1"/>
    </xf>
    <xf numFmtId="2" fontId="14" fillId="2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1" xfId="1" applyNumberFormat="1" applyFont="1" applyFill="1" applyBorder="1" applyAlignment="1">
      <alignment horizontal="center" vertical="top" wrapText="1"/>
    </xf>
    <xf numFmtId="2" fontId="0" fillId="0" borderId="21" xfId="1" applyNumberFormat="1" applyFont="1" applyFill="1" applyBorder="1" applyAlignment="1">
      <alignment horizontal="center" vertical="top" wrapText="1"/>
    </xf>
    <xf numFmtId="2" fontId="0" fillId="0" borderId="12" xfId="1" applyNumberFormat="1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3" fillId="0" borderId="28" xfId="1" applyNumberFormat="1" applyFont="1" applyFill="1" applyBorder="1" applyAlignment="1">
      <alignment horizontal="center" vertical="top" wrapText="1"/>
    </xf>
    <xf numFmtId="2" fontId="3" fillId="0" borderId="16" xfId="1" applyNumberFormat="1" applyFont="1" applyFill="1" applyBorder="1" applyAlignment="1">
      <alignment horizontal="center" vertical="top" wrapText="1"/>
    </xf>
    <xf numFmtId="2" fontId="0" fillId="0" borderId="1" xfId="1" applyNumberFormat="1" applyFont="1" applyFill="1" applyBorder="1" applyAlignment="1">
      <alignment horizontal="center" vertical="top" wrapText="1"/>
    </xf>
    <xf numFmtId="2" fontId="0" fillId="14" borderId="1" xfId="0" applyNumberFormat="1" applyFill="1" applyBorder="1" applyAlignment="1">
      <alignment horizontal="center" vertical="top" wrapText="1"/>
    </xf>
    <xf numFmtId="0" fontId="0" fillId="14" borderId="11" xfId="0" applyFill="1" applyBorder="1" applyAlignment="1">
      <alignment horizontal="center" vertical="top" wrapText="1"/>
    </xf>
    <xf numFmtId="0" fontId="0" fillId="14" borderId="21" xfId="0" applyFill="1" applyBorder="1" applyAlignment="1">
      <alignment horizontal="center" vertical="top" wrapText="1"/>
    </xf>
    <xf numFmtId="0" fontId="0" fillId="14" borderId="12" xfId="0" applyFill="1" applyBorder="1" applyAlignment="1">
      <alignment horizontal="center" vertical="top" wrapText="1"/>
    </xf>
    <xf numFmtId="0" fontId="0" fillId="18" borderId="11" xfId="0" applyFill="1" applyBorder="1" applyAlignment="1">
      <alignment horizontal="center" vertical="top" wrapText="1"/>
    </xf>
    <xf numFmtId="0" fontId="0" fillId="18" borderId="21" xfId="0" applyFill="1" applyBorder="1" applyAlignment="1">
      <alignment horizontal="center" vertical="top" wrapText="1"/>
    </xf>
    <xf numFmtId="0" fontId="0" fillId="18" borderId="12" xfId="0" applyFill="1" applyBorder="1" applyAlignment="1">
      <alignment horizontal="center" vertical="top" wrapText="1"/>
    </xf>
    <xf numFmtId="0" fontId="0" fillId="8" borderId="20" xfId="0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2" fontId="3" fillId="5" borderId="11" xfId="0" applyNumberFormat="1" applyFont="1" applyFill="1" applyBorder="1" applyAlignment="1">
      <alignment horizontal="center" vertical="top" wrapText="1"/>
    </xf>
    <xf numFmtId="2" fontId="3" fillId="5" borderId="21" xfId="0" applyNumberFormat="1" applyFont="1" applyFill="1" applyBorder="1" applyAlignment="1">
      <alignment horizontal="center" vertical="top" wrapText="1"/>
    </xf>
    <xf numFmtId="2" fontId="3" fillId="5" borderId="12" xfId="0" applyNumberFormat="1" applyFont="1" applyFill="1" applyBorder="1" applyAlignment="1">
      <alignment horizontal="center" vertical="top" wrapText="1"/>
    </xf>
    <xf numFmtId="169" fontId="0" fillId="8" borderId="1" xfId="0" applyNumberFormat="1" applyFill="1" applyBorder="1" applyAlignment="1">
      <alignment horizontal="center" vertical="top" wrapText="1"/>
    </xf>
  </cellXfs>
  <cellStyles count="8">
    <cellStyle name="Comma" xfId="1" builtinId="3"/>
    <cellStyle name="Comma 2" xfId="6" xr:uid="{603C600B-A79D-4654-9D8E-37BE3A749FF1}"/>
    <cellStyle name="dar Data Entry non-negative" xfId="3" xr:uid="{EC20B55E-5669-4FE8-ACDB-DD97CF24A5AB}"/>
    <cellStyle name="Excel Built-in Normal 1" xfId="5" xr:uid="{46297792-3140-4A3D-9BA1-663529200294}"/>
    <cellStyle name="Hyperlink" xfId="2" builtinId="8"/>
    <cellStyle name="Normal" xfId="0" builtinId="0"/>
    <cellStyle name="Normal 2" xfId="4" xr:uid="{8DDEEF43-C625-4B0E-9A30-4169818660A7}"/>
    <cellStyle name="Percent" xfId="7" builtinId="5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5</xdr:row>
      <xdr:rowOff>158751</xdr:rowOff>
    </xdr:from>
    <xdr:to>
      <xdr:col>5</xdr:col>
      <xdr:colOff>166159</xdr:colOff>
      <xdr:row>8</xdr:row>
      <xdr:rowOff>53976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5DE29-C5C2-4363-B3BC-51E2C277E1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1" y="1187451"/>
          <a:ext cx="4242858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69850</xdr:rowOff>
    </xdr:from>
    <xdr:to>
      <xdr:col>6</xdr:col>
      <xdr:colOff>66675</xdr:colOff>
      <xdr:row>6</xdr:row>
      <xdr:rowOff>100542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A9EF4DF-CE3C-44DB-8838-0AA8497A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41350"/>
          <a:ext cx="5238750" cy="678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8</xdr:row>
      <xdr:rowOff>2116</xdr:rowOff>
    </xdr:from>
    <xdr:to>
      <xdr:col>2</xdr:col>
      <xdr:colOff>690034</xdr:colOff>
      <xdr:row>10</xdr:row>
      <xdr:rowOff>170392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A4CE56-CA14-4E83-94D3-F597BDCE0AD1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52400" y="1602316"/>
          <a:ext cx="2014009" cy="549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35983</xdr:colOff>
      <xdr:row>3</xdr:row>
      <xdr:rowOff>0</xdr:rowOff>
    </xdr:from>
    <xdr:to>
      <xdr:col>12</xdr:col>
      <xdr:colOff>789515</xdr:colOff>
      <xdr:row>7</xdr:row>
      <xdr:rowOff>57150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2212C7B1-F047-49C7-B20F-DC73422D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084358" y="571500"/>
          <a:ext cx="5935132" cy="8953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57150</xdr:colOff>
      <xdr:row>6</xdr:row>
      <xdr:rowOff>80433</xdr:rowOff>
    </xdr:from>
    <xdr:to>
      <xdr:col>12</xdr:col>
      <xdr:colOff>890058</xdr:colOff>
      <xdr:row>8</xdr:row>
      <xdr:rowOff>128058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DDD82C3-FF88-45CF-930D-A56173D1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05525" y="1299633"/>
          <a:ext cx="6014508" cy="428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9</xdr:col>
      <xdr:colOff>525101</xdr:colOff>
      <xdr:row>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1C817B-32E3-4977-B178-421A5337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14300"/>
          <a:ext cx="8754701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5</xdr:row>
      <xdr:rowOff>158751</xdr:rowOff>
    </xdr:from>
    <xdr:to>
      <xdr:col>5</xdr:col>
      <xdr:colOff>166159</xdr:colOff>
      <xdr:row>8</xdr:row>
      <xdr:rowOff>53976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90DDA50-EE11-42CD-84E2-64EC46FE52E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1" y="1187451"/>
          <a:ext cx="4242858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69850</xdr:rowOff>
    </xdr:from>
    <xdr:to>
      <xdr:col>6</xdr:col>
      <xdr:colOff>66675</xdr:colOff>
      <xdr:row>6</xdr:row>
      <xdr:rowOff>24342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983882F5-ECB0-487F-A141-41AADFC1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41350"/>
          <a:ext cx="5238750" cy="6021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8</xdr:row>
      <xdr:rowOff>2116</xdr:rowOff>
    </xdr:from>
    <xdr:to>
      <xdr:col>2</xdr:col>
      <xdr:colOff>690034</xdr:colOff>
      <xdr:row>10</xdr:row>
      <xdr:rowOff>170392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A002FF0-8834-47E6-9BD5-FE1A19C7F8D8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52400" y="1602316"/>
          <a:ext cx="2014009" cy="549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35983</xdr:colOff>
      <xdr:row>3</xdr:row>
      <xdr:rowOff>0</xdr:rowOff>
    </xdr:from>
    <xdr:to>
      <xdr:col>12</xdr:col>
      <xdr:colOff>789515</xdr:colOff>
      <xdr:row>6</xdr:row>
      <xdr:rowOff>171450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C7195C6A-8256-49DD-A038-2CDEED89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084358" y="571500"/>
          <a:ext cx="5935132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57150</xdr:colOff>
      <xdr:row>6</xdr:row>
      <xdr:rowOff>80433</xdr:rowOff>
    </xdr:from>
    <xdr:to>
      <xdr:col>12</xdr:col>
      <xdr:colOff>890058</xdr:colOff>
      <xdr:row>8</xdr:row>
      <xdr:rowOff>128058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531BCC1B-F324-4084-A975-0656F6B3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05525" y="1299633"/>
          <a:ext cx="6014508" cy="428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9</xdr:col>
      <xdr:colOff>525101</xdr:colOff>
      <xdr:row>3</xdr:row>
      <xdr:rowOff>123825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178B46-5A20-4EBD-A8C2-0C3095976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14300"/>
          <a:ext cx="8754701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47625</xdr:colOff>
      <xdr:row>0</xdr:row>
      <xdr:rowOff>28575</xdr:rowOff>
    </xdr:from>
    <xdr:to>
      <xdr:col>45</xdr:col>
      <xdr:colOff>380998</xdr:colOff>
      <xdr:row>3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1D1465F5-0FD7-43DC-A92C-7B397AE8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974300" y="28575"/>
          <a:ext cx="2619374" cy="5429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28576</xdr:colOff>
      <xdr:row>0</xdr:row>
      <xdr:rowOff>76200</xdr:rowOff>
    </xdr:from>
    <xdr:to>
      <xdr:col>2</xdr:col>
      <xdr:colOff>456910</xdr:colOff>
      <xdr:row>2</xdr:row>
      <xdr:rowOff>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D6D99-708F-4879-AD17-2CBB3D32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6" y="76200"/>
          <a:ext cx="2442191" cy="30566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619125</xdr:colOff>
      <xdr:row>2</xdr:row>
      <xdr:rowOff>57150</xdr:rowOff>
    </xdr:from>
    <xdr:to>
      <xdr:col>4</xdr:col>
      <xdr:colOff>939319</xdr:colOff>
      <xdr:row>4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ACEAAD-A7F0-4765-948B-630F9E8F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209800" y="438150"/>
          <a:ext cx="1926109" cy="3619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590550</xdr:colOff>
      <xdr:row>0</xdr:row>
      <xdr:rowOff>133350</xdr:rowOff>
    </xdr:from>
    <xdr:to>
      <xdr:col>12</xdr:col>
      <xdr:colOff>43816</xdr:colOff>
      <xdr:row>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17D0F2-54C7-4296-B413-012EA688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858125" y="133350"/>
          <a:ext cx="2581276" cy="49530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279734</xdr:colOff>
      <xdr:row>0</xdr:row>
      <xdr:rowOff>22058</xdr:rowOff>
    </xdr:from>
    <xdr:to>
      <xdr:col>21</xdr:col>
      <xdr:colOff>444867</xdr:colOff>
      <xdr:row>3</xdr:row>
      <xdr:rowOff>131332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E114E27-0F1D-4003-907D-4A9932E3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091987" y="22058"/>
          <a:ext cx="4737133" cy="662727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25</xdr:col>
      <xdr:colOff>390524</xdr:colOff>
      <xdr:row>3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CA8ACD-594B-42BB-988A-FF0E52E1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25275" y="190500"/>
          <a:ext cx="2695574" cy="542925"/>
        </a:xfrm>
        <a:prstGeom prst="rect">
          <a:avLst/>
        </a:prstGeom>
        <a:noFill/>
      </xdr:spPr>
    </xdr:pic>
    <xdr:clientData/>
  </xdr:twoCellAnchor>
  <xdr:twoCellAnchor editAs="oneCell">
    <xdr:from>
      <xdr:col>59</xdr:col>
      <xdr:colOff>47625</xdr:colOff>
      <xdr:row>0</xdr:row>
      <xdr:rowOff>28575</xdr:rowOff>
    </xdr:from>
    <xdr:to>
      <xdr:col>63</xdr:col>
      <xdr:colOff>228598</xdr:colOff>
      <xdr:row>3</xdr:row>
      <xdr:rowOff>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A88982CF-5110-4D4D-96CB-A0DB3C7B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474505" y="28575"/>
          <a:ext cx="2619373" cy="52006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28576</xdr:colOff>
      <xdr:row>0</xdr:row>
      <xdr:rowOff>76200</xdr:rowOff>
    </xdr:from>
    <xdr:to>
      <xdr:col>2</xdr:col>
      <xdr:colOff>456910</xdr:colOff>
      <xdr:row>2</xdr:row>
      <xdr:rowOff>866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98F5430-2F4C-46BE-9209-D335F18C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8176" y="76200"/>
          <a:ext cx="2417154" cy="29042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619125</xdr:colOff>
      <xdr:row>2</xdr:row>
      <xdr:rowOff>57150</xdr:rowOff>
    </xdr:from>
    <xdr:to>
      <xdr:col>4</xdr:col>
      <xdr:colOff>939319</xdr:colOff>
      <xdr:row>4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A27D6FF-5B00-4A52-B304-CC60AA68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217545" y="422910"/>
          <a:ext cx="1920394" cy="34671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590550</xdr:colOff>
      <xdr:row>0</xdr:row>
      <xdr:rowOff>133350</xdr:rowOff>
    </xdr:from>
    <xdr:to>
      <xdr:col>13</xdr:col>
      <xdr:colOff>104776</xdr:colOff>
      <xdr:row>3</xdr:row>
      <xdr:rowOff>57150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1B3416-E150-48B9-BE7A-EBD088E1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5990" y="133350"/>
          <a:ext cx="2562226" cy="47244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102870</xdr:colOff>
      <xdr:row>4</xdr:row>
      <xdr:rowOff>167640</xdr:rowOff>
    </xdr:from>
    <xdr:to>
      <xdr:col>19</xdr:col>
      <xdr:colOff>264794</xdr:colOff>
      <xdr:row>6</xdr:row>
      <xdr:rowOff>446961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D4489A7-426A-4BEB-847F-0533B96E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2386310" y="899160"/>
          <a:ext cx="4733924" cy="660321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1</xdr:row>
      <xdr:rowOff>0</xdr:rowOff>
    </xdr:from>
    <xdr:to>
      <xdr:col>32</xdr:col>
      <xdr:colOff>390524</xdr:colOff>
      <xdr:row>3</xdr:row>
      <xdr:rowOff>161925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A8B353D-7DE4-416F-B3EA-725026DE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475440" y="182880"/>
          <a:ext cx="2676524" cy="527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22590</xdr:colOff>
      <xdr:row>8</xdr:row>
      <xdr:rowOff>73126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E70C5D-3655-45DE-849C-B4A0935AE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6618" y="201706"/>
          <a:ext cx="5255737" cy="201174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99060</xdr:rowOff>
        </xdr:from>
        <xdr:to>
          <xdr:col>20</xdr:col>
          <xdr:colOff>327660</xdr:colOff>
          <xdr:row>18</xdr:row>
          <xdr:rowOff>68580</xdr:rowOff>
        </xdr:to>
        <xdr:sp macro="" textlink="">
          <xdr:nvSpPr>
            <xdr:cNvPr id="32777" name="Object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00000000-0008-0000-0400-00000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171450</xdr:rowOff>
    </xdr:from>
    <xdr:to>
      <xdr:col>1</xdr:col>
      <xdr:colOff>1781174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785371-E191-4025-939B-9068F9370D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71450"/>
          <a:ext cx="2505074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482600</xdr:colOff>
      <xdr:row>5</xdr:row>
      <xdr:rowOff>25400</xdr:rowOff>
    </xdr:from>
    <xdr:to>
      <xdr:col>2</xdr:col>
      <xdr:colOff>168486</xdr:colOff>
      <xdr:row>7</xdr:row>
      <xdr:rowOff>143299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DE7997-B94D-4868-B39B-07D3536A2D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" y="1025525"/>
          <a:ext cx="2829136" cy="498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1128183</xdr:colOff>
      <xdr:row>13</xdr:row>
      <xdr:rowOff>67099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4521E5-F057-4E49-A494-D8F5D6EB045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8375"/>
          <a:ext cx="4919133" cy="448099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0</xdr:row>
      <xdr:rowOff>171450</xdr:rowOff>
    </xdr:from>
    <xdr:to>
      <xdr:col>3</xdr:col>
      <xdr:colOff>619124</xdr:colOff>
      <xdr:row>3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C4B037-C535-4C54-A997-1AD36DB169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5375" y="171450"/>
          <a:ext cx="2695574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482600</xdr:colOff>
      <xdr:row>5</xdr:row>
      <xdr:rowOff>25400</xdr:rowOff>
    </xdr:from>
    <xdr:to>
      <xdr:col>3</xdr:col>
      <xdr:colOff>920961</xdr:colOff>
      <xdr:row>7</xdr:row>
      <xdr:rowOff>143299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9CCF752-AA0F-40EB-838F-A7CA735692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1025525"/>
          <a:ext cx="3019636" cy="4988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5</xdr:col>
      <xdr:colOff>23283</xdr:colOff>
      <xdr:row>13</xdr:row>
      <xdr:rowOff>67099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7A2BFD0-3850-4A73-9821-6438DB44A1F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2238375"/>
          <a:ext cx="5223933" cy="448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66675</xdr:rowOff>
    </xdr:from>
    <xdr:to>
      <xdr:col>5</xdr:col>
      <xdr:colOff>565417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3A6876-CF5A-4063-BCA2-0D762D6B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66675"/>
          <a:ext cx="5604142" cy="504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695325</xdr:colOff>
      <xdr:row>0</xdr:row>
      <xdr:rowOff>28575</xdr:rowOff>
    </xdr:from>
    <xdr:to>
      <xdr:col>13</xdr:col>
      <xdr:colOff>563395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94CAF93-53A1-4AF0-9A93-595840FC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0" y="28575"/>
          <a:ext cx="5392570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3</xdr:row>
      <xdr:rowOff>66676</xdr:rowOff>
    </xdr:from>
    <xdr:to>
      <xdr:col>5</xdr:col>
      <xdr:colOff>165367</xdr:colOff>
      <xdr:row>5</xdr:row>
      <xdr:rowOff>123826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416068E-649D-4C7B-9DE0-77AEBC0E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5725" y="638176"/>
          <a:ext cx="5270767" cy="43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542925</xdr:colOff>
      <xdr:row>3</xdr:row>
      <xdr:rowOff>19050</xdr:rowOff>
    </xdr:from>
    <xdr:to>
      <xdr:col>13</xdr:col>
      <xdr:colOff>458620</xdr:colOff>
      <xdr:row>5</xdr:row>
      <xdr:rowOff>161925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48E8DEC8-7C30-42F9-839E-98E5A503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43600" y="590550"/>
          <a:ext cx="5459245" cy="52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43</xdr:col>
      <xdr:colOff>533400</xdr:colOff>
      <xdr:row>0</xdr:row>
      <xdr:rowOff>0</xdr:rowOff>
    </xdr:from>
    <xdr:to>
      <xdr:col>48</xdr:col>
      <xdr:colOff>400692</xdr:colOff>
      <xdr:row>3</xdr:row>
      <xdr:rowOff>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92ABA35-208E-490A-A9B2-345CDE2A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4079200" y="0"/>
          <a:ext cx="4096392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49</xdr:col>
      <xdr:colOff>123825</xdr:colOff>
      <xdr:row>2</xdr:row>
      <xdr:rowOff>57150</xdr:rowOff>
    </xdr:from>
    <xdr:to>
      <xdr:col>52</xdr:col>
      <xdr:colOff>586161</xdr:colOff>
      <xdr:row>5</xdr:row>
      <xdr:rowOff>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99AACE86-A6D0-44E8-B61D-BD0C900B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8775025" y="438150"/>
          <a:ext cx="3738936" cy="514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53</xdr:col>
      <xdr:colOff>695325</xdr:colOff>
      <xdr:row>1</xdr:row>
      <xdr:rowOff>19050</xdr:rowOff>
    </xdr:from>
    <xdr:to>
      <xdr:col>58</xdr:col>
      <xdr:colOff>423823</xdr:colOff>
      <xdr:row>3</xdr:row>
      <xdr:rowOff>19050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4CA7BE03-5469-4983-9843-3994BE03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3337500" y="209550"/>
          <a:ext cx="3652798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Operations%20-%20NBS\Pankaj%20Tomar\Pankaj\1.%20Verra,%20CDM,%20CCB,%20Plan%20VIVO,%20GS\CDM\Methodologies\ARWG30_SOC_Tool_Multizones%20(3).xls" TargetMode="External"/><Relationship Id="rId1" Type="http://schemas.openxmlformats.org/officeDocument/2006/relationships/externalLinkPath" Target="file:///Y:\Operations%20-%20NBS\Pankaj%20Tomar\Pankaj\1.%20Verra,%20CDM,%20CCB,%20Plan%20VIVO,%20GS\CDM\Methodologies\ARWG30_SOC_Tool_Multizon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Cover Sheet"/>
      <sheetName val="Calculator"/>
      <sheetName val="IPCC Major Climate Zones"/>
      <sheetName val="IPCC Tables"/>
      <sheetName val="Notes"/>
    </sheetNames>
    <sheetDataSet>
      <sheetData sheetId="0"/>
      <sheetData sheetId="1"/>
      <sheetData sheetId="2"/>
      <sheetData sheetId="3"/>
      <sheetData sheetId="4">
        <row r="2">
          <cell r="K2" t="str">
            <v>1. Long-term cultivated cropland</v>
          </cell>
          <cell r="L2" t="str">
            <v>2. Short-term or set aside cropland</v>
          </cell>
          <cell r="M2" t="str">
            <v>3. Grassland</v>
          </cell>
          <cell r="Q2" t="str">
            <v>1. Full tillage</v>
          </cell>
          <cell r="R2" t="str">
            <v>2. Reduced tillage</v>
          </cell>
          <cell r="S2" t="str">
            <v>3. No-till</v>
          </cell>
          <cell r="W2" t="str">
            <v>1. Improved</v>
          </cell>
          <cell r="X2" t="str">
            <v>2. Nominal</v>
          </cell>
          <cell r="Y2" t="str">
            <v>3. Moderately degraded</v>
          </cell>
          <cell r="Z2" t="str">
            <v>4. Severely degraded</v>
          </cell>
        </row>
        <row r="15">
          <cell r="C15" t="str">
            <v>1. Low</v>
          </cell>
          <cell r="D15" t="str">
            <v>2. Medium</v>
          </cell>
          <cell r="E15" t="str">
            <v>3. High without manure</v>
          </cell>
          <cell r="F15" t="str">
            <v>4. High with manure</v>
          </cell>
          <cell r="K15" t="str">
            <v>1. Low</v>
          </cell>
          <cell r="L15" t="str">
            <v>2. Medium</v>
          </cell>
          <cell r="M15" t="str">
            <v>3. High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rrentscience.ac.in/Volumes/120/10/1627.pdf" TargetMode="External"/><Relationship Id="rId13" Type="http://schemas.openxmlformats.org/officeDocument/2006/relationships/hyperlink" Target="https://fsi.nic.in/uploads/isfr2023/isfr_book_eng-vol-1_2023.pdf" TargetMode="External"/><Relationship Id="rId18" Type="http://schemas.openxmlformats.org/officeDocument/2006/relationships/hyperlink" Target="https://www.sciencedirect.com/science/article/pii/S2665972721000167" TargetMode="External"/><Relationship Id="rId3" Type="http://schemas.openxmlformats.org/officeDocument/2006/relationships/hyperlink" Target="https://www.researchgate.net/publication/226381452_Emission_Removal_Capability_of_India%27s_Forest_and_Tree_Cover" TargetMode="External"/><Relationship Id="rId21" Type="http://schemas.openxmlformats.org/officeDocument/2006/relationships/hyperlink" Target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TargetMode="External"/><Relationship Id="rId7" Type="http://schemas.openxmlformats.org/officeDocument/2006/relationships/hyperlink" Target="https://www.fao.org/4/W4095E/w4095e06.htm" TargetMode="External"/><Relationship Id="rId12" Type="http://schemas.openxmlformats.org/officeDocument/2006/relationships/hyperlink" Target="https://www.researchgate.net/publication/226381452_Emission_Removal_Capability_of_India%27s_Forest_and_Tree_Cover" TargetMode="External"/><Relationship Id="rId17" Type="http://schemas.openxmlformats.org/officeDocument/2006/relationships/hyperlink" Target="https://www.fao.org/4/w4095e/w4095e0c.htm" TargetMode="External"/><Relationship Id="rId2" Type="http://schemas.openxmlformats.org/officeDocument/2006/relationships/hyperlink" Target="https://www.scirp.org/journal/paperinformation?paperid=97990" TargetMode="External"/><Relationship Id="rId16" Type="http://schemas.openxmlformats.org/officeDocument/2006/relationships/hyperlink" Target="https://www.researchgate.net/publication/226381452_Emission_Removal_Capability_of_India%27s_Forest_and_Tree_Cover" TargetMode="External"/><Relationship Id="rId20" Type="http://schemas.openxmlformats.org/officeDocument/2006/relationships/hyperlink" Target="http://forests.ap.gov.in/Downloads/publications/forest_inventory_report.pdf" TargetMode="External"/><Relationship Id="rId1" Type="http://schemas.openxmlformats.org/officeDocument/2006/relationships/hyperlink" Target="https://www.tandfonline.com/doi/pdf/10.1080/17583004.2019.1642043" TargetMode="External"/><Relationship Id="rId6" Type="http://schemas.openxmlformats.org/officeDocument/2006/relationships/hyperlink" Target="https://www.mdpi.com/1999-4907/10/2/103" TargetMode="External"/><Relationship Id="rId11" Type="http://schemas.openxmlformats.org/officeDocument/2006/relationships/hyperlink" Target="https://fsi.nic.in/uploads/isfr2023/isfr_book_eng-vol-1_2023.pdf" TargetMode="External"/><Relationship Id="rId24" Type="http://schemas.openxmlformats.org/officeDocument/2006/relationships/comments" Target="../comments1.xml"/><Relationship Id="rId5" Type="http://schemas.openxmlformats.org/officeDocument/2006/relationships/hyperlink" Target="https://www.researchgate.net/publication/226381452_Emission_Removal_Capability_of_India%27s_Forest_and_Tree_Cover" TargetMode="External"/><Relationship Id="rId15" Type="http://schemas.openxmlformats.org/officeDocument/2006/relationships/hyperlink" Target="http://forests.ap.gov.in/Downloads/publications/forest_inventory_report.pdf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www.researchgate.net/publication/226381452_Emission_Removal_Capability_of_India%27s_Forest_and_Tree_Cover" TargetMode="External"/><Relationship Id="rId19" Type="http://schemas.openxmlformats.org/officeDocument/2006/relationships/hyperlink" Target="https://www.fao.org/4/W4095E/w4095e06.htm" TargetMode="External"/><Relationship Id="rId4" Type="http://schemas.openxmlformats.org/officeDocument/2006/relationships/hyperlink" Target="https://fsi.nic.in/uploads/isfr2023/isfr_book_eng-vol-1_2023.pdf" TargetMode="External"/><Relationship Id="rId9" Type="http://schemas.openxmlformats.org/officeDocument/2006/relationships/hyperlink" Target="https://fsi.nic.in/uploads/isfr2023/isfr_book_eng-vol-1_2023.pdf" TargetMode="External"/><Relationship Id="rId14" Type="http://schemas.openxmlformats.org/officeDocument/2006/relationships/hyperlink" Target="https://www.researchgate.net/publication/226381452_Emission_Removal_Capability_of_India%27s_Forest_and_Tree_Cover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oar.icrisat.org/6817/1/CurrentSc_104_10_1308-1323_2013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3.xml"/><Relationship Id="rId5" Type="http://schemas.openxmlformats.org/officeDocument/2006/relationships/image" Target="../media/image12.emf"/><Relationship Id="rId4" Type="http://schemas.openxmlformats.org/officeDocument/2006/relationships/package" Target="../embeddings/Microsoft_Excel_Worksheet.xls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4CD0-CFE2-40FC-A0C4-9F712338CEBB}">
  <dimension ref="A1:K39"/>
  <sheetViews>
    <sheetView topLeftCell="A20" workbookViewId="0">
      <selection activeCell="B31" sqref="B31"/>
    </sheetView>
  </sheetViews>
  <sheetFormatPr defaultColWidth="9.109375" defaultRowHeight="14.4" x14ac:dyDescent="0.3"/>
  <cols>
    <col min="2" max="2" width="18.33203125" bestFit="1" customWidth="1"/>
    <col min="3" max="3" width="25.33203125" customWidth="1"/>
    <col min="4" max="4" width="54.88671875" customWidth="1"/>
    <col min="5" max="5" width="11.5546875" bestFit="1" customWidth="1"/>
    <col min="6" max="6" width="35.88671875" bestFit="1" customWidth="1"/>
    <col min="7" max="7" width="33.5546875" customWidth="1"/>
    <col min="8" max="8" width="43.33203125" bestFit="1" customWidth="1"/>
    <col min="11" max="11" width="9.6640625" bestFit="1" customWidth="1"/>
  </cols>
  <sheetData>
    <row r="1" spans="1:11" ht="15" thickBot="1" x14ac:dyDescent="0.35">
      <c r="A1" s="341" t="s">
        <v>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11" ht="15.6" x14ac:dyDescent="0.3">
      <c r="A2" s="247" t="s">
        <v>1</v>
      </c>
      <c r="B2" s="261" t="s">
        <v>2</v>
      </c>
      <c r="C2" s="234" t="s">
        <v>3</v>
      </c>
      <c r="D2" s="234" t="s">
        <v>4</v>
      </c>
      <c r="E2" s="234" t="s">
        <v>5</v>
      </c>
      <c r="F2" s="234" t="s">
        <v>6</v>
      </c>
      <c r="G2" s="234" t="s">
        <v>7</v>
      </c>
      <c r="H2" s="234" t="s">
        <v>8</v>
      </c>
      <c r="I2" s="234" t="s">
        <v>9</v>
      </c>
      <c r="J2" s="248" t="s">
        <v>10</v>
      </c>
      <c r="K2" s="249" t="s">
        <v>550</v>
      </c>
    </row>
    <row r="3" spans="1:11" x14ac:dyDescent="0.3">
      <c r="A3" s="5">
        <v>1</v>
      </c>
      <c r="B3" s="270" t="s">
        <v>11</v>
      </c>
      <c r="C3" s="271" t="s">
        <v>12</v>
      </c>
      <c r="D3" s="272" t="s">
        <v>586</v>
      </c>
      <c r="E3" s="250" t="s">
        <v>13</v>
      </c>
      <c r="F3" s="343">
        <v>0.25</v>
      </c>
      <c r="G3" s="345">
        <v>0.47</v>
      </c>
      <c r="H3" s="347">
        <v>0</v>
      </c>
      <c r="I3" s="345">
        <v>0.47</v>
      </c>
      <c r="J3" s="347">
        <v>0</v>
      </c>
      <c r="K3" s="349">
        <f>44/12</f>
        <v>3.6666666666666665</v>
      </c>
    </row>
    <row r="4" spans="1:11" ht="27.6" customHeight="1" x14ac:dyDescent="0.3">
      <c r="A4" s="5">
        <v>2</v>
      </c>
      <c r="B4" s="1" t="s">
        <v>314</v>
      </c>
      <c r="C4" s="273" t="s">
        <v>371</v>
      </c>
      <c r="D4" t="s">
        <v>543</v>
      </c>
      <c r="E4" s="251" t="s">
        <v>540</v>
      </c>
      <c r="F4" s="344"/>
      <c r="G4" s="346"/>
      <c r="H4" s="348"/>
      <c r="I4" s="346"/>
      <c r="J4" s="348"/>
      <c r="K4" s="350"/>
    </row>
    <row r="5" spans="1:11" x14ac:dyDescent="0.3">
      <c r="A5" s="5">
        <v>3</v>
      </c>
      <c r="B5" s="1" t="s">
        <v>357</v>
      </c>
      <c r="C5" s="271" t="s">
        <v>359</v>
      </c>
      <c r="D5" s="246" t="s">
        <v>491</v>
      </c>
      <c r="E5" s="244" t="s">
        <v>492</v>
      </c>
      <c r="F5" s="344"/>
      <c r="G5" s="346"/>
      <c r="H5" s="348"/>
      <c r="I5" s="346"/>
      <c r="J5" s="348"/>
      <c r="K5" s="350"/>
    </row>
    <row r="6" spans="1:11" ht="16.2" x14ac:dyDescent="0.3">
      <c r="A6" s="5">
        <v>4</v>
      </c>
      <c r="B6" s="1" t="s">
        <v>305</v>
      </c>
      <c r="C6" s="271" t="s">
        <v>358</v>
      </c>
      <c r="D6" s="246" t="s">
        <v>551</v>
      </c>
      <c r="E6" s="243" t="s">
        <v>352</v>
      </c>
      <c r="F6" s="344"/>
      <c r="G6" s="346"/>
      <c r="H6" s="348"/>
      <c r="I6" s="346"/>
      <c r="J6" s="348"/>
      <c r="K6" s="350"/>
    </row>
    <row r="7" spans="1:11" ht="15.6" x14ac:dyDescent="0.35">
      <c r="A7" s="5">
        <v>5</v>
      </c>
      <c r="B7" s="274" t="s">
        <v>308</v>
      </c>
      <c r="C7" s="271" t="s">
        <v>547</v>
      </c>
      <c r="D7" s="253" t="s">
        <v>552</v>
      </c>
      <c r="E7" s="254" t="s">
        <v>372</v>
      </c>
      <c r="F7" s="344"/>
      <c r="G7" s="346"/>
      <c r="H7" s="348"/>
      <c r="I7" s="346"/>
      <c r="J7" s="348"/>
      <c r="K7" s="350"/>
    </row>
    <row r="8" spans="1:11" x14ac:dyDescent="0.3">
      <c r="A8" s="5">
        <v>6</v>
      </c>
      <c r="B8" s="270" t="s">
        <v>14</v>
      </c>
      <c r="C8" s="271" t="s">
        <v>15</v>
      </c>
      <c r="D8" s="246" t="s">
        <v>493</v>
      </c>
      <c r="E8" s="244" t="s">
        <v>494</v>
      </c>
      <c r="F8" s="344"/>
      <c r="G8" s="346"/>
      <c r="H8" s="348"/>
      <c r="I8" s="346"/>
      <c r="J8" s="348"/>
      <c r="K8" s="350"/>
    </row>
    <row r="9" spans="1:11" x14ac:dyDescent="0.3">
      <c r="A9" s="5">
        <v>7</v>
      </c>
      <c r="B9" s="1" t="s">
        <v>459</v>
      </c>
      <c r="C9" s="255" t="s">
        <v>461</v>
      </c>
      <c r="D9" s="252" t="s">
        <v>462</v>
      </c>
      <c r="E9" s="244" t="s">
        <v>463</v>
      </c>
      <c r="F9" s="344"/>
      <c r="G9" s="346"/>
      <c r="H9" s="348"/>
      <c r="I9" s="346"/>
      <c r="J9" s="348"/>
      <c r="K9" s="350"/>
    </row>
    <row r="10" spans="1:11" ht="15.75" customHeight="1" x14ac:dyDescent="0.35">
      <c r="A10" s="5">
        <v>8</v>
      </c>
      <c r="B10" s="1" t="s">
        <v>555</v>
      </c>
      <c r="C10" s="246" t="s">
        <v>553</v>
      </c>
      <c r="D10" s="253" t="s">
        <v>552</v>
      </c>
      <c r="E10" s="254" t="s">
        <v>372</v>
      </c>
      <c r="F10" s="344"/>
      <c r="G10" s="346"/>
      <c r="H10" s="348"/>
      <c r="I10" s="346"/>
      <c r="J10" s="348"/>
      <c r="K10" s="350"/>
    </row>
    <row r="11" spans="1:11" ht="15.75" customHeight="1" thickBot="1" x14ac:dyDescent="0.35">
      <c r="B11" s="262"/>
    </row>
    <row r="12" spans="1:11" x14ac:dyDescent="0.3">
      <c r="A12" s="231" t="s">
        <v>1</v>
      </c>
      <c r="B12" s="261" t="s">
        <v>2</v>
      </c>
      <c r="C12" s="233" t="s">
        <v>3</v>
      </c>
      <c r="D12" s="232" t="s">
        <v>16</v>
      </c>
      <c r="E12" s="234" t="s">
        <v>5</v>
      </c>
      <c r="F12" s="232" t="s">
        <v>17</v>
      </c>
      <c r="G12" s="234" t="s">
        <v>5</v>
      </c>
      <c r="H12" s="232" t="s">
        <v>18</v>
      </c>
      <c r="I12" s="232" t="s">
        <v>19</v>
      </c>
      <c r="J12" s="234" t="s">
        <v>5</v>
      </c>
      <c r="K12" s="232" t="s">
        <v>6</v>
      </c>
    </row>
    <row r="13" spans="1:11" s="93" customFormat="1" x14ac:dyDescent="0.3">
      <c r="A13" s="235">
        <v>1</v>
      </c>
      <c r="B13" s="263" t="s">
        <v>340</v>
      </c>
      <c r="C13" s="236" t="s">
        <v>366</v>
      </c>
      <c r="D13" s="246" t="s">
        <v>489</v>
      </c>
      <c r="E13" s="237" t="s">
        <v>490</v>
      </c>
      <c r="F13" s="238">
        <v>1.575</v>
      </c>
      <c r="G13" s="239" t="s">
        <v>488</v>
      </c>
      <c r="H13" s="240">
        <v>0.47</v>
      </c>
      <c r="I13" s="240">
        <v>0.75</v>
      </c>
      <c r="J13" s="240" t="s">
        <v>482</v>
      </c>
      <c r="K13" s="238">
        <v>0.25</v>
      </c>
    </row>
    <row r="14" spans="1:11" s="256" customFormat="1" x14ac:dyDescent="0.3">
      <c r="A14" s="238">
        <v>2</v>
      </c>
      <c r="B14" s="264" t="s">
        <v>20</v>
      </c>
      <c r="C14" s="241" t="s">
        <v>21</v>
      </c>
      <c r="D14" s="242" t="s">
        <v>22</v>
      </c>
      <c r="E14" s="306" t="s">
        <v>587</v>
      </c>
      <c r="F14" s="238">
        <v>1.575</v>
      </c>
      <c r="G14" s="239" t="s">
        <v>488</v>
      </c>
      <c r="H14" s="238">
        <v>0.47</v>
      </c>
      <c r="I14" s="238">
        <v>0.44</v>
      </c>
      <c r="J14" s="238" t="s">
        <v>23</v>
      </c>
      <c r="K14" s="238">
        <v>0.25</v>
      </c>
    </row>
    <row r="15" spans="1:11" s="256" customFormat="1" x14ac:dyDescent="0.3">
      <c r="A15" s="238">
        <v>3</v>
      </c>
      <c r="B15" s="264" t="s">
        <v>393</v>
      </c>
      <c r="C15" s="241" t="s">
        <v>394</v>
      </c>
      <c r="D15" s="246" t="s">
        <v>497</v>
      </c>
      <c r="E15" s="239" t="s">
        <v>490</v>
      </c>
      <c r="F15" s="238">
        <v>1.575</v>
      </c>
      <c r="G15" s="239" t="s">
        <v>488</v>
      </c>
      <c r="H15" s="238">
        <v>0.47</v>
      </c>
      <c r="I15" s="238">
        <v>0.5</v>
      </c>
      <c r="J15" s="240" t="s">
        <v>482</v>
      </c>
      <c r="K15" s="238">
        <v>0.25</v>
      </c>
    </row>
    <row r="16" spans="1:11" s="256" customFormat="1" x14ac:dyDescent="0.3">
      <c r="A16" s="238">
        <v>4</v>
      </c>
      <c r="B16" s="264" t="s">
        <v>549</v>
      </c>
      <c r="C16" s="241" t="s">
        <v>548</v>
      </c>
      <c r="D16" s="246" t="s">
        <v>498</v>
      </c>
      <c r="E16" s="239" t="s">
        <v>490</v>
      </c>
      <c r="F16" s="238">
        <v>1.575</v>
      </c>
      <c r="G16" s="239" t="s">
        <v>488</v>
      </c>
      <c r="H16" s="238">
        <v>0.47</v>
      </c>
      <c r="I16" s="238">
        <v>0.41</v>
      </c>
      <c r="J16" s="240" t="s">
        <v>482</v>
      </c>
      <c r="K16" s="238">
        <v>0.25</v>
      </c>
    </row>
    <row r="17" spans="1:11" s="256" customFormat="1" x14ac:dyDescent="0.3">
      <c r="A17" s="238">
        <v>5</v>
      </c>
      <c r="B17" s="264" t="s">
        <v>331</v>
      </c>
      <c r="C17" s="241" t="s">
        <v>501</v>
      </c>
      <c r="D17" s="246" t="s">
        <v>502</v>
      </c>
      <c r="E17" s="237" t="s">
        <v>490</v>
      </c>
      <c r="F17" s="238">
        <v>1.575</v>
      </c>
      <c r="G17" s="239" t="s">
        <v>488</v>
      </c>
      <c r="H17" s="238">
        <v>0.47</v>
      </c>
      <c r="I17" s="238">
        <v>0.7</v>
      </c>
      <c r="J17" s="243" t="s">
        <v>482</v>
      </c>
      <c r="K17" s="238">
        <v>0.25</v>
      </c>
    </row>
    <row r="18" spans="1:11" s="256" customFormat="1" x14ac:dyDescent="0.3">
      <c r="A18" s="238">
        <v>6</v>
      </c>
      <c r="B18" s="264" t="s">
        <v>554</v>
      </c>
      <c r="C18" s="241" t="s">
        <v>537</v>
      </c>
      <c r="D18" s="1" t="s">
        <v>538</v>
      </c>
      <c r="E18" s="244" t="s">
        <v>539</v>
      </c>
      <c r="F18" s="238">
        <v>1.575</v>
      </c>
      <c r="G18" s="239" t="s">
        <v>488</v>
      </c>
      <c r="H18" s="238">
        <v>0.47</v>
      </c>
      <c r="I18" s="245">
        <v>0.4</v>
      </c>
      <c r="J18" s="240" t="s">
        <v>482</v>
      </c>
      <c r="K18" s="238">
        <v>0.25</v>
      </c>
    </row>
    <row r="20" spans="1:11" ht="28.8" x14ac:dyDescent="0.3">
      <c r="A20" s="257" t="s">
        <v>1</v>
      </c>
      <c r="B20" s="265" t="s">
        <v>24</v>
      </c>
      <c r="C20" s="257" t="s">
        <v>25</v>
      </c>
      <c r="D20" s="257" t="s">
        <v>26</v>
      </c>
      <c r="E20" s="257" t="s">
        <v>27</v>
      </c>
      <c r="F20" s="257" t="s">
        <v>28</v>
      </c>
      <c r="G20" s="258" t="s">
        <v>373</v>
      </c>
      <c r="H20" s="258" t="s">
        <v>697</v>
      </c>
    </row>
    <row r="21" spans="1:11" x14ac:dyDescent="0.3">
      <c r="A21" s="7">
        <v>1</v>
      </c>
      <c r="B21" s="266" t="s">
        <v>30</v>
      </c>
      <c r="C21" s="259" t="s">
        <v>29</v>
      </c>
      <c r="D21" s="259">
        <v>173.55</v>
      </c>
      <c r="E21" s="260">
        <f>D21/SUM($D$21:$D$37)</f>
        <v>8.9072628450890701E-2</v>
      </c>
      <c r="F21" s="259">
        <f>30*30/10000</f>
        <v>0.09</v>
      </c>
      <c r="G21" s="6">
        <v>5.9232876712328766</v>
      </c>
      <c r="H21" s="7">
        <v>9</v>
      </c>
      <c r="I21" s="2"/>
      <c r="J21" s="2"/>
    </row>
    <row r="22" spans="1:11" x14ac:dyDescent="0.3">
      <c r="A22" s="7">
        <v>2</v>
      </c>
      <c r="B22" s="266" t="s">
        <v>32</v>
      </c>
      <c r="C22" s="259" t="s">
        <v>31</v>
      </c>
      <c r="D22" s="259">
        <v>218.13</v>
      </c>
      <c r="E22" s="260">
        <f t="shared" ref="E22:E37" si="0">D22/SUM($D$21:$D$37)</f>
        <v>0.11195282307111949</v>
      </c>
      <c r="F22" s="259">
        <f t="shared" ref="F22:F37" si="1">30*30/10000</f>
        <v>0.09</v>
      </c>
      <c r="G22" s="6">
        <f>G21-1</f>
        <v>4.9232876712328766</v>
      </c>
      <c r="H22" s="7">
        <v>4</v>
      </c>
    </row>
    <row r="23" spans="1:11" x14ac:dyDescent="0.3">
      <c r="A23" s="7">
        <v>3</v>
      </c>
      <c r="B23" s="266" t="s">
        <v>34</v>
      </c>
      <c r="C23" s="259" t="s">
        <v>33</v>
      </c>
      <c r="D23" s="259">
        <v>191.82999999999998</v>
      </c>
      <c r="E23" s="260">
        <f t="shared" si="0"/>
        <v>9.8454637370984505E-2</v>
      </c>
      <c r="F23" s="259">
        <f t="shared" si="1"/>
        <v>0.09</v>
      </c>
      <c r="G23" s="6">
        <f>G22-1</f>
        <v>3.9232876712328766</v>
      </c>
      <c r="H23" s="7">
        <v>7</v>
      </c>
    </row>
    <row r="24" spans="1:11" x14ac:dyDescent="0.3">
      <c r="A24" s="7">
        <v>4</v>
      </c>
      <c r="B24" s="266" t="s">
        <v>382</v>
      </c>
      <c r="C24" s="259" t="s">
        <v>35</v>
      </c>
      <c r="D24" s="259">
        <v>281.07000000000005</v>
      </c>
      <c r="E24" s="260">
        <f t="shared" si="0"/>
        <v>0.14425608573144255</v>
      </c>
      <c r="F24" s="259">
        <f t="shared" si="1"/>
        <v>0.09</v>
      </c>
      <c r="G24" s="6">
        <f t="shared" ref="G24:G25" si="2">G23-1</f>
        <v>2.9232876712328766</v>
      </c>
      <c r="H24" s="7">
        <v>5</v>
      </c>
    </row>
    <row r="25" spans="1:11" x14ac:dyDescent="0.3">
      <c r="A25" s="7">
        <v>5</v>
      </c>
      <c r="B25" s="266" t="s">
        <v>37</v>
      </c>
      <c r="C25" s="259" t="s">
        <v>36</v>
      </c>
      <c r="D25" s="259">
        <v>142.34</v>
      </c>
      <c r="E25" s="260">
        <f t="shared" si="0"/>
        <v>7.3054439260730519E-2</v>
      </c>
      <c r="F25" s="259">
        <f t="shared" si="1"/>
        <v>0.09</v>
      </c>
      <c r="G25" s="6">
        <f t="shared" si="2"/>
        <v>1.9232876712328766</v>
      </c>
      <c r="H25" s="7">
        <v>4</v>
      </c>
    </row>
    <row r="26" spans="1:11" x14ac:dyDescent="0.3">
      <c r="A26" s="7">
        <v>6</v>
      </c>
      <c r="B26" s="266" t="s">
        <v>383</v>
      </c>
      <c r="C26" s="259" t="s">
        <v>38</v>
      </c>
      <c r="D26" s="259">
        <v>53.38</v>
      </c>
      <c r="E26" s="260">
        <f t="shared" si="0"/>
        <v>2.7396697820273961E-2</v>
      </c>
      <c r="F26" s="259">
        <f t="shared" si="1"/>
        <v>0.09</v>
      </c>
      <c r="G26" s="6">
        <f>G25-1</f>
        <v>0.92328767123287658</v>
      </c>
      <c r="H26" s="7">
        <v>1</v>
      </c>
    </row>
    <row r="27" spans="1:11" x14ac:dyDescent="0.3">
      <c r="A27" s="7">
        <v>7</v>
      </c>
      <c r="B27" s="266" t="s">
        <v>496</v>
      </c>
      <c r="C27" s="259" t="s">
        <v>39</v>
      </c>
      <c r="D27" s="259">
        <v>32.129999999999995</v>
      </c>
      <c r="E27" s="260">
        <f t="shared" si="0"/>
        <v>1.6490369070164896E-2</v>
      </c>
      <c r="F27" s="259">
        <f t="shared" si="1"/>
        <v>0.09</v>
      </c>
      <c r="G27" s="6">
        <f>G21</f>
        <v>5.9232876712328766</v>
      </c>
      <c r="H27" s="7">
        <v>3</v>
      </c>
    </row>
    <row r="28" spans="1:11" x14ac:dyDescent="0.3">
      <c r="A28" s="7">
        <v>8</v>
      </c>
      <c r="B28" s="266" t="s">
        <v>500</v>
      </c>
      <c r="C28" s="259" t="s">
        <v>40</v>
      </c>
      <c r="D28" s="259">
        <v>50.519999999999996</v>
      </c>
      <c r="E28" s="260">
        <f t="shared" si="0"/>
        <v>2.5928834280259279E-2</v>
      </c>
      <c r="F28" s="259">
        <f t="shared" si="1"/>
        <v>0.09</v>
      </c>
      <c r="G28" s="6">
        <f t="shared" ref="G28:G31" si="3">G22</f>
        <v>4.9232876712328766</v>
      </c>
      <c r="H28" s="7">
        <v>3</v>
      </c>
    </row>
    <row r="29" spans="1:11" x14ac:dyDescent="0.3">
      <c r="A29" s="7">
        <v>9</v>
      </c>
      <c r="B29" s="266" t="s">
        <v>509</v>
      </c>
      <c r="C29" s="259" t="s">
        <v>41</v>
      </c>
      <c r="D29" s="259">
        <v>53.49</v>
      </c>
      <c r="E29" s="260">
        <f t="shared" si="0"/>
        <v>2.7453154110274526E-2</v>
      </c>
      <c r="F29" s="259">
        <f t="shared" si="1"/>
        <v>0.09</v>
      </c>
      <c r="G29" s="6">
        <f t="shared" si="3"/>
        <v>3.9232876712328766</v>
      </c>
      <c r="H29" s="7">
        <v>4</v>
      </c>
    </row>
    <row r="30" spans="1:11" x14ac:dyDescent="0.3">
      <c r="A30" s="7">
        <v>10</v>
      </c>
      <c r="B30" s="275" t="s">
        <v>507</v>
      </c>
      <c r="C30" s="259" t="s">
        <v>42</v>
      </c>
      <c r="D30" s="259">
        <v>148.25</v>
      </c>
      <c r="E30" s="260">
        <f t="shared" si="0"/>
        <v>7.608768175076086E-2</v>
      </c>
      <c r="F30" s="259">
        <f t="shared" si="1"/>
        <v>0.09</v>
      </c>
      <c r="G30" s="6">
        <f t="shared" si="3"/>
        <v>2.9232876712328766</v>
      </c>
      <c r="H30" s="7">
        <v>9</v>
      </c>
    </row>
    <row r="31" spans="1:11" x14ac:dyDescent="0.3">
      <c r="A31" s="7">
        <v>11</v>
      </c>
      <c r="B31" s="266" t="s">
        <v>510</v>
      </c>
      <c r="C31" s="259" t="s">
        <v>43</v>
      </c>
      <c r="D31" s="259">
        <v>41.54</v>
      </c>
      <c r="E31" s="260">
        <f t="shared" si="0"/>
        <v>2.1319948060213194E-2</v>
      </c>
      <c r="F31" s="259">
        <f t="shared" si="1"/>
        <v>0.09</v>
      </c>
      <c r="G31" s="6">
        <f t="shared" si="3"/>
        <v>1.9232876712328766</v>
      </c>
      <c r="H31" s="7">
        <v>4</v>
      </c>
    </row>
    <row r="32" spans="1:11" x14ac:dyDescent="0.3">
      <c r="A32" s="7">
        <v>12</v>
      </c>
      <c r="B32" s="266" t="s">
        <v>495</v>
      </c>
      <c r="C32" s="259" t="s">
        <v>511</v>
      </c>
      <c r="D32" s="259">
        <v>45.470000000000006</v>
      </c>
      <c r="E32" s="260">
        <f t="shared" si="0"/>
        <v>2.3336977330233367E-2</v>
      </c>
      <c r="F32" s="259">
        <f t="shared" si="1"/>
        <v>0.09</v>
      </c>
      <c r="G32" s="6">
        <v>5.9232876712328766</v>
      </c>
      <c r="H32" s="7">
        <v>4</v>
      </c>
    </row>
    <row r="33" spans="1:8" x14ac:dyDescent="0.3">
      <c r="A33" s="7">
        <v>13</v>
      </c>
      <c r="B33" s="266" t="s">
        <v>499</v>
      </c>
      <c r="C33" s="259" t="s">
        <v>512</v>
      </c>
      <c r="D33" s="259">
        <v>87.179999999999993</v>
      </c>
      <c r="E33" s="260">
        <f t="shared" si="0"/>
        <v>4.4744176020447425E-2</v>
      </c>
      <c r="F33" s="259">
        <f t="shared" si="1"/>
        <v>0.09</v>
      </c>
      <c r="G33" s="6">
        <f>G32-1</f>
        <v>4.9232876712328766</v>
      </c>
      <c r="H33" s="7">
        <v>4</v>
      </c>
    </row>
    <row r="34" spans="1:8" x14ac:dyDescent="0.3">
      <c r="A34" s="7">
        <v>14</v>
      </c>
      <c r="B34" s="266" t="s">
        <v>503</v>
      </c>
      <c r="C34" s="259" t="s">
        <v>513</v>
      </c>
      <c r="D34" s="259">
        <v>203.37</v>
      </c>
      <c r="E34" s="260">
        <f t="shared" si="0"/>
        <v>0.10437741543104374</v>
      </c>
      <c r="F34" s="259">
        <f t="shared" si="1"/>
        <v>0.09</v>
      </c>
      <c r="G34" s="6">
        <f>G33-1</f>
        <v>3.9232876712328766</v>
      </c>
      <c r="H34" s="7">
        <v>6</v>
      </c>
    </row>
    <row r="35" spans="1:8" x14ac:dyDescent="0.3">
      <c r="A35" s="7">
        <v>15</v>
      </c>
      <c r="B35" s="266" t="s">
        <v>504</v>
      </c>
      <c r="C35" s="259" t="s">
        <v>514</v>
      </c>
      <c r="D35" s="259">
        <v>165.16000000000003</v>
      </c>
      <c r="E35" s="260">
        <f t="shared" si="0"/>
        <v>8.4766553240847656E-2</v>
      </c>
      <c r="F35" s="259">
        <f t="shared" si="1"/>
        <v>0.09</v>
      </c>
      <c r="G35" s="6">
        <f t="shared" ref="G35:G36" si="4">G34-1</f>
        <v>2.9232876712328766</v>
      </c>
      <c r="H35" s="7">
        <v>4</v>
      </c>
    </row>
    <row r="36" spans="1:8" x14ac:dyDescent="0.3">
      <c r="A36" s="7">
        <v>16</v>
      </c>
      <c r="B36" s="266" t="s">
        <v>508</v>
      </c>
      <c r="C36" s="259" t="s">
        <v>515</v>
      </c>
      <c r="D36" s="259">
        <v>51.540000000000013</v>
      </c>
      <c r="E36" s="260">
        <f t="shared" si="0"/>
        <v>2.6452338060264521E-2</v>
      </c>
      <c r="F36" s="259">
        <f t="shared" si="1"/>
        <v>0.09</v>
      </c>
      <c r="G36" s="6">
        <f t="shared" si="4"/>
        <v>1.9232876712328766</v>
      </c>
      <c r="H36" s="7">
        <v>1</v>
      </c>
    </row>
    <row r="37" spans="1:8" x14ac:dyDescent="0.3">
      <c r="A37" s="7">
        <v>17</v>
      </c>
      <c r="B37" s="266" t="s">
        <v>505</v>
      </c>
      <c r="C37" s="259" t="s">
        <v>516</v>
      </c>
      <c r="D37" s="259">
        <v>9.4599999999999991</v>
      </c>
      <c r="E37" s="260">
        <f t="shared" si="0"/>
        <v>4.8552409400485505E-3</v>
      </c>
      <c r="F37" s="259">
        <f t="shared" si="1"/>
        <v>0.09</v>
      </c>
      <c r="G37" s="6">
        <f>G36-1</f>
        <v>0.92328767123287658</v>
      </c>
      <c r="H37" s="7">
        <v>1</v>
      </c>
    </row>
    <row r="39" spans="1:8" x14ac:dyDescent="0.3">
      <c r="E39" s="340"/>
    </row>
  </sheetData>
  <mergeCells count="7">
    <mergeCell ref="A1:K1"/>
    <mergeCell ref="F3:F10"/>
    <mergeCell ref="G3:G10"/>
    <mergeCell ref="H3:H10"/>
    <mergeCell ref="I3:I10"/>
    <mergeCell ref="J3:J10"/>
    <mergeCell ref="K3:K10"/>
  </mergeCells>
  <phoneticPr fontId="11" type="noConversion"/>
  <hyperlinks>
    <hyperlink ref="E3" r:id="rId1" xr:uid="{E14BF17D-C8EC-42BD-94F0-C0886108DCEB}"/>
    <hyperlink ref="E6" r:id="rId2" display="https://www.scirp.org/journal/paperinformation?paperid=97990" xr:uid="{E78B2A94-0C8F-455D-8E75-DC210C3CB8D1}"/>
    <hyperlink ref="G14" r:id="rId3" display="https://www.researchgate.net/publication/226381452_Emission_Removal_Capability_of_India%27s_Forest_and_Tree_Cover" xr:uid="{18EDDA38-5229-4028-8516-5A779E599D23}"/>
    <hyperlink ref="E13" r:id="rId4" display="https://fsi.nic.in/uploads/isfr2023/isfr_book_eng-vol-1_2023.pdf" xr:uid="{CF39EC16-ACF1-4605-A840-B140285C686D}"/>
    <hyperlink ref="G13" r:id="rId5" display="https://www.researchgate.net/publication/226381452_Emission_Removal_Capability_of_India%27s_Forest_and_Tree_Cover" xr:uid="{7CECCBBB-DBBD-40B2-8DB6-2CE8FC696089}"/>
    <hyperlink ref="E5" r:id="rId6" display="https://www.mdpi.com/1999-4907/10/2/103" xr:uid="{82A2199E-52C3-4EFB-8B6C-390D2A11DE00}"/>
    <hyperlink ref="E7" r:id="rId7" location="3.1.1%20general%20equation" display="https://www.fao.org/4/W4095E/w4095e06.htm - 3.1.1%20general%20equation" xr:uid="{315AAE63-B0F9-4E47-A610-DE593C56571A}"/>
    <hyperlink ref="E8" r:id="rId8" display="https://www.currentscience.ac.in/Volumes/120/10/1627.pdf" xr:uid="{1F892C02-0C10-4D75-B780-388244136E03}"/>
    <hyperlink ref="E15" r:id="rId9" display="https://fsi.nic.in/uploads/isfr2023/isfr_book_eng-vol-1_2023.pdf" xr:uid="{3688D5AC-777D-45AA-B726-E783C06BE231}"/>
    <hyperlink ref="G15" r:id="rId10" display="https://www.researchgate.net/publication/226381452_Emission_Removal_Capability_of_India%27s_Forest_and_Tree_Cover" xr:uid="{5CDFF716-E87D-4B77-81D0-EE51AA5B7E64}"/>
    <hyperlink ref="E16" r:id="rId11" display="https://fsi.nic.in/uploads/isfr2023/isfr_book_eng-vol-1_2023.pdf" xr:uid="{7C27B8BC-1AA6-4314-9E4C-50547933A67D}"/>
    <hyperlink ref="G16" r:id="rId12" display="https://www.researchgate.net/publication/226381452_Emission_Removal_Capability_of_India%27s_Forest_and_Tree_Cover" xr:uid="{D6D3C206-AE3D-4609-A923-7105D5C651DC}"/>
    <hyperlink ref="E17" r:id="rId13" display="https://fsi.nic.in/uploads/isfr2023/isfr_book_eng-vol-1_2023.pdf" xr:uid="{51E0B3D6-05C2-4495-A2C1-182E5F913E3C}"/>
    <hyperlink ref="G17" r:id="rId14" display="https://www.researchgate.net/publication/226381452_Emission_Removal_Capability_of_India%27s_Forest_and_Tree_Cover" xr:uid="{BD26B30F-BE0B-41C0-8C6D-B2401BA4B137}"/>
    <hyperlink ref="E18" r:id="rId15" display="http://forests.ap.gov.in/Downloads/publications/forest_inventory_report.pdf" xr:uid="{0CC7E961-8A42-4CCD-9561-75C1518B08EE}"/>
    <hyperlink ref="G18" r:id="rId16" display="https://www.researchgate.net/publication/226381452_Emission_Removal_Capability_of_India%27s_Forest_and_Tree_Cover" xr:uid="{4D752F26-952E-4C2B-AED9-A29A42CF7BF4}"/>
    <hyperlink ref="J17" r:id="rId17" xr:uid="{4FC5E98C-4928-4C2A-98FA-5237ED90EFBD}"/>
    <hyperlink ref="E4" r:id="rId18" display="https://www.sciencedirect.com/science/article/pii/S2665972721000167" xr:uid="{9CE0C3E5-86EB-4947-9977-1B5CA6ABA4E0}"/>
    <hyperlink ref="E10" r:id="rId19" location="3.1.1%20general%20equation" display="https://www.fao.org/4/W4095E/w4095e06.htm - 3.1.1%20general%20equation" xr:uid="{0EBB4748-C0FE-4C7D-8FF8-E1F9FE8ADBA5}"/>
    <hyperlink ref="E14" r:id="rId20" display="http://forests.ap.gov.in/Downloads/publications/forest_inventory_report.pdf" xr:uid="{C9574059-DC4A-4B1B-B636-31EED6B8E9ED}"/>
    <hyperlink ref="E9" r:id="rId21" display="https://www.researchgate.net/publication/305905765_BIOMASS_AND_CARBON_STORAGE_IN_TREES_GROWN_UNDER_DIFFERENT_AGROFORESTRY_SYSTEMS_IN_SEMI_ARID_REGION_OF_CENTRAL_INDIA?enrichId=rgreq-8112f807ee5d6a14ab0c0f6760387827-XXX&amp;enrichSource=Y292ZXJQYWdlOzMwNTkwNTc2NTtBUzozOTE5NDAzNDU0ODMyNjVAMTQ3MDQ1NzI2ODYyNA%3D%3D&amp;el=1_x_2&amp;_esc=publicationCoverPdf" xr:uid="{E15D96AA-0091-46FE-8D18-83658398B1A1}"/>
  </hyperlinks>
  <pageMargins left="0.7" right="0.7" top="0.75" bottom="0.75" header="0.3" footer="0.3"/>
  <pageSetup paperSize="9" orientation="portrait" verticalDpi="0" r:id="rId22"/>
  <legacyDrawing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9077-215E-4BB5-80FF-187E3CFCDC50}">
  <dimension ref="A1:U24"/>
  <sheetViews>
    <sheetView showGridLines="0" topLeftCell="F1" zoomScale="66" workbookViewId="0">
      <selection activeCell="S1" sqref="S1"/>
    </sheetView>
  </sheetViews>
  <sheetFormatPr defaultRowHeight="14.4" x14ac:dyDescent="0.3"/>
  <cols>
    <col min="2" max="2" width="12" bestFit="1" customWidth="1"/>
    <col min="3" max="3" width="11.109375" customWidth="1"/>
    <col min="4" max="4" width="11.6640625" customWidth="1"/>
    <col min="5" max="5" width="13.5546875" customWidth="1"/>
    <col min="6" max="6" width="12.109375" customWidth="1"/>
    <col min="8" max="8" width="15.6640625" customWidth="1"/>
  </cols>
  <sheetData>
    <row r="1" spans="1:21" s="68" customFormat="1" ht="86.4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95" t="s">
        <v>364</v>
      </c>
      <c r="P1" s="195" t="s">
        <v>363</v>
      </c>
      <c r="Q1" s="195" t="s">
        <v>546</v>
      </c>
      <c r="R1" s="195" t="s">
        <v>370</v>
      </c>
      <c r="S1" s="195" t="s">
        <v>361</v>
      </c>
    </row>
    <row r="2" spans="1:21" ht="15.6" x14ac:dyDescent="0.3">
      <c r="A2" s="367">
        <v>1</v>
      </c>
      <c r="B2" s="367" t="s">
        <v>332</v>
      </c>
      <c r="C2" s="367" t="s">
        <v>333</v>
      </c>
      <c r="D2" s="367" t="s">
        <v>295</v>
      </c>
      <c r="E2" s="94">
        <v>14.972534</v>
      </c>
      <c r="F2" s="94">
        <v>74.893563499999999</v>
      </c>
      <c r="G2" s="367">
        <v>2024</v>
      </c>
      <c r="H2" s="367" t="s">
        <v>308</v>
      </c>
      <c r="I2" s="126">
        <v>21.5</v>
      </c>
      <c r="J2" s="126">
        <f t="shared" ref="J2:J24" si="0">I2/3.14</f>
        <v>6.8471337579617835</v>
      </c>
      <c r="K2" s="126"/>
      <c r="L2" s="126"/>
      <c r="M2" s="126">
        <v>2.8</v>
      </c>
      <c r="N2" s="126">
        <f t="shared" ref="N2:N24" si="1">3.14*J2/2*J2/2</f>
        <v>36.803343949044589</v>
      </c>
      <c r="O2" s="131">
        <f>(10^(-0.535+LOG10(N2)))/1000</f>
        <v>1.0737106984251907E-2</v>
      </c>
      <c r="P2" s="131">
        <f>O2*(1+'Key Data'!F$3)</f>
        <v>1.3421383730314883E-2</v>
      </c>
      <c r="Q2" s="366">
        <f>SUM(P2:P24)</f>
        <v>0.26594112554699179</v>
      </c>
      <c r="R2" s="366">
        <f>Q2*10000/900</f>
        <v>2.9549013949665754</v>
      </c>
      <c r="S2" s="215">
        <f>AVERAGE(R2)</f>
        <v>2.9549013949665754</v>
      </c>
      <c r="U2" s="80"/>
    </row>
    <row r="3" spans="1:21" x14ac:dyDescent="0.3">
      <c r="A3" s="367"/>
      <c r="B3" s="367"/>
      <c r="C3" s="367"/>
      <c r="D3" s="367"/>
      <c r="E3" s="94">
        <v>14.972543399999999</v>
      </c>
      <c r="F3" s="94">
        <v>74.8938816</v>
      </c>
      <c r="G3" s="367"/>
      <c r="H3" s="367" t="s">
        <v>308</v>
      </c>
      <c r="I3" s="126">
        <v>17.5</v>
      </c>
      <c r="J3" s="126">
        <f t="shared" si="0"/>
        <v>5.5732484076433115</v>
      </c>
      <c r="K3" s="126"/>
      <c r="L3" s="126"/>
      <c r="M3" s="126">
        <v>2.8</v>
      </c>
      <c r="N3" s="126">
        <f t="shared" si="1"/>
        <v>24.382961783439487</v>
      </c>
      <c r="O3" s="131">
        <f t="shared" ref="O3:O24" si="2">(10^(-0.535+LOG10(N3)))/1000</f>
        <v>7.1135511388364442E-3</v>
      </c>
      <c r="P3" s="131">
        <f>O3*(1+'Key Data'!F$3)</f>
        <v>8.8919389235455545E-3</v>
      </c>
      <c r="Q3" s="366"/>
      <c r="R3" s="366"/>
      <c r="S3" s="216"/>
    </row>
    <row r="4" spans="1:21" x14ac:dyDescent="0.3">
      <c r="A4" s="367"/>
      <c r="B4" s="367"/>
      <c r="C4" s="367"/>
      <c r="D4" s="367"/>
      <c r="E4" s="94">
        <v>14.9722765</v>
      </c>
      <c r="F4" s="94">
        <v>74.893885299999994</v>
      </c>
      <c r="G4" s="367"/>
      <c r="H4" s="367" t="s">
        <v>308</v>
      </c>
      <c r="I4" s="126">
        <v>19.2</v>
      </c>
      <c r="J4" s="126">
        <f t="shared" si="0"/>
        <v>6.114649681528662</v>
      </c>
      <c r="K4" s="126"/>
      <c r="L4" s="126"/>
      <c r="M4" s="126">
        <v>3.5</v>
      </c>
      <c r="N4" s="126">
        <f t="shared" si="1"/>
        <v>29.350318471337577</v>
      </c>
      <c r="O4" s="131">
        <f t="shared" si="2"/>
        <v>8.5627411977817671E-3</v>
      </c>
      <c r="P4" s="131">
        <f>O4*(1+'Key Data'!F$3)</f>
        <v>1.0703426497227209E-2</v>
      </c>
      <c r="Q4" s="366"/>
      <c r="R4" s="366"/>
      <c r="S4" s="216"/>
    </row>
    <row r="5" spans="1:21" x14ac:dyDescent="0.3">
      <c r="A5" s="367"/>
      <c r="B5" s="367"/>
      <c r="C5" s="367"/>
      <c r="D5" s="367"/>
      <c r="E5" s="94">
        <v>14.972277099999999</v>
      </c>
      <c r="F5" s="94">
        <v>74.893582199999997</v>
      </c>
      <c r="G5" s="367"/>
      <c r="H5" s="367" t="s">
        <v>308</v>
      </c>
      <c r="I5" s="126">
        <v>23</v>
      </c>
      <c r="J5" s="126">
        <f t="shared" si="0"/>
        <v>7.3248407643312099</v>
      </c>
      <c r="K5" s="126"/>
      <c r="L5" s="126"/>
      <c r="M5" s="126">
        <v>2.9</v>
      </c>
      <c r="N5" s="126">
        <f t="shared" si="1"/>
        <v>42.117834394904456</v>
      </c>
      <c r="O5" s="131">
        <f>(10^(-0.535+LOG10(N5)))/1000</f>
        <v>1.2287570783492173E-2</v>
      </c>
      <c r="P5" s="131">
        <f>O5*(1+'Key Data'!F$3)</f>
        <v>1.5359463479365216E-2</v>
      </c>
      <c r="Q5" s="366"/>
      <c r="R5" s="366"/>
      <c r="S5" s="216"/>
    </row>
    <row r="6" spans="1:21" x14ac:dyDescent="0.3">
      <c r="A6" s="367"/>
      <c r="B6" s="367"/>
      <c r="C6" s="367"/>
      <c r="D6" s="367"/>
      <c r="E6" s="94">
        <v>14.972431</v>
      </c>
      <c r="F6" s="94">
        <v>74.893746500000006</v>
      </c>
      <c r="G6" s="367"/>
      <c r="H6" s="367" t="s">
        <v>308</v>
      </c>
      <c r="I6" s="126">
        <v>17.399999999999999</v>
      </c>
      <c r="J6" s="126">
        <f t="shared" si="0"/>
        <v>5.5414012738853495</v>
      </c>
      <c r="K6" s="126"/>
      <c r="L6" s="126"/>
      <c r="M6" s="126">
        <v>2.5</v>
      </c>
      <c r="N6" s="126">
        <f t="shared" si="1"/>
        <v>24.105095541401269</v>
      </c>
      <c r="O6" s="131">
        <f t="shared" si="2"/>
        <v>7.0324856907563165E-3</v>
      </c>
      <c r="P6" s="131">
        <f>O6*(1+'Key Data'!F$3)</f>
        <v>8.7906071134453961E-3</v>
      </c>
      <c r="Q6" s="366"/>
      <c r="R6" s="366"/>
      <c r="S6" s="216"/>
    </row>
    <row r="7" spans="1:21" x14ac:dyDescent="0.3">
      <c r="A7" s="367"/>
      <c r="B7" s="367"/>
      <c r="C7" s="367"/>
      <c r="D7" s="367"/>
      <c r="E7" s="94"/>
      <c r="F7" s="94"/>
      <c r="G7" s="367"/>
      <c r="H7" s="367" t="s">
        <v>308</v>
      </c>
      <c r="I7" s="126">
        <v>24</v>
      </c>
      <c r="J7" s="126">
        <f t="shared" si="0"/>
        <v>7.6433121019108281</v>
      </c>
      <c r="K7" s="126"/>
      <c r="L7" s="126"/>
      <c r="M7" s="126">
        <v>2.2000000000000002</v>
      </c>
      <c r="N7" s="126">
        <f t="shared" si="1"/>
        <v>45.859872611464965</v>
      </c>
      <c r="O7" s="131">
        <f t="shared" si="2"/>
        <v>1.3379283121534021E-2</v>
      </c>
      <c r="P7" s="131">
        <f>O7*(1+'Key Data'!F$3)</f>
        <v>1.6724103901917527E-2</v>
      </c>
      <c r="Q7" s="366"/>
      <c r="R7" s="366"/>
      <c r="S7" s="216"/>
    </row>
    <row r="8" spans="1:21" x14ac:dyDescent="0.3">
      <c r="A8" s="367"/>
      <c r="B8" s="367"/>
      <c r="C8" s="367"/>
      <c r="D8" s="367"/>
      <c r="E8" s="94"/>
      <c r="F8" s="94"/>
      <c r="G8" s="367"/>
      <c r="H8" s="367" t="s">
        <v>308</v>
      </c>
      <c r="I8" s="126">
        <v>16.5</v>
      </c>
      <c r="J8" s="126">
        <f t="shared" si="0"/>
        <v>5.2547770700636942</v>
      </c>
      <c r="K8" s="126"/>
      <c r="L8" s="126"/>
      <c r="M8" s="126">
        <v>2.1</v>
      </c>
      <c r="N8" s="126">
        <f>3.14*J8/2*J8/2</f>
        <v>21.675955414012737</v>
      </c>
      <c r="O8" s="131">
        <f t="shared" si="2"/>
        <v>6.3238017879125603E-3</v>
      </c>
      <c r="P8" s="131">
        <f>O8*(1+'Key Data'!F$3)</f>
        <v>7.9047522348906999E-3</v>
      </c>
      <c r="Q8" s="366"/>
      <c r="R8" s="366"/>
      <c r="S8" s="216"/>
    </row>
    <row r="9" spans="1:21" x14ac:dyDescent="0.3">
      <c r="A9" s="367"/>
      <c r="B9" s="367"/>
      <c r="C9" s="367"/>
      <c r="D9" s="367"/>
      <c r="E9" s="94"/>
      <c r="F9" s="94"/>
      <c r="G9" s="367"/>
      <c r="H9" s="367" t="s">
        <v>308</v>
      </c>
      <c r="I9" s="126">
        <v>21</v>
      </c>
      <c r="J9" s="126">
        <f t="shared" si="0"/>
        <v>6.6878980891719744</v>
      </c>
      <c r="K9" s="126"/>
      <c r="L9" s="126"/>
      <c r="M9" s="126">
        <v>2.9</v>
      </c>
      <c r="N9" s="126">
        <f t="shared" si="1"/>
        <v>35.111464968152866</v>
      </c>
      <c r="O9" s="131">
        <f t="shared" si="2"/>
        <v>1.0243513639924477E-2</v>
      </c>
      <c r="P9" s="131">
        <f>O9*(1+'Key Data'!F$3)</f>
        <v>1.2804392049905597E-2</v>
      </c>
      <c r="Q9" s="366"/>
      <c r="R9" s="366"/>
      <c r="S9" s="216"/>
    </row>
    <row r="10" spans="1:21" x14ac:dyDescent="0.3">
      <c r="A10" s="367"/>
      <c r="B10" s="367"/>
      <c r="C10" s="367"/>
      <c r="D10" s="367"/>
      <c r="E10" s="94"/>
      <c r="F10" s="94"/>
      <c r="G10" s="367"/>
      <c r="H10" s="367" t="s">
        <v>308</v>
      </c>
      <c r="I10" s="126">
        <v>14.2</v>
      </c>
      <c r="J10" s="126">
        <f t="shared" si="0"/>
        <v>4.5222929936305727</v>
      </c>
      <c r="K10" s="126"/>
      <c r="L10" s="126"/>
      <c r="M10" s="126">
        <v>2.4</v>
      </c>
      <c r="N10" s="126">
        <f t="shared" si="1"/>
        <v>16.054140127388532</v>
      </c>
      <c r="O10" s="131">
        <f t="shared" si="2"/>
        <v>4.6836782094203458E-3</v>
      </c>
      <c r="P10" s="131">
        <f>O10*(1+'Key Data'!F$3)</f>
        <v>5.8545977617754322E-3</v>
      </c>
      <c r="Q10" s="366"/>
      <c r="R10" s="366"/>
      <c r="S10" s="216"/>
    </row>
    <row r="11" spans="1:21" x14ac:dyDescent="0.3">
      <c r="A11" s="367"/>
      <c r="B11" s="367"/>
      <c r="C11" s="367"/>
      <c r="D11" s="367"/>
      <c r="E11" s="94"/>
      <c r="F11" s="94"/>
      <c r="G11" s="367"/>
      <c r="H11" s="367" t="s">
        <v>308</v>
      </c>
      <c r="I11" s="126">
        <v>19.5</v>
      </c>
      <c r="J11" s="126">
        <f t="shared" si="0"/>
        <v>6.2101910828025479</v>
      </c>
      <c r="K11" s="126"/>
      <c r="L11" s="126"/>
      <c r="M11" s="126">
        <v>2.8</v>
      </c>
      <c r="N11" s="126">
        <f t="shared" si="1"/>
        <v>30.27468152866242</v>
      </c>
      <c r="O11" s="131">
        <f t="shared" si="2"/>
        <v>8.8324173732001882E-3</v>
      </c>
      <c r="P11" s="131">
        <f>O11*(1+'Key Data'!F$3)</f>
        <v>1.1040521716500235E-2</v>
      </c>
      <c r="Q11" s="366"/>
      <c r="R11" s="366"/>
      <c r="S11" s="216"/>
    </row>
    <row r="12" spans="1:21" x14ac:dyDescent="0.3">
      <c r="A12" s="367"/>
      <c r="B12" s="367"/>
      <c r="C12" s="367"/>
      <c r="D12" s="367"/>
      <c r="E12" s="94"/>
      <c r="F12" s="94"/>
      <c r="G12" s="367"/>
      <c r="H12" s="367" t="s">
        <v>308</v>
      </c>
      <c r="I12" s="126">
        <v>18.2</v>
      </c>
      <c r="J12" s="126">
        <f t="shared" si="0"/>
        <v>5.7961783439490437</v>
      </c>
      <c r="K12" s="126"/>
      <c r="L12" s="126"/>
      <c r="M12" s="126">
        <v>2.5</v>
      </c>
      <c r="N12" s="126">
        <f t="shared" si="1"/>
        <v>26.372611464968148</v>
      </c>
      <c r="O12" s="131">
        <f t="shared" si="2"/>
        <v>7.694016911765497E-3</v>
      </c>
      <c r="P12" s="131">
        <f>O12*(1+'Key Data'!F$3)</f>
        <v>9.6175211397068715E-3</v>
      </c>
      <c r="Q12" s="366"/>
      <c r="R12" s="366"/>
      <c r="S12" s="216"/>
    </row>
    <row r="13" spans="1:21" x14ac:dyDescent="0.3">
      <c r="A13" s="367"/>
      <c r="B13" s="367"/>
      <c r="C13" s="367"/>
      <c r="D13" s="367"/>
      <c r="E13" s="94"/>
      <c r="F13" s="94"/>
      <c r="G13" s="367"/>
      <c r="H13" s="367" t="s">
        <v>308</v>
      </c>
      <c r="I13" s="126">
        <v>14.6</v>
      </c>
      <c r="J13" s="126">
        <f t="shared" si="0"/>
        <v>4.6496815286624198</v>
      </c>
      <c r="K13" s="126"/>
      <c r="L13" s="126"/>
      <c r="M13" s="126">
        <v>2.6</v>
      </c>
      <c r="N13" s="126">
        <f t="shared" si="1"/>
        <v>16.971337579617831</v>
      </c>
      <c r="O13" s="131">
        <f t="shared" si="2"/>
        <v>4.9512638718510237E-3</v>
      </c>
      <c r="P13" s="131">
        <f>O13*(1+'Key Data'!F$3)</f>
        <v>6.1890798398137794E-3</v>
      </c>
      <c r="Q13" s="366"/>
      <c r="R13" s="366"/>
      <c r="S13" s="216"/>
    </row>
    <row r="14" spans="1:21" x14ac:dyDescent="0.3">
      <c r="A14" s="367"/>
      <c r="B14" s="367"/>
      <c r="C14" s="367"/>
      <c r="D14" s="367"/>
      <c r="E14" s="94"/>
      <c r="F14" s="94"/>
      <c r="G14" s="367"/>
      <c r="H14" s="367" t="s">
        <v>308</v>
      </c>
      <c r="I14" s="126">
        <v>23.8</v>
      </c>
      <c r="J14" s="126">
        <f t="shared" si="0"/>
        <v>7.5796178343949041</v>
      </c>
      <c r="K14" s="126"/>
      <c r="L14" s="126"/>
      <c r="M14" s="126">
        <v>2.9</v>
      </c>
      <c r="N14" s="126">
        <f t="shared" si="1"/>
        <v>45.098726114649679</v>
      </c>
      <c r="O14" s="131">
        <f t="shared" si="2"/>
        <v>1.3157224186391894E-2</v>
      </c>
      <c r="P14" s="131">
        <f>O14*(1+'Key Data'!F$3)</f>
        <v>1.6446530232989868E-2</v>
      </c>
      <c r="Q14" s="366"/>
      <c r="R14" s="366"/>
      <c r="S14" s="216"/>
    </row>
    <row r="15" spans="1:21" x14ac:dyDescent="0.3">
      <c r="A15" s="367"/>
      <c r="B15" s="367"/>
      <c r="C15" s="367"/>
      <c r="D15" s="367"/>
      <c r="E15" s="94"/>
      <c r="F15" s="94"/>
      <c r="G15" s="367"/>
      <c r="H15" s="367" t="s">
        <v>308</v>
      </c>
      <c r="I15" s="126">
        <v>21.6</v>
      </c>
      <c r="J15" s="126">
        <f t="shared" si="0"/>
        <v>6.8789808917197455</v>
      </c>
      <c r="K15" s="126"/>
      <c r="L15" s="126"/>
      <c r="M15" s="126">
        <v>2</v>
      </c>
      <c r="N15" s="126">
        <f t="shared" si="1"/>
        <v>37.146496815286625</v>
      </c>
      <c r="O15" s="131">
        <f t="shared" si="2"/>
        <v>1.0837219328442553E-2</v>
      </c>
      <c r="P15" s="131">
        <f>O15*(1+'Key Data'!F$3)</f>
        <v>1.3546524160553191E-2</v>
      </c>
      <c r="Q15" s="366"/>
      <c r="R15" s="366"/>
      <c r="S15" s="216"/>
    </row>
    <row r="16" spans="1:21" x14ac:dyDescent="0.3">
      <c r="A16" s="367"/>
      <c r="B16" s="367"/>
      <c r="C16" s="367"/>
      <c r="D16" s="367"/>
      <c r="E16" s="94"/>
      <c r="F16" s="94"/>
      <c r="G16" s="367"/>
      <c r="H16" s="367" t="s">
        <v>308</v>
      </c>
      <c r="I16" s="126">
        <v>18.7</v>
      </c>
      <c r="J16" s="126">
        <f t="shared" si="0"/>
        <v>5.9554140127388528</v>
      </c>
      <c r="K16" s="126"/>
      <c r="L16" s="126"/>
      <c r="M16" s="126">
        <v>2.9</v>
      </c>
      <c r="N16" s="126">
        <f t="shared" si="1"/>
        <v>27.841560509554135</v>
      </c>
      <c r="O16" s="131">
        <f t="shared" si="2"/>
        <v>8.1225720742521337E-3</v>
      </c>
      <c r="P16" s="131">
        <f>O16*(1+'Key Data'!F$3)</f>
        <v>1.0153215092815167E-2</v>
      </c>
      <c r="Q16" s="366"/>
      <c r="R16" s="366"/>
      <c r="S16" s="216"/>
    </row>
    <row r="17" spans="1:19" x14ac:dyDescent="0.3">
      <c r="A17" s="367"/>
      <c r="B17" s="367"/>
      <c r="C17" s="367"/>
      <c r="D17" s="367"/>
      <c r="E17" s="94"/>
      <c r="F17" s="94"/>
      <c r="G17" s="367"/>
      <c r="H17" s="367" t="s">
        <v>308</v>
      </c>
      <c r="I17" s="126">
        <v>26.4</v>
      </c>
      <c r="J17" s="126">
        <f t="shared" si="0"/>
        <v>8.4076433121019107</v>
      </c>
      <c r="K17" s="126"/>
      <c r="L17" s="126"/>
      <c r="M17" s="126">
        <v>2.8</v>
      </c>
      <c r="N17" s="126">
        <f t="shared" si="1"/>
        <v>55.490445859872615</v>
      </c>
      <c r="O17" s="131">
        <f t="shared" si="2"/>
        <v>1.6188932577056156E-2</v>
      </c>
      <c r="P17" s="131">
        <f>O17*(1+'Key Data'!F$3)</f>
        <v>2.0236165721320195E-2</v>
      </c>
      <c r="Q17" s="366"/>
      <c r="R17" s="366"/>
      <c r="S17" s="216"/>
    </row>
    <row r="18" spans="1:19" x14ac:dyDescent="0.3">
      <c r="A18" s="367"/>
      <c r="B18" s="367"/>
      <c r="C18" s="367"/>
      <c r="D18" s="367"/>
      <c r="E18" s="94"/>
      <c r="F18" s="94"/>
      <c r="G18" s="367"/>
      <c r="H18" s="367" t="s">
        <v>308</v>
      </c>
      <c r="I18" s="126">
        <v>18.3</v>
      </c>
      <c r="J18" s="126">
        <f t="shared" si="0"/>
        <v>5.8280254777070066</v>
      </c>
      <c r="K18" s="126"/>
      <c r="L18" s="126"/>
      <c r="M18" s="126">
        <v>2.6</v>
      </c>
      <c r="N18" s="126">
        <f t="shared" si="1"/>
        <v>26.663216560509557</v>
      </c>
      <c r="O18" s="131">
        <f t="shared" si="2"/>
        <v>7.7787988273793872E-3</v>
      </c>
      <c r="P18" s="131">
        <f>O18*(1+'Key Data'!F$3)</f>
        <v>9.7234985342242349E-3</v>
      </c>
      <c r="Q18" s="366"/>
      <c r="R18" s="366"/>
      <c r="S18" s="216"/>
    </row>
    <row r="19" spans="1:19" x14ac:dyDescent="0.3">
      <c r="A19" s="367"/>
      <c r="B19" s="367"/>
      <c r="C19" s="367"/>
      <c r="D19" s="367"/>
      <c r="E19" s="94"/>
      <c r="F19" s="94"/>
      <c r="G19" s="367"/>
      <c r="H19" s="367" t="s">
        <v>308</v>
      </c>
      <c r="I19" s="126">
        <v>18.8</v>
      </c>
      <c r="J19" s="126">
        <f t="shared" si="0"/>
        <v>5.9872611464968148</v>
      </c>
      <c r="K19" s="126"/>
      <c r="L19" s="126"/>
      <c r="M19" s="126">
        <v>3.2</v>
      </c>
      <c r="N19" s="126">
        <f t="shared" si="1"/>
        <v>28.140127388535031</v>
      </c>
      <c r="O19" s="131">
        <f t="shared" si="2"/>
        <v>8.2096767820746194E-3</v>
      </c>
      <c r="P19" s="131">
        <f>O19*(1+'Key Data'!F$3)</f>
        <v>1.0262095977593274E-2</v>
      </c>
      <c r="Q19" s="366"/>
      <c r="R19" s="366"/>
      <c r="S19" s="216"/>
    </row>
    <row r="20" spans="1:19" x14ac:dyDescent="0.3">
      <c r="A20" s="367"/>
      <c r="B20" s="367"/>
      <c r="C20" s="367"/>
      <c r="D20" s="367"/>
      <c r="E20" s="94"/>
      <c r="F20" s="94"/>
      <c r="G20" s="367"/>
      <c r="H20" s="367" t="s">
        <v>308</v>
      </c>
      <c r="I20" s="126">
        <v>17.5</v>
      </c>
      <c r="J20" s="126">
        <f t="shared" si="0"/>
        <v>5.5732484076433115</v>
      </c>
      <c r="K20" s="126"/>
      <c r="L20" s="126"/>
      <c r="M20" s="126">
        <v>2.4</v>
      </c>
      <c r="N20" s="126">
        <f t="shared" si="1"/>
        <v>24.382961783439487</v>
      </c>
      <c r="O20" s="131">
        <f t="shared" si="2"/>
        <v>7.1135511388364442E-3</v>
      </c>
      <c r="P20" s="131">
        <f>O20*(1+'Key Data'!F$3)</f>
        <v>8.8919389235455545E-3</v>
      </c>
      <c r="Q20" s="366"/>
      <c r="R20" s="366"/>
      <c r="S20" s="216"/>
    </row>
    <row r="21" spans="1:19" x14ac:dyDescent="0.3">
      <c r="A21" s="367"/>
      <c r="B21" s="367"/>
      <c r="C21" s="367"/>
      <c r="D21" s="367"/>
      <c r="E21" s="94"/>
      <c r="F21" s="94"/>
      <c r="G21" s="367"/>
      <c r="H21" s="367" t="s">
        <v>308</v>
      </c>
      <c r="I21" s="126">
        <v>19.5</v>
      </c>
      <c r="J21" s="126">
        <f t="shared" si="0"/>
        <v>6.2101910828025479</v>
      </c>
      <c r="K21" s="126"/>
      <c r="L21" s="126"/>
      <c r="M21" s="126">
        <v>3.2</v>
      </c>
      <c r="N21" s="126">
        <f t="shared" si="1"/>
        <v>30.27468152866242</v>
      </c>
      <c r="O21" s="131">
        <f t="shared" si="2"/>
        <v>8.8324173732001882E-3</v>
      </c>
      <c r="P21" s="131">
        <f>O21*(1+'Key Data'!F$3)</f>
        <v>1.1040521716500235E-2</v>
      </c>
      <c r="Q21" s="366"/>
      <c r="R21" s="366"/>
      <c r="S21" s="216"/>
    </row>
    <row r="22" spans="1:19" x14ac:dyDescent="0.3">
      <c r="A22" s="367"/>
      <c r="B22" s="367"/>
      <c r="C22" s="367"/>
      <c r="D22" s="367"/>
      <c r="E22" s="94"/>
      <c r="F22" s="94"/>
      <c r="G22" s="367"/>
      <c r="H22" s="367" t="s">
        <v>308</v>
      </c>
      <c r="I22" s="126">
        <v>24.6</v>
      </c>
      <c r="J22" s="126">
        <f t="shared" si="0"/>
        <v>7.8343949044585992</v>
      </c>
      <c r="K22" s="126"/>
      <c r="L22" s="126"/>
      <c r="M22" s="126">
        <v>3</v>
      </c>
      <c r="N22" s="126">
        <f t="shared" si="1"/>
        <v>48.181528662420391</v>
      </c>
      <c r="O22" s="131">
        <f t="shared" si="2"/>
        <v>1.4056609329561681E-2</v>
      </c>
      <c r="P22" s="131">
        <f>O22*(1+'Key Data'!F$3)</f>
        <v>1.7570761661952101E-2</v>
      </c>
      <c r="Q22" s="366"/>
      <c r="R22" s="366"/>
      <c r="S22" s="216"/>
    </row>
    <row r="23" spans="1:19" x14ac:dyDescent="0.3">
      <c r="A23" s="367"/>
      <c r="B23" s="367"/>
      <c r="C23" s="367"/>
      <c r="D23" s="367"/>
      <c r="E23" s="94"/>
      <c r="F23" s="94"/>
      <c r="G23" s="367"/>
      <c r="H23" s="367" t="s">
        <v>308</v>
      </c>
      <c r="I23" s="126">
        <v>23.8</v>
      </c>
      <c r="J23" s="126">
        <f t="shared" si="0"/>
        <v>7.5796178343949041</v>
      </c>
      <c r="K23" s="126"/>
      <c r="L23" s="126"/>
      <c r="M23" s="126">
        <v>2.4</v>
      </c>
      <c r="N23" s="126">
        <f t="shared" si="1"/>
        <v>45.098726114649679</v>
      </c>
      <c r="O23" s="131">
        <f t="shared" si="2"/>
        <v>1.3157224186391894E-2</v>
      </c>
      <c r="P23" s="131">
        <f>O23*(1+'Key Data'!F$3)</f>
        <v>1.6446530232989868E-2</v>
      </c>
      <c r="Q23" s="366"/>
      <c r="R23" s="366"/>
      <c r="S23" s="216"/>
    </row>
    <row r="24" spans="1:19" x14ac:dyDescent="0.3">
      <c r="A24" s="367"/>
      <c r="B24" s="367"/>
      <c r="C24" s="367"/>
      <c r="D24" s="367"/>
      <c r="E24" s="94"/>
      <c r="F24" s="94"/>
      <c r="G24" s="367"/>
      <c r="H24" s="367" t="s">
        <v>308</v>
      </c>
      <c r="I24" s="126">
        <v>12.2</v>
      </c>
      <c r="J24" s="126">
        <f t="shared" si="0"/>
        <v>3.8853503184713372</v>
      </c>
      <c r="K24" s="126"/>
      <c r="L24" s="126"/>
      <c r="M24" s="126">
        <v>3.5</v>
      </c>
      <c r="N24" s="126">
        <f t="shared" si="1"/>
        <v>11.850318471337578</v>
      </c>
      <c r="O24" s="131">
        <f t="shared" si="2"/>
        <v>3.4572439232797261E-3</v>
      </c>
      <c r="P24" s="131">
        <f>O24*(1+'Key Data'!F$3)</f>
        <v>4.321554904099658E-3</v>
      </c>
      <c r="Q24" s="366"/>
      <c r="R24" s="366"/>
      <c r="S24" s="217"/>
    </row>
  </sheetData>
  <mergeCells count="8">
    <mergeCell ref="R2:R24"/>
    <mergeCell ref="A2:A24"/>
    <mergeCell ref="B2:B24"/>
    <mergeCell ref="C2:C24"/>
    <mergeCell ref="D2:D24"/>
    <mergeCell ref="G2:G24"/>
    <mergeCell ref="Q2:Q24"/>
    <mergeCell ref="H2:H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6C1D-2D41-4CE1-80A7-90FC94B160F3}">
  <dimension ref="A1:T50"/>
  <sheetViews>
    <sheetView topLeftCell="G27" zoomScale="74" zoomScaleNormal="100" workbookViewId="0">
      <selection activeCell="Q37" sqref="Q37"/>
    </sheetView>
  </sheetViews>
  <sheetFormatPr defaultRowHeight="14.4" x14ac:dyDescent="0.3"/>
  <cols>
    <col min="1" max="1" width="9.33203125" bestFit="1" customWidth="1"/>
    <col min="5" max="6" width="12.33203125" bestFit="1" customWidth="1"/>
    <col min="7" max="7" width="9.33203125" bestFit="1" customWidth="1"/>
    <col min="8" max="8" width="12.5546875" customWidth="1"/>
    <col min="9" max="10" width="9.33203125" bestFit="1" customWidth="1"/>
    <col min="13" max="14" width="9.33203125" bestFit="1" customWidth="1"/>
    <col min="16" max="20" width="9.33203125" bestFit="1" customWidth="1"/>
  </cols>
  <sheetData>
    <row r="1" spans="1:20" s="164" customFormat="1" ht="86.4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95" t="s">
        <v>364</v>
      </c>
      <c r="P1" s="195" t="s">
        <v>363</v>
      </c>
      <c r="Q1" s="195" t="s">
        <v>546</v>
      </c>
      <c r="R1" s="195" t="s">
        <v>370</v>
      </c>
      <c r="S1" s="195" t="s">
        <v>361</v>
      </c>
      <c r="T1" s="195" t="s">
        <v>361</v>
      </c>
    </row>
    <row r="2" spans="1:20" s="66" customFormat="1" x14ac:dyDescent="0.3">
      <c r="A2" s="367">
        <v>5</v>
      </c>
      <c r="B2" s="367" t="s">
        <v>343</v>
      </c>
      <c r="C2" s="367" t="s">
        <v>316</v>
      </c>
      <c r="D2" s="367" t="s">
        <v>295</v>
      </c>
      <c r="E2" s="94">
        <v>14.962991199999999</v>
      </c>
      <c r="F2" s="94">
        <v>74.880697900000001</v>
      </c>
      <c r="G2" s="367">
        <v>2023</v>
      </c>
      <c r="H2" s="367" t="s">
        <v>308</v>
      </c>
      <c r="I2" s="126">
        <f>SQRT(13.5^2+13.5^2+9.5^2)</f>
        <v>21.324868112136123</v>
      </c>
      <c r="J2" s="126">
        <f t="shared" ref="J2:J33" si="0">I2/3.14</f>
        <v>6.791359271380931</v>
      </c>
      <c r="K2" s="126"/>
      <c r="L2" s="126"/>
      <c r="M2" s="126">
        <v>1</v>
      </c>
      <c r="N2" s="126">
        <f t="shared" ref="N2:N33" si="1">3.14*J2/2*J2/2</f>
        <v>36.20621019108281</v>
      </c>
      <c r="O2" s="127"/>
      <c r="P2" s="127">
        <f>(10^(-0.535+LOG10(N2)))/1000</f>
        <v>1.0562897568606936E-2</v>
      </c>
      <c r="Q2" s="95">
        <f>P2*(1+'Key Data'!F$3)</f>
        <v>1.3203621960758669E-2</v>
      </c>
      <c r="R2" s="366">
        <f>SUM(Q2:Q50)</f>
        <v>1.0581749930869979</v>
      </c>
      <c r="S2" s="370">
        <f>R2*10000/900</f>
        <v>11.757499923188865</v>
      </c>
      <c r="T2" s="368">
        <f>AVERAGE(S2:S50)</f>
        <v>11.757499923188865</v>
      </c>
    </row>
    <row r="3" spans="1:20" s="66" customFormat="1" x14ac:dyDescent="0.3">
      <c r="A3" s="367"/>
      <c r="B3" s="367"/>
      <c r="C3" s="367"/>
      <c r="D3" s="367"/>
      <c r="E3" s="94">
        <v>14.9632769</v>
      </c>
      <c r="F3" s="94">
        <v>74.880804900000001</v>
      </c>
      <c r="G3" s="367"/>
      <c r="H3" s="367" t="s">
        <v>308</v>
      </c>
      <c r="I3" s="126">
        <v>21</v>
      </c>
      <c r="J3" s="126">
        <f t="shared" si="0"/>
        <v>6.6878980891719744</v>
      </c>
      <c r="K3" s="126"/>
      <c r="L3" s="126"/>
      <c r="M3" s="126">
        <v>2.5</v>
      </c>
      <c r="N3" s="126">
        <f t="shared" si="1"/>
        <v>35.111464968152866</v>
      </c>
      <c r="O3" s="127"/>
      <c r="P3" s="127">
        <f t="shared" ref="P3:P33" si="2">(10^(-0.535+LOG10(N3)))/1000</f>
        <v>1.0243513639924477E-2</v>
      </c>
      <c r="Q3" s="95">
        <f>P3*(1+'Key Data'!F$3)</f>
        <v>1.2804392049905597E-2</v>
      </c>
      <c r="R3" s="366"/>
      <c r="S3" s="371"/>
      <c r="T3" s="369"/>
    </row>
    <row r="4" spans="1:20" s="66" customFormat="1" x14ac:dyDescent="0.3">
      <c r="A4" s="367"/>
      <c r="B4" s="367"/>
      <c r="C4" s="367"/>
      <c r="D4" s="367"/>
      <c r="E4" s="94">
        <v>14.963149599999999</v>
      </c>
      <c r="F4" s="94">
        <v>74.8810419</v>
      </c>
      <c r="G4" s="367"/>
      <c r="H4" s="367" t="s">
        <v>308</v>
      </c>
      <c r="I4" s="126">
        <v>22</v>
      </c>
      <c r="J4" s="126">
        <f t="shared" si="0"/>
        <v>7.0063694267515917</v>
      </c>
      <c r="K4" s="126"/>
      <c r="L4" s="126"/>
      <c r="M4" s="126">
        <v>1.4</v>
      </c>
      <c r="N4" s="126">
        <f t="shared" si="1"/>
        <v>38.535031847133752</v>
      </c>
      <c r="O4" s="127"/>
      <c r="P4" s="127">
        <f t="shared" si="2"/>
        <v>1.1242314289622324E-2</v>
      </c>
      <c r="Q4" s="95">
        <f>P4*(1+'Key Data'!F$3)</f>
        <v>1.4052892862027905E-2</v>
      </c>
      <c r="R4" s="366"/>
      <c r="S4" s="371"/>
      <c r="T4" s="369"/>
    </row>
    <row r="5" spans="1:20" s="66" customFormat="1" x14ac:dyDescent="0.3">
      <c r="A5" s="367"/>
      <c r="B5" s="367"/>
      <c r="C5" s="367"/>
      <c r="D5" s="367"/>
      <c r="E5" s="94">
        <v>14.9628934</v>
      </c>
      <c r="F5" s="94">
        <v>74.880985899999999</v>
      </c>
      <c r="G5" s="367"/>
      <c r="H5" s="367" t="s">
        <v>308</v>
      </c>
      <c r="I5" s="126">
        <v>25.5</v>
      </c>
      <c r="J5" s="126">
        <f t="shared" si="0"/>
        <v>8.1210191082802545</v>
      </c>
      <c r="K5" s="126"/>
      <c r="L5" s="126"/>
      <c r="M5" s="126">
        <v>2.2000000000000002</v>
      </c>
      <c r="N5" s="126">
        <f t="shared" si="1"/>
        <v>51.771496815286625</v>
      </c>
      <c r="O5" s="127"/>
      <c r="P5" s="127">
        <f t="shared" si="2"/>
        <v>1.5103956336419259E-2</v>
      </c>
      <c r="Q5" s="95">
        <f>P5*(1+'Key Data'!F$3)</f>
        <v>1.8879945420524073E-2</v>
      </c>
      <c r="R5" s="366"/>
      <c r="S5" s="371"/>
      <c r="T5" s="369"/>
    </row>
    <row r="6" spans="1:20" s="66" customFormat="1" x14ac:dyDescent="0.3">
      <c r="A6" s="367"/>
      <c r="B6" s="367"/>
      <c r="C6" s="367"/>
      <c r="D6" s="367"/>
      <c r="E6" s="94">
        <v>14.963069900000001</v>
      </c>
      <c r="F6" s="94">
        <v>74.880895699999996</v>
      </c>
      <c r="G6" s="367"/>
      <c r="H6" s="367" t="s">
        <v>308</v>
      </c>
      <c r="I6" s="126">
        <v>19.5</v>
      </c>
      <c r="J6" s="126">
        <f t="shared" si="0"/>
        <v>6.2101910828025479</v>
      </c>
      <c r="K6" s="126"/>
      <c r="L6" s="126"/>
      <c r="M6" s="126">
        <v>2.2000000000000002</v>
      </c>
      <c r="N6" s="126">
        <f t="shared" si="1"/>
        <v>30.27468152866242</v>
      </c>
      <c r="O6" s="127"/>
      <c r="P6" s="127">
        <f t="shared" si="2"/>
        <v>8.8324173732001882E-3</v>
      </c>
      <c r="Q6" s="95">
        <f>P6*(1+'Key Data'!F$3)</f>
        <v>1.1040521716500235E-2</v>
      </c>
      <c r="R6" s="366"/>
      <c r="S6" s="371"/>
      <c r="T6" s="369"/>
    </row>
    <row r="7" spans="1:20" s="66" customFormat="1" x14ac:dyDescent="0.3">
      <c r="A7" s="367"/>
      <c r="B7" s="367"/>
      <c r="C7" s="367"/>
      <c r="D7" s="367"/>
      <c r="E7" s="94"/>
      <c r="F7" s="94"/>
      <c r="G7" s="367"/>
      <c r="H7" s="367" t="s">
        <v>308</v>
      </c>
      <c r="I7" s="126">
        <v>27</v>
      </c>
      <c r="J7" s="126">
        <f t="shared" si="0"/>
        <v>8.598726114649681</v>
      </c>
      <c r="K7" s="126"/>
      <c r="L7" s="126"/>
      <c r="M7" s="126">
        <v>2.6</v>
      </c>
      <c r="N7" s="126">
        <f t="shared" si="1"/>
        <v>58.041401273885349</v>
      </c>
      <c r="O7" s="127"/>
      <c r="P7" s="127">
        <f t="shared" si="2"/>
        <v>1.6933155200691483E-2</v>
      </c>
      <c r="Q7" s="95">
        <f>P7*(1+'Key Data'!F$3)</f>
        <v>2.1166444000864353E-2</v>
      </c>
      <c r="R7" s="366"/>
      <c r="S7" s="371"/>
      <c r="T7" s="369"/>
    </row>
    <row r="8" spans="1:20" s="66" customFormat="1" x14ac:dyDescent="0.3">
      <c r="A8" s="367"/>
      <c r="B8" s="367"/>
      <c r="C8" s="367"/>
      <c r="D8" s="367"/>
      <c r="E8" s="94"/>
      <c r="F8" s="94"/>
      <c r="G8" s="367"/>
      <c r="H8" s="367" t="s">
        <v>308</v>
      </c>
      <c r="I8" s="126">
        <v>30.5</v>
      </c>
      <c r="J8" s="126">
        <f t="shared" si="0"/>
        <v>9.7133757961783438</v>
      </c>
      <c r="K8" s="126"/>
      <c r="L8" s="126"/>
      <c r="M8" s="126">
        <v>3.2</v>
      </c>
      <c r="N8" s="126">
        <f t="shared" si="1"/>
        <v>74.064490445859875</v>
      </c>
      <c r="O8" s="127"/>
      <c r="P8" s="127">
        <f t="shared" si="2"/>
        <v>2.16077745204983E-2</v>
      </c>
      <c r="Q8" s="95">
        <f>P8*(1+'Key Data'!F$3)</f>
        <v>2.7009718150622877E-2</v>
      </c>
      <c r="R8" s="366"/>
      <c r="S8" s="371"/>
      <c r="T8" s="369"/>
    </row>
    <row r="9" spans="1:20" s="66" customFormat="1" x14ac:dyDescent="0.3">
      <c r="A9" s="367"/>
      <c r="B9" s="367"/>
      <c r="C9" s="367"/>
      <c r="D9" s="367"/>
      <c r="E9" s="94"/>
      <c r="F9" s="94"/>
      <c r="G9" s="367"/>
      <c r="H9" s="367" t="s">
        <v>308</v>
      </c>
      <c r="I9" s="126">
        <v>21</v>
      </c>
      <c r="J9" s="126">
        <f t="shared" si="0"/>
        <v>6.6878980891719744</v>
      </c>
      <c r="K9" s="126"/>
      <c r="L9" s="126"/>
      <c r="M9" s="126">
        <v>2</v>
      </c>
      <c r="N9" s="126">
        <f t="shared" si="1"/>
        <v>35.111464968152866</v>
      </c>
      <c r="O9" s="127"/>
      <c r="P9" s="127">
        <f t="shared" si="2"/>
        <v>1.0243513639924477E-2</v>
      </c>
      <c r="Q9" s="95">
        <f>P9*(1+'Key Data'!F$3)</f>
        <v>1.2804392049905597E-2</v>
      </c>
      <c r="R9" s="366"/>
      <c r="S9" s="371"/>
      <c r="T9" s="369"/>
    </row>
    <row r="10" spans="1:20" s="66" customFormat="1" x14ac:dyDescent="0.3">
      <c r="A10" s="367"/>
      <c r="B10" s="367"/>
      <c r="C10" s="367"/>
      <c r="D10" s="367"/>
      <c r="E10" s="94"/>
      <c r="F10" s="94"/>
      <c r="G10" s="367"/>
      <c r="H10" s="367" t="s">
        <v>308</v>
      </c>
      <c r="I10" s="126">
        <v>22</v>
      </c>
      <c r="J10" s="126">
        <f t="shared" si="0"/>
        <v>7.0063694267515917</v>
      </c>
      <c r="K10" s="126"/>
      <c r="L10" s="126"/>
      <c r="M10" s="126">
        <v>1.6</v>
      </c>
      <c r="N10" s="126">
        <f t="shared" si="1"/>
        <v>38.535031847133752</v>
      </c>
      <c r="O10" s="127"/>
      <c r="P10" s="127">
        <f t="shared" si="2"/>
        <v>1.1242314289622324E-2</v>
      </c>
      <c r="Q10" s="95">
        <f>P10*(1+'Key Data'!F$3)</f>
        <v>1.4052892862027905E-2</v>
      </c>
      <c r="R10" s="366"/>
      <c r="S10" s="371"/>
      <c r="T10" s="369"/>
    </row>
    <row r="11" spans="1:20" s="66" customFormat="1" x14ac:dyDescent="0.3">
      <c r="A11" s="367"/>
      <c r="B11" s="367"/>
      <c r="C11" s="367"/>
      <c r="D11" s="367"/>
      <c r="E11" s="94"/>
      <c r="F11" s="94"/>
      <c r="G11" s="367"/>
      <c r="H11" s="367" t="s">
        <v>308</v>
      </c>
      <c r="I11" s="126">
        <v>28.4</v>
      </c>
      <c r="J11" s="126">
        <f t="shared" si="0"/>
        <v>9.0445859872611454</v>
      </c>
      <c r="K11" s="126"/>
      <c r="L11" s="126"/>
      <c r="M11" s="126">
        <v>1.8</v>
      </c>
      <c r="N11" s="126">
        <f t="shared" si="1"/>
        <v>64.216560509554128</v>
      </c>
      <c r="O11" s="127"/>
      <c r="P11" s="127">
        <f t="shared" si="2"/>
        <v>1.8734712837681387E-2</v>
      </c>
      <c r="Q11" s="95">
        <f>P11*(1+'Key Data'!F$3)</f>
        <v>2.3418391047101732E-2</v>
      </c>
      <c r="R11" s="366"/>
      <c r="S11" s="371"/>
      <c r="T11" s="369"/>
    </row>
    <row r="12" spans="1:20" s="66" customFormat="1" x14ac:dyDescent="0.3">
      <c r="A12" s="367"/>
      <c r="B12" s="367"/>
      <c r="C12" s="367"/>
      <c r="D12" s="367"/>
      <c r="E12" s="94"/>
      <c r="F12" s="94"/>
      <c r="G12" s="367"/>
      <c r="H12" s="367" t="s">
        <v>308</v>
      </c>
      <c r="I12" s="126">
        <v>18</v>
      </c>
      <c r="J12" s="126">
        <f t="shared" si="0"/>
        <v>5.7324840764331206</v>
      </c>
      <c r="K12" s="126"/>
      <c r="L12" s="126"/>
      <c r="M12" s="126">
        <v>1.8</v>
      </c>
      <c r="N12" s="126">
        <f t="shared" si="1"/>
        <v>25.796178343949045</v>
      </c>
      <c r="O12" s="127"/>
      <c r="P12" s="127">
        <f t="shared" si="2"/>
        <v>7.5258467558628854E-3</v>
      </c>
      <c r="Q12" s="95">
        <f>P12*(1+'Key Data'!F$3)</f>
        <v>9.4073084448286076E-3</v>
      </c>
      <c r="R12" s="366"/>
      <c r="S12" s="371"/>
      <c r="T12" s="369"/>
    </row>
    <row r="13" spans="1:20" s="66" customFormat="1" x14ac:dyDescent="0.3">
      <c r="A13" s="367"/>
      <c r="B13" s="367"/>
      <c r="C13" s="367"/>
      <c r="D13" s="367"/>
      <c r="E13" s="94"/>
      <c r="F13" s="94"/>
      <c r="G13" s="367"/>
      <c r="H13" s="367" t="s">
        <v>308</v>
      </c>
      <c r="I13" s="126">
        <v>30.8</v>
      </c>
      <c r="J13" s="126">
        <f t="shared" si="0"/>
        <v>9.8089171974522298</v>
      </c>
      <c r="K13" s="126"/>
      <c r="L13" s="126"/>
      <c r="M13" s="126">
        <v>3</v>
      </c>
      <c r="N13" s="126">
        <f t="shared" si="1"/>
        <v>75.528662420382176</v>
      </c>
      <c r="O13" s="127"/>
      <c r="P13" s="127">
        <f t="shared" si="2"/>
        <v>2.2034936007659777E-2</v>
      </c>
      <c r="Q13" s="95">
        <f>P13*(1+'Key Data'!F$3)</f>
        <v>2.7543670009574722E-2</v>
      </c>
      <c r="R13" s="366"/>
      <c r="S13" s="371"/>
      <c r="T13" s="369"/>
    </row>
    <row r="14" spans="1:20" s="66" customFormat="1" x14ac:dyDescent="0.3">
      <c r="A14" s="367"/>
      <c r="B14" s="367"/>
      <c r="C14" s="367"/>
      <c r="D14" s="367"/>
      <c r="E14" s="94"/>
      <c r="F14" s="94"/>
      <c r="G14" s="367"/>
      <c r="H14" s="367" t="s">
        <v>308</v>
      </c>
      <c r="I14" s="126">
        <v>19</v>
      </c>
      <c r="J14" s="126">
        <f t="shared" si="0"/>
        <v>6.0509554140127388</v>
      </c>
      <c r="K14" s="126"/>
      <c r="L14" s="126"/>
      <c r="M14" s="126">
        <v>1.4</v>
      </c>
      <c r="N14" s="126">
        <f t="shared" si="1"/>
        <v>28.742038216560509</v>
      </c>
      <c r="O14" s="127"/>
      <c r="P14" s="127">
        <f t="shared" si="2"/>
        <v>8.3852798730447587E-3</v>
      </c>
      <c r="Q14" s="95">
        <f>P14*(1+'Key Data'!F$3)</f>
        <v>1.0481599841305948E-2</v>
      </c>
      <c r="R14" s="366"/>
      <c r="S14" s="371"/>
      <c r="T14" s="369"/>
    </row>
    <row r="15" spans="1:20" s="66" customFormat="1" x14ac:dyDescent="0.3">
      <c r="A15" s="367"/>
      <c r="B15" s="367"/>
      <c r="C15" s="367"/>
      <c r="D15" s="367"/>
      <c r="E15" s="94"/>
      <c r="F15" s="94"/>
      <c r="G15" s="367"/>
      <c r="H15" s="367" t="s">
        <v>308</v>
      </c>
      <c r="I15" s="126">
        <v>26</v>
      </c>
      <c r="J15" s="126">
        <f t="shared" si="0"/>
        <v>8.2802547770700627</v>
      </c>
      <c r="K15" s="126"/>
      <c r="L15" s="126"/>
      <c r="M15" s="126">
        <v>2.2000000000000002</v>
      </c>
      <c r="N15" s="126">
        <f t="shared" si="1"/>
        <v>53.821656050955397</v>
      </c>
      <c r="O15" s="127"/>
      <c r="P15" s="127">
        <f t="shared" si="2"/>
        <v>1.570207533013367E-2</v>
      </c>
      <c r="Q15" s="95">
        <f>P15*(1+'Key Data'!F$3)</f>
        <v>1.9627594162667086E-2</v>
      </c>
      <c r="R15" s="366"/>
      <c r="S15" s="371"/>
      <c r="T15" s="369"/>
    </row>
    <row r="16" spans="1:20" s="66" customFormat="1" x14ac:dyDescent="0.3">
      <c r="A16" s="367"/>
      <c r="B16" s="367"/>
      <c r="C16" s="367"/>
      <c r="D16" s="367"/>
      <c r="E16" s="94"/>
      <c r="F16" s="94"/>
      <c r="G16" s="367"/>
      <c r="H16" s="367" t="s">
        <v>308</v>
      </c>
      <c r="I16" s="126">
        <v>20.5</v>
      </c>
      <c r="J16" s="126">
        <f t="shared" si="0"/>
        <v>6.5286624203821653</v>
      </c>
      <c r="K16" s="126"/>
      <c r="L16" s="126"/>
      <c r="M16" s="126">
        <v>1.8</v>
      </c>
      <c r="N16" s="126">
        <f t="shared" si="1"/>
        <v>33.459394904458598</v>
      </c>
      <c r="O16" s="127"/>
      <c r="P16" s="127">
        <f t="shared" si="2"/>
        <v>9.76153425664005E-3</v>
      </c>
      <c r="Q16" s="95">
        <f>P16*(1+'Key Data'!F$3)</f>
        <v>1.2201917820800063E-2</v>
      </c>
      <c r="R16" s="366"/>
      <c r="S16" s="371"/>
      <c r="T16" s="369"/>
    </row>
    <row r="17" spans="1:20" s="66" customFormat="1" x14ac:dyDescent="0.3">
      <c r="A17" s="367"/>
      <c r="B17" s="367"/>
      <c r="C17" s="367"/>
      <c r="D17" s="367"/>
      <c r="E17" s="94"/>
      <c r="F17" s="94"/>
      <c r="G17" s="367"/>
      <c r="H17" s="367" t="s">
        <v>308</v>
      </c>
      <c r="I17" s="126">
        <v>22.8</v>
      </c>
      <c r="J17" s="126">
        <f t="shared" si="0"/>
        <v>7.2611464968152868</v>
      </c>
      <c r="K17" s="126"/>
      <c r="L17" s="126"/>
      <c r="M17" s="126">
        <v>1.8</v>
      </c>
      <c r="N17" s="126">
        <f t="shared" si="1"/>
        <v>41.388535031847134</v>
      </c>
      <c r="O17" s="127"/>
      <c r="P17" s="127">
        <f t="shared" si="2"/>
        <v>1.2074803017184442E-2</v>
      </c>
      <c r="Q17" s="95">
        <f>P17*(1+'Key Data'!F$3)</f>
        <v>1.5093503771480552E-2</v>
      </c>
      <c r="R17" s="366"/>
      <c r="S17" s="371"/>
      <c r="T17" s="369"/>
    </row>
    <row r="18" spans="1:20" s="66" customFormat="1" x14ac:dyDescent="0.3">
      <c r="A18" s="367"/>
      <c r="B18" s="367"/>
      <c r="C18" s="367"/>
      <c r="D18" s="367"/>
      <c r="E18" s="94"/>
      <c r="F18" s="94"/>
      <c r="G18" s="367"/>
      <c r="H18" s="367" t="s">
        <v>308</v>
      </c>
      <c r="I18" s="126">
        <v>27</v>
      </c>
      <c r="J18" s="126">
        <f t="shared" si="0"/>
        <v>8.598726114649681</v>
      </c>
      <c r="K18" s="126"/>
      <c r="L18" s="126"/>
      <c r="M18" s="126">
        <v>2.2999999999999998</v>
      </c>
      <c r="N18" s="126">
        <f t="shared" si="1"/>
        <v>58.041401273885349</v>
      </c>
      <c r="O18" s="127"/>
      <c r="P18" s="127">
        <f t="shared" si="2"/>
        <v>1.6933155200691483E-2</v>
      </c>
      <c r="Q18" s="95">
        <f>P18*(1+'Key Data'!F$3)</f>
        <v>2.1166444000864353E-2</v>
      </c>
      <c r="R18" s="366"/>
      <c r="S18" s="371"/>
      <c r="T18" s="369"/>
    </row>
    <row r="19" spans="1:20" s="66" customFormat="1" x14ac:dyDescent="0.3">
      <c r="A19" s="367"/>
      <c r="B19" s="367"/>
      <c r="C19" s="367"/>
      <c r="D19" s="367"/>
      <c r="E19" s="94"/>
      <c r="F19" s="94"/>
      <c r="G19" s="367"/>
      <c r="H19" s="367" t="s">
        <v>308</v>
      </c>
      <c r="I19" s="126">
        <v>23</v>
      </c>
      <c r="J19" s="126">
        <f t="shared" si="0"/>
        <v>7.3248407643312099</v>
      </c>
      <c r="K19" s="126"/>
      <c r="L19" s="126"/>
      <c r="M19" s="126">
        <v>1.5</v>
      </c>
      <c r="N19" s="126">
        <f t="shared" si="1"/>
        <v>42.117834394904456</v>
      </c>
      <c r="O19" s="127"/>
      <c r="P19" s="127">
        <f t="shared" si="2"/>
        <v>1.2287570783492173E-2</v>
      </c>
      <c r="Q19" s="95">
        <f>P19*(1+'Key Data'!F$3)</f>
        <v>1.5359463479365216E-2</v>
      </c>
      <c r="R19" s="366"/>
      <c r="S19" s="371"/>
      <c r="T19" s="369"/>
    </row>
    <row r="20" spans="1:20" s="66" customFormat="1" x14ac:dyDescent="0.3">
      <c r="A20" s="367"/>
      <c r="B20" s="367"/>
      <c r="C20" s="367"/>
      <c r="D20" s="367"/>
      <c r="E20" s="94"/>
      <c r="F20" s="94"/>
      <c r="G20" s="367"/>
      <c r="H20" s="367" t="s">
        <v>308</v>
      </c>
      <c r="I20" s="126">
        <v>23</v>
      </c>
      <c r="J20" s="126">
        <f t="shared" si="0"/>
        <v>7.3248407643312099</v>
      </c>
      <c r="K20" s="126"/>
      <c r="L20" s="126"/>
      <c r="M20" s="126">
        <v>1.5</v>
      </c>
      <c r="N20" s="126">
        <f t="shared" si="1"/>
        <v>42.117834394904456</v>
      </c>
      <c r="O20" s="127"/>
      <c r="P20" s="127">
        <f t="shared" si="2"/>
        <v>1.2287570783492173E-2</v>
      </c>
      <c r="Q20" s="95">
        <f>P20*(1+'Key Data'!F$3)</f>
        <v>1.5359463479365216E-2</v>
      </c>
      <c r="R20" s="366"/>
      <c r="S20" s="371"/>
      <c r="T20" s="369"/>
    </row>
    <row r="21" spans="1:20" s="66" customFormat="1" x14ac:dyDescent="0.3">
      <c r="A21" s="367"/>
      <c r="B21" s="367"/>
      <c r="C21" s="367"/>
      <c r="D21" s="367"/>
      <c r="E21" s="94"/>
      <c r="F21" s="94"/>
      <c r="G21" s="367"/>
      <c r="H21" s="367" t="s">
        <v>308</v>
      </c>
      <c r="I21" s="126">
        <v>26</v>
      </c>
      <c r="J21" s="126">
        <f t="shared" si="0"/>
        <v>8.2802547770700627</v>
      </c>
      <c r="K21" s="126"/>
      <c r="L21" s="126"/>
      <c r="M21" s="126">
        <v>2</v>
      </c>
      <c r="N21" s="126">
        <f t="shared" si="1"/>
        <v>53.821656050955397</v>
      </c>
      <c r="O21" s="127"/>
      <c r="P21" s="127">
        <f t="shared" si="2"/>
        <v>1.570207533013367E-2</v>
      </c>
      <c r="Q21" s="95">
        <f>P21*(1+'Key Data'!F$3)</f>
        <v>1.9627594162667086E-2</v>
      </c>
      <c r="R21" s="366"/>
      <c r="S21" s="371"/>
      <c r="T21" s="369"/>
    </row>
    <row r="22" spans="1:20" s="66" customFormat="1" x14ac:dyDescent="0.3">
      <c r="A22" s="367"/>
      <c r="B22" s="367"/>
      <c r="C22" s="367"/>
      <c r="D22" s="367"/>
      <c r="E22" s="94"/>
      <c r="F22" s="94"/>
      <c r="G22" s="367"/>
      <c r="H22" s="367" t="s">
        <v>308</v>
      </c>
      <c r="I22" s="126">
        <v>31</v>
      </c>
      <c r="J22" s="126">
        <f t="shared" si="0"/>
        <v>9.872611464968152</v>
      </c>
      <c r="K22" s="126"/>
      <c r="L22" s="126"/>
      <c r="M22" s="126">
        <v>2</v>
      </c>
      <c r="N22" s="126">
        <f t="shared" si="1"/>
        <v>76.51273885350318</v>
      </c>
      <c r="O22" s="127"/>
      <c r="P22" s="127">
        <f t="shared" si="2"/>
        <v>2.2322033124642683E-2</v>
      </c>
      <c r="Q22" s="95">
        <f>P22*(1+'Key Data'!F$3)</f>
        <v>2.7902541405803352E-2</v>
      </c>
      <c r="R22" s="366"/>
      <c r="S22" s="371"/>
      <c r="T22" s="369"/>
    </row>
    <row r="23" spans="1:20" s="66" customFormat="1" x14ac:dyDescent="0.3">
      <c r="A23" s="367"/>
      <c r="B23" s="367"/>
      <c r="C23" s="367"/>
      <c r="D23" s="367"/>
      <c r="E23" s="94"/>
      <c r="F23" s="94"/>
      <c r="G23" s="367"/>
      <c r="H23" s="367" t="s">
        <v>308</v>
      </c>
      <c r="I23" s="126">
        <f>SQRT(20^2+14^2+11^2)</f>
        <v>26.776855677991769</v>
      </c>
      <c r="J23" s="126">
        <f t="shared" si="0"/>
        <v>8.5276610439464235</v>
      </c>
      <c r="K23" s="126"/>
      <c r="L23" s="126"/>
      <c r="M23" s="126">
        <v>1.9</v>
      </c>
      <c r="N23" s="126">
        <f t="shared" si="1"/>
        <v>57.085987261146506</v>
      </c>
      <c r="O23" s="127"/>
      <c r="P23" s="127">
        <f t="shared" si="2"/>
        <v>1.6654420135659528E-2</v>
      </c>
      <c r="Q23" s="95">
        <f>P23*(1+'Key Data'!F$3)</f>
        <v>2.081802516957441E-2</v>
      </c>
      <c r="R23" s="366"/>
      <c r="S23" s="371"/>
      <c r="T23" s="369"/>
    </row>
    <row r="24" spans="1:20" s="66" customFormat="1" x14ac:dyDescent="0.3">
      <c r="A24" s="367"/>
      <c r="B24" s="367"/>
      <c r="C24" s="367"/>
      <c r="D24" s="367"/>
      <c r="E24" s="94"/>
      <c r="F24" s="94"/>
      <c r="G24" s="367"/>
      <c r="H24" s="367" t="s">
        <v>308</v>
      </c>
      <c r="I24" s="126">
        <v>25.2</v>
      </c>
      <c r="J24" s="126">
        <f t="shared" si="0"/>
        <v>8.0254777070063685</v>
      </c>
      <c r="K24" s="126"/>
      <c r="L24" s="126"/>
      <c r="M24" s="126">
        <v>3</v>
      </c>
      <c r="N24" s="126">
        <f t="shared" si="1"/>
        <v>50.560509554140118</v>
      </c>
      <c r="O24" s="127"/>
      <c r="P24" s="127">
        <f t="shared" si="2"/>
        <v>1.4750659641491257E-2</v>
      </c>
      <c r="Q24" s="95">
        <f>P24*(1+'Key Data'!F$3)</f>
        <v>1.8438324551864071E-2</v>
      </c>
      <c r="R24" s="366"/>
      <c r="S24" s="371"/>
      <c r="T24" s="369"/>
    </row>
    <row r="25" spans="1:20" s="66" customFormat="1" x14ac:dyDescent="0.3">
      <c r="A25" s="367"/>
      <c r="B25" s="367"/>
      <c r="C25" s="367"/>
      <c r="D25" s="367"/>
      <c r="E25" s="94"/>
      <c r="F25" s="94"/>
      <c r="G25" s="367"/>
      <c r="H25" s="367" t="s">
        <v>308</v>
      </c>
      <c r="I25" s="126">
        <v>24.8</v>
      </c>
      <c r="J25" s="126">
        <f t="shared" si="0"/>
        <v>7.8980891719745223</v>
      </c>
      <c r="K25" s="126"/>
      <c r="L25" s="126"/>
      <c r="M25" s="126">
        <v>3</v>
      </c>
      <c r="N25" s="126">
        <f t="shared" si="1"/>
        <v>48.968152866242036</v>
      </c>
      <c r="O25" s="127"/>
      <c r="P25" s="127">
        <f t="shared" si="2"/>
        <v>1.4286101199771325E-2</v>
      </c>
      <c r="Q25" s="95">
        <f>P25*(1+'Key Data'!F$3)</f>
        <v>1.7857626499714157E-2</v>
      </c>
      <c r="R25" s="366"/>
      <c r="S25" s="371"/>
      <c r="T25" s="369"/>
    </row>
    <row r="26" spans="1:20" s="66" customFormat="1" x14ac:dyDescent="0.3">
      <c r="A26" s="367"/>
      <c r="B26" s="367"/>
      <c r="C26" s="367"/>
      <c r="D26" s="367"/>
      <c r="E26" s="94"/>
      <c r="F26" s="94"/>
      <c r="G26" s="367"/>
      <c r="H26" s="367" t="s">
        <v>308</v>
      </c>
      <c r="I26" s="126">
        <v>24.8</v>
      </c>
      <c r="J26" s="126">
        <f t="shared" si="0"/>
        <v>7.8980891719745223</v>
      </c>
      <c r="K26" s="126"/>
      <c r="L26" s="126"/>
      <c r="M26" s="126">
        <v>1.5</v>
      </c>
      <c r="N26" s="126">
        <f t="shared" si="1"/>
        <v>48.968152866242036</v>
      </c>
      <c r="O26" s="127"/>
      <c r="P26" s="127">
        <f t="shared" si="2"/>
        <v>1.4286101199771325E-2</v>
      </c>
      <c r="Q26" s="95">
        <f>P26*(1+'Key Data'!F$3)</f>
        <v>1.7857626499714157E-2</v>
      </c>
      <c r="R26" s="366"/>
      <c r="S26" s="371"/>
      <c r="T26" s="369"/>
    </row>
    <row r="27" spans="1:20" s="66" customFormat="1" x14ac:dyDescent="0.3">
      <c r="A27" s="367"/>
      <c r="B27" s="367"/>
      <c r="C27" s="367"/>
      <c r="D27" s="367"/>
      <c r="E27" s="94"/>
      <c r="F27" s="94"/>
      <c r="G27" s="367"/>
      <c r="H27" s="367" t="s">
        <v>308</v>
      </c>
      <c r="I27" s="126">
        <v>20.8</v>
      </c>
      <c r="J27" s="126">
        <f t="shared" si="0"/>
        <v>6.6242038216560513</v>
      </c>
      <c r="K27" s="126"/>
      <c r="L27" s="126"/>
      <c r="M27" s="126">
        <v>2.2999999999999998</v>
      </c>
      <c r="N27" s="126">
        <f t="shared" si="1"/>
        <v>34.445859872611464</v>
      </c>
      <c r="O27" s="127"/>
      <c r="P27" s="127">
        <f t="shared" si="2"/>
        <v>1.0049328211285544E-2</v>
      </c>
      <c r="Q27" s="95">
        <f>P27*(1+'Key Data'!F$3)</f>
        <v>1.256166026410693E-2</v>
      </c>
      <c r="R27" s="366"/>
      <c r="S27" s="371"/>
      <c r="T27" s="369"/>
    </row>
    <row r="28" spans="1:20" s="66" customFormat="1" x14ac:dyDescent="0.3">
      <c r="A28" s="367"/>
      <c r="B28" s="367"/>
      <c r="C28" s="367"/>
      <c r="D28" s="367"/>
      <c r="E28" s="94"/>
      <c r="F28" s="94"/>
      <c r="G28" s="367"/>
      <c r="H28" s="367" t="s">
        <v>308</v>
      </c>
      <c r="I28" s="126">
        <v>28.8</v>
      </c>
      <c r="J28" s="126">
        <f t="shared" si="0"/>
        <v>9.1719745222929934</v>
      </c>
      <c r="K28" s="126"/>
      <c r="L28" s="126"/>
      <c r="M28" s="126">
        <v>3.2</v>
      </c>
      <c r="N28" s="126">
        <f t="shared" si="1"/>
        <v>66.038216560509554</v>
      </c>
      <c r="O28" s="127"/>
      <c r="P28" s="127">
        <f t="shared" si="2"/>
        <v>1.9266167695008975E-2</v>
      </c>
      <c r="Q28" s="95">
        <f>P28*(1+'Key Data'!F$3)</f>
        <v>2.4082709618761217E-2</v>
      </c>
      <c r="R28" s="366"/>
      <c r="S28" s="371"/>
      <c r="T28" s="369"/>
    </row>
    <row r="29" spans="1:20" s="66" customFormat="1" x14ac:dyDescent="0.3">
      <c r="A29" s="367"/>
      <c r="B29" s="367"/>
      <c r="C29" s="367"/>
      <c r="D29" s="367"/>
      <c r="E29" s="94"/>
      <c r="F29" s="94"/>
      <c r="G29" s="367"/>
      <c r="H29" s="367" t="s">
        <v>308</v>
      </c>
      <c r="I29" s="126">
        <v>21.8</v>
      </c>
      <c r="J29" s="126">
        <f t="shared" si="0"/>
        <v>6.9426751592356686</v>
      </c>
      <c r="K29" s="126"/>
      <c r="L29" s="126"/>
      <c r="M29" s="126">
        <v>3</v>
      </c>
      <c r="N29" s="126">
        <f t="shared" si="1"/>
        <v>37.837579617834393</v>
      </c>
      <c r="O29" s="127"/>
      <c r="P29" s="127">
        <f t="shared" si="2"/>
        <v>1.1038837692149001E-2</v>
      </c>
      <c r="Q29" s="95">
        <f>P29*(1+'Key Data'!F$3)</f>
        <v>1.3798547115186251E-2</v>
      </c>
      <c r="R29" s="366"/>
      <c r="S29" s="371"/>
      <c r="T29" s="369"/>
    </row>
    <row r="30" spans="1:20" s="66" customFormat="1" x14ac:dyDescent="0.3">
      <c r="A30" s="367"/>
      <c r="B30" s="367"/>
      <c r="C30" s="367"/>
      <c r="D30" s="367"/>
      <c r="E30" s="94"/>
      <c r="F30" s="94"/>
      <c r="G30" s="367"/>
      <c r="H30" s="367" t="s">
        <v>308</v>
      </c>
      <c r="I30" s="126">
        <v>24.5</v>
      </c>
      <c r="J30" s="126">
        <f t="shared" si="0"/>
        <v>7.8025477707006363</v>
      </c>
      <c r="K30" s="126"/>
      <c r="L30" s="126"/>
      <c r="M30" s="126">
        <v>2</v>
      </c>
      <c r="N30" s="126">
        <f t="shared" si="1"/>
        <v>47.790605095541395</v>
      </c>
      <c r="O30" s="127"/>
      <c r="P30" s="127">
        <f t="shared" si="2"/>
        <v>1.3942560232119433E-2</v>
      </c>
      <c r="Q30" s="95">
        <f>P30*(1+'Key Data'!F$3)</f>
        <v>1.7428200290149291E-2</v>
      </c>
      <c r="R30" s="366"/>
      <c r="S30" s="371"/>
      <c r="T30" s="369"/>
    </row>
    <row r="31" spans="1:20" s="66" customFormat="1" x14ac:dyDescent="0.3">
      <c r="A31" s="367"/>
      <c r="B31" s="367"/>
      <c r="C31" s="367"/>
      <c r="D31" s="367"/>
      <c r="E31" s="94"/>
      <c r="F31" s="94"/>
      <c r="G31" s="367"/>
      <c r="H31" s="367" t="s">
        <v>308</v>
      </c>
      <c r="I31" s="126">
        <v>19</v>
      </c>
      <c r="J31" s="126">
        <f t="shared" si="0"/>
        <v>6.0509554140127388</v>
      </c>
      <c r="K31" s="126"/>
      <c r="L31" s="126"/>
      <c r="M31" s="126">
        <v>1.5</v>
      </c>
      <c r="N31" s="126">
        <f t="shared" si="1"/>
        <v>28.742038216560509</v>
      </c>
      <c r="O31" s="127"/>
      <c r="P31" s="127">
        <f t="shared" si="2"/>
        <v>8.3852798730447587E-3</v>
      </c>
      <c r="Q31" s="95">
        <f>P31*(1+'Key Data'!F$3)</f>
        <v>1.0481599841305948E-2</v>
      </c>
      <c r="R31" s="366"/>
      <c r="S31" s="371"/>
      <c r="T31" s="369"/>
    </row>
    <row r="32" spans="1:20" s="66" customFormat="1" x14ac:dyDescent="0.3">
      <c r="A32" s="367"/>
      <c r="B32" s="367"/>
      <c r="C32" s="367"/>
      <c r="D32" s="367"/>
      <c r="E32" s="94"/>
      <c r="F32" s="94"/>
      <c r="G32" s="367"/>
      <c r="H32" s="367" t="s">
        <v>308</v>
      </c>
      <c r="I32" s="126">
        <v>23</v>
      </c>
      <c r="J32" s="126">
        <f t="shared" si="0"/>
        <v>7.3248407643312099</v>
      </c>
      <c r="K32" s="126"/>
      <c r="L32" s="126"/>
      <c r="M32" s="126">
        <v>2.2000000000000002</v>
      </c>
      <c r="N32" s="126">
        <f t="shared" si="1"/>
        <v>42.117834394904456</v>
      </c>
      <c r="O32" s="127"/>
      <c r="P32" s="127">
        <f t="shared" si="2"/>
        <v>1.2287570783492173E-2</v>
      </c>
      <c r="Q32" s="95">
        <f>P32*(1+'Key Data'!F$3)</f>
        <v>1.5359463479365216E-2</v>
      </c>
      <c r="R32" s="366"/>
      <c r="S32" s="371"/>
      <c r="T32" s="369"/>
    </row>
    <row r="33" spans="1:20" s="66" customFormat="1" x14ac:dyDescent="0.3">
      <c r="A33" s="367"/>
      <c r="B33" s="367"/>
      <c r="C33" s="367"/>
      <c r="D33" s="367"/>
      <c r="E33" s="94"/>
      <c r="F33" s="94"/>
      <c r="G33" s="367"/>
      <c r="H33" s="367" t="s">
        <v>308</v>
      </c>
      <c r="I33" s="126">
        <f>SQRT(18^2+16^2)</f>
        <v>24.083189157584592</v>
      </c>
      <c r="J33" s="126">
        <f t="shared" si="0"/>
        <v>7.6698054641989142</v>
      </c>
      <c r="K33" s="126"/>
      <c r="L33" s="126"/>
      <c r="M33" s="126">
        <v>1.6</v>
      </c>
      <c r="N33" s="126">
        <f t="shared" si="1"/>
        <v>46.178343949044589</v>
      </c>
      <c r="O33" s="127"/>
      <c r="P33" s="127">
        <f t="shared" si="2"/>
        <v>1.3472194809877998E-2</v>
      </c>
      <c r="Q33" s="95">
        <f>P33*(1+'Key Data'!F$3)</f>
        <v>1.6840243512347496E-2</v>
      </c>
      <c r="R33" s="366"/>
      <c r="S33" s="371"/>
      <c r="T33" s="369"/>
    </row>
    <row r="34" spans="1:20" s="66" customFormat="1" x14ac:dyDescent="0.3">
      <c r="A34" s="367"/>
      <c r="B34" s="367"/>
      <c r="C34" s="367"/>
      <c r="D34" s="367"/>
      <c r="E34" s="94"/>
      <c r="F34" s="94"/>
      <c r="G34" s="367"/>
      <c r="H34" s="367" t="s">
        <v>308</v>
      </c>
      <c r="I34" s="126">
        <v>30</v>
      </c>
      <c r="J34" s="126">
        <f t="shared" ref="J34:J50" si="3">I34/3.14</f>
        <v>9.5541401273885338</v>
      </c>
      <c r="K34" s="126"/>
      <c r="L34" s="126"/>
      <c r="M34" s="126">
        <v>1.8</v>
      </c>
      <c r="N34" s="126">
        <f t="shared" ref="N34:N50" si="4">3.14*J34/2*J34/2</f>
        <v>71.656050955413988</v>
      </c>
      <c r="O34" s="127"/>
      <c r="P34" s="127">
        <f t="shared" ref="P34:P50" si="5">(10^(-0.535+LOG10(N34)))/1000</f>
        <v>2.0905129877396889E-2</v>
      </c>
      <c r="Q34" s="95">
        <f>P34*(1+'Key Data'!F$3)</f>
        <v>2.6131412346746111E-2</v>
      </c>
      <c r="R34" s="366"/>
      <c r="S34" s="371"/>
      <c r="T34" s="369"/>
    </row>
    <row r="35" spans="1:20" s="66" customFormat="1" x14ac:dyDescent="0.3">
      <c r="A35" s="367"/>
      <c r="B35" s="367"/>
      <c r="C35" s="367"/>
      <c r="D35" s="367"/>
      <c r="E35" s="94"/>
      <c r="F35" s="94"/>
      <c r="G35" s="367"/>
      <c r="H35" s="367" t="s">
        <v>308</v>
      </c>
      <c r="I35" s="126">
        <v>27.5</v>
      </c>
      <c r="J35" s="126">
        <f t="shared" si="3"/>
        <v>8.7579617834394909</v>
      </c>
      <c r="K35" s="126"/>
      <c r="L35" s="126"/>
      <c r="M35" s="126">
        <v>2</v>
      </c>
      <c r="N35" s="126">
        <f t="shared" si="4"/>
        <v>60.210987261146506</v>
      </c>
      <c r="O35" s="127"/>
      <c r="P35" s="127">
        <f t="shared" si="5"/>
        <v>1.7566116077534905E-2</v>
      </c>
      <c r="Q35" s="95">
        <f>P35*(1+'Key Data'!F$3)</f>
        <v>2.1957645096918631E-2</v>
      </c>
      <c r="R35" s="366"/>
      <c r="S35" s="371"/>
      <c r="T35" s="369"/>
    </row>
    <row r="36" spans="1:20" s="66" customFormat="1" x14ac:dyDescent="0.3">
      <c r="A36" s="367"/>
      <c r="B36" s="367"/>
      <c r="C36" s="367"/>
      <c r="D36" s="367"/>
      <c r="E36" s="94"/>
      <c r="F36" s="94"/>
      <c r="G36" s="367"/>
      <c r="H36" s="367" t="s">
        <v>308</v>
      </c>
      <c r="I36" s="126">
        <v>32</v>
      </c>
      <c r="J36" s="126">
        <f t="shared" si="3"/>
        <v>10.19108280254777</v>
      </c>
      <c r="K36" s="126"/>
      <c r="L36" s="126"/>
      <c r="M36" s="126">
        <v>2.2999999999999998</v>
      </c>
      <c r="N36" s="126">
        <f t="shared" si="4"/>
        <v>81.528662420382162</v>
      </c>
      <c r="O36" s="127"/>
      <c r="P36" s="127">
        <f t="shared" si="5"/>
        <v>2.3785392216060477E-2</v>
      </c>
      <c r="Q36" s="95">
        <f>P36*(1+'Key Data'!F$3)</f>
        <v>2.9731740270075597E-2</v>
      </c>
      <c r="R36" s="366"/>
      <c r="S36" s="371"/>
      <c r="T36" s="369"/>
    </row>
    <row r="37" spans="1:20" s="66" customFormat="1" x14ac:dyDescent="0.3">
      <c r="A37" s="367"/>
      <c r="B37" s="367"/>
      <c r="C37" s="367"/>
      <c r="D37" s="367"/>
      <c r="E37" s="94"/>
      <c r="F37" s="94"/>
      <c r="G37" s="367"/>
      <c r="H37" s="367" t="s">
        <v>308</v>
      </c>
      <c r="I37" s="126">
        <v>53.6</v>
      </c>
      <c r="J37" s="126">
        <f t="shared" si="3"/>
        <v>17.070063694267517</v>
      </c>
      <c r="K37" s="126"/>
      <c r="L37" s="126"/>
      <c r="M37" s="126">
        <v>3.5</v>
      </c>
      <c r="N37" s="126">
        <f t="shared" si="4"/>
        <v>228.73885350318477</v>
      </c>
      <c r="O37" s="127"/>
      <c r="P37" s="127">
        <f t="shared" si="5"/>
        <v>6.6732891036184641E-2</v>
      </c>
      <c r="Q37" s="95">
        <f>P37*(1+'Key Data'!F$3)</f>
        <v>8.3416113795230798E-2</v>
      </c>
      <c r="R37" s="366"/>
      <c r="S37" s="371"/>
      <c r="T37" s="369"/>
    </row>
    <row r="38" spans="1:20" s="66" customFormat="1" x14ac:dyDescent="0.3">
      <c r="A38" s="367"/>
      <c r="B38" s="367"/>
      <c r="C38" s="367"/>
      <c r="D38" s="367"/>
      <c r="E38" s="94"/>
      <c r="F38" s="94"/>
      <c r="G38" s="367"/>
      <c r="H38" s="367" t="s">
        <v>308</v>
      </c>
      <c r="I38" s="126">
        <v>30.6</v>
      </c>
      <c r="J38" s="126">
        <f t="shared" si="3"/>
        <v>9.7452229299363058</v>
      </c>
      <c r="K38" s="126"/>
      <c r="L38" s="126"/>
      <c r="M38" s="126">
        <v>2</v>
      </c>
      <c r="N38" s="126">
        <f t="shared" si="4"/>
        <v>74.550955414012748</v>
      </c>
      <c r="O38" s="127"/>
      <c r="P38" s="127">
        <f t="shared" si="5"/>
        <v>2.1749697124443745E-2</v>
      </c>
      <c r="Q38" s="95">
        <f>P38*(1+'Key Data'!F$3)</f>
        <v>2.7187121405554682E-2</v>
      </c>
      <c r="R38" s="366"/>
      <c r="S38" s="371"/>
      <c r="T38" s="369"/>
    </row>
    <row r="39" spans="1:20" s="66" customFormat="1" x14ac:dyDescent="0.3">
      <c r="A39" s="367"/>
      <c r="B39" s="367"/>
      <c r="C39" s="367"/>
      <c r="D39" s="367"/>
      <c r="E39" s="94"/>
      <c r="F39" s="94"/>
      <c r="G39" s="367"/>
      <c r="H39" s="367" t="s">
        <v>308</v>
      </c>
      <c r="I39" s="126">
        <v>27.6</v>
      </c>
      <c r="J39" s="126">
        <f t="shared" si="3"/>
        <v>8.7898089171974529</v>
      </c>
      <c r="K39" s="126"/>
      <c r="L39" s="126"/>
      <c r="M39" s="126">
        <v>2</v>
      </c>
      <c r="N39" s="126">
        <f t="shared" si="4"/>
        <v>60.649681528662434</v>
      </c>
      <c r="O39" s="127"/>
      <c r="P39" s="127">
        <f t="shared" si="5"/>
        <v>1.7694101928228734E-2</v>
      </c>
      <c r="Q39" s="95">
        <f>P39*(1+'Key Data'!F$3)</f>
        <v>2.2117627410285917E-2</v>
      </c>
      <c r="R39" s="366"/>
      <c r="S39" s="371"/>
      <c r="T39" s="369"/>
    </row>
    <row r="40" spans="1:20" s="66" customFormat="1" x14ac:dyDescent="0.3">
      <c r="A40" s="367"/>
      <c r="B40" s="367"/>
      <c r="C40" s="367"/>
      <c r="D40" s="367"/>
      <c r="E40" s="94"/>
      <c r="F40" s="94"/>
      <c r="G40" s="367"/>
      <c r="H40" s="367" t="s">
        <v>308</v>
      </c>
      <c r="I40" s="126">
        <v>23.6</v>
      </c>
      <c r="J40" s="126">
        <f t="shared" si="3"/>
        <v>7.515923566878981</v>
      </c>
      <c r="K40" s="126"/>
      <c r="L40" s="126"/>
      <c r="M40" s="126">
        <v>2.4</v>
      </c>
      <c r="N40" s="126">
        <f t="shared" si="4"/>
        <v>44.34394904458599</v>
      </c>
      <c r="O40" s="127"/>
      <c r="P40" s="127">
        <f t="shared" si="5"/>
        <v>1.2937023485016649E-2</v>
      </c>
      <c r="Q40" s="95">
        <f>P40*(1+'Key Data'!F$3)</f>
        <v>1.6171279356270812E-2</v>
      </c>
      <c r="R40" s="366"/>
      <c r="S40" s="371"/>
      <c r="T40" s="369"/>
    </row>
    <row r="41" spans="1:20" s="66" customFormat="1" x14ac:dyDescent="0.3">
      <c r="A41" s="367"/>
      <c r="B41" s="367"/>
      <c r="C41" s="367"/>
      <c r="D41" s="367"/>
      <c r="E41" s="94"/>
      <c r="F41" s="94"/>
      <c r="G41" s="367"/>
      <c r="H41" s="367" t="s">
        <v>308</v>
      </c>
      <c r="I41" s="126">
        <v>25</v>
      </c>
      <c r="J41" s="126">
        <f t="shared" si="3"/>
        <v>7.9617834394904454</v>
      </c>
      <c r="K41" s="126"/>
      <c r="L41" s="126"/>
      <c r="M41" s="126">
        <v>2.8</v>
      </c>
      <c r="N41" s="126">
        <f t="shared" si="4"/>
        <v>49.761146496815286</v>
      </c>
      <c r="O41" s="127"/>
      <c r="P41" s="127">
        <f t="shared" si="5"/>
        <v>1.4517451303747849E-2</v>
      </c>
      <c r="Q41" s="95">
        <f>P41*(1+'Key Data'!F$3)</f>
        <v>1.8146814129684812E-2</v>
      </c>
      <c r="R41" s="366"/>
      <c r="S41" s="371"/>
      <c r="T41" s="369"/>
    </row>
    <row r="42" spans="1:20" s="66" customFormat="1" x14ac:dyDescent="0.3">
      <c r="A42" s="367"/>
      <c r="B42" s="367"/>
      <c r="C42" s="367"/>
      <c r="D42" s="367"/>
      <c r="E42" s="94"/>
      <c r="F42" s="94"/>
      <c r="G42" s="367"/>
      <c r="H42" s="367" t="s">
        <v>308</v>
      </c>
      <c r="I42" s="126">
        <v>28</v>
      </c>
      <c r="J42" s="126">
        <f t="shared" si="3"/>
        <v>8.9171974522292992</v>
      </c>
      <c r="K42" s="126"/>
      <c r="L42" s="126"/>
      <c r="M42" s="126">
        <v>2.2999999999999998</v>
      </c>
      <c r="N42" s="126">
        <f t="shared" si="4"/>
        <v>62.420382165605091</v>
      </c>
      <c r="O42" s="127"/>
      <c r="P42" s="127">
        <f t="shared" si="5"/>
        <v>1.8210690915421299E-2</v>
      </c>
      <c r="Q42" s="95">
        <f>P42*(1+'Key Data'!F$3)</f>
        <v>2.2763363644276623E-2</v>
      </c>
      <c r="R42" s="366"/>
      <c r="S42" s="371"/>
      <c r="T42" s="369"/>
    </row>
    <row r="43" spans="1:20" s="66" customFormat="1" x14ac:dyDescent="0.3">
      <c r="A43" s="367"/>
      <c r="B43" s="367"/>
      <c r="C43" s="367"/>
      <c r="D43" s="367"/>
      <c r="E43" s="94"/>
      <c r="F43" s="94"/>
      <c r="G43" s="367"/>
      <c r="H43" s="367" t="s">
        <v>308</v>
      </c>
      <c r="I43" s="126">
        <v>19.8</v>
      </c>
      <c r="J43" s="126">
        <f t="shared" si="3"/>
        <v>6.3057324840764331</v>
      </c>
      <c r="K43" s="126"/>
      <c r="L43" s="126"/>
      <c r="M43" s="126">
        <v>2</v>
      </c>
      <c r="N43" s="126">
        <f t="shared" si="4"/>
        <v>31.213375796178344</v>
      </c>
      <c r="O43" s="127"/>
      <c r="P43" s="127">
        <f t="shared" si="5"/>
        <v>9.1062745745940903E-3</v>
      </c>
      <c r="Q43" s="95">
        <f>P43*(1+'Key Data'!F$3)</f>
        <v>1.1382843218242613E-2</v>
      </c>
      <c r="R43" s="366"/>
      <c r="S43" s="371"/>
      <c r="T43" s="369"/>
    </row>
    <row r="44" spans="1:20" s="66" customFormat="1" x14ac:dyDescent="0.3">
      <c r="A44" s="367"/>
      <c r="B44" s="367"/>
      <c r="C44" s="367"/>
      <c r="D44" s="367"/>
      <c r="E44" s="94"/>
      <c r="F44" s="94"/>
      <c r="G44" s="367"/>
      <c r="H44" s="367" t="s">
        <v>308</v>
      </c>
      <c r="I44" s="126">
        <v>38.6</v>
      </c>
      <c r="J44" s="126">
        <f t="shared" si="3"/>
        <v>12.292993630573248</v>
      </c>
      <c r="K44" s="126"/>
      <c r="L44" s="126"/>
      <c r="M44" s="126">
        <v>2.6</v>
      </c>
      <c r="N44" s="126">
        <f t="shared" si="4"/>
        <v>118.62738853503184</v>
      </c>
      <c r="O44" s="127"/>
      <c r="P44" s="127">
        <f t="shared" si="5"/>
        <v>3.4608674791251411E-2</v>
      </c>
      <c r="Q44" s="95">
        <f>P44*(1+'Key Data'!F$3)</f>
        <v>4.3260843489064262E-2</v>
      </c>
      <c r="R44" s="366"/>
      <c r="S44" s="371"/>
      <c r="T44" s="369"/>
    </row>
    <row r="45" spans="1:20" s="66" customFormat="1" x14ac:dyDescent="0.3">
      <c r="A45" s="367"/>
      <c r="B45" s="367"/>
      <c r="C45" s="367"/>
      <c r="D45" s="367"/>
      <c r="E45" s="94"/>
      <c r="F45" s="94"/>
      <c r="G45" s="367"/>
      <c r="H45" s="367" t="s">
        <v>308</v>
      </c>
      <c r="I45" s="126">
        <v>53</v>
      </c>
      <c r="J45" s="126">
        <f t="shared" si="3"/>
        <v>16.878980891719745</v>
      </c>
      <c r="K45" s="126"/>
      <c r="L45" s="126"/>
      <c r="M45" s="126">
        <v>2.6</v>
      </c>
      <c r="N45" s="126">
        <f t="shared" si="4"/>
        <v>223.64649681528664</v>
      </c>
      <c r="O45" s="127"/>
      <c r="P45" s="127">
        <f t="shared" si="5"/>
        <v>6.5247233139564348E-2</v>
      </c>
      <c r="Q45" s="95">
        <f>P45*(1+'Key Data'!F$3)</f>
        <v>8.1559041424455442E-2</v>
      </c>
      <c r="R45" s="366"/>
      <c r="S45" s="371"/>
      <c r="T45" s="369"/>
    </row>
    <row r="46" spans="1:20" s="66" customFormat="1" x14ac:dyDescent="0.3">
      <c r="A46" s="367"/>
      <c r="B46" s="367"/>
      <c r="C46" s="367"/>
      <c r="D46" s="367"/>
      <c r="E46" s="94"/>
      <c r="F46" s="94"/>
      <c r="G46" s="367"/>
      <c r="H46" s="367" t="s">
        <v>308</v>
      </c>
      <c r="I46" s="126">
        <v>21.8</v>
      </c>
      <c r="J46" s="126">
        <f t="shared" si="3"/>
        <v>6.9426751592356686</v>
      </c>
      <c r="K46" s="126"/>
      <c r="L46" s="126"/>
      <c r="M46" s="126">
        <v>2.6</v>
      </c>
      <c r="N46" s="126">
        <f t="shared" si="4"/>
        <v>37.837579617834393</v>
      </c>
      <c r="O46" s="127"/>
      <c r="P46" s="127">
        <f t="shared" si="5"/>
        <v>1.1038837692149001E-2</v>
      </c>
      <c r="Q46" s="95">
        <f>P46*(1+'Key Data'!F$3)</f>
        <v>1.3798547115186251E-2</v>
      </c>
      <c r="R46" s="366"/>
      <c r="S46" s="371"/>
      <c r="T46" s="369"/>
    </row>
    <row r="47" spans="1:20" s="66" customFormat="1" x14ac:dyDescent="0.3">
      <c r="A47" s="367"/>
      <c r="B47" s="367"/>
      <c r="C47" s="367"/>
      <c r="D47" s="367"/>
      <c r="E47" s="94"/>
      <c r="F47" s="94"/>
      <c r="G47" s="367"/>
      <c r="H47" s="367" t="s">
        <v>308</v>
      </c>
      <c r="I47" s="126">
        <v>35</v>
      </c>
      <c r="J47" s="126">
        <f t="shared" si="3"/>
        <v>11.146496815286623</v>
      </c>
      <c r="K47" s="126"/>
      <c r="L47" s="126"/>
      <c r="M47" s="126">
        <v>3</v>
      </c>
      <c r="N47" s="126">
        <f t="shared" si="4"/>
        <v>97.53184713375795</v>
      </c>
      <c r="O47" s="127"/>
      <c r="P47" s="127">
        <f t="shared" si="5"/>
        <v>2.8454204555345777E-2</v>
      </c>
      <c r="Q47" s="95">
        <f>P47*(1+'Key Data'!F$3)</f>
        <v>3.5567755694182218E-2</v>
      </c>
      <c r="R47" s="366"/>
      <c r="S47" s="371"/>
      <c r="T47" s="369"/>
    </row>
    <row r="48" spans="1:20" s="66" customFormat="1" x14ac:dyDescent="0.3">
      <c r="A48" s="367"/>
      <c r="B48" s="367"/>
      <c r="C48" s="367"/>
      <c r="D48" s="367"/>
      <c r="E48" s="94"/>
      <c r="F48" s="94"/>
      <c r="G48" s="367"/>
      <c r="H48" s="367" t="s">
        <v>308</v>
      </c>
      <c r="I48" s="126">
        <v>23.8</v>
      </c>
      <c r="J48" s="126">
        <f t="shared" si="3"/>
        <v>7.5796178343949041</v>
      </c>
      <c r="K48" s="126"/>
      <c r="L48" s="126"/>
      <c r="M48" s="126">
        <v>2</v>
      </c>
      <c r="N48" s="126">
        <f t="shared" si="4"/>
        <v>45.098726114649679</v>
      </c>
      <c r="O48" s="127"/>
      <c r="P48" s="127">
        <f t="shared" si="5"/>
        <v>1.3157224186391894E-2</v>
      </c>
      <c r="Q48" s="95">
        <f>P48*(1+'Key Data'!F$3)</f>
        <v>1.6446530232989868E-2</v>
      </c>
      <c r="R48" s="366"/>
      <c r="S48" s="371"/>
      <c r="T48" s="369"/>
    </row>
    <row r="49" spans="1:20" s="66" customFormat="1" x14ac:dyDescent="0.3">
      <c r="A49" s="367"/>
      <c r="B49" s="367"/>
      <c r="C49" s="367"/>
      <c r="D49" s="367"/>
      <c r="E49" s="94"/>
      <c r="F49" s="94"/>
      <c r="G49" s="367"/>
      <c r="H49" s="367" t="s">
        <v>308</v>
      </c>
      <c r="I49" s="126">
        <v>27.2</v>
      </c>
      <c r="J49" s="126">
        <f t="shared" si="3"/>
        <v>8.6624203821656049</v>
      </c>
      <c r="K49" s="126"/>
      <c r="L49" s="126"/>
      <c r="M49" s="126">
        <v>2</v>
      </c>
      <c r="N49" s="126">
        <f t="shared" si="4"/>
        <v>58.904458598726109</v>
      </c>
      <c r="O49" s="127"/>
      <c r="P49" s="127">
        <f t="shared" si="5"/>
        <v>1.7184945876103686E-2</v>
      </c>
      <c r="Q49" s="95">
        <f>P49*(1+'Key Data'!F$3)</f>
        <v>2.1481182345129607E-2</v>
      </c>
      <c r="R49" s="366"/>
      <c r="S49" s="371"/>
      <c r="T49" s="369"/>
    </row>
    <row r="50" spans="1:20" s="66" customFormat="1" x14ac:dyDescent="0.3">
      <c r="A50" s="367"/>
      <c r="B50" s="367"/>
      <c r="C50" s="367"/>
      <c r="D50" s="367"/>
      <c r="E50" s="94"/>
      <c r="F50" s="94"/>
      <c r="G50" s="367"/>
      <c r="H50" s="367" t="s">
        <v>308</v>
      </c>
      <c r="I50" s="126">
        <v>25.8</v>
      </c>
      <c r="J50" s="126">
        <f t="shared" si="3"/>
        <v>8.2165605095541405</v>
      </c>
      <c r="K50" s="126"/>
      <c r="L50" s="126"/>
      <c r="M50" s="126">
        <v>3</v>
      </c>
      <c r="N50" s="126">
        <f t="shared" si="4"/>
        <v>52.996815286624205</v>
      </c>
      <c r="O50" s="127"/>
      <c r="P50" s="127">
        <f t="shared" si="5"/>
        <v>1.5461434057322754E-2</v>
      </c>
      <c r="Q50" s="95">
        <f>P50*(1+'Key Data'!F$3)</f>
        <v>1.9326792571653442E-2</v>
      </c>
      <c r="R50" s="366"/>
      <c r="S50" s="372"/>
      <c r="T50" s="369"/>
    </row>
  </sheetData>
  <mergeCells count="9">
    <mergeCell ref="T2:T50"/>
    <mergeCell ref="S2:S50"/>
    <mergeCell ref="R2:R50"/>
    <mergeCell ref="A2:A50"/>
    <mergeCell ref="B2:B50"/>
    <mergeCell ref="G2:G50"/>
    <mergeCell ref="C2:C50"/>
    <mergeCell ref="D2:D50"/>
    <mergeCell ref="H2:H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58AE-4A4F-4051-81DC-0C5A45BCF4FF}">
  <dimension ref="A1:S89"/>
  <sheetViews>
    <sheetView topLeftCell="H1" zoomScale="85" zoomScaleNormal="85" workbookViewId="0">
      <pane ySplit="1" topLeftCell="A67" activePane="bottomLeft" state="frozen"/>
      <selection activeCell="H1" sqref="H1"/>
      <selection pane="bottomLeft" activeCell="S2" sqref="S2:S89"/>
    </sheetView>
  </sheetViews>
  <sheetFormatPr defaultRowHeight="14.4" x14ac:dyDescent="0.3"/>
  <cols>
    <col min="5" max="5" width="10.109375" customWidth="1"/>
    <col min="8" max="8" width="11.44140625" customWidth="1"/>
    <col min="19" max="19" width="12.6640625" customWidth="1"/>
    <col min="21" max="21" width="11.6640625" bestFit="1" customWidth="1"/>
  </cols>
  <sheetData>
    <row r="1" spans="1:19" s="68" customFormat="1" ht="93.6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71" t="s">
        <v>257</v>
      </c>
      <c r="J1" s="71" t="s">
        <v>258</v>
      </c>
      <c r="K1" s="71" t="s">
        <v>251</v>
      </c>
      <c r="L1" s="71" t="s">
        <v>252</v>
      </c>
      <c r="M1" s="71" t="s">
        <v>259</v>
      </c>
      <c r="N1" s="71" t="s">
        <v>368</v>
      </c>
      <c r="O1" s="88" t="s">
        <v>364</v>
      </c>
      <c r="P1" s="88" t="s">
        <v>363</v>
      </c>
      <c r="Q1" s="88" t="s">
        <v>362</v>
      </c>
      <c r="R1" s="88" t="s">
        <v>370</v>
      </c>
      <c r="S1" s="88" t="s">
        <v>361</v>
      </c>
    </row>
    <row r="2" spans="1:19" s="66" customFormat="1" x14ac:dyDescent="0.3">
      <c r="A2" s="367">
        <v>1</v>
      </c>
      <c r="B2" s="367" t="s">
        <v>332</v>
      </c>
      <c r="C2" s="367" t="s">
        <v>333</v>
      </c>
      <c r="D2" s="367" t="s">
        <v>295</v>
      </c>
      <c r="E2" s="94">
        <v>14.972534</v>
      </c>
      <c r="F2" s="94">
        <v>74.893563499999999</v>
      </c>
      <c r="G2" s="367">
        <v>2022</v>
      </c>
      <c r="H2" s="367" t="s">
        <v>308</v>
      </c>
      <c r="I2" s="126">
        <v>41.4</v>
      </c>
      <c r="J2" s="126">
        <f t="shared" ref="J2:J33" si="0">I2/3.14</f>
        <v>13.184713375796177</v>
      </c>
      <c r="K2" s="126"/>
      <c r="L2" s="126"/>
      <c r="M2" s="126">
        <v>2.8</v>
      </c>
      <c r="N2" s="126">
        <f t="shared" ref="N2:N33" si="1">3.14*J2/2*J2/2</f>
        <v>136.46178343949043</v>
      </c>
      <c r="O2" s="127">
        <f>(10^(-0.535+LOG10(N2)))/1000</f>
        <v>3.981172933851463E-2</v>
      </c>
      <c r="P2" s="218">
        <f>O2*(1+'Key Data'!F$3)</f>
        <v>4.9764661673143286E-2</v>
      </c>
      <c r="Q2" s="366">
        <f>SUM(P2:P24)</f>
        <v>1.111746130491984</v>
      </c>
      <c r="R2" s="366">
        <f>Q2*10000/900</f>
        <v>12.352734783244266</v>
      </c>
      <c r="S2" s="376">
        <f>AVERAGE(R2:R89)</f>
        <v>10.038183828381914</v>
      </c>
    </row>
    <row r="3" spans="1:19" s="66" customFormat="1" x14ac:dyDescent="0.3">
      <c r="A3" s="367"/>
      <c r="B3" s="367"/>
      <c r="C3" s="367"/>
      <c r="D3" s="367"/>
      <c r="E3" s="94">
        <v>14.972543399999999</v>
      </c>
      <c r="F3" s="94">
        <v>74.8938816</v>
      </c>
      <c r="G3" s="367"/>
      <c r="H3" s="367" t="s">
        <v>308</v>
      </c>
      <c r="I3" s="126">
        <v>47.3</v>
      </c>
      <c r="J3" s="126">
        <f t="shared" si="0"/>
        <v>15.063694267515922</v>
      </c>
      <c r="K3" s="126"/>
      <c r="L3" s="126"/>
      <c r="M3" s="126">
        <v>2.8</v>
      </c>
      <c r="N3" s="126">
        <f t="shared" si="1"/>
        <v>178.12818471337576</v>
      </c>
      <c r="O3" s="127">
        <f t="shared" ref="O3:O33" si="2">(10^(-0.535+LOG10(N3)))/1000</f>
        <v>5.1967597803779228E-2</v>
      </c>
      <c r="P3" s="218">
        <f>O3*(1+'Key Data'!F$3)</f>
        <v>6.4959497254724038E-2</v>
      </c>
      <c r="Q3" s="366"/>
      <c r="R3" s="366"/>
      <c r="S3" s="377"/>
    </row>
    <row r="4" spans="1:19" s="66" customFormat="1" x14ac:dyDescent="0.3">
      <c r="A4" s="367"/>
      <c r="B4" s="367"/>
      <c r="C4" s="367"/>
      <c r="D4" s="367"/>
      <c r="E4" s="94">
        <v>14.9722765</v>
      </c>
      <c r="F4" s="94">
        <v>74.893885299999994</v>
      </c>
      <c r="G4" s="367"/>
      <c r="H4" s="367" t="s">
        <v>308</v>
      </c>
      <c r="I4" s="126">
        <v>49.3</v>
      </c>
      <c r="J4" s="126">
        <f t="shared" si="0"/>
        <v>15.700636942675157</v>
      </c>
      <c r="K4" s="126"/>
      <c r="L4" s="126"/>
      <c r="M4" s="126">
        <v>3.5</v>
      </c>
      <c r="N4" s="126">
        <f t="shared" si="1"/>
        <v>193.5103503184713</v>
      </c>
      <c r="O4" s="127">
        <f t="shared" si="2"/>
        <v>5.6455232350793721E-2</v>
      </c>
      <c r="P4" s="218">
        <f>O4*(1+'Key Data'!F$3)</f>
        <v>7.0569040438492159E-2</v>
      </c>
      <c r="Q4" s="366"/>
      <c r="R4" s="366"/>
      <c r="S4" s="377"/>
    </row>
    <row r="5" spans="1:19" s="66" customFormat="1" x14ac:dyDescent="0.3">
      <c r="A5" s="367"/>
      <c r="B5" s="367"/>
      <c r="C5" s="367"/>
      <c r="D5" s="367"/>
      <c r="E5" s="94">
        <v>14.972277099999999</v>
      </c>
      <c r="F5" s="94">
        <v>74.893582199999997</v>
      </c>
      <c r="G5" s="367"/>
      <c r="H5" s="367" t="s">
        <v>308</v>
      </c>
      <c r="I5" s="126">
        <v>53.4</v>
      </c>
      <c r="J5" s="126">
        <f t="shared" si="0"/>
        <v>17.00636942675159</v>
      </c>
      <c r="K5" s="126"/>
      <c r="L5" s="126"/>
      <c r="M5" s="126">
        <v>2.9</v>
      </c>
      <c r="N5" s="126">
        <f t="shared" si="1"/>
        <v>227.03503184713369</v>
      </c>
      <c r="O5" s="127">
        <f t="shared" si="2"/>
        <v>6.623581350354435E-2</v>
      </c>
      <c r="P5" s="218">
        <f>O5*(1+'Key Data'!F$3)</f>
        <v>8.2794766879430437E-2</v>
      </c>
      <c r="Q5" s="366"/>
      <c r="R5" s="366"/>
      <c r="S5" s="377"/>
    </row>
    <row r="6" spans="1:19" s="66" customFormat="1" x14ac:dyDescent="0.3">
      <c r="A6" s="367"/>
      <c r="B6" s="367"/>
      <c r="C6" s="367"/>
      <c r="D6" s="367"/>
      <c r="E6" s="94">
        <v>14.972431</v>
      </c>
      <c r="F6" s="94">
        <v>74.893746500000006</v>
      </c>
      <c r="G6" s="367"/>
      <c r="H6" s="367" t="s">
        <v>308</v>
      </c>
      <c r="I6" s="126">
        <f>SQRT(26.4^2+39.4^2)</f>
        <v>47.426996531511456</v>
      </c>
      <c r="J6" s="126">
        <f t="shared" si="0"/>
        <v>15.104139022774348</v>
      </c>
      <c r="K6" s="126"/>
      <c r="L6" s="126"/>
      <c r="M6" s="126">
        <v>2.5</v>
      </c>
      <c r="N6" s="126">
        <f t="shared" si="1"/>
        <v>179.08598726114644</v>
      </c>
      <c r="O6" s="127">
        <f t="shared" si="2"/>
        <v>5.2247029706473762E-2</v>
      </c>
      <c r="P6" s="218">
        <f>O6*(1+'Key Data'!F$3)</f>
        <v>6.5308787133092197E-2</v>
      </c>
      <c r="Q6" s="366"/>
      <c r="R6" s="366"/>
      <c r="S6" s="377"/>
    </row>
    <row r="7" spans="1:19" s="66" customFormat="1" x14ac:dyDescent="0.3">
      <c r="A7" s="367"/>
      <c r="B7" s="367"/>
      <c r="C7" s="367"/>
      <c r="D7" s="367"/>
      <c r="E7" s="94"/>
      <c r="F7" s="94"/>
      <c r="G7" s="367"/>
      <c r="H7" s="367" t="s">
        <v>308</v>
      </c>
      <c r="I7" s="126">
        <v>44</v>
      </c>
      <c r="J7" s="126">
        <f t="shared" si="0"/>
        <v>14.012738853503183</v>
      </c>
      <c r="K7" s="126"/>
      <c r="L7" s="126"/>
      <c r="M7" s="126">
        <v>2.2000000000000002</v>
      </c>
      <c r="N7" s="126">
        <f t="shared" si="1"/>
        <v>154.14012738853501</v>
      </c>
      <c r="O7" s="127">
        <f t="shared" si="2"/>
        <v>4.4969257158489324E-2</v>
      </c>
      <c r="P7" s="218">
        <f>O7*(1+'Key Data'!F$3)</f>
        <v>5.6211571448111654E-2</v>
      </c>
      <c r="Q7" s="366"/>
      <c r="R7" s="366"/>
      <c r="S7" s="377"/>
    </row>
    <row r="8" spans="1:19" s="66" customFormat="1" x14ac:dyDescent="0.3">
      <c r="A8" s="367"/>
      <c r="B8" s="367"/>
      <c r="C8" s="367"/>
      <c r="D8" s="367"/>
      <c r="E8" s="94"/>
      <c r="F8" s="94"/>
      <c r="G8" s="367"/>
      <c r="H8" s="367" t="s">
        <v>308</v>
      </c>
      <c r="I8" s="126">
        <v>36.5</v>
      </c>
      <c r="J8" s="126">
        <f t="shared" si="0"/>
        <v>11.624203821656051</v>
      </c>
      <c r="K8" s="126"/>
      <c r="L8" s="126"/>
      <c r="M8" s="126">
        <v>2.1</v>
      </c>
      <c r="N8" s="126">
        <f t="shared" si="1"/>
        <v>106.07085987261146</v>
      </c>
      <c r="O8" s="127">
        <f t="shared" si="2"/>
        <v>3.0945399199068899E-2</v>
      </c>
      <c r="P8" s="218">
        <f>O8*(1+'Key Data'!F$3)</f>
        <v>3.8681748998836127E-2</v>
      </c>
      <c r="Q8" s="366"/>
      <c r="R8" s="366"/>
      <c r="S8" s="377"/>
    </row>
    <row r="9" spans="1:19" s="66" customFormat="1" x14ac:dyDescent="0.3">
      <c r="A9" s="367"/>
      <c r="B9" s="367"/>
      <c r="C9" s="367"/>
      <c r="D9" s="367"/>
      <c r="E9" s="94"/>
      <c r="F9" s="94"/>
      <c r="G9" s="367"/>
      <c r="H9" s="367" t="s">
        <v>308</v>
      </c>
      <c r="I9" s="126">
        <v>41</v>
      </c>
      <c r="J9" s="126">
        <f t="shared" si="0"/>
        <v>13.057324840764331</v>
      </c>
      <c r="K9" s="126"/>
      <c r="L9" s="126"/>
      <c r="M9" s="126">
        <v>2.9</v>
      </c>
      <c r="N9" s="126">
        <f t="shared" si="1"/>
        <v>133.83757961783439</v>
      </c>
      <c r="O9" s="127">
        <f t="shared" si="2"/>
        <v>3.9046137026560186E-2</v>
      </c>
      <c r="P9" s="218">
        <f>O9*(1+'Key Data'!F$3)</f>
        <v>4.8807671283200231E-2</v>
      </c>
      <c r="Q9" s="366"/>
      <c r="R9" s="366"/>
      <c r="S9" s="377"/>
    </row>
    <row r="10" spans="1:19" s="66" customFormat="1" x14ac:dyDescent="0.3">
      <c r="A10" s="367"/>
      <c r="B10" s="367"/>
      <c r="C10" s="367"/>
      <c r="D10" s="367"/>
      <c r="E10" s="94"/>
      <c r="F10" s="94"/>
      <c r="G10" s="367"/>
      <c r="H10" s="367" t="s">
        <v>308</v>
      </c>
      <c r="I10" s="126">
        <v>34.5</v>
      </c>
      <c r="J10" s="126">
        <f t="shared" si="0"/>
        <v>10.987261146496815</v>
      </c>
      <c r="K10" s="126"/>
      <c r="L10" s="126"/>
      <c r="M10" s="126">
        <v>2.4</v>
      </c>
      <c r="N10" s="126">
        <f t="shared" si="1"/>
        <v>94.765127388535035</v>
      </c>
      <c r="O10" s="127">
        <f t="shared" si="2"/>
        <v>2.7647034262857403E-2</v>
      </c>
      <c r="P10" s="218">
        <f>O10*(1+'Key Data'!F$3)</f>
        <v>3.4558792828571758E-2</v>
      </c>
      <c r="Q10" s="366"/>
      <c r="R10" s="366"/>
      <c r="S10" s="377"/>
    </row>
    <row r="11" spans="1:19" s="66" customFormat="1" x14ac:dyDescent="0.3">
      <c r="A11" s="367"/>
      <c r="B11" s="367"/>
      <c r="C11" s="367"/>
      <c r="D11" s="367"/>
      <c r="E11" s="94"/>
      <c r="F11" s="94"/>
      <c r="G11" s="367"/>
      <c r="H11" s="367" t="s">
        <v>308</v>
      </c>
      <c r="I11" s="126">
        <f>SQRT(28^2+23^2+24^2)</f>
        <v>43.46262762420146</v>
      </c>
      <c r="J11" s="126">
        <f t="shared" si="0"/>
        <v>13.841601154204286</v>
      </c>
      <c r="K11" s="126"/>
      <c r="L11" s="126"/>
      <c r="M11" s="126">
        <v>2.8</v>
      </c>
      <c r="N11" s="126">
        <f t="shared" si="1"/>
        <v>150.3980891719745</v>
      </c>
      <c r="O11" s="127">
        <f t="shared" si="2"/>
        <v>4.3877544820447485E-2</v>
      </c>
      <c r="P11" s="218">
        <f>O11*(1+'Key Data'!F$3)</f>
        <v>5.4846931025559355E-2</v>
      </c>
      <c r="Q11" s="366"/>
      <c r="R11" s="366"/>
      <c r="S11" s="377"/>
    </row>
    <row r="12" spans="1:19" s="66" customFormat="1" x14ac:dyDescent="0.3">
      <c r="A12" s="367"/>
      <c r="B12" s="367"/>
      <c r="C12" s="367"/>
      <c r="D12" s="367"/>
      <c r="E12" s="94"/>
      <c r="F12" s="94"/>
      <c r="G12" s="367"/>
      <c r="H12" s="367" t="s">
        <v>308</v>
      </c>
      <c r="I12" s="126">
        <v>30.5</v>
      </c>
      <c r="J12" s="126">
        <f t="shared" si="0"/>
        <v>9.7133757961783438</v>
      </c>
      <c r="K12" s="126"/>
      <c r="L12" s="126"/>
      <c r="M12" s="126">
        <v>2.5</v>
      </c>
      <c r="N12" s="126">
        <f t="shared" si="1"/>
        <v>74.064490445859875</v>
      </c>
      <c r="O12" s="127">
        <f t="shared" si="2"/>
        <v>2.16077745204983E-2</v>
      </c>
      <c r="P12" s="218">
        <f>O12*(1+'Key Data'!F$3)</f>
        <v>2.7009718150622877E-2</v>
      </c>
      <c r="Q12" s="366"/>
      <c r="R12" s="366"/>
      <c r="S12" s="377"/>
    </row>
    <row r="13" spans="1:19" s="66" customFormat="1" x14ac:dyDescent="0.3">
      <c r="A13" s="367"/>
      <c r="B13" s="367"/>
      <c r="C13" s="367"/>
      <c r="D13" s="367"/>
      <c r="E13" s="94"/>
      <c r="F13" s="94"/>
      <c r="G13" s="367"/>
      <c r="H13" s="367" t="s">
        <v>308</v>
      </c>
      <c r="I13" s="126">
        <f>SQRT(24.5^2+21^2+24.8^2)</f>
        <v>40.697542923375607</v>
      </c>
      <c r="J13" s="126">
        <f t="shared" si="0"/>
        <v>12.961000931011339</v>
      </c>
      <c r="K13" s="126"/>
      <c r="L13" s="126"/>
      <c r="M13" s="126">
        <v>2.6</v>
      </c>
      <c r="N13" s="126">
        <f t="shared" si="1"/>
        <v>131.87022292993629</v>
      </c>
      <c r="O13" s="127">
        <f t="shared" si="2"/>
        <v>3.8472175071815204E-2</v>
      </c>
      <c r="P13" s="218">
        <f>O13*(1+'Key Data'!F$3)</f>
        <v>4.8090218839769008E-2</v>
      </c>
      <c r="Q13" s="366"/>
      <c r="R13" s="366"/>
      <c r="S13" s="377"/>
    </row>
    <row r="14" spans="1:19" s="66" customFormat="1" x14ac:dyDescent="0.3">
      <c r="A14" s="367"/>
      <c r="B14" s="367"/>
      <c r="C14" s="367"/>
      <c r="D14" s="367"/>
      <c r="E14" s="94"/>
      <c r="F14" s="94"/>
      <c r="G14" s="367"/>
      <c r="H14" s="367" t="s">
        <v>308</v>
      </c>
      <c r="I14" s="126">
        <v>44</v>
      </c>
      <c r="J14" s="126">
        <f t="shared" si="0"/>
        <v>14.012738853503183</v>
      </c>
      <c r="K14" s="126"/>
      <c r="L14" s="126"/>
      <c r="M14" s="126">
        <v>2.9</v>
      </c>
      <c r="N14" s="126">
        <f t="shared" si="1"/>
        <v>154.14012738853501</v>
      </c>
      <c r="O14" s="127">
        <f t="shared" si="2"/>
        <v>4.4969257158489324E-2</v>
      </c>
      <c r="P14" s="218">
        <f>O14*(1+'Key Data'!F$3)</f>
        <v>5.6211571448111654E-2</v>
      </c>
      <c r="Q14" s="366"/>
      <c r="R14" s="366"/>
      <c r="S14" s="377"/>
    </row>
    <row r="15" spans="1:19" s="66" customFormat="1" x14ac:dyDescent="0.3">
      <c r="A15" s="367"/>
      <c r="B15" s="367"/>
      <c r="C15" s="367"/>
      <c r="D15" s="367"/>
      <c r="E15" s="94"/>
      <c r="F15" s="94"/>
      <c r="G15" s="367"/>
      <c r="H15" s="367" t="s">
        <v>308</v>
      </c>
      <c r="I15" s="126">
        <f>SQRT(24.5^2+16^2)</f>
        <v>29.261749776799064</v>
      </c>
      <c r="J15" s="126">
        <f t="shared" si="0"/>
        <v>9.3190285913372808</v>
      </c>
      <c r="K15" s="126"/>
      <c r="L15" s="126"/>
      <c r="M15" s="126">
        <v>2</v>
      </c>
      <c r="N15" s="126">
        <f t="shared" si="1"/>
        <v>68.172770700636946</v>
      </c>
      <c r="O15" s="127">
        <f t="shared" si="2"/>
        <v>1.9888908286134547E-2</v>
      </c>
      <c r="P15" s="218">
        <f>O15*(1+'Key Data'!F$3)</f>
        <v>2.4861135357668183E-2</v>
      </c>
      <c r="Q15" s="366"/>
      <c r="R15" s="366"/>
      <c r="S15" s="377"/>
    </row>
    <row r="16" spans="1:19" s="66" customFormat="1" x14ac:dyDescent="0.3">
      <c r="A16" s="367"/>
      <c r="B16" s="367"/>
      <c r="C16" s="367"/>
      <c r="D16" s="367"/>
      <c r="E16" s="94"/>
      <c r="F16" s="94"/>
      <c r="G16" s="367"/>
      <c r="H16" s="367" t="s">
        <v>308</v>
      </c>
      <c r="I16" s="126">
        <v>44.2</v>
      </c>
      <c r="J16" s="126">
        <f t="shared" si="0"/>
        <v>14.076433121019109</v>
      </c>
      <c r="K16" s="126"/>
      <c r="L16" s="126"/>
      <c r="M16" s="126">
        <v>2.9</v>
      </c>
      <c r="N16" s="126">
        <f t="shared" si="1"/>
        <v>155.54458598726117</v>
      </c>
      <c r="O16" s="127">
        <f t="shared" si="2"/>
        <v>4.5378997704086294E-2</v>
      </c>
      <c r="P16" s="218">
        <f>O16*(1+'Key Data'!F$3)</f>
        <v>5.6723747130107867E-2</v>
      </c>
      <c r="Q16" s="366"/>
      <c r="R16" s="366"/>
      <c r="S16" s="377"/>
    </row>
    <row r="17" spans="1:19" s="66" customFormat="1" x14ac:dyDescent="0.3">
      <c r="A17" s="367"/>
      <c r="B17" s="367"/>
      <c r="C17" s="367"/>
      <c r="D17" s="367"/>
      <c r="E17" s="94"/>
      <c r="F17" s="94"/>
      <c r="G17" s="367"/>
      <c r="H17" s="367" t="s">
        <v>308</v>
      </c>
      <c r="I17" s="126">
        <v>29.4</v>
      </c>
      <c r="J17" s="126">
        <f t="shared" si="0"/>
        <v>9.3630573248407636</v>
      </c>
      <c r="K17" s="126"/>
      <c r="L17" s="126"/>
      <c r="M17" s="126">
        <v>2.8</v>
      </c>
      <c r="N17" s="126">
        <f t="shared" si="1"/>
        <v>68.818471337579609</v>
      </c>
      <c r="O17" s="127">
        <f t="shared" si="2"/>
        <v>2.0077286734251978E-2</v>
      </c>
      <c r="P17" s="218">
        <f>O17*(1+'Key Data'!F$3)</f>
        <v>2.5096608417814973E-2</v>
      </c>
      <c r="Q17" s="366"/>
      <c r="R17" s="366"/>
      <c r="S17" s="377"/>
    </row>
    <row r="18" spans="1:19" s="66" customFormat="1" x14ac:dyDescent="0.3">
      <c r="A18" s="367"/>
      <c r="B18" s="367"/>
      <c r="C18" s="367"/>
      <c r="D18" s="367"/>
      <c r="E18" s="94"/>
      <c r="F18" s="94"/>
      <c r="G18" s="367"/>
      <c r="H18" s="367" t="s">
        <v>308</v>
      </c>
      <c r="I18" s="126">
        <v>43.2</v>
      </c>
      <c r="J18" s="126">
        <f t="shared" si="0"/>
        <v>13.757961783439491</v>
      </c>
      <c r="K18" s="126"/>
      <c r="L18" s="126"/>
      <c r="M18" s="126">
        <v>2.6</v>
      </c>
      <c r="N18" s="126">
        <f t="shared" si="1"/>
        <v>148.5859872611465</v>
      </c>
      <c r="O18" s="127">
        <f t="shared" si="2"/>
        <v>4.3348877313770219E-2</v>
      </c>
      <c r="P18" s="218">
        <f>O18*(1+'Key Data'!F$3)</f>
        <v>5.4186096642212772E-2</v>
      </c>
      <c r="Q18" s="366"/>
      <c r="R18" s="366"/>
      <c r="S18" s="377"/>
    </row>
    <row r="19" spans="1:19" s="66" customFormat="1" x14ac:dyDescent="0.3">
      <c r="A19" s="367"/>
      <c r="B19" s="367"/>
      <c r="C19" s="367"/>
      <c r="D19" s="367"/>
      <c r="E19" s="94"/>
      <c r="F19" s="94"/>
      <c r="G19" s="367"/>
      <c r="H19" s="367" t="s">
        <v>308</v>
      </c>
      <c r="I19" s="126">
        <v>48.2</v>
      </c>
      <c r="J19" s="126">
        <f t="shared" si="0"/>
        <v>15.35031847133758</v>
      </c>
      <c r="K19" s="126"/>
      <c r="L19" s="126"/>
      <c r="M19" s="126">
        <v>3.2</v>
      </c>
      <c r="N19" s="126">
        <f t="shared" si="1"/>
        <v>184.97133757961785</v>
      </c>
      <c r="O19" s="127">
        <f t="shared" si="2"/>
        <v>5.3964037707070631E-2</v>
      </c>
      <c r="P19" s="218">
        <f>O19*(1+'Key Data'!F$3)</f>
        <v>6.7455047133838292E-2</v>
      </c>
      <c r="Q19" s="366"/>
      <c r="R19" s="366"/>
      <c r="S19" s="377"/>
    </row>
    <row r="20" spans="1:19" s="66" customFormat="1" x14ac:dyDescent="0.3">
      <c r="A20" s="367"/>
      <c r="B20" s="367"/>
      <c r="C20" s="367"/>
      <c r="D20" s="367"/>
      <c r="E20" s="94"/>
      <c r="F20" s="94"/>
      <c r="G20" s="367"/>
      <c r="H20" s="367" t="s">
        <v>308</v>
      </c>
      <c r="I20" s="126">
        <v>30</v>
      </c>
      <c r="J20" s="126">
        <f t="shared" si="0"/>
        <v>9.5541401273885338</v>
      </c>
      <c r="K20" s="126"/>
      <c r="L20" s="126"/>
      <c r="M20" s="126">
        <v>2.4</v>
      </c>
      <c r="N20" s="126">
        <f t="shared" si="1"/>
        <v>71.656050955413988</v>
      </c>
      <c r="O20" s="127">
        <f t="shared" si="2"/>
        <v>2.0905129877396889E-2</v>
      </c>
      <c r="P20" s="218">
        <f>O20*(1+'Key Data'!F$3)</f>
        <v>2.6131412346746111E-2</v>
      </c>
      <c r="Q20" s="366"/>
      <c r="R20" s="366"/>
      <c r="S20" s="377"/>
    </row>
    <row r="21" spans="1:19" s="66" customFormat="1" x14ac:dyDescent="0.3">
      <c r="A21" s="367"/>
      <c r="B21" s="367"/>
      <c r="C21" s="367"/>
      <c r="D21" s="367"/>
      <c r="E21" s="94"/>
      <c r="F21" s="94"/>
      <c r="G21" s="367"/>
      <c r="H21" s="367" t="s">
        <v>308</v>
      </c>
      <c r="I21" s="126">
        <v>29.4</v>
      </c>
      <c r="J21" s="126">
        <f t="shared" si="0"/>
        <v>9.3630573248407636</v>
      </c>
      <c r="K21" s="126"/>
      <c r="L21" s="126"/>
      <c r="M21" s="126">
        <v>3.2</v>
      </c>
      <c r="N21" s="126">
        <f t="shared" si="1"/>
        <v>68.818471337579609</v>
      </c>
      <c r="O21" s="127">
        <f t="shared" si="2"/>
        <v>2.0077286734251978E-2</v>
      </c>
      <c r="P21" s="218">
        <f>O21*(1+'Key Data'!F$3)</f>
        <v>2.5096608417814973E-2</v>
      </c>
      <c r="Q21" s="366"/>
      <c r="R21" s="366"/>
      <c r="S21" s="377"/>
    </row>
    <row r="22" spans="1:19" s="66" customFormat="1" x14ac:dyDescent="0.3">
      <c r="A22" s="367"/>
      <c r="B22" s="367"/>
      <c r="C22" s="367"/>
      <c r="D22" s="367"/>
      <c r="E22" s="94"/>
      <c r="F22" s="94"/>
      <c r="G22" s="367"/>
      <c r="H22" s="367" t="s">
        <v>308</v>
      </c>
      <c r="I22" s="126">
        <v>34.799999999999997</v>
      </c>
      <c r="J22" s="126">
        <f t="shared" si="0"/>
        <v>11.082802547770699</v>
      </c>
      <c r="K22" s="126"/>
      <c r="L22" s="126"/>
      <c r="M22" s="126">
        <v>3</v>
      </c>
      <c r="N22" s="126">
        <f t="shared" si="1"/>
        <v>96.420382165605076</v>
      </c>
      <c r="O22" s="127">
        <f t="shared" si="2"/>
        <v>2.8129942763025269E-2</v>
      </c>
      <c r="P22" s="218">
        <f>O22*(1+'Key Data'!F$3)</f>
        <v>3.5162428453781584E-2</v>
      </c>
      <c r="Q22" s="366"/>
      <c r="R22" s="366"/>
      <c r="S22" s="377"/>
    </row>
    <row r="23" spans="1:19" s="66" customFormat="1" x14ac:dyDescent="0.3">
      <c r="A23" s="367"/>
      <c r="B23" s="367"/>
      <c r="C23" s="367"/>
      <c r="D23" s="367"/>
      <c r="E23" s="94"/>
      <c r="F23" s="94"/>
      <c r="G23" s="367"/>
      <c r="H23" s="367" t="s">
        <v>308</v>
      </c>
      <c r="I23" s="126">
        <f>SQRT(29.2^2+36.6^2)</f>
        <v>46.820935488304805</v>
      </c>
      <c r="J23" s="126">
        <f t="shared" si="0"/>
        <v>14.911125951689428</v>
      </c>
      <c r="K23" s="126"/>
      <c r="L23" s="126"/>
      <c r="M23" s="126">
        <v>2.4</v>
      </c>
      <c r="N23" s="126">
        <f t="shared" si="1"/>
        <v>174.53821656050957</v>
      </c>
      <c r="O23" s="127">
        <f t="shared" si="2"/>
        <v>5.0920250796921661E-2</v>
      </c>
      <c r="P23" s="218">
        <f>O23*(1+'Key Data'!F$3)</f>
        <v>6.3650313496152078E-2</v>
      </c>
      <c r="Q23" s="366"/>
      <c r="R23" s="366"/>
      <c r="S23" s="377"/>
    </row>
    <row r="24" spans="1:19" s="66" customFormat="1" x14ac:dyDescent="0.3">
      <c r="A24" s="367"/>
      <c r="B24" s="367"/>
      <c r="C24" s="367"/>
      <c r="D24" s="367"/>
      <c r="E24" s="94"/>
      <c r="F24" s="94"/>
      <c r="G24" s="367"/>
      <c r="H24" s="367" t="s">
        <v>308</v>
      </c>
      <c r="I24" s="126">
        <v>35</v>
      </c>
      <c r="J24" s="126">
        <f t="shared" si="0"/>
        <v>11.146496815286623</v>
      </c>
      <c r="K24" s="126"/>
      <c r="L24" s="126"/>
      <c r="M24" s="126">
        <v>3.5</v>
      </c>
      <c r="N24" s="126">
        <f t="shared" si="1"/>
        <v>97.53184713375795</v>
      </c>
      <c r="O24" s="127">
        <f t="shared" si="2"/>
        <v>2.8454204555345777E-2</v>
      </c>
      <c r="P24" s="218">
        <f>O24*(1+'Key Data'!F$3)</f>
        <v>3.5567755694182218E-2</v>
      </c>
      <c r="Q24" s="366"/>
      <c r="R24" s="366"/>
      <c r="S24" s="377"/>
    </row>
    <row r="25" spans="1:19" s="66" customFormat="1" x14ac:dyDescent="0.3">
      <c r="A25" s="373">
        <v>2</v>
      </c>
      <c r="B25" s="373" t="s">
        <v>334</v>
      </c>
      <c r="C25" s="373" t="s">
        <v>335</v>
      </c>
      <c r="D25" s="373" t="s">
        <v>295</v>
      </c>
      <c r="E25" s="112">
        <v>14.8941135</v>
      </c>
      <c r="F25" s="112">
        <v>74.992246499999993</v>
      </c>
      <c r="G25" s="373">
        <v>2022</v>
      </c>
      <c r="H25" s="373" t="s">
        <v>308</v>
      </c>
      <c r="I25" s="128">
        <v>26.6</v>
      </c>
      <c r="J25" s="128">
        <f t="shared" si="0"/>
        <v>8.4713375796178347</v>
      </c>
      <c r="K25" s="128"/>
      <c r="L25" s="128"/>
      <c r="M25" s="128">
        <v>1.8</v>
      </c>
      <c r="N25" s="128">
        <f t="shared" si="1"/>
        <v>56.334394904458605</v>
      </c>
      <c r="O25" s="129">
        <f t="shared" si="2"/>
        <v>1.6435148551167719E-2</v>
      </c>
      <c r="P25" s="219">
        <f>O25*(1+'Key Data'!F$3)</f>
        <v>2.0543935688959649E-2</v>
      </c>
      <c r="Q25" s="375">
        <f>SUM(P25:P45)</f>
        <v>0.387129615191392</v>
      </c>
      <c r="R25" s="375">
        <f>Q25*10000/900</f>
        <v>4.3014401687932446</v>
      </c>
      <c r="S25" s="377"/>
    </row>
    <row r="26" spans="1:19" s="66" customFormat="1" x14ac:dyDescent="0.3">
      <c r="A26" s="373"/>
      <c r="B26" s="373"/>
      <c r="C26" s="373"/>
      <c r="D26" s="373"/>
      <c r="E26" s="112">
        <v>14.8941268</v>
      </c>
      <c r="F26" s="112">
        <v>74.992244600000006</v>
      </c>
      <c r="G26" s="373"/>
      <c r="H26" s="373" t="s">
        <v>308</v>
      </c>
      <c r="I26" s="128">
        <f>SQRT(26.6^2+24.4^2)</f>
        <v>36.095983156024438</v>
      </c>
      <c r="J26" s="128">
        <f t="shared" si="0"/>
        <v>11.495536036950458</v>
      </c>
      <c r="K26" s="128"/>
      <c r="L26" s="128"/>
      <c r="M26" s="128">
        <v>1.8</v>
      </c>
      <c r="N26" s="128">
        <f t="shared" si="1"/>
        <v>103.73566878980891</v>
      </c>
      <c r="O26" s="129">
        <f t="shared" si="2"/>
        <v>3.0264124244286643E-2</v>
      </c>
      <c r="P26" s="219">
        <f>O26*(1+'Key Data'!F$3)</f>
        <v>3.7830155305358305E-2</v>
      </c>
      <c r="Q26" s="375"/>
      <c r="R26" s="375"/>
      <c r="S26" s="377"/>
    </row>
    <row r="27" spans="1:19" s="66" customFormat="1" x14ac:dyDescent="0.3">
      <c r="A27" s="373"/>
      <c r="B27" s="373"/>
      <c r="C27" s="373"/>
      <c r="D27" s="373"/>
      <c r="E27" s="112" t="s">
        <v>336</v>
      </c>
      <c r="F27" s="112">
        <v>74.992232900000005</v>
      </c>
      <c r="G27" s="373"/>
      <c r="H27" s="373" t="s">
        <v>308</v>
      </c>
      <c r="I27" s="128">
        <v>22.8</v>
      </c>
      <c r="J27" s="128">
        <f t="shared" si="0"/>
        <v>7.2611464968152868</v>
      </c>
      <c r="K27" s="128"/>
      <c r="L27" s="128"/>
      <c r="M27" s="128">
        <v>2</v>
      </c>
      <c r="N27" s="128">
        <f t="shared" si="1"/>
        <v>41.388535031847134</v>
      </c>
      <c r="O27" s="129">
        <f t="shared" si="2"/>
        <v>1.2074803017184442E-2</v>
      </c>
      <c r="P27" s="219">
        <f>O27*(1+'Key Data'!F$3)</f>
        <v>1.5093503771480552E-2</v>
      </c>
      <c r="Q27" s="375"/>
      <c r="R27" s="375"/>
      <c r="S27" s="377"/>
    </row>
    <row r="28" spans="1:19" s="66" customFormat="1" x14ac:dyDescent="0.3">
      <c r="A28" s="373"/>
      <c r="B28" s="373"/>
      <c r="C28" s="373"/>
      <c r="D28" s="373"/>
      <c r="E28" s="112">
        <v>14.8938896</v>
      </c>
      <c r="F28" s="112">
        <v>74.992416899999995</v>
      </c>
      <c r="G28" s="373"/>
      <c r="H28" s="373" t="s">
        <v>308</v>
      </c>
      <c r="I28" s="128">
        <v>25.6</v>
      </c>
      <c r="J28" s="128">
        <f t="shared" si="0"/>
        <v>8.1528662420382165</v>
      </c>
      <c r="K28" s="128"/>
      <c r="L28" s="128"/>
      <c r="M28" s="128">
        <v>1.8</v>
      </c>
      <c r="N28" s="128">
        <f t="shared" si="1"/>
        <v>52.178343949044589</v>
      </c>
      <c r="O28" s="129">
        <f t="shared" si="2"/>
        <v>1.5222651018278698E-2</v>
      </c>
      <c r="P28" s="219">
        <f>O28*(1+'Key Data'!F$3)</f>
        <v>1.9028313772848374E-2</v>
      </c>
      <c r="Q28" s="375"/>
      <c r="R28" s="375"/>
      <c r="S28" s="377"/>
    </row>
    <row r="29" spans="1:19" s="66" customFormat="1" x14ac:dyDescent="0.3">
      <c r="A29" s="373"/>
      <c r="B29" s="373"/>
      <c r="C29" s="373"/>
      <c r="D29" s="373"/>
      <c r="E29" s="112">
        <v>14.8940263</v>
      </c>
      <c r="F29" s="112">
        <v>74.992367700000003</v>
      </c>
      <c r="G29" s="373"/>
      <c r="H29" s="373" t="s">
        <v>308</v>
      </c>
      <c r="I29" s="128">
        <v>12.2</v>
      </c>
      <c r="J29" s="128">
        <f t="shared" si="0"/>
        <v>3.8853503184713372</v>
      </c>
      <c r="K29" s="128"/>
      <c r="L29" s="128"/>
      <c r="M29" s="128">
        <v>1.6</v>
      </c>
      <c r="N29" s="128">
        <f t="shared" si="1"/>
        <v>11.850318471337578</v>
      </c>
      <c r="O29" s="129">
        <f t="shared" si="2"/>
        <v>3.4572439232797261E-3</v>
      </c>
      <c r="P29" s="219">
        <f>O29*(1+'Key Data'!F$3)</f>
        <v>4.321554904099658E-3</v>
      </c>
      <c r="Q29" s="375"/>
      <c r="R29" s="375"/>
      <c r="S29" s="377"/>
    </row>
    <row r="30" spans="1:19" s="66" customFormat="1" x14ac:dyDescent="0.3">
      <c r="A30" s="373"/>
      <c r="B30" s="373"/>
      <c r="C30" s="373"/>
      <c r="D30" s="373"/>
      <c r="E30" s="112"/>
      <c r="F30" s="112"/>
      <c r="G30" s="373"/>
      <c r="H30" s="373" t="s">
        <v>308</v>
      </c>
      <c r="I30" s="128">
        <v>27</v>
      </c>
      <c r="J30" s="128">
        <f t="shared" si="0"/>
        <v>8.598726114649681</v>
      </c>
      <c r="K30" s="128"/>
      <c r="L30" s="128"/>
      <c r="M30" s="128">
        <v>2</v>
      </c>
      <c r="N30" s="128">
        <f t="shared" si="1"/>
        <v>58.041401273885349</v>
      </c>
      <c r="O30" s="129">
        <f t="shared" si="2"/>
        <v>1.6933155200691483E-2</v>
      </c>
      <c r="P30" s="219">
        <f>O30*(1+'Key Data'!F$3)</f>
        <v>2.1166444000864353E-2</v>
      </c>
      <c r="Q30" s="375"/>
      <c r="R30" s="375"/>
      <c r="S30" s="377"/>
    </row>
    <row r="31" spans="1:19" s="66" customFormat="1" x14ac:dyDescent="0.3">
      <c r="A31" s="373"/>
      <c r="B31" s="373"/>
      <c r="C31" s="373"/>
      <c r="D31" s="373"/>
      <c r="E31" s="112"/>
      <c r="F31" s="112"/>
      <c r="G31" s="373"/>
      <c r="H31" s="373" t="s">
        <v>308</v>
      </c>
      <c r="I31" s="128">
        <v>28.5</v>
      </c>
      <c r="J31" s="128">
        <f t="shared" si="0"/>
        <v>9.0764331210191074</v>
      </c>
      <c r="K31" s="128"/>
      <c r="L31" s="128"/>
      <c r="M31" s="128">
        <v>2.4</v>
      </c>
      <c r="N31" s="128">
        <f t="shared" si="1"/>
        <v>64.669585987261144</v>
      </c>
      <c r="O31" s="129">
        <f t="shared" si="2"/>
        <v>1.88668797143507E-2</v>
      </c>
      <c r="P31" s="219">
        <f>O31*(1+'Key Data'!F$3)</f>
        <v>2.3583599642938373E-2</v>
      </c>
      <c r="Q31" s="375"/>
      <c r="R31" s="375"/>
      <c r="S31" s="377"/>
    </row>
    <row r="32" spans="1:19" s="66" customFormat="1" x14ac:dyDescent="0.3">
      <c r="A32" s="373"/>
      <c r="B32" s="373"/>
      <c r="C32" s="373"/>
      <c r="D32" s="373"/>
      <c r="E32" s="112"/>
      <c r="F32" s="112"/>
      <c r="G32" s="373"/>
      <c r="H32" s="373" t="s">
        <v>308</v>
      </c>
      <c r="I32" s="128">
        <v>26</v>
      </c>
      <c r="J32" s="128">
        <f t="shared" si="0"/>
        <v>8.2802547770700627</v>
      </c>
      <c r="K32" s="128"/>
      <c r="L32" s="128"/>
      <c r="M32" s="128">
        <v>2.4</v>
      </c>
      <c r="N32" s="128">
        <f t="shared" si="1"/>
        <v>53.821656050955397</v>
      </c>
      <c r="O32" s="129">
        <f t="shared" si="2"/>
        <v>1.570207533013367E-2</v>
      </c>
      <c r="P32" s="219">
        <f>O32*(1+'Key Data'!F$3)</f>
        <v>1.9627594162667086E-2</v>
      </c>
      <c r="Q32" s="375"/>
      <c r="R32" s="375"/>
      <c r="S32" s="377"/>
    </row>
    <row r="33" spans="1:19" s="66" customFormat="1" x14ac:dyDescent="0.3">
      <c r="A33" s="373"/>
      <c r="B33" s="373"/>
      <c r="C33" s="373"/>
      <c r="D33" s="373"/>
      <c r="E33" s="112"/>
      <c r="F33" s="112"/>
      <c r="G33" s="373"/>
      <c r="H33" s="373" t="s">
        <v>308</v>
      </c>
      <c r="I33" s="128">
        <v>22</v>
      </c>
      <c r="J33" s="128">
        <f t="shared" si="0"/>
        <v>7.0063694267515917</v>
      </c>
      <c r="K33" s="128"/>
      <c r="L33" s="128"/>
      <c r="M33" s="128">
        <v>2</v>
      </c>
      <c r="N33" s="128">
        <f t="shared" si="1"/>
        <v>38.535031847133752</v>
      </c>
      <c r="O33" s="129">
        <f t="shared" si="2"/>
        <v>1.1242314289622324E-2</v>
      </c>
      <c r="P33" s="219">
        <f>O33*(1+'Key Data'!F$3)</f>
        <v>1.4052892862027905E-2</v>
      </c>
      <c r="Q33" s="375"/>
      <c r="R33" s="375"/>
      <c r="S33" s="377"/>
    </row>
    <row r="34" spans="1:19" s="66" customFormat="1" x14ac:dyDescent="0.3">
      <c r="A34" s="373"/>
      <c r="B34" s="373"/>
      <c r="C34" s="373"/>
      <c r="D34" s="373"/>
      <c r="E34" s="112"/>
      <c r="F34" s="112"/>
      <c r="G34" s="373"/>
      <c r="H34" s="373" t="s">
        <v>308</v>
      </c>
      <c r="I34" s="128">
        <v>27.5</v>
      </c>
      <c r="J34" s="128">
        <f t="shared" ref="J34:J65" si="3">I34/3.14</f>
        <v>8.7579617834394909</v>
      </c>
      <c r="K34" s="128"/>
      <c r="L34" s="128"/>
      <c r="M34" s="128">
        <v>2</v>
      </c>
      <c r="N34" s="128">
        <f t="shared" ref="N34:N65" si="4">3.14*J34/2*J34/2</f>
        <v>60.210987261146506</v>
      </c>
      <c r="O34" s="129">
        <f t="shared" ref="O34:O65" si="5">(10^(-0.535+LOG10(N34)))/1000</f>
        <v>1.7566116077534905E-2</v>
      </c>
      <c r="P34" s="219">
        <f>O34*(1+'Key Data'!F$3)</f>
        <v>2.1957645096918631E-2</v>
      </c>
      <c r="Q34" s="375"/>
      <c r="R34" s="375"/>
      <c r="S34" s="377"/>
    </row>
    <row r="35" spans="1:19" s="66" customFormat="1" x14ac:dyDescent="0.3">
      <c r="A35" s="373"/>
      <c r="B35" s="373"/>
      <c r="C35" s="373"/>
      <c r="D35" s="373"/>
      <c r="E35" s="112"/>
      <c r="F35" s="112"/>
      <c r="G35" s="373"/>
      <c r="H35" s="373" t="s">
        <v>308</v>
      </c>
      <c r="I35" s="128">
        <v>30.5</v>
      </c>
      <c r="J35" s="128">
        <f t="shared" si="3"/>
        <v>9.7133757961783438</v>
      </c>
      <c r="K35" s="128"/>
      <c r="L35" s="128"/>
      <c r="M35" s="128">
        <v>2.4</v>
      </c>
      <c r="N35" s="128">
        <f t="shared" si="4"/>
        <v>74.064490445859875</v>
      </c>
      <c r="O35" s="129">
        <f t="shared" si="5"/>
        <v>2.16077745204983E-2</v>
      </c>
      <c r="P35" s="219">
        <f>O35*(1+'Key Data'!F$3)</f>
        <v>2.7009718150622877E-2</v>
      </c>
      <c r="Q35" s="375"/>
      <c r="R35" s="375"/>
      <c r="S35" s="377"/>
    </row>
    <row r="36" spans="1:19" s="66" customFormat="1" x14ac:dyDescent="0.3">
      <c r="A36" s="373"/>
      <c r="B36" s="373"/>
      <c r="C36" s="373"/>
      <c r="D36" s="373"/>
      <c r="E36" s="112"/>
      <c r="F36" s="112"/>
      <c r="G36" s="373"/>
      <c r="H36" s="373" t="s">
        <v>308</v>
      </c>
      <c r="I36" s="128">
        <v>11</v>
      </c>
      <c r="J36" s="128">
        <f t="shared" si="3"/>
        <v>3.5031847133757958</v>
      </c>
      <c r="K36" s="128"/>
      <c r="L36" s="128"/>
      <c r="M36" s="128">
        <v>1.3</v>
      </c>
      <c r="N36" s="128">
        <f t="shared" si="4"/>
        <v>9.6337579617834379</v>
      </c>
      <c r="O36" s="129">
        <f t="shared" si="5"/>
        <v>2.8105785724055823E-3</v>
      </c>
      <c r="P36" s="219">
        <f>O36*(1+'Key Data'!F$3)</f>
        <v>3.5132232155069779E-3</v>
      </c>
      <c r="Q36" s="375"/>
      <c r="R36" s="375"/>
      <c r="S36" s="377"/>
    </row>
    <row r="37" spans="1:19" s="66" customFormat="1" x14ac:dyDescent="0.3">
      <c r="A37" s="373"/>
      <c r="B37" s="373"/>
      <c r="C37" s="373"/>
      <c r="D37" s="373"/>
      <c r="E37" s="112"/>
      <c r="F37" s="112"/>
      <c r="G37" s="373"/>
      <c r="H37" s="373" t="s">
        <v>308</v>
      </c>
      <c r="I37" s="128">
        <v>28</v>
      </c>
      <c r="J37" s="128">
        <f t="shared" si="3"/>
        <v>8.9171974522292992</v>
      </c>
      <c r="K37" s="128"/>
      <c r="L37" s="128"/>
      <c r="M37" s="128">
        <v>1.8</v>
      </c>
      <c r="N37" s="128">
        <f t="shared" si="4"/>
        <v>62.420382165605091</v>
      </c>
      <c r="O37" s="129">
        <f t="shared" si="5"/>
        <v>1.8210690915421299E-2</v>
      </c>
      <c r="P37" s="219">
        <f>O37*(1+'Key Data'!F$3)</f>
        <v>2.2763363644276623E-2</v>
      </c>
      <c r="Q37" s="375"/>
      <c r="R37" s="375"/>
      <c r="S37" s="377"/>
    </row>
    <row r="38" spans="1:19" s="66" customFormat="1" x14ac:dyDescent="0.3">
      <c r="A38" s="373"/>
      <c r="B38" s="373"/>
      <c r="C38" s="373"/>
      <c r="D38" s="373"/>
      <c r="E38" s="112"/>
      <c r="F38" s="112"/>
      <c r="G38" s="373"/>
      <c r="H38" s="373" t="s">
        <v>308</v>
      </c>
      <c r="I38" s="128">
        <v>24.7</v>
      </c>
      <c r="J38" s="128">
        <f t="shared" si="3"/>
        <v>7.8662420382165603</v>
      </c>
      <c r="K38" s="128"/>
      <c r="L38" s="128"/>
      <c r="M38" s="128">
        <v>1.9</v>
      </c>
      <c r="N38" s="128">
        <f t="shared" si="4"/>
        <v>48.574044585987259</v>
      </c>
      <c r="O38" s="129">
        <f t="shared" si="5"/>
        <v>1.4171122985445641E-2</v>
      </c>
      <c r="P38" s="219">
        <f>O38*(1+'Key Data'!F$3)</f>
        <v>1.7713903731807052E-2</v>
      </c>
      <c r="Q38" s="375"/>
      <c r="R38" s="375"/>
      <c r="S38" s="377"/>
    </row>
    <row r="39" spans="1:19" s="66" customFormat="1" x14ac:dyDescent="0.3">
      <c r="A39" s="373"/>
      <c r="B39" s="373"/>
      <c r="C39" s="373"/>
      <c r="D39" s="373"/>
      <c r="E39" s="112"/>
      <c r="F39" s="112"/>
      <c r="G39" s="373"/>
      <c r="H39" s="373" t="s">
        <v>308</v>
      </c>
      <c r="I39" s="128">
        <v>26</v>
      </c>
      <c r="J39" s="128">
        <f t="shared" si="3"/>
        <v>8.2802547770700627</v>
      </c>
      <c r="K39" s="128"/>
      <c r="L39" s="128"/>
      <c r="M39" s="128">
        <v>2</v>
      </c>
      <c r="N39" s="128">
        <f t="shared" si="4"/>
        <v>53.821656050955397</v>
      </c>
      <c r="O39" s="129">
        <f t="shared" si="5"/>
        <v>1.570207533013367E-2</v>
      </c>
      <c r="P39" s="219">
        <f>O39*(1+'Key Data'!F$3)</f>
        <v>1.9627594162667086E-2</v>
      </c>
      <c r="Q39" s="375"/>
      <c r="R39" s="375"/>
      <c r="S39" s="377"/>
    </row>
    <row r="40" spans="1:19" s="66" customFormat="1" x14ac:dyDescent="0.3">
      <c r="A40" s="373"/>
      <c r="B40" s="373"/>
      <c r="C40" s="373"/>
      <c r="D40" s="373"/>
      <c r="E40" s="112"/>
      <c r="F40" s="112"/>
      <c r="G40" s="373"/>
      <c r="H40" s="373" t="s">
        <v>308</v>
      </c>
      <c r="I40" s="128">
        <v>19.8</v>
      </c>
      <c r="J40" s="128">
        <f t="shared" si="3"/>
        <v>6.3057324840764331</v>
      </c>
      <c r="K40" s="128"/>
      <c r="L40" s="128"/>
      <c r="M40" s="128">
        <v>1.9</v>
      </c>
      <c r="N40" s="128">
        <f t="shared" si="4"/>
        <v>31.213375796178344</v>
      </c>
      <c r="O40" s="129">
        <f t="shared" si="5"/>
        <v>9.1062745745940903E-3</v>
      </c>
      <c r="P40" s="219">
        <f>O40*(1+'Key Data'!F$3)</f>
        <v>1.1382843218242613E-2</v>
      </c>
      <c r="Q40" s="375"/>
      <c r="R40" s="375"/>
      <c r="S40" s="377"/>
    </row>
    <row r="41" spans="1:19" s="66" customFormat="1" x14ac:dyDescent="0.3">
      <c r="A41" s="373"/>
      <c r="B41" s="373"/>
      <c r="C41" s="373"/>
      <c r="D41" s="373"/>
      <c r="E41" s="112"/>
      <c r="F41" s="112"/>
      <c r="G41" s="373"/>
      <c r="H41" s="373" t="s">
        <v>308</v>
      </c>
      <c r="I41" s="128">
        <v>29.8</v>
      </c>
      <c r="J41" s="128">
        <f t="shared" si="3"/>
        <v>9.4904458598726116</v>
      </c>
      <c r="K41" s="128"/>
      <c r="L41" s="128"/>
      <c r="M41" s="128">
        <v>2.2999999999999998</v>
      </c>
      <c r="N41" s="128">
        <f t="shared" si="4"/>
        <v>70.703821656050962</v>
      </c>
      <c r="O41" s="129">
        <f t="shared" si="5"/>
        <v>2.0627323929248379E-2</v>
      </c>
      <c r="P41" s="219">
        <f>O41*(1+'Key Data'!F$3)</f>
        <v>2.5784154911560473E-2</v>
      </c>
      <c r="Q41" s="375"/>
      <c r="R41" s="375"/>
      <c r="S41" s="377"/>
    </row>
    <row r="42" spans="1:19" s="66" customFormat="1" x14ac:dyDescent="0.3">
      <c r="A42" s="373"/>
      <c r="B42" s="373"/>
      <c r="C42" s="373"/>
      <c r="D42" s="373"/>
      <c r="E42" s="112"/>
      <c r="F42" s="112"/>
      <c r="G42" s="373"/>
      <c r="H42" s="373" t="s">
        <v>308</v>
      </c>
      <c r="I42" s="128">
        <v>26.8</v>
      </c>
      <c r="J42" s="128">
        <f t="shared" si="3"/>
        <v>8.5350318471337587</v>
      </c>
      <c r="K42" s="128"/>
      <c r="L42" s="128"/>
      <c r="M42" s="128">
        <v>2</v>
      </c>
      <c r="N42" s="128">
        <f t="shared" si="4"/>
        <v>57.184713375796193</v>
      </c>
      <c r="O42" s="129">
        <f t="shared" si="5"/>
        <v>1.6683222759046171E-2</v>
      </c>
      <c r="P42" s="219">
        <f>O42*(1+'Key Data'!F$3)</f>
        <v>2.0854028448807713E-2</v>
      </c>
      <c r="Q42" s="375"/>
      <c r="R42" s="375"/>
      <c r="S42" s="377"/>
    </row>
    <row r="43" spans="1:19" s="66" customFormat="1" x14ac:dyDescent="0.3">
      <c r="A43" s="373"/>
      <c r="B43" s="373"/>
      <c r="C43" s="373"/>
      <c r="D43" s="373"/>
      <c r="E43" s="112"/>
      <c r="F43" s="112"/>
      <c r="G43" s="373"/>
      <c r="H43" s="373" t="s">
        <v>308</v>
      </c>
      <c r="I43" s="128">
        <v>25.6</v>
      </c>
      <c r="J43" s="128">
        <f t="shared" si="3"/>
        <v>8.1528662420382165</v>
      </c>
      <c r="K43" s="128"/>
      <c r="L43" s="128"/>
      <c r="M43" s="128">
        <v>2</v>
      </c>
      <c r="N43" s="128">
        <f t="shared" si="4"/>
        <v>52.178343949044589</v>
      </c>
      <c r="O43" s="129">
        <f t="shared" si="5"/>
        <v>1.5222651018278698E-2</v>
      </c>
      <c r="P43" s="219">
        <f>O43*(1+'Key Data'!F$3)</f>
        <v>1.9028313772848374E-2</v>
      </c>
      <c r="Q43" s="375"/>
      <c r="R43" s="375"/>
      <c r="S43" s="377"/>
    </row>
    <row r="44" spans="1:19" s="66" customFormat="1" x14ac:dyDescent="0.3">
      <c r="A44" s="373"/>
      <c r="B44" s="373"/>
      <c r="C44" s="373"/>
      <c r="D44" s="373"/>
      <c r="E44" s="112"/>
      <c r="F44" s="112"/>
      <c r="G44" s="373"/>
      <c r="H44" s="373" t="s">
        <v>308</v>
      </c>
      <c r="I44" s="128">
        <v>20.5</v>
      </c>
      <c r="J44" s="128">
        <f t="shared" si="3"/>
        <v>6.5286624203821653</v>
      </c>
      <c r="K44" s="128"/>
      <c r="L44" s="128"/>
      <c r="M44" s="128">
        <v>2</v>
      </c>
      <c r="N44" s="128">
        <f t="shared" si="4"/>
        <v>33.459394904458598</v>
      </c>
      <c r="O44" s="129">
        <f t="shared" si="5"/>
        <v>9.76153425664005E-3</v>
      </c>
      <c r="P44" s="219">
        <f>O44*(1+'Key Data'!F$3)</f>
        <v>1.2201917820800063E-2</v>
      </c>
      <c r="Q44" s="375"/>
      <c r="R44" s="375"/>
      <c r="S44" s="377"/>
    </row>
    <row r="45" spans="1:19" s="66" customFormat="1" x14ac:dyDescent="0.3">
      <c r="A45" s="373"/>
      <c r="B45" s="373"/>
      <c r="C45" s="373"/>
      <c r="D45" s="373"/>
      <c r="E45" s="112"/>
      <c r="F45" s="112"/>
      <c r="G45" s="373"/>
      <c r="H45" s="373" t="s">
        <v>308</v>
      </c>
      <c r="I45" s="128">
        <v>18.600000000000001</v>
      </c>
      <c r="J45" s="128">
        <f t="shared" si="3"/>
        <v>5.9235668789808917</v>
      </c>
      <c r="K45" s="128"/>
      <c r="L45" s="128"/>
      <c r="M45" s="128">
        <v>1.8</v>
      </c>
      <c r="N45" s="128">
        <f t="shared" si="4"/>
        <v>27.544585987261147</v>
      </c>
      <c r="O45" s="129">
        <f t="shared" si="5"/>
        <v>8.0359319248713649E-3</v>
      </c>
      <c r="P45" s="219">
        <f>O45*(1+'Key Data'!F$3)</f>
        <v>1.0044914906089206E-2</v>
      </c>
      <c r="Q45" s="375"/>
      <c r="R45" s="375"/>
      <c r="S45" s="377"/>
    </row>
    <row r="46" spans="1:19" s="66" customFormat="1" x14ac:dyDescent="0.3">
      <c r="A46" s="367">
        <v>3</v>
      </c>
      <c r="B46" s="367" t="s">
        <v>337</v>
      </c>
      <c r="C46" s="367" t="s">
        <v>316</v>
      </c>
      <c r="D46" s="367" t="s">
        <v>295</v>
      </c>
      <c r="E46" s="94">
        <v>14.976566699999999</v>
      </c>
      <c r="F46" s="94">
        <v>74.902241799999999</v>
      </c>
      <c r="G46" s="367">
        <v>2022</v>
      </c>
      <c r="H46" s="367" t="s">
        <v>308</v>
      </c>
      <c r="I46" s="126">
        <v>15</v>
      </c>
      <c r="J46" s="126">
        <f t="shared" si="3"/>
        <v>4.7770700636942669</v>
      </c>
      <c r="K46" s="126"/>
      <c r="L46" s="126"/>
      <c r="M46" s="126">
        <v>1.2</v>
      </c>
      <c r="N46" s="126">
        <f t="shared" si="4"/>
        <v>17.914012738853497</v>
      </c>
      <c r="O46" s="127">
        <f t="shared" si="5"/>
        <v>5.2262824693492214E-3</v>
      </c>
      <c r="P46" s="218">
        <f>O46*(1+'Key Data'!F$3)</f>
        <v>6.5328530866865268E-3</v>
      </c>
      <c r="Q46" s="366">
        <f>SUM(P46:P74)</f>
        <v>0.98040994238626389</v>
      </c>
      <c r="R46" s="366">
        <f>Q46*10000/900</f>
        <v>10.89344380429182</v>
      </c>
      <c r="S46" s="377"/>
    </row>
    <row r="47" spans="1:19" s="66" customFormat="1" x14ac:dyDescent="0.3">
      <c r="A47" s="367"/>
      <c r="B47" s="367"/>
      <c r="C47" s="367"/>
      <c r="D47" s="367"/>
      <c r="E47" s="94">
        <v>14.9663526</v>
      </c>
      <c r="F47" s="94">
        <v>74.9022997</v>
      </c>
      <c r="G47" s="367"/>
      <c r="H47" s="367" t="s">
        <v>308</v>
      </c>
      <c r="I47" s="126">
        <v>35</v>
      </c>
      <c r="J47" s="126">
        <f t="shared" si="3"/>
        <v>11.146496815286623</v>
      </c>
      <c r="K47" s="126"/>
      <c r="L47" s="126"/>
      <c r="M47" s="126">
        <v>3</v>
      </c>
      <c r="N47" s="126">
        <f t="shared" si="4"/>
        <v>97.53184713375795</v>
      </c>
      <c r="O47" s="127">
        <f t="shared" si="5"/>
        <v>2.8454204555345777E-2</v>
      </c>
      <c r="P47" s="218">
        <f>O47*(1+'Key Data'!F$3)</f>
        <v>3.5567755694182218E-2</v>
      </c>
      <c r="Q47" s="366"/>
      <c r="R47" s="366"/>
      <c r="S47" s="377"/>
    </row>
    <row r="48" spans="1:19" s="66" customFormat="1" x14ac:dyDescent="0.3">
      <c r="A48" s="367"/>
      <c r="B48" s="367"/>
      <c r="C48" s="367"/>
      <c r="D48" s="367"/>
      <c r="E48" s="94">
        <v>14.976288200000001</v>
      </c>
      <c r="F48" s="94">
        <v>74.902272800000006</v>
      </c>
      <c r="G48" s="367"/>
      <c r="H48" s="367" t="s">
        <v>308</v>
      </c>
      <c r="I48" s="126">
        <v>35.5</v>
      </c>
      <c r="J48" s="126">
        <f t="shared" si="3"/>
        <v>11.305732484076433</v>
      </c>
      <c r="K48" s="126"/>
      <c r="L48" s="126"/>
      <c r="M48" s="126">
        <v>2.6</v>
      </c>
      <c r="N48" s="126">
        <f t="shared" si="4"/>
        <v>100.33837579617834</v>
      </c>
      <c r="O48" s="127">
        <f t="shared" si="5"/>
        <v>2.9272988808877135E-2</v>
      </c>
      <c r="P48" s="218">
        <f>O48*(1+'Key Data'!F$3)</f>
        <v>3.6591236011096422E-2</v>
      </c>
      <c r="Q48" s="366"/>
      <c r="R48" s="366"/>
      <c r="S48" s="377"/>
    </row>
    <row r="49" spans="1:19" s="66" customFormat="1" x14ac:dyDescent="0.3">
      <c r="A49" s="367"/>
      <c r="B49" s="367"/>
      <c r="C49" s="367"/>
      <c r="D49" s="367"/>
      <c r="E49" s="94">
        <v>14.9765169</v>
      </c>
      <c r="F49" s="94">
        <v>74.902086499999996</v>
      </c>
      <c r="G49" s="367"/>
      <c r="H49" s="367" t="s">
        <v>308</v>
      </c>
      <c r="I49" s="126">
        <v>41</v>
      </c>
      <c r="J49" s="126">
        <f t="shared" si="3"/>
        <v>13.057324840764331</v>
      </c>
      <c r="K49" s="126"/>
      <c r="L49" s="126"/>
      <c r="M49" s="126">
        <v>2.9</v>
      </c>
      <c r="N49" s="126">
        <f t="shared" si="4"/>
        <v>133.83757961783439</v>
      </c>
      <c r="O49" s="127">
        <f t="shared" si="5"/>
        <v>3.9046137026560186E-2</v>
      </c>
      <c r="P49" s="218">
        <f>O49*(1+'Key Data'!F$3)</f>
        <v>4.8807671283200231E-2</v>
      </c>
      <c r="Q49" s="366"/>
      <c r="R49" s="366"/>
      <c r="S49" s="377"/>
    </row>
    <row r="50" spans="1:19" s="66" customFormat="1" x14ac:dyDescent="0.3">
      <c r="A50" s="367"/>
      <c r="B50" s="367"/>
      <c r="C50" s="367"/>
      <c r="D50" s="367"/>
      <c r="E50" s="94">
        <v>14.976441400000001</v>
      </c>
      <c r="F50" s="94">
        <v>74.902194100000003</v>
      </c>
      <c r="G50" s="367"/>
      <c r="H50" s="367" t="s">
        <v>308</v>
      </c>
      <c r="I50" s="126">
        <v>21</v>
      </c>
      <c r="J50" s="126">
        <f t="shared" si="3"/>
        <v>6.6878980891719744</v>
      </c>
      <c r="K50" s="126"/>
      <c r="L50" s="126"/>
      <c r="M50" s="126">
        <v>1.8</v>
      </c>
      <c r="N50" s="126">
        <f t="shared" si="4"/>
        <v>35.111464968152866</v>
      </c>
      <c r="O50" s="127">
        <f t="shared" si="5"/>
        <v>1.0243513639924477E-2</v>
      </c>
      <c r="P50" s="218">
        <f>O50*(1+'Key Data'!F$3)</f>
        <v>1.2804392049905597E-2</v>
      </c>
      <c r="Q50" s="366"/>
      <c r="R50" s="366"/>
      <c r="S50" s="377"/>
    </row>
    <row r="51" spans="1:19" s="66" customFormat="1" x14ac:dyDescent="0.3">
      <c r="A51" s="367"/>
      <c r="B51" s="367"/>
      <c r="C51" s="367"/>
      <c r="D51" s="367"/>
      <c r="E51" s="94"/>
      <c r="F51" s="94"/>
      <c r="G51" s="367"/>
      <c r="H51" s="367" t="s">
        <v>308</v>
      </c>
      <c r="I51" s="126">
        <v>36.799999999999997</v>
      </c>
      <c r="J51" s="126">
        <f t="shared" si="3"/>
        <v>11.719745222929935</v>
      </c>
      <c r="K51" s="126"/>
      <c r="L51" s="126"/>
      <c r="M51" s="126">
        <v>2.4</v>
      </c>
      <c r="N51" s="126">
        <f t="shared" si="4"/>
        <v>107.8216560509554</v>
      </c>
      <c r="O51" s="127">
        <f t="shared" si="5"/>
        <v>3.145618120573996E-2</v>
      </c>
      <c r="P51" s="218">
        <f>O51*(1+'Key Data'!F$3)</f>
        <v>3.9320226507174948E-2</v>
      </c>
      <c r="Q51" s="366"/>
      <c r="R51" s="366"/>
      <c r="S51" s="377"/>
    </row>
    <row r="52" spans="1:19" s="66" customFormat="1" x14ac:dyDescent="0.3">
      <c r="A52" s="367"/>
      <c r="B52" s="367"/>
      <c r="C52" s="367"/>
      <c r="D52" s="367"/>
      <c r="E52" s="94"/>
      <c r="F52" s="94"/>
      <c r="G52" s="367"/>
      <c r="H52" s="367" t="s">
        <v>308</v>
      </c>
      <c r="I52" s="126">
        <v>41.2</v>
      </c>
      <c r="J52" s="126">
        <f t="shared" si="3"/>
        <v>13.121019108280255</v>
      </c>
      <c r="K52" s="126"/>
      <c r="L52" s="126"/>
      <c r="M52" s="126">
        <v>3</v>
      </c>
      <c r="N52" s="126">
        <f t="shared" si="4"/>
        <v>135.14649681528664</v>
      </c>
      <c r="O52" s="127">
        <f t="shared" si="5"/>
        <v>3.9428004065653964E-2</v>
      </c>
      <c r="P52" s="218">
        <f>O52*(1+'Key Data'!F$3)</f>
        <v>4.9285005082067457E-2</v>
      </c>
      <c r="Q52" s="366"/>
      <c r="R52" s="366"/>
      <c r="S52" s="377"/>
    </row>
    <row r="53" spans="1:19" s="66" customFormat="1" x14ac:dyDescent="0.3">
      <c r="A53" s="367"/>
      <c r="B53" s="367"/>
      <c r="C53" s="367"/>
      <c r="D53" s="367"/>
      <c r="E53" s="94"/>
      <c r="F53" s="94"/>
      <c r="G53" s="367"/>
      <c r="H53" s="367" t="s">
        <v>308</v>
      </c>
      <c r="I53" s="126">
        <v>45.4</v>
      </c>
      <c r="J53" s="126">
        <f t="shared" si="3"/>
        <v>14.458598726114648</v>
      </c>
      <c r="K53" s="126"/>
      <c r="L53" s="126"/>
      <c r="M53" s="126">
        <v>3</v>
      </c>
      <c r="N53" s="126">
        <f t="shared" si="4"/>
        <v>164.10509554140125</v>
      </c>
      <c r="O53" s="127">
        <f t="shared" si="5"/>
        <v>4.7876463886772677E-2</v>
      </c>
      <c r="P53" s="218">
        <f>O53*(1+'Key Data'!F$3)</f>
        <v>5.984557985846585E-2</v>
      </c>
      <c r="Q53" s="366"/>
      <c r="R53" s="366"/>
      <c r="S53" s="377"/>
    </row>
    <row r="54" spans="1:19" s="66" customFormat="1" x14ac:dyDescent="0.3">
      <c r="A54" s="367"/>
      <c r="B54" s="367"/>
      <c r="C54" s="367"/>
      <c r="D54" s="367"/>
      <c r="E54" s="94"/>
      <c r="F54" s="94"/>
      <c r="G54" s="367"/>
      <c r="H54" s="367" t="s">
        <v>308</v>
      </c>
      <c r="I54" s="126">
        <v>31.8</v>
      </c>
      <c r="J54" s="126">
        <f t="shared" si="3"/>
        <v>10.127388535031846</v>
      </c>
      <c r="K54" s="126"/>
      <c r="L54" s="126"/>
      <c r="M54" s="126">
        <v>2.8</v>
      </c>
      <c r="N54" s="126">
        <f t="shared" si="4"/>
        <v>80.512738853503166</v>
      </c>
      <c r="O54" s="127">
        <f t="shared" si="5"/>
        <v>2.3489003930243165E-2</v>
      </c>
      <c r="P54" s="218">
        <f>O54*(1+'Key Data'!F$3)</f>
        <v>2.9361254912803957E-2</v>
      </c>
      <c r="Q54" s="366"/>
      <c r="R54" s="366"/>
      <c r="S54" s="377"/>
    </row>
    <row r="55" spans="1:19" s="66" customFormat="1" x14ac:dyDescent="0.3">
      <c r="A55" s="367"/>
      <c r="B55" s="367"/>
      <c r="C55" s="367"/>
      <c r="D55" s="367"/>
      <c r="E55" s="94"/>
      <c r="F55" s="94"/>
      <c r="G55" s="367"/>
      <c r="H55" s="367" t="s">
        <v>308</v>
      </c>
      <c r="I55" s="126">
        <v>25</v>
      </c>
      <c r="J55" s="126">
        <f t="shared" si="3"/>
        <v>7.9617834394904454</v>
      </c>
      <c r="K55" s="126"/>
      <c r="L55" s="126"/>
      <c r="M55" s="126">
        <v>2.2000000000000002</v>
      </c>
      <c r="N55" s="126">
        <f t="shared" si="4"/>
        <v>49.761146496815286</v>
      </c>
      <c r="O55" s="127">
        <f t="shared" si="5"/>
        <v>1.4517451303747849E-2</v>
      </c>
      <c r="P55" s="218">
        <f>O55*(1+'Key Data'!F$3)</f>
        <v>1.8146814129684812E-2</v>
      </c>
      <c r="Q55" s="366"/>
      <c r="R55" s="366"/>
      <c r="S55" s="377"/>
    </row>
    <row r="56" spans="1:19" s="66" customFormat="1" x14ac:dyDescent="0.3">
      <c r="A56" s="367"/>
      <c r="B56" s="367"/>
      <c r="C56" s="367"/>
      <c r="D56" s="367"/>
      <c r="E56" s="94"/>
      <c r="F56" s="94"/>
      <c r="G56" s="367"/>
      <c r="H56" s="367" t="s">
        <v>308</v>
      </c>
      <c r="I56" s="126">
        <v>41.2</v>
      </c>
      <c r="J56" s="126">
        <f t="shared" si="3"/>
        <v>13.121019108280255</v>
      </c>
      <c r="K56" s="126"/>
      <c r="L56" s="126"/>
      <c r="M56" s="126">
        <v>3.2</v>
      </c>
      <c r="N56" s="126">
        <f t="shared" si="4"/>
        <v>135.14649681528664</v>
      </c>
      <c r="O56" s="127">
        <f t="shared" si="5"/>
        <v>3.9428004065653964E-2</v>
      </c>
      <c r="P56" s="218">
        <f>O56*(1+'Key Data'!F$3)</f>
        <v>4.9285005082067457E-2</v>
      </c>
      <c r="Q56" s="366"/>
      <c r="R56" s="366"/>
      <c r="S56" s="377"/>
    </row>
    <row r="57" spans="1:19" s="66" customFormat="1" x14ac:dyDescent="0.3">
      <c r="A57" s="367"/>
      <c r="B57" s="367"/>
      <c r="C57" s="367"/>
      <c r="D57" s="367"/>
      <c r="E57" s="94"/>
      <c r="F57" s="94"/>
      <c r="G57" s="367"/>
      <c r="H57" s="367" t="s">
        <v>308</v>
      </c>
      <c r="I57" s="126">
        <v>36.799999999999997</v>
      </c>
      <c r="J57" s="126">
        <f t="shared" si="3"/>
        <v>11.719745222929935</v>
      </c>
      <c r="K57" s="126"/>
      <c r="L57" s="126"/>
      <c r="M57" s="126">
        <v>2.8</v>
      </c>
      <c r="N57" s="126">
        <f t="shared" si="4"/>
        <v>107.8216560509554</v>
      </c>
      <c r="O57" s="127">
        <f t="shared" si="5"/>
        <v>3.145618120573996E-2</v>
      </c>
      <c r="P57" s="218">
        <f>O57*(1+'Key Data'!F$3)</f>
        <v>3.9320226507174948E-2</v>
      </c>
      <c r="Q57" s="366"/>
      <c r="R57" s="366"/>
      <c r="S57" s="377"/>
    </row>
    <row r="58" spans="1:19" s="66" customFormat="1" x14ac:dyDescent="0.3">
      <c r="A58" s="367"/>
      <c r="B58" s="367"/>
      <c r="C58" s="367"/>
      <c r="D58" s="367"/>
      <c r="E58" s="94"/>
      <c r="F58" s="94"/>
      <c r="G58" s="367"/>
      <c r="H58" s="367" t="s">
        <v>308</v>
      </c>
      <c r="I58" s="126">
        <v>31.4</v>
      </c>
      <c r="J58" s="126">
        <f t="shared" si="3"/>
        <v>10</v>
      </c>
      <c r="K58" s="126"/>
      <c r="L58" s="126"/>
      <c r="M58" s="126">
        <v>2.6</v>
      </c>
      <c r="N58" s="126">
        <f t="shared" si="4"/>
        <v>78.5</v>
      </c>
      <c r="O58" s="127">
        <f t="shared" si="5"/>
        <v>2.2901802059909177E-2</v>
      </c>
      <c r="P58" s="218">
        <f>O58*(1+'Key Data'!F$3)</f>
        <v>2.8627252574886471E-2</v>
      </c>
      <c r="Q58" s="366"/>
      <c r="R58" s="366"/>
      <c r="S58" s="377"/>
    </row>
    <row r="59" spans="1:19" s="66" customFormat="1" x14ac:dyDescent="0.3">
      <c r="A59" s="367"/>
      <c r="B59" s="367"/>
      <c r="C59" s="367"/>
      <c r="D59" s="367"/>
      <c r="E59" s="94"/>
      <c r="F59" s="94"/>
      <c r="G59" s="367"/>
      <c r="H59" s="367" t="s">
        <v>308</v>
      </c>
      <c r="I59" s="126">
        <v>17.8</v>
      </c>
      <c r="J59" s="126">
        <f t="shared" si="3"/>
        <v>5.6687898089171975</v>
      </c>
      <c r="K59" s="126"/>
      <c r="L59" s="126"/>
      <c r="M59" s="126">
        <v>2</v>
      </c>
      <c r="N59" s="126">
        <f t="shared" si="4"/>
        <v>25.226114649681531</v>
      </c>
      <c r="O59" s="127">
        <f t="shared" si="5"/>
        <v>7.3595348337271499E-3</v>
      </c>
      <c r="P59" s="218">
        <f>O59*(1+'Key Data'!F$3)</f>
        <v>9.1994185421589367E-3</v>
      </c>
      <c r="Q59" s="366"/>
      <c r="R59" s="366"/>
      <c r="S59" s="377"/>
    </row>
    <row r="60" spans="1:19" s="66" customFormat="1" x14ac:dyDescent="0.3">
      <c r="A60" s="367"/>
      <c r="B60" s="367"/>
      <c r="C60" s="367"/>
      <c r="D60" s="367"/>
      <c r="E60" s="94"/>
      <c r="F60" s="94"/>
      <c r="G60" s="367"/>
      <c r="H60" s="367" t="s">
        <v>308</v>
      </c>
      <c r="I60" s="126">
        <v>38.4</v>
      </c>
      <c r="J60" s="126">
        <f t="shared" si="3"/>
        <v>12.229299363057324</v>
      </c>
      <c r="K60" s="126"/>
      <c r="L60" s="126"/>
      <c r="M60" s="126">
        <v>2</v>
      </c>
      <c r="N60" s="126">
        <f t="shared" si="4"/>
        <v>117.40127388535031</v>
      </c>
      <c r="O60" s="127">
        <f t="shared" si="5"/>
        <v>3.4250964791127061E-2</v>
      </c>
      <c r="P60" s="218">
        <f>O60*(1+'Key Data'!F$3)</f>
        <v>4.2813705988908823E-2</v>
      </c>
      <c r="Q60" s="366"/>
      <c r="R60" s="366"/>
      <c r="S60" s="377"/>
    </row>
    <row r="61" spans="1:19" s="66" customFormat="1" x14ac:dyDescent="0.3">
      <c r="A61" s="367"/>
      <c r="B61" s="367"/>
      <c r="C61" s="367"/>
      <c r="D61" s="367"/>
      <c r="E61" s="94"/>
      <c r="F61" s="94"/>
      <c r="G61" s="367"/>
      <c r="H61" s="367" t="s">
        <v>308</v>
      </c>
      <c r="I61" s="126">
        <v>39.799999999999997</v>
      </c>
      <c r="J61" s="126">
        <f t="shared" si="3"/>
        <v>12.675159235668788</v>
      </c>
      <c r="K61" s="126"/>
      <c r="L61" s="126"/>
      <c r="M61" s="126">
        <v>2.6</v>
      </c>
      <c r="N61" s="126">
        <f t="shared" si="4"/>
        <v>126.11783439490443</v>
      </c>
      <c r="O61" s="127">
        <f t="shared" si="5"/>
        <v>3.6793957701101991E-2</v>
      </c>
      <c r="P61" s="218">
        <f>O61*(1+'Key Data'!F$3)</f>
        <v>4.5992447126377491E-2</v>
      </c>
      <c r="Q61" s="366"/>
      <c r="R61" s="366"/>
      <c r="S61" s="377"/>
    </row>
    <row r="62" spans="1:19" s="66" customFormat="1" x14ac:dyDescent="0.3">
      <c r="A62" s="367"/>
      <c r="B62" s="367"/>
      <c r="C62" s="367"/>
      <c r="D62" s="367"/>
      <c r="E62" s="94"/>
      <c r="F62" s="94"/>
      <c r="G62" s="367"/>
      <c r="H62" s="367" t="s">
        <v>308</v>
      </c>
      <c r="I62" s="126">
        <v>36.4</v>
      </c>
      <c r="J62" s="126">
        <f t="shared" si="3"/>
        <v>11.592356687898087</v>
      </c>
      <c r="K62" s="126"/>
      <c r="L62" s="126"/>
      <c r="M62" s="126">
        <v>2.2000000000000002</v>
      </c>
      <c r="N62" s="126">
        <f t="shared" si="4"/>
        <v>105.49044585987259</v>
      </c>
      <c r="O62" s="127">
        <f t="shared" si="5"/>
        <v>3.0776067647061978E-2</v>
      </c>
      <c r="P62" s="218">
        <f>O62*(1+'Key Data'!F$3)</f>
        <v>3.8470084558827472E-2</v>
      </c>
      <c r="Q62" s="366"/>
      <c r="R62" s="366"/>
      <c r="S62" s="377"/>
    </row>
    <row r="63" spans="1:19" s="66" customFormat="1" x14ac:dyDescent="0.3">
      <c r="A63" s="367"/>
      <c r="B63" s="367"/>
      <c r="C63" s="367"/>
      <c r="D63" s="367"/>
      <c r="E63" s="94"/>
      <c r="F63" s="94"/>
      <c r="G63" s="367"/>
      <c r="H63" s="367" t="s">
        <v>308</v>
      </c>
      <c r="I63" s="126">
        <v>34.6</v>
      </c>
      <c r="J63" s="126">
        <f t="shared" si="3"/>
        <v>11.019108280254777</v>
      </c>
      <c r="K63" s="126"/>
      <c r="L63" s="126"/>
      <c r="M63" s="126">
        <v>2</v>
      </c>
      <c r="N63" s="126">
        <f t="shared" si="4"/>
        <v>95.315286624203821</v>
      </c>
      <c r="O63" s="127">
        <f t="shared" si="5"/>
        <v>2.7807539204471651E-2</v>
      </c>
      <c r="P63" s="218">
        <f>O63*(1+'Key Data'!F$3)</f>
        <v>3.4759424005589561E-2</v>
      </c>
      <c r="Q63" s="366"/>
      <c r="R63" s="366"/>
      <c r="S63" s="377"/>
    </row>
    <row r="64" spans="1:19" s="66" customFormat="1" x14ac:dyDescent="0.3">
      <c r="A64" s="367"/>
      <c r="B64" s="367"/>
      <c r="C64" s="367"/>
      <c r="D64" s="367"/>
      <c r="E64" s="94"/>
      <c r="F64" s="94"/>
      <c r="G64" s="367"/>
      <c r="H64" s="367" t="s">
        <v>308</v>
      </c>
      <c r="I64" s="126">
        <v>37.4</v>
      </c>
      <c r="J64" s="126">
        <f t="shared" si="3"/>
        <v>11.910828025477706</v>
      </c>
      <c r="K64" s="126"/>
      <c r="L64" s="126"/>
      <c r="M64" s="126">
        <v>3</v>
      </c>
      <c r="N64" s="126">
        <f t="shared" si="4"/>
        <v>111.36624203821654</v>
      </c>
      <c r="O64" s="127">
        <f t="shared" si="5"/>
        <v>3.2490288297008528E-2</v>
      </c>
      <c r="P64" s="218">
        <f>O64*(1+'Key Data'!F$3)</f>
        <v>4.0612860371260662E-2</v>
      </c>
      <c r="Q64" s="366"/>
      <c r="R64" s="366"/>
      <c r="S64" s="377"/>
    </row>
    <row r="65" spans="1:19" s="66" customFormat="1" x14ac:dyDescent="0.3">
      <c r="A65" s="367"/>
      <c r="B65" s="367"/>
      <c r="C65" s="367"/>
      <c r="D65" s="367"/>
      <c r="E65" s="94"/>
      <c r="F65" s="94"/>
      <c r="G65" s="367"/>
      <c r="H65" s="367" t="s">
        <v>308</v>
      </c>
      <c r="I65" s="126">
        <v>42</v>
      </c>
      <c r="J65" s="126">
        <f t="shared" si="3"/>
        <v>13.375796178343949</v>
      </c>
      <c r="K65" s="126"/>
      <c r="L65" s="126"/>
      <c r="M65" s="126">
        <v>3.5</v>
      </c>
      <c r="N65" s="126">
        <f t="shared" si="4"/>
        <v>140.44585987261146</v>
      </c>
      <c r="O65" s="127">
        <f t="shared" si="5"/>
        <v>4.0974054559697944E-2</v>
      </c>
      <c r="P65" s="218">
        <f>O65*(1+'Key Data'!F$3)</f>
        <v>5.1217568199622428E-2</v>
      </c>
      <c r="Q65" s="366"/>
      <c r="R65" s="366"/>
      <c r="S65" s="377"/>
    </row>
    <row r="66" spans="1:19" s="66" customFormat="1" x14ac:dyDescent="0.3">
      <c r="A66" s="367"/>
      <c r="B66" s="367"/>
      <c r="C66" s="367"/>
      <c r="D66" s="367"/>
      <c r="E66" s="94"/>
      <c r="F66" s="94"/>
      <c r="G66" s="367"/>
      <c r="H66" s="367" t="s">
        <v>308</v>
      </c>
      <c r="I66" s="126">
        <v>38.5</v>
      </c>
      <c r="J66" s="126">
        <f t="shared" ref="J66:J89" si="6">I66/3.14</f>
        <v>12.261146496815286</v>
      </c>
      <c r="K66" s="126"/>
      <c r="L66" s="126"/>
      <c r="M66" s="126">
        <v>3</v>
      </c>
      <c r="N66" s="126">
        <f t="shared" ref="N66:N74" si="7">3.14*J66/2*J66/2</f>
        <v>118.01353503184713</v>
      </c>
      <c r="O66" s="127">
        <f t="shared" ref="O66:O74" si="8">(10^(-0.535+LOG10(N66)))/1000</f>
        <v>3.4429587511968382E-2</v>
      </c>
      <c r="P66" s="218">
        <f>O66*(1+'Key Data'!F$3)</f>
        <v>4.3036984389960481E-2</v>
      </c>
      <c r="Q66" s="366"/>
      <c r="R66" s="366"/>
      <c r="S66" s="377"/>
    </row>
    <row r="67" spans="1:19" s="66" customFormat="1" x14ac:dyDescent="0.3">
      <c r="A67" s="367"/>
      <c r="B67" s="367"/>
      <c r="C67" s="367"/>
      <c r="D67" s="367"/>
      <c r="E67" s="94"/>
      <c r="F67" s="94"/>
      <c r="G67" s="367"/>
      <c r="H67" s="367" t="s">
        <v>308</v>
      </c>
      <c r="I67" s="126">
        <v>33</v>
      </c>
      <c r="J67" s="126">
        <f t="shared" si="6"/>
        <v>10.509554140127388</v>
      </c>
      <c r="K67" s="126"/>
      <c r="L67" s="126"/>
      <c r="M67" s="126">
        <v>2.4</v>
      </c>
      <c r="N67" s="126">
        <f t="shared" si="7"/>
        <v>86.703821656050948</v>
      </c>
      <c r="O67" s="127">
        <f t="shared" si="8"/>
        <v>2.5295207151650251E-2</v>
      </c>
      <c r="P67" s="218">
        <f>O67*(1+'Key Data'!F$3)</f>
        <v>3.1619008939562813E-2</v>
      </c>
      <c r="Q67" s="366"/>
      <c r="R67" s="366"/>
      <c r="S67" s="377"/>
    </row>
    <row r="68" spans="1:19" s="66" customFormat="1" x14ac:dyDescent="0.3">
      <c r="A68" s="367"/>
      <c r="B68" s="367"/>
      <c r="C68" s="367"/>
      <c r="D68" s="367"/>
      <c r="E68" s="94"/>
      <c r="F68" s="94"/>
      <c r="G68" s="367"/>
      <c r="H68" s="367" t="s">
        <v>308</v>
      </c>
      <c r="I68" s="126">
        <v>41.6</v>
      </c>
      <c r="J68" s="126">
        <f t="shared" si="6"/>
        <v>13.248407643312103</v>
      </c>
      <c r="K68" s="126"/>
      <c r="L68" s="126"/>
      <c r="M68" s="126">
        <v>3.6</v>
      </c>
      <c r="N68" s="126">
        <f t="shared" si="7"/>
        <v>137.78343949044586</v>
      </c>
      <c r="O68" s="127">
        <f t="shared" si="8"/>
        <v>4.0197312845142205E-2</v>
      </c>
      <c r="P68" s="218">
        <f>O68*(1+'Key Data'!F$3)</f>
        <v>5.024664105642776E-2</v>
      </c>
      <c r="Q68" s="366"/>
      <c r="R68" s="366"/>
      <c r="S68" s="377"/>
    </row>
    <row r="69" spans="1:19" s="66" customFormat="1" x14ac:dyDescent="0.3">
      <c r="A69" s="367"/>
      <c r="B69" s="367"/>
      <c r="C69" s="367"/>
      <c r="D69" s="367"/>
      <c r="E69" s="94"/>
      <c r="F69" s="94"/>
      <c r="G69" s="367"/>
      <c r="H69" s="367" t="s">
        <v>308</v>
      </c>
      <c r="I69" s="126">
        <v>31</v>
      </c>
      <c r="J69" s="126">
        <f t="shared" si="6"/>
        <v>9.872611464968152</v>
      </c>
      <c r="K69" s="126"/>
      <c r="L69" s="126"/>
      <c r="M69" s="126">
        <v>2.5</v>
      </c>
      <c r="N69" s="126">
        <f t="shared" si="7"/>
        <v>76.51273885350318</v>
      </c>
      <c r="O69" s="127">
        <f t="shared" si="8"/>
        <v>2.2322033124642683E-2</v>
      </c>
      <c r="P69" s="218">
        <f>O69*(1+'Key Data'!F$3)</f>
        <v>2.7902541405803352E-2</v>
      </c>
      <c r="Q69" s="366"/>
      <c r="R69" s="366"/>
      <c r="S69" s="377"/>
    </row>
    <row r="70" spans="1:19" s="66" customFormat="1" x14ac:dyDescent="0.3">
      <c r="A70" s="367"/>
      <c r="B70" s="367"/>
      <c r="C70" s="367"/>
      <c r="D70" s="367"/>
      <c r="E70" s="94"/>
      <c r="F70" s="94"/>
      <c r="G70" s="367"/>
      <c r="H70" s="367" t="s">
        <v>308</v>
      </c>
      <c r="I70" s="126">
        <v>14.5</v>
      </c>
      <c r="J70" s="126">
        <f t="shared" si="6"/>
        <v>4.6178343949044587</v>
      </c>
      <c r="K70" s="126"/>
      <c r="L70" s="126"/>
      <c r="M70" s="126">
        <v>2</v>
      </c>
      <c r="N70" s="126">
        <f t="shared" si="7"/>
        <v>16.739649681528661</v>
      </c>
      <c r="O70" s="127">
        <f t="shared" si="8"/>
        <v>4.883670618580774E-3</v>
      </c>
      <c r="P70" s="218">
        <f>O70*(1+'Key Data'!F$3)</f>
        <v>6.1045882732259672E-3</v>
      </c>
      <c r="Q70" s="366"/>
      <c r="R70" s="366"/>
      <c r="S70" s="377"/>
    </row>
    <row r="71" spans="1:19" s="66" customFormat="1" x14ac:dyDescent="0.3">
      <c r="A71" s="367"/>
      <c r="B71" s="367"/>
      <c r="C71" s="367"/>
      <c r="D71" s="367"/>
      <c r="E71" s="94"/>
      <c r="F71" s="94"/>
      <c r="G71" s="367"/>
      <c r="H71" s="367" t="s">
        <v>308</v>
      </c>
      <c r="I71" s="126">
        <v>29</v>
      </c>
      <c r="J71" s="126">
        <f t="shared" si="6"/>
        <v>9.2356687898089174</v>
      </c>
      <c r="K71" s="126"/>
      <c r="L71" s="126"/>
      <c r="M71" s="126">
        <v>2</v>
      </c>
      <c r="N71" s="126">
        <f t="shared" si="7"/>
        <v>66.958598726114644</v>
      </c>
      <c r="O71" s="127">
        <f t="shared" si="8"/>
        <v>1.9534682474323103E-2</v>
      </c>
      <c r="P71" s="218">
        <f>O71*(1+'Key Data'!F$3)</f>
        <v>2.4418353092903879E-2</v>
      </c>
      <c r="Q71" s="366"/>
      <c r="R71" s="366"/>
      <c r="S71" s="377"/>
    </row>
    <row r="72" spans="1:19" s="66" customFormat="1" x14ac:dyDescent="0.3">
      <c r="A72" s="367"/>
      <c r="B72" s="367"/>
      <c r="C72" s="367"/>
      <c r="D72" s="367"/>
      <c r="E72" s="94"/>
      <c r="F72" s="94"/>
      <c r="G72" s="367"/>
      <c r="H72" s="367" t="s">
        <v>308</v>
      </c>
      <c r="I72" s="126">
        <v>22</v>
      </c>
      <c r="J72" s="126">
        <f t="shared" si="6"/>
        <v>7.0063694267515917</v>
      </c>
      <c r="K72" s="126"/>
      <c r="L72" s="126"/>
      <c r="M72" s="126">
        <v>2</v>
      </c>
      <c r="N72" s="126">
        <f t="shared" si="7"/>
        <v>38.535031847133752</v>
      </c>
      <c r="O72" s="127">
        <f t="shared" si="8"/>
        <v>1.1242314289622324E-2</v>
      </c>
      <c r="P72" s="218">
        <f>O72*(1+'Key Data'!F$3)</f>
        <v>1.4052892862027905E-2</v>
      </c>
      <c r="Q72" s="366"/>
      <c r="R72" s="366"/>
      <c r="S72" s="377"/>
    </row>
    <row r="73" spans="1:19" s="66" customFormat="1" x14ac:dyDescent="0.3">
      <c r="A73" s="367"/>
      <c r="B73" s="367"/>
      <c r="C73" s="367"/>
      <c r="D73" s="367"/>
      <c r="E73" s="94"/>
      <c r="F73" s="94"/>
      <c r="G73" s="367"/>
      <c r="H73" s="367" t="s">
        <v>308</v>
      </c>
      <c r="I73" s="126">
        <v>27</v>
      </c>
      <c r="J73" s="126">
        <f t="shared" si="6"/>
        <v>8.598726114649681</v>
      </c>
      <c r="K73" s="126"/>
      <c r="L73" s="126"/>
      <c r="M73" s="126">
        <v>2.2999999999999998</v>
      </c>
      <c r="N73" s="126">
        <f t="shared" si="7"/>
        <v>58.041401273885349</v>
      </c>
      <c r="O73" s="127">
        <f t="shared" si="8"/>
        <v>1.6933155200691483E-2</v>
      </c>
      <c r="P73" s="218">
        <f>O73*(1+'Key Data'!F$3)</f>
        <v>2.1166444000864353E-2</v>
      </c>
      <c r="Q73" s="366"/>
      <c r="R73" s="366"/>
      <c r="S73" s="377"/>
    </row>
    <row r="74" spans="1:19" s="66" customFormat="1" x14ac:dyDescent="0.3">
      <c r="A74" s="367"/>
      <c r="B74" s="367"/>
      <c r="C74" s="367"/>
      <c r="D74" s="367"/>
      <c r="E74" s="94"/>
      <c r="F74" s="94"/>
      <c r="G74" s="367"/>
      <c r="H74" s="367" t="s">
        <v>308</v>
      </c>
      <c r="I74" s="126">
        <v>39.5</v>
      </c>
      <c r="J74" s="126">
        <f t="shared" si="6"/>
        <v>12.579617834394904</v>
      </c>
      <c r="K74" s="126"/>
      <c r="L74" s="126"/>
      <c r="M74" s="126">
        <v>3</v>
      </c>
      <c r="N74" s="126">
        <f t="shared" si="7"/>
        <v>124.22372611464968</v>
      </c>
      <c r="O74" s="127">
        <f t="shared" si="8"/>
        <v>3.6241365434676112E-2</v>
      </c>
      <c r="P74" s="218">
        <f>O74*(1+'Key Data'!F$3)</f>
        <v>4.5301706793345137E-2</v>
      </c>
      <c r="Q74" s="366"/>
      <c r="R74" s="366"/>
      <c r="S74" s="377"/>
    </row>
    <row r="75" spans="1:19" s="66" customFormat="1" x14ac:dyDescent="0.3">
      <c r="A75" s="374">
        <v>4</v>
      </c>
      <c r="B75" s="374" t="s">
        <v>338</v>
      </c>
      <c r="C75" s="374" t="s">
        <v>339</v>
      </c>
      <c r="D75" s="374" t="s">
        <v>289</v>
      </c>
      <c r="E75" s="78">
        <v>15.345062799999999</v>
      </c>
      <c r="F75" s="78">
        <v>75.794591100000005</v>
      </c>
      <c r="G75" s="374">
        <v>2022</v>
      </c>
      <c r="H75" s="374" t="s">
        <v>340</v>
      </c>
      <c r="I75" s="203">
        <v>34.200000000000003</v>
      </c>
      <c r="J75" s="203">
        <f t="shared" si="6"/>
        <v>10.891719745222931</v>
      </c>
      <c r="K75" s="203">
        <v>17.3</v>
      </c>
      <c r="L75" s="203">
        <f t="shared" ref="L75:L89" si="9">K75/3.14</f>
        <v>5.5095541401273884</v>
      </c>
      <c r="M75" s="203">
        <v>2.7</v>
      </c>
      <c r="N75" s="203"/>
      <c r="O75" s="129">
        <f xml:space="preserve"> (0.131-1.87132*(L75/100)+9.47861*(L75/100)^2*'Key Data'!$I$13*'Key Data'!$F$13)</f>
        <v>6.188612441707194E-2</v>
      </c>
      <c r="P75" s="169">
        <f>O75*(1+'Key Data'!F$3)</f>
        <v>7.7357655521339927E-2</v>
      </c>
      <c r="Q75" s="379">
        <f>SUM(P75:P89)</f>
        <v>1.1344604901478497</v>
      </c>
      <c r="R75" s="379">
        <f>Q75*10000/900</f>
        <v>12.605116557198329</v>
      </c>
      <c r="S75" s="377"/>
    </row>
    <row r="76" spans="1:19" s="66" customFormat="1" x14ac:dyDescent="0.3">
      <c r="A76" s="374"/>
      <c r="B76" s="374"/>
      <c r="C76" s="374"/>
      <c r="D76" s="374"/>
      <c r="E76" s="78">
        <v>15.3449329</v>
      </c>
      <c r="F76" s="78">
        <v>75.794767300000004</v>
      </c>
      <c r="G76" s="374"/>
      <c r="H76" s="374" t="s">
        <v>340</v>
      </c>
      <c r="I76" s="203">
        <f>SQRT(24^2+33^2)</f>
        <v>40.80441152620633</v>
      </c>
      <c r="J76" s="203">
        <f t="shared" si="6"/>
        <v>12.995035517900105</v>
      </c>
      <c r="K76" s="203">
        <f>SQRT(14^2+16^2+14^2+17.4^2)</f>
        <v>30.834396378071034</v>
      </c>
      <c r="L76" s="203">
        <f t="shared" si="9"/>
        <v>9.8198714579844051</v>
      </c>
      <c r="M76" s="203">
        <v>3.1</v>
      </c>
      <c r="N76" s="203"/>
      <c r="O76" s="129">
        <f xml:space="preserve"> (0.131-1.87132*(L76/100)+9.47861*(L76/100)^2*'Key Data'!$I$13*'Key Data'!$F$13)</f>
        <v>5.5207533526877017E-2</v>
      </c>
      <c r="P76" s="169">
        <f>O76*(1+'Key Data'!F$3)</f>
        <v>6.9009416908596272E-2</v>
      </c>
      <c r="Q76" s="379"/>
      <c r="R76" s="379"/>
      <c r="S76" s="377"/>
    </row>
    <row r="77" spans="1:19" s="66" customFormat="1" x14ac:dyDescent="0.3">
      <c r="A77" s="374"/>
      <c r="B77" s="374"/>
      <c r="C77" s="374"/>
      <c r="D77" s="374"/>
      <c r="E77" s="78">
        <v>15.3449028</v>
      </c>
      <c r="F77" s="78">
        <v>75.794865200000004</v>
      </c>
      <c r="G77" s="374"/>
      <c r="H77" s="374" t="s">
        <v>340</v>
      </c>
      <c r="I77" s="203">
        <v>36</v>
      </c>
      <c r="J77" s="203">
        <f t="shared" si="6"/>
        <v>11.464968152866241</v>
      </c>
      <c r="K77" s="203">
        <f>SQRT(16^2+19^2+13^2)</f>
        <v>28.035691537752374</v>
      </c>
      <c r="L77" s="203">
        <f t="shared" si="9"/>
        <v>8.9285641839975707</v>
      </c>
      <c r="M77" s="203">
        <v>3</v>
      </c>
      <c r="N77" s="203"/>
      <c r="O77" s="129">
        <f xml:space="preserve"> (0.131-1.87132*(L77/100)+9.47861*(L77/100)^2*'Key Data'!$I$13*'Key Data'!$F$13)</f>
        <v>5.3176521832112786E-2</v>
      </c>
      <c r="P77" s="169">
        <f>O77*(1+'Key Data'!F$3)</f>
        <v>6.6470652290140986E-2</v>
      </c>
      <c r="Q77" s="379"/>
      <c r="R77" s="379"/>
      <c r="S77" s="377"/>
    </row>
    <row r="78" spans="1:19" s="66" customFormat="1" x14ac:dyDescent="0.3">
      <c r="A78" s="374"/>
      <c r="B78" s="374"/>
      <c r="C78" s="374"/>
      <c r="D78" s="374"/>
      <c r="E78" s="78">
        <v>15.345154000000001</v>
      </c>
      <c r="F78" s="78">
        <v>75.794972099999995</v>
      </c>
      <c r="G78" s="374"/>
      <c r="H78" s="374" t="s">
        <v>340</v>
      </c>
      <c r="I78" s="203">
        <v>40</v>
      </c>
      <c r="J78" s="203">
        <f t="shared" si="6"/>
        <v>12.738853503184712</v>
      </c>
      <c r="K78" s="203">
        <f>SQRT(17.2^2+17^2+16^2)</f>
        <v>28.997241248091168</v>
      </c>
      <c r="L78" s="203">
        <f t="shared" si="9"/>
        <v>9.2347902063984613</v>
      </c>
      <c r="M78" s="203">
        <v>2.2999999999999998</v>
      </c>
      <c r="N78" s="203"/>
      <c r="O78" s="129">
        <f xml:space="preserve"> (0.131-1.87132*(L78/100)+9.47861*(L78/100)^2*'Key Data'!$I$13*'Key Data'!$F$13)</f>
        <v>5.3673709183595861E-2</v>
      </c>
      <c r="P78" s="169">
        <f>O78*(1+'Key Data'!F$3)</f>
        <v>6.7092136479494829E-2</v>
      </c>
      <c r="Q78" s="379"/>
      <c r="R78" s="379"/>
      <c r="S78" s="377"/>
    </row>
    <row r="79" spans="1:19" s="66" customFormat="1" x14ac:dyDescent="0.3">
      <c r="A79" s="374"/>
      <c r="B79" s="374"/>
      <c r="C79" s="374"/>
      <c r="D79" s="374"/>
      <c r="E79" s="78">
        <v>15.3450053</v>
      </c>
      <c r="F79" s="78">
        <v>75.794766899999999</v>
      </c>
      <c r="G79" s="374"/>
      <c r="H79" s="374" t="s">
        <v>340</v>
      </c>
      <c r="I79" s="203">
        <f>SQRT(22^2+28.2^2)</f>
        <v>35.766464740032667</v>
      </c>
      <c r="J79" s="203">
        <f t="shared" si="6"/>
        <v>11.390593866252441</v>
      </c>
      <c r="K79" s="203">
        <f>SQRT(15.6^2+14.8^2)</f>
        <v>21.50348808914498</v>
      </c>
      <c r="L79" s="203">
        <f t="shared" si="9"/>
        <v>6.8482446143773821</v>
      </c>
      <c r="M79" s="203">
        <v>2.1</v>
      </c>
      <c r="N79" s="203"/>
      <c r="O79" s="129">
        <f xml:space="preserve"> (0.131-1.87132*(L79/100)+9.47861*(L79/100)^2*'Key Data'!$I$13*'Key Data'!$F$13)</f>
        <v>5.5357790033801195E-2</v>
      </c>
      <c r="P79" s="169">
        <f>O79*(1+'Key Data'!F$3)</f>
        <v>6.9197237542251488E-2</v>
      </c>
      <c r="Q79" s="379"/>
      <c r="R79" s="379"/>
      <c r="S79" s="377"/>
    </row>
    <row r="80" spans="1:19" s="66" customFormat="1" x14ac:dyDescent="0.3">
      <c r="A80" s="374"/>
      <c r="B80" s="374"/>
      <c r="C80" s="374"/>
      <c r="D80" s="374"/>
      <c r="E80" s="72"/>
      <c r="F80" s="72"/>
      <c r="G80" s="374"/>
      <c r="H80" s="374" t="s">
        <v>340</v>
      </c>
      <c r="I80" s="203">
        <f>SQRT(19^2+30^2)</f>
        <v>35.510561809129406</v>
      </c>
      <c r="J80" s="203">
        <f t="shared" si="6"/>
        <v>11.309096117557136</v>
      </c>
      <c r="K80" s="203">
        <f>SQRT(9^2+17^2)</f>
        <v>19.235384061671343</v>
      </c>
      <c r="L80" s="203">
        <f t="shared" si="9"/>
        <v>6.125918490978135</v>
      </c>
      <c r="M80" s="203">
        <v>2.1</v>
      </c>
      <c r="N80" s="203"/>
      <c r="O80" s="129">
        <f xml:space="preserve"> (0.131-1.87132*(L80/100)+9.47861*(L80/100)^2*'Key Data'!$I$13*'Key Data'!$F$13)</f>
        <v>5.8381835853451844E-2</v>
      </c>
      <c r="P80" s="169">
        <f>O80*(1+'Key Data'!F$3)</f>
        <v>7.2977294816814808E-2</v>
      </c>
      <c r="Q80" s="379"/>
      <c r="R80" s="379"/>
      <c r="S80" s="377"/>
    </row>
    <row r="81" spans="1:19" s="66" customFormat="1" x14ac:dyDescent="0.3">
      <c r="A81" s="374"/>
      <c r="B81" s="374"/>
      <c r="C81" s="374"/>
      <c r="D81" s="374"/>
      <c r="E81" s="72"/>
      <c r="F81" s="72"/>
      <c r="G81" s="374"/>
      <c r="H81" s="374" t="s">
        <v>340</v>
      </c>
      <c r="I81" s="203">
        <v>42</v>
      </c>
      <c r="J81" s="203">
        <f t="shared" si="6"/>
        <v>13.375796178343949</v>
      </c>
      <c r="K81" s="203">
        <f>SQRT(20^2+24^2+14^2+25^2)</f>
        <v>42.391036788453285</v>
      </c>
      <c r="L81" s="203">
        <f t="shared" si="9"/>
        <v>13.500330187405504</v>
      </c>
      <c r="M81" s="203">
        <v>3.2</v>
      </c>
      <c r="N81" s="203"/>
      <c r="O81" s="129">
        <f xml:space="preserve"> (0.131-1.87132*(L81/100)+9.47861*(L81/100)^2*'Key Data'!$I$13*'Key Data'!$F$13)</f>
        <v>8.243378504138521E-2</v>
      </c>
      <c r="P81" s="169">
        <f>O81*(1+'Key Data'!F$3)</f>
        <v>0.10304223130173151</v>
      </c>
      <c r="Q81" s="379"/>
      <c r="R81" s="379"/>
      <c r="S81" s="377"/>
    </row>
    <row r="82" spans="1:19" s="66" customFormat="1" x14ac:dyDescent="0.3">
      <c r="A82" s="374"/>
      <c r="B82" s="374"/>
      <c r="C82" s="374"/>
      <c r="D82" s="374"/>
      <c r="E82" s="72"/>
      <c r="F82" s="72"/>
      <c r="G82" s="374"/>
      <c r="H82" s="374" t="s">
        <v>340</v>
      </c>
      <c r="I82" s="203">
        <v>53</v>
      </c>
      <c r="J82" s="203">
        <f t="shared" si="6"/>
        <v>16.878980891719745</v>
      </c>
      <c r="K82" s="203">
        <v>40.5</v>
      </c>
      <c r="L82" s="203">
        <f t="shared" si="9"/>
        <v>12.898089171974522</v>
      </c>
      <c r="M82" s="203">
        <v>3.1</v>
      </c>
      <c r="N82" s="203"/>
      <c r="O82" s="129">
        <f xml:space="preserve"> (0.131-1.87132*(L82/100)+9.47861*(L82/100)^2*'Key Data'!$I$13*'Key Data'!$F$13)</f>
        <v>7.5903037998657386E-2</v>
      </c>
      <c r="P82" s="169">
        <f>O82*(1+'Key Data'!F$3)</f>
        <v>9.4878797498321732E-2</v>
      </c>
      <c r="Q82" s="379"/>
      <c r="R82" s="379"/>
      <c r="S82" s="377"/>
    </row>
    <row r="83" spans="1:19" s="66" customFormat="1" x14ac:dyDescent="0.3">
      <c r="A83" s="374"/>
      <c r="B83" s="374"/>
      <c r="C83" s="374"/>
      <c r="D83" s="374"/>
      <c r="E83" s="72"/>
      <c r="F83" s="72"/>
      <c r="G83" s="374"/>
      <c r="H83" s="374" t="s">
        <v>340</v>
      </c>
      <c r="I83" s="203">
        <f>SQRT(21^2+29^2)</f>
        <v>35.805027579936315</v>
      </c>
      <c r="J83" s="203">
        <f t="shared" si="6"/>
        <v>11.402875025457424</v>
      </c>
      <c r="K83" s="203">
        <f>SQRT(12^2+18.1^2)</f>
        <v>21.716583525039109</v>
      </c>
      <c r="L83" s="203">
        <f t="shared" si="9"/>
        <v>6.9161094028786971</v>
      </c>
      <c r="M83" s="203">
        <v>3</v>
      </c>
      <c r="N83" s="203"/>
      <c r="O83" s="129">
        <f xml:space="preserve"> (0.131-1.87132*(L83/100)+9.47861*(L83/100)^2*'Key Data'!$I$13*'Key Data'!$F$13)</f>
        <v>5.513371459880425E-2</v>
      </c>
      <c r="P83" s="169">
        <f>O83*(1+'Key Data'!F$3)</f>
        <v>6.8917143248505314E-2</v>
      </c>
      <c r="Q83" s="379"/>
      <c r="R83" s="379"/>
      <c r="S83" s="377"/>
    </row>
    <row r="84" spans="1:19" s="66" customFormat="1" x14ac:dyDescent="0.3">
      <c r="A84" s="374"/>
      <c r="B84" s="374"/>
      <c r="C84" s="374"/>
      <c r="D84" s="374"/>
      <c r="E84" s="72"/>
      <c r="F84" s="72"/>
      <c r="G84" s="374"/>
      <c r="H84" s="374" t="s">
        <v>340</v>
      </c>
      <c r="I84" s="203">
        <f>SQRT(43.3^2+28.6)</f>
        <v>43.629004114235748</v>
      </c>
      <c r="J84" s="203">
        <f t="shared" si="6"/>
        <v>13.894587297527307</v>
      </c>
      <c r="K84" s="203">
        <f>SQRT(21.6^2+14^2)</f>
        <v>25.740240869113872</v>
      </c>
      <c r="L84" s="203">
        <f t="shared" si="9"/>
        <v>8.1975289392082384</v>
      </c>
      <c r="M84" s="203">
        <v>2.9</v>
      </c>
      <c r="N84" s="203"/>
      <c r="O84" s="129">
        <f xml:space="preserve"> (0.131-1.87132*(L84/100)+9.47861*(L84/100)^2*'Key Data'!$I$13*'Key Data'!$F$13)</f>
        <v>5.2838626205203923E-2</v>
      </c>
      <c r="P84" s="169">
        <f>O84*(1+'Key Data'!F$3)</f>
        <v>6.60482827565049E-2</v>
      </c>
      <c r="Q84" s="379"/>
      <c r="R84" s="379"/>
      <c r="S84" s="377"/>
    </row>
    <row r="85" spans="1:19" s="66" customFormat="1" x14ac:dyDescent="0.3">
      <c r="A85" s="374"/>
      <c r="B85" s="374"/>
      <c r="C85" s="374"/>
      <c r="D85" s="374"/>
      <c r="E85" s="72"/>
      <c r="F85" s="72"/>
      <c r="G85" s="374"/>
      <c r="H85" s="374" t="s">
        <v>340</v>
      </c>
      <c r="I85" s="203">
        <v>44</v>
      </c>
      <c r="J85" s="203">
        <f t="shared" si="6"/>
        <v>14.012738853503183</v>
      </c>
      <c r="K85" s="203">
        <v>26.4</v>
      </c>
      <c r="L85" s="203">
        <f t="shared" si="9"/>
        <v>8.4076433121019107</v>
      </c>
      <c r="M85" s="203">
        <v>4.3</v>
      </c>
      <c r="N85" s="203"/>
      <c r="O85" s="129">
        <f xml:space="preserve"> (0.131-1.87132*(L85/100)+9.47861*(L85/100)^2*'Key Data'!$I$13*'Key Data'!$F$13)</f>
        <v>5.281319407724451E-2</v>
      </c>
      <c r="P85" s="169">
        <f>O85*(1+'Key Data'!F$3)</f>
        <v>6.6016492596555634E-2</v>
      </c>
      <c r="Q85" s="379"/>
      <c r="R85" s="379"/>
      <c r="S85" s="377"/>
    </row>
    <row r="86" spans="1:19" s="66" customFormat="1" x14ac:dyDescent="0.3">
      <c r="A86" s="374"/>
      <c r="B86" s="374"/>
      <c r="C86" s="374"/>
      <c r="D86" s="374"/>
      <c r="E86" s="72"/>
      <c r="F86" s="72"/>
      <c r="G86" s="374"/>
      <c r="H86" s="374" t="s">
        <v>340</v>
      </c>
      <c r="I86" s="203">
        <v>29.6</v>
      </c>
      <c r="J86" s="203">
        <f t="shared" si="6"/>
        <v>9.4267515923566876</v>
      </c>
      <c r="K86" s="203">
        <v>17.2</v>
      </c>
      <c r="L86" s="203">
        <f t="shared" si="9"/>
        <v>5.4777070063694264</v>
      </c>
      <c r="M86" s="203">
        <v>2.7</v>
      </c>
      <c r="N86" s="203"/>
      <c r="O86" s="129">
        <f xml:space="preserve"> (0.131-1.87132*(L86/100)+9.47861*(L86/100)^2*'Key Data'!$I$13*'Key Data'!$F$13)</f>
        <v>6.20903025803278E-2</v>
      </c>
      <c r="P86" s="169">
        <f>O86*(1+'Key Data'!F$3)</f>
        <v>7.7612878225409743E-2</v>
      </c>
      <c r="Q86" s="379"/>
      <c r="R86" s="379"/>
      <c r="S86" s="377"/>
    </row>
    <row r="87" spans="1:19" s="66" customFormat="1" x14ac:dyDescent="0.3">
      <c r="A87" s="374"/>
      <c r="B87" s="374"/>
      <c r="C87" s="374"/>
      <c r="D87" s="374"/>
      <c r="E87" s="72"/>
      <c r="F87" s="72"/>
      <c r="G87" s="374"/>
      <c r="H87" s="374" t="s">
        <v>340</v>
      </c>
      <c r="I87" s="203">
        <v>40.299999999999997</v>
      </c>
      <c r="J87" s="203">
        <f t="shared" si="6"/>
        <v>12.834394904458597</v>
      </c>
      <c r="K87" s="203">
        <f>SQRT(23.6^2+19.8^2)</f>
        <v>30.805843601498726</v>
      </c>
      <c r="L87" s="203">
        <f t="shared" si="9"/>
        <v>9.8107782170378108</v>
      </c>
      <c r="M87" s="203">
        <v>3.4</v>
      </c>
      <c r="N87" s="203"/>
      <c r="O87" s="129">
        <f xml:space="preserve"> (0.131-1.87132*(L87/100)+9.47861*(L87/100)^2*'Key Data'!$I$13*'Key Data'!$F$13)</f>
        <v>5.5177830736830372E-2</v>
      </c>
      <c r="P87" s="169">
        <f>O87*(1+'Key Data'!F$3)</f>
        <v>6.8972288421037961E-2</v>
      </c>
      <c r="Q87" s="379"/>
      <c r="R87" s="379"/>
      <c r="S87" s="377"/>
    </row>
    <row r="88" spans="1:19" s="66" customFormat="1" x14ac:dyDescent="0.3">
      <c r="A88" s="374"/>
      <c r="B88" s="374"/>
      <c r="C88" s="374"/>
      <c r="D88" s="374"/>
      <c r="E88" s="72"/>
      <c r="F88" s="72"/>
      <c r="G88" s="374"/>
      <c r="H88" s="374" t="s">
        <v>340</v>
      </c>
      <c r="I88" s="203">
        <f>SQRT(35.4^2+26.2^2)</f>
        <v>44.040890090914374</v>
      </c>
      <c r="J88" s="203">
        <f t="shared" si="6"/>
        <v>14.025761175450437</v>
      </c>
      <c r="K88" s="203">
        <f>SQRT(18^2+24.2^2+17.3^2)</f>
        <v>34.769670691566809</v>
      </c>
      <c r="L88" s="203">
        <f t="shared" si="9"/>
        <v>11.073143532346117</v>
      </c>
      <c r="M88" s="203">
        <v>4.3</v>
      </c>
      <c r="N88" s="203"/>
      <c r="O88" s="129">
        <f xml:space="preserve"> (0.131-1.87132*(L88/100)+9.47861*(L88/100)^2*'Key Data'!$I$13*'Key Data'!$F$13)</f>
        <v>6.1072708986324858E-2</v>
      </c>
      <c r="P88" s="169">
        <f>O88*(1+'Key Data'!F$3)</f>
        <v>7.634088623290608E-2</v>
      </c>
      <c r="Q88" s="379"/>
      <c r="R88" s="379"/>
      <c r="S88" s="377"/>
    </row>
    <row r="89" spans="1:19" s="66" customFormat="1" x14ac:dyDescent="0.3">
      <c r="A89" s="374"/>
      <c r="B89" s="374"/>
      <c r="C89" s="374"/>
      <c r="D89" s="374"/>
      <c r="E89" s="72"/>
      <c r="F89" s="72"/>
      <c r="G89" s="374"/>
      <c r="H89" s="374" t="s">
        <v>340</v>
      </c>
      <c r="I89" s="203">
        <f>SQRT(36.2^2+30.3^2)</f>
        <v>47.207308756166135</v>
      </c>
      <c r="J89" s="203">
        <f t="shared" si="6"/>
        <v>15.034174763110233</v>
      </c>
      <c r="K89" s="203">
        <f>SQRT(18^2+24^2+19.2^2+16.8^2)</f>
        <v>39.381213795412656</v>
      </c>
      <c r="L89" s="203">
        <f t="shared" si="9"/>
        <v>12.541787832933966</v>
      </c>
      <c r="M89" s="203">
        <v>4.3</v>
      </c>
      <c r="N89" s="203"/>
      <c r="O89" s="129">
        <f xml:space="preserve"> (0.131-1.87132*(L89/100)+9.47861*(L89/100)^2*'Key Data'!$I$13*'Key Data'!$F$13)</f>
        <v>7.2421677046590888E-2</v>
      </c>
      <c r="P89" s="169">
        <f>O89*(1+'Key Data'!F$3)</f>
        <v>9.0527096308238603E-2</v>
      </c>
      <c r="Q89" s="379"/>
      <c r="R89" s="379"/>
      <c r="S89" s="378"/>
    </row>
  </sheetData>
  <mergeCells count="33">
    <mergeCell ref="R2:R24"/>
    <mergeCell ref="G25:G45"/>
    <mergeCell ref="S2:S89"/>
    <mergeCell ref="R46:R74"/>
    <mergeCell ref="A75:A89"/>
    <mergeCell ref="B75:B89"/>
    <mergeCell ref="C75:C89"/>
    <mergeCell ref="D75:D89"/>
    <mergeCell ref="G75:G89"/>
    <mergeCell ref="Q75:Q89"/>
    <mergeCell ref="R75:R89"/>
    <mergeCell ref="A46:A74"/>
    <mergeCell ref="B46:B74"/>
    <mergeCell ref="C46:C74"/>
    <mergeCell ref="D46:D74"/>
    <mergeCell ref="G46:G74"/>
    <mergeCell ref="Q46:Q74"/>
    <mergeCell ref="H46:H74"/>
    <mergeCell ref="H75:H89"/>
    <mergeCell ref="Q25:Q45"/>
    <mergeCell ref="R25:R45"/>
    <mergeCell ref="Q2:Q24"/>
    <mergeCell ref="H2:H24"/>
    <mergeCell ref="H25:H45"/>
    <mergeCell ref="A25:A45"/>
    <mergeCell ref="B25:B45"/>
    <mergeCell ref="C25:C45"/>
    <mergeCell ref="D25:D45"/>
    <mergeCell ref="A2:A24"/>
    <mergeCell ref="B2:B24"/>
    <mergeCell ref="C2:C24"/>
    <mergeCell ref="D2:D24"/>
    <mergeCell ref="G2:G2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5A15-169E-4F0A-8C1D-3AB005ACD537}">
  <dimension ref="A1:V379"/>
  <sheetViews>
    <sheetView zoomScale="30" zoomScaleNormal="70" workbookViewId="0">
      <pane ySplit="1" topLeftCell="A2" activePane="bottomLeft" state="frozen"/>
      <selection activeCell="E1" sqref="E1"/>
      <selection pane="bottomLeft" activeCell="T376" sqref="T376"/>
    </sheetView>
  </sheetViews>
  <sheetFormatPr defaultRowHeight="14.4" x14ac:dyDescent="0.3"/>
  <cols>
    <col min="1" max="1" width="9.44140625" style="224" bestFit="1" customWidth="1"/>
    <col min="2" max="2" width="11.33203125" style="224" customWidth="1"/>
    <col min="3" max="3" width="11.109375" style="224" customWidth="1"/>
    <col min="4" max="4" width="10.44140625" style="224" customWidth="1"/>
    <col min="5" max="6" width="11.88671875" style="224" bestFit="1" customWidth="1"/>
    <col min="7" max="7" width="9.44140625" style="224" bestFit="1" customWidth="1"/>
    <col min="9" max="13" width="9.44140625" bestFit="1" customWidth="1"/>
    <col min="15" max="15" width="9.88671875" bestFit="1" customWidth="1"/>
    <col min="16" max="19" width="9.44140625" bestFit="1" customWidth="1"/>
  </cols>
  <sheetData>
    <row r="1" spans="1:19" s="164" customFormat="1" ht="88.2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</row>
    <row r="2" spans="1:19" s="44" customFormat="1" ht="15" customHeight="1" x14ac:dyDescent="0.3">
      <c r="A2" s="380">
        <v>1</v>
      </c>
      <c r="B2" s="380" t="s">
        <v>321</v>
      </c>
      <c r="C2" s="380" t="s">
        <v>322</v>
      </c>
      <c r="D2" s="380" t="s">
        <v>295</v>
      </c>
      <c r="E2" s="172">
        <v>14.803366</v>
      </c>
      <c r="F2" s="172">
        <v>75.037471999999994</v>
      </c>
      <c r="G2" s="367">
        <v>2021</v>
      </c>
      <c r="H2" s="94" t="s">
        <v>263</v>
      </c>
      <c r="I2" s="126">
        <v>42</v>
      </c>
      <c r="J2" s="126">
        <f t="shared" ref="J2:J65" si="0">I2/3.14</f>
        <v>13.375796178343949</v>
      </c>
      <c r="K2" s="126"/>
      <c r="L2" s="126"/>
      <c r="M2" s="126">
        <v>2.8</v>
      </c>
      <c r="N2" s="126"/>
      <c r="O2" s="131">
        <f>30.4*EXP(-5.07*EXP(-0.26*J2)+1.277)/1000</f>
        <v>9.321330534113309E-2</v>
      </c>
      <c r="P2" s="131">
        <f>O2*(1+'Key Data'!F$3)</f>
        <v>0.11651663167641636</v>
      </c>
      <c r="Q2" s="393">
        <f>SUM(P2:P84)</f>
        <v>1.8379726359053603</v>
      </c>
      <c r="R2" s="393">
        <f>Q2*10000/900</f>
        <v>20.421918176726226</v>
      </c>
      <c r="S2" s="389">
        <f>AVERAGE(R2:R379)</f>
        <v>11.09347984374466</v>
      </c>
    </row>
    <row r="3" spans="1:19" s="44" customFormat="1" x14ac:dyDescent="0.3">
      <c r="A3" s="380"/>
      <c r="B3" s="380"/>
      <c r="C3" s="380"/>
      <c r="D3" s="380"/>
      <c r="E3" s="172">
        <v>14.803542999999999</v>
      </c>
      <c r="F3" s="172">
        <v>75.037381999999994</v>
      </c>
      <c r="G3" s="367"/>
      <c r="H3" s="94" t="s">
        <v>263</v>
      </c>
      <c r="I3" s="126">
        <v>44</v>
      </c>
      <c r="J3" s="126">
        <f t="shared" si="0"/>
        <v>14.012738853503183</v>
      </c>
      <c r="K3" s="126"/>
      <c r="L3" s="126"/>
      <c r="M3" s="126">
        <v>2.7</v>
      </c>
      <c r="N3" s="126"/>
      <c r="O3" s="131">
        <f t="shared" ref="O3:O16" si="1">30.4*EXP(-5.07*EXP(-0.26*J3)+1.277)/1000</f>
        <v>9.5467257374744111E-2</v>
      </c>
      <c r="P3" s="131">
        <f>O3*(1+'Key Data'!F$3)</f>
        <v>0.11933407171843013</v>
      </c>
      <c r="Q3" s="393"/>
      <c r="R3" s="393"/>
      <c r="S3" s="389"/>
    </row>
    <row r="4" spans="1:19" s="44" customFormat="1" x14ac:dyDescent="0.3">
      <c r="A4" s="380"/>
      <c r="B4" s="380"/>
      <c r="C4" s="380"/>
      <c r="D4" s="380"/>
      <c r="E4" s="172">
        <v>14.80358</v>
      </c>
      <c r="F4" s="172">
        <v>75.037561999999994</v>
      </c>
      <c r="G4" s="367"/>
      <c r="H4" s="94" t="s">
        <v>263</v>
      </c>
      <c r="I4" s="126">
        <v>55</v>
      </c>
      <c r="J4" s="126">
        <f t="shared" si="0"/>
        <v>17.515923566878982</v>
      </c>
      <c r="K4" s="126"/>
      <c r="L4" s="126"/>
      <c r="M4" s="126">
        <v>3</v>
      </c>
      <c r="N4" s="126"/>
      <c r="O4" s="131">
        <f>30.4*EXP(-5.07*EXP(-0.26*J4)+1.277)/1000</f>
        <v>0.10334658411791346</v>
      </c>
      <c r="P4" s="131">
        <f>O4*(1+'Key Data'!F$3)</f>
        <v>0.12918323014739183</v>
      </c>
      <c r="Q4" s="393"/>
      <c r="R4" s="393"/>
      <c r="S4" s="389"/>
    </row>
    <row r="5" spans="1:19" s="44" customFormat="1" x14ac:dyDescent="0.3">
      <c r="A5" s="380"/>
      <c r="B5" s="380"/>
      <c r="C5" s="380"/>
      <c r="D5" s="380"/>
      <c r="E5" s="172">
        <v>14.803405</v>
      </c>
      <c r="F5" s="172">
        <v>75.037636000000006</v>
      </c>
      <c r="G5" s="367"/>
      <c r="H5" s="94" t="s">
        <v>263</v>
      </c>
      <c r="I5" s="126">
        <v>29</v>
      </c>
      <c r="J5" s="126">
        <f t="shared" si="0"/>
        <v>9.2356687898089174</v>
      </c>
      <c r="K5" s="126"/>
      <c r="L5" s="126"/>
      <c r="M5" s="126">
        <v>3</v>
      </c>
      <c r="N5" s="126"/>
      <c r="O5" s="131">
        <f t="shared" si="1"/>
        <v>6.8860872127670267E-2</v>
      </c>
      <c r="P5" s="131">
        <f>O5*(1+'Key Data'!F$3)</f>
        <v>8.6076090159587837E-2</v>
      </c>
      <c r="Q5" s="393"/>
      <c r="R5" s="393"/>
      <c r="S5" s="389"/>
    </row>
    <row r="6" spans="1:19" s="44" customFormat="1" x14ac:dyDescent="0.3">
      <c r="A6" s="380"/>
      <c r="B6" s="380"/>
      <c r="C6" s="380"/>
      <c r="D6" s="380"/>
      <c r="E6" s="172">
        <v>14.803476</v>
      </c>
      <c r="F6" s="172">
        <v>75.037541000000004</v>
      </c>
      <c r="G6" s="367"/>
      <c r="H6" s="94" t="s">
        <v>263</v>
      </c>
      <c r="I6" s="126">
        <v>42</v>
      </c>
      <c r="J6" s="126">
        <f t="shared" si="0"/>
        <v>13.375796178343949</v>
      </c>
      <c r="K6" s="126"/>
      <c r="L6" s="126"/>
      <c r="M6" s="126">
        <v>2.7</v>
      </c>
      <c r="N6" s="126"/>
      <c r="O6" s="131">
        <f t="shared" si="1"/>
        <v>9.321330534113309E-2</v>
      </c>
      <c r="P6" s="131">
        <f>O6*(1+'Key Data'!F$3)</f>
        <v>0.11651663167641636</v>
      </c>
      <c r="Q6" s="393"/>
      <c r="R6" s="393"/>
      <c r="S6" s="389"/>
    </row>
    <row r="7" spans="1:19" s="44" customFormat="1" x14ac:dyDescent="0.3">
      <c r="A7" s="380"/>
      <c r="B7" s="380"/>
      <c r="C7" s="380"/>
      <c r="D7" s="380"/>
      <c r="E7" s="172"/>
      <c r="F7" s="172"/>
      <c r="G7" s="367"/>
      <c r="H7" s="94" t="s">
        <v>263</v>
      </c>
      <c r="I7" s="126">
        <v>43</v>
      </c>
      <c r="J7" s="126">
        <f t="shared" si="0"/>
        <v>13.694267515923567</v>
      </c>
      <c r="K7" s="126"/>
      <c r="L7" s="126"/>
      <c r="M7" s="126">
        <v>2.8</v>
      </c>
      <c r="N7" s="126"/>
      <c r="O7" s="131">
        <f t="shared" si="1"/>
        <v>9.4380191787958062E-2</v>
      </c>
      <c r="P7" s="131">
        <f>O7*(1+'Key Data'!F$3)</f>
        <v>0.11797523973494758</v>
      </c>
      <c r="Q7" s="393"/>
      <c r="R7" s="393"/>
      <c r="S7" s="389"/>
    </row>
    <row r="8" spans="1:19" s="44" customFormat="1" x14ac:dyDescent="0.3">
      <c r="A8" s="380"/>
      <c r="B8" s="380"/>
      <c r="C8" s="380"/>
      <c r="D8" s="380"/>
      <c r="E8" s="172"/>
      <c r="F8" s="172"/>
      <c r="G8" s="367"/>
      <c r="H8" s="94" t="s">
        <v>263</v>
      </c>
      <c r="I8" s="126">
        <v>29.8</v>
      </c>
      <c r="J8" s="126">
        <f t="shared" si="0"/>
        <v>9.4904458598726116</v>
      </c>
      <c r="K8" s="126"/>
      <c r="L8" s="126"/>
      <c r="M8" s="126">
        <v>1.9</v>
      </c>
      <c r="N8" s="126"/>
      <c r="O8" s="131">
        <f t="shared" si="1"/>
        <v>7.0918459882971949E-2</v>
      </c>
      <c r="P8" s="131">
        <f>O8*(1+'Key Data'!F$3)</f>
        <v>8.8648074853714939E-2</v>
      </c>
      <c r="Q8" s="393"/>
      <c r="R8" s="393"/>
      <c r="S8" s="389"/>
    </row>
    <row r="9" spans="1:19" s="44" customFormat="1" x14ac:dyDescent="0.3">
      <c r="A9" s="380"/>
      <c r="B9" s="380"/>
      <c r="C9" s="380"/>
      <c r="D9" s="380"/>
      <c r="E9" s="172"/>
      <c r="F9" s="172"/>
      <c r="G9" s="367"/>
      <c r="H9" s="94" t="s">
        <v>263</v>
      </c>
      <c r="I9" s="126">
        <v>44</v>
      </c>
      <c r="J9" s="126">
        <f t="shared" si="0"/>
        <v>14.012738853503183</v>
      </c>
      <c r="K9" s="126"/>
      <c r="L9" s="126"/>
      <c r="M9" s="126">
        <v>2.2999999999999998</v>
      </c>
      <c r="N9" s="126"/>
      <c r="O9" s="131">
        <f t="shared" si="1"/>
        <v>9.5467257374744111E-2</v>
      </c>
      <c r="P9" s="131">
        <f>O9*(1+'Key Data'!F$3)</f>
        <v>0.11933407171843013</v>
      </c>
      <c r="Q9" s="393"/>
      <c r="R9" s="393"/>
      <c r="S9" s="389"/>
    </row>
    <row r="10" spans="1:19" s="44" customFormat="1" x14ac:dyDescent="0.3">
      <c r="A10" s="380"/>
      <c r="B10" s="380"/>
      <c r="C10" s="380"/>
      <c r="D10" s="380"/>
      <c r="E10" s="172"/>
      <c r="F10" s="172"/>
      <c r="G10" s="367"/>
      <c r="H10" s="94" t="s">
        <v>263</v>
      </c>
      <c r="I10" s="126">
        <v>37</v>
      </c>
      <c r="J10" s="126">
        <f t="shared" si="0"/>
        <v>11.783439490445859</v>
      </c>
      <c r="K10" s="126"/>
      <c r="L10" s="126"/>
      <c r="M10" s="126">
        <v>2.7</v>
      </c>
      <c r="N10" s="126"/>
      <c r="O10" s="131">
        <f t="shared" si="1"/>
        <v>8.6021612861952396E-2</v>
      </c>
      <c r="P10" s="131">
        <f>O10*(1+'Key Data'!F$3)</f>
        <v>0.1075270160774405</v>
      </c>
      <c r="Q10" s="393"/>
      <c r="R10" s="393"/>
      <c r="S10" s="389"/>
    </row>
    <row r="11" spans="1:19" s="44" customFormat="1" x14ac:dyDescent="0.3">
      <c r="A11" s="380"/>
      <c r="B11" s="380"/>
      <c r="C11" s="380"/>
      <c r="D11" s="380"/>
      <c r="E11" s="172"/>
      <c r="F11" s="172"/>
      <c r="G11" s="367"/>
      <c r="H11" s="94" t="s">
        <v>263</v>
      </c>
      <c r="I11" s="126">
        <v>47</v>
      </c>
      <c r="J11" s="126">
        <f t="shared" si="0"/>
        <v>14.968152866242038</v>
      </c>
      <c r="K11" s="126"/>
      <c r="L11" s="126"/>
      <c r="M11" s="126">
        <v>2.5</v>
      </c>
      <c r="N11" s="126"/>
      <c r="O11" s="131">
        <f t="shared" si="1"/>
        <v>9.8293983126644585E-2</v>
      </c>
      <c r="P11" s="131">
        <f>O11*(1+'Key Data'!F$3)</f>
        <v>0.12286747890830574</v>
      </c>
      <c r="Q11" s="393"/>
      <c r="R11" s="393"/>
      <c r="S11" s="389"/>
    </row>
    <row r="12" spans="1:19" s="44" customFormat="1" x14ac:dyDescent="0.3">
      <c r="A12" s="380"/>
      <c r="B12" s="380"/>
      <c r="C12" s="380"/>
      <c r="D12" s="380"/>
      <c r="E12" s="172"/>
      <c r="F12" s="172"/>
      <c r="G12" s="367"/>
      <c r="H12" s="94" t="s">
        <v>263</v>
      </c>
      <c r="I12" s="126">
        <v>46</v>
      </c>
      <c r="J12" s="126">
        <f t="shared" si="0"/>
        <v>14.64968152866242</v>
      </c>
      <c r="K12" s="126"/>
      <c r="L12" s="126"/>
      <c r="M12" s="126">
        <v>2.5</v>
      </c>
      <c r="N12" s="126"/>
      <c r="O12" s="131">
        <f t="shared" si="1"/>
        <v>9.7419820513451161E-2</v>
      </c>
      <c r="P12" s="131">
        <f>O12*(1+'Key Data'!F$3)</f>
        <v>0.12177477564181395</v>
      </c>
      <c r="Q12" s="393"/>
      <c r="R12" s="393"/>
      <c r="S12" s="389"/>
    </row>
    <row r="13" spans="1:19" s="44" customFormat="1" x14ac:dyDescent="0.3">
      <c r="A13" s="380"/>
      <c r="B13" s="380"/>
      <c r="C13" s="380"/>
      <c r="D13" s="380"/>
      <c r="E13" s="172"/>
      <c r="F13" s="172"/>
      <c r="G13" s="367"/>
      <c r="H13" s="94" t="s">
        <v>263</v>
      </c>
      <c r="I13" s="126">
        <v>40</v>
      </c>
      <c r="J13" s="126">
        <f t="shared" si="0"/>
        <v>12.738853503184712</v>
      </c>
      <c r="K13" s="126"/>
      <c r="L13" s="126"/>
      <c r="M13" s="126">
        <v>2.2999999999999998</v>
      </c>
      <c r="N13" s="126"/>
      <c r="O13" s="131">
        <f t="shared" si="1"/>
        <v>9.06217581379134E-2</v>
      </c>
      <c r="P13" s="131">
        <f>O13*(1+'Key Data'!F$3)</f>
        <v>0.11327719767239175</v>
      </c>
      <c r="Q13" s="393"/>
      <c r="R13" s="393"/>
      <c r="S13" s="389"/>
    </row>
    <row r="14" spans="1:19" s="44" customFormat="1" x14ac:dyDescent="0.3">
      <c r="A14" s="380"/>
      <c r="B14" s="380"/>
      <c r="C14" s="380"/>
      <c r="D14" s="380"/>
      <c r="E14" s="172"/>
      <c r="F14" s="172"/>
      <c r="G14" s="367"/>
      <c r="H14" s="94" t="s">
        <v>263</v>
      </c>
      <c r="I14" s="126">
        <v>42</v>
      </c>
      <c r="J14" s="126">
        <f t="shared" si="0"/>
        <v>13.375796178343949</v>
      </c>
      <c r="K14" s="126"/>
      <c r="L14" s="126"/>
      <c r="M14" s="126">
        <v>2.7</v>
      </c>
      <c r="N14" s="126"/>
      <c r="O14" s="131">
        <f t="shared" si="1"/>
        <v>9.321330534113309E-2</v>
      </c>
      <c r="P14" s="131">
        <f>O14*(1+'Key Data'!F$3)</f>
        <v>0.11651663167641636</v>
      </c>
      <c r="Q14" s="393"/>
      <c r="R14" s="393"/>
      <c r="S14" s="389"/>
    </row>
    <row r="15" spans="1:19" s="44" customFormat="1" x14ac:dyDescent="0.3">
      <c r="A15" s="380"/>
      <c r="B15" s="380"/>
      <c r="C15" s="380"/>
      <c r="D15" s="380"/>
      <c r="E15" s="172"/>
      <c r="F15" s="172"/>
      <c r="G15" s="367"/>
      <c r="H15" s="94" t="s">
        <v>263</v>
      </c>
      <c r="I15" s="126">
        <v>45</v>
      </c>
      <c r="J15" s="126">
        <f t="shared" si="0"/>
        <v>14.331210191082802</v>
      </c>
      <c r="K15" s="126"/>
      <c r="L15" s="126"/>
      <c r="M15" s="126">
        <v>2.6</v>
      </c>
      <c r="N15" s="126"/>
      <c r="O15" s="131">
        <f t="shared" si="1"/>
        <v>9.6479001445443316E-2</v>
      </c>
      <c r="P15" s="131">
        <f>O15*(1+'Key Data'!F$3)</f>
        <v>0.12059875180680414</v>
      </c>
      <c r="Q15" s="393"/>
      <c r="R15" s="393"/>
      <c r="S15" s="389"/>
    </row>
    <row r="16" spans="1:19" s="44" customFormat="1" x14ac:dyDescent="0.3">
      <c r="A16" s="380"/>
      <c r="B16" s="380"/>
      <c r="C16" s="380"/>
      <c r="D16" s="380"/>
      <c r="E16" s="172"/>
      <c r="F16" s="172"/>
      <c r="G16" s="367"/>
      <c r="H16" s="94" t="s">
        <v>263</v>
      </c>
      <c r="I16" s="126">
        <v>44</v>
      </c>
      <c r="J16" s="126">
        <f t="shared" si="0"/>
        <v>14.012738853503183</v>
      </c>
      <c r="K16" s="126"/>
      <c r="L16" s="126"/>
      <c r="M16" s="126">
        <v>2.8</v>
      </c>
      <c r="N16" s="126"/>
      <c r="O16" s="131">
        <f t="shared" si="1"/>
        <v>9.5467257374744111E-2</v>
      </c>
      <c r="P16" s="131">
        <f>O16*(1+'Key Data'!F$3)</f>
        <v>0.11933407171843013</v>
      </c>
      <c r="Q16" s="393"/>
      <c r="R16" s="393"/>
      <c r="S16" s="389"/>
    </row>
    <row r="17" spans="1:19" s="44" customFormat="1" x14ac:dyDescent="0.3">
      <c r="A17" s="380"/>
      <c r="B17" s="380"/>
      <c r="C17" s="380"/>
      <c r="D17" s="380"/>
      <c r="E17" s="172"/>
      <c r="F17" s="172"/>
      <c r="G17" s="367"/>
      <c r="H17" s="94" t="s">
        <v>314</v>
      </c>
      <c r="I17" s="126">
        <v>25.5</v>
      </c>
      <c r="J17" s="126">
        <f t="shared" si="0"/>
        <v>8.1210191082802545</v>
      </c>
      <c r="K17" s="126">
        <v>17.3</v>
      </c>
      <c r="L17" s="126">
        <f t="shared" ref="L17:L80" si="2">K17/3.14</f>
        <v>5.5095541401273884</v>
      </c>
      <c r="M17" s="126">
        <v>1.6</v>
      </c>
      <c r="N17" s="126"/>
      <c r="O17" s="180">
        <f>EXP((LN(-1.853+0.728*LN(L17^2*M17))))/1000</f>
        <v>9.7380291159657542E-4</v>
      </c>
      <c r="P17" s="131">
        <f>O17*(1+'Key Data'!F$3)</f>
        <v>1.2172536394957194E-3</v>
      </c>
      <c r="Q17" s="393"/>
      <c r="R17" s="393"/>
      <c r="S17" s="389"/>
    </row>
    <row r="18" spans="1:19" s="44" customFormat="1" x14ac:dyDescent="0.3">
      <c r="A18" s="380"/>
      <c r="B18" s="380"/>
      <c r="C18" s="380"/>
      <c r="D18" s="380"/>
      <c r="E18" s="172"/>
      <c r="F18" s="172"/>
      <c r="G18" s="367"/>
      <c r="H18" s="94" t="s">
        <v>314</v>
      </c>
      <c r="I18" s="126">
        <v>35</v>
      </c>
      <c r="J18" s="126">
        <f t="shared" si="0"/>
        <v>11.146496815286623</v>
      </c>
      <c r="K18" s="126">
        <v>23.2</v>
      </c>
      <c r="L18" s="126">
        <f t="shared" si="2"/>
        <v>7.388535031847133</v>
      </c>
      <c r="M18" s="126">
        <v>2.1</v>
      </c>
      <c r="N18" s="126"/>
      <c r="O18" s="180">
        <f t="shared" ref="O18:O81" si="3">EXP((LN(-1.853+0.728*LN(L18^2*M18))))/1000</f>
        <v>1.5990277080260478E-3</v>
      </c>
      <c r="P18" s="131">
        <f>O18*(1+'Key Data'!F$3)</f>
        <v>1.9987846350325595E-3</v>
      </c>
      <c r="Q18" s="393"/>
      <c r="R18" s="393"/>
      <c r="S18" s="389"/>
    </row>
    <row r="19" spans="1:19" s="44" customFormat="1" x14ac:dyDescent="0.3">
      <c r="A19" s="380"/>
      <c r="B19" s="380"/>
      <c r="C19" s="380"/>
      <c r="D19" s="380"/>
      <c r="E19" s="172"/>
      <c r="F19" s="172"/>
      <c r="G19" s="367"/>
      <c r="H19" s="94" t="s">
        <v>314</v>
      </c>
      <c r="I19" s="126">
        <v>29.5</v>
      </c>
      <c r="J19" s="126">
        <f t="shared" si="0"/>
        <v>9.3949044585987256</v>
      </c>
      <c r="K19" s="126">
        <v>22</v>
      </c>
      <c r="L19" s="126">
        <f t="shared" si="2"/>
        <v>7.0063694267515917</v>
      </c>
      <c r="M19" s="126">
        <v>1.8</v>
      </c>
      <c r="N19" s="126"/>
      <c r="O19" s="180">
        <f t="shared" si="3"/>
        <v>1.4094781074546943E-3</v>
      </c>
      <c r="P19" s="131">
        <f>O19*(1+'Key Data'!F$3)</f>
        <v>1.7618476343183678E-3</v>
      </c>
      <c r="Q19" s="393"/>
      <c r="R19" s="393"/>
      <c r="S19" s="389"/>
    </row>
    <row r="20" spans="1:19" s="44" customFormat="1" x14ac:dyDescent="0.3">
      <c r="A20" s="380"/>
      <c r="B20" s="380"/>
      <c r="C20" s="380"/>
      <c r="D20" s="380"/>
      <c r="E20" s="172"/>
      <c r="F20" s="172"/>
      <c r="G20" s="367"/>
      <c r="H20" s="94" t="s">
        <v>314</v>
      </c>
      <c r="I20" s="126">
        <v>43.4</v>
      </c>
      <c r="J20" s="126">
        <f t="shared" si="0"/>
        <v>13.821656050955413</v>
      </c>
      <c r="K20" s="126">
        <v>33.6</v>
      </c>
      <c r="L20" s="126">
        <f t="shared" si="2"/>
        <v>10.700636942675159</v>
      </c>
      <c r="M20" s="126">
        <v>2.4</v>
      </c>
      <c r="N20" s="126"/>
      <c r="O20" s="180">
        <f t="shared" si="3"/>
        <v>2.235502797616978E-3</v>
      </c>
      <c r="P20" s="131">
        <f>O20*(1+'Key Data'!F$3)</f>
        <v>2.7943784970212225E-3</v>
      </c>
      <c r="Q20" s="393"/>
      <c r="R20" s="393"/>
      <c r="S20" s="389"/>
    </row>
    <row r="21" spans="1:19" s="44" customFormat="1" x14ac:dyDescent="0.3">
      <c r="A21" s="380"/>
      <c r="B21" s="380"/>
      <c r="C21" s="380"/>
      <c r="D21" s="380"/>
      <c r="E21" s="172"/>
      <c r="F21" s="172"/>
      <c r="G21" s="367"/>
      <c r="H21" s="94" t="s">
        <v>314</v>
      </c>
      <c r="I21" s="126">
        <v>35</v>
      </c>
      <c r="J21" s="126">
        <f t="shared" si="0"/>
        <v>11.146496815286623</v>
      </c>
      <c r="K21" s="126">
        <v>27</v>
      </c>
      <c r="L21" s="126">
        <f t="shared" si="2"/>
        <v>8.598726114649681</v>
      </c>
      <c r="M21" s="126">
        <v>2.2999999999999998</v>
      </c>
      <c r="N21" s="126"/>
      <c r="O21" s="180">
        <f>EXP((LN(-1.853+0.728*LN(L21^2*M21))))/1000</f>
        <v>1.8861079217153025E-3</v>
      </c>
      <c r="P21" s="131">
        <f>O21*(1+'Key Data'!F$3)</f>
        <v>2.357634902144128E-3</v>
      </c>
      <c r="Q21" s="393"/>
      <c r="R21" s="393"/>
      <c r="S21" s="389"/>
    </row>
    <row r="22" spans="1:19" s="44" customFormat="1" x14ac:dyDescent="0.3">
      <c r="A22" s="380"/>
      <c r="B22" s="380"/>
      <c r="C22" s="380"/>
      <c r="D22" s="380"/>
      <c r="E22" s="172"/>
      <c r="F22" s="172"/>
      <c r="G22" s="367"/>
      <c r="H22" s="94" t="s">
        <v>314</v>
      </c>
      <c r="I22" s="126">
        <v>31.5</v>
      </c>
      <c r="J22" s="126">
        <f t="shared" si="0"/>
        <v>10.031847133757962</v>
      </c>
      <c r="K22" s="126">
        <v>24</v>
      </c>
      <c r="L22" s="126">
        <f t="shared" si="2"/>
        <v>7.6433121019108281</v>
      </c>
      <c r="M22" s="126">
        <v>1.9</v>
      </c>
      <c r="N22" s="126"/>
      <c r="O22" s="180">
        <f>EXP((LN(-1.853+0.728*LN(L22^2*M22))))/1000</f>
        <v>1.5755276094363564E-3</v>
      </c>
      <c r="P22" s="131">
        <f>O22*(1+'Key Data'!F$3)</f>
        <v>1.9694095117954455E-3</v>
      </c>
      <c r="Q22" s="393"/>
      <c r="R22" s="393"/>
      <c r="S22" s="389"/>
    </row>
    <row r="23" spans="1:19" s="44" customFormat="1" x14ac:dyDescent="0.3">
      <c r="A23" s="380"/>
      <c r="B23" s="380"/>
      <c r="C23" s="380"/>
      <c r="D23" s="380"/>
      <c r="E23" s="172"/>
      <c r="F23" s="172"/>
      <c r="G23" s="367"/>
      <c r="H23" s="94" t="s">
        <v>314</v>
      </c>
      <c r="I23" s="126">
        <v>41.5</v>
      </c>
      <c r="J23" s="126">
        <f t="shared" si="0"/>
        <v>13.216560509554139</v>
      </c>
      <c r="K23" s="126">
        <v>27.5</v>
      </c>
      <c r="L23" s="126">
        <f t="shared" si="2"/>
        <v>8.7579617834394909</v>
      </c>
      <c r="M23" s="126">
        <v>2.6</v>
      </c>
      <c r="N23" s="126"/>
      <c r="O23" s="180">
        <f t="shared" si="3"/>
        <v>2.0020787580994153E-3</v>
      </c>
      <c r="P23" s="131">
        <f>O23*(1+'Key Data'!F$3)</f>
        <v>2.5025984476242692E-3</v>
      </c>
      <c r="Q23" s="393"/>
      <c r="R23" s="393"/>
      <c r="S23" s="389"/>
    </row>
    <row r="24" spans="1:19" s="44" customFormat="1" x14ac:dyDescent="0.3">
      <c r="A24" s="380"/>
      <c r="B24" s="380"/>
      <c r="C24" s="380"/>
      <c r="D24" s="380"/>
      <c r="E24" s="172"/>
      <c r="F24" s="172"/>
      <c r="G24" s="367"/>
      <c r="H24" s="94" t="s">
        <v>314</v>
      </c>
      <c r="I24" s="126">
        <v>46</v>
      </c>
      <c r="J24" s="126">
        <f t="shared" si="0"/>
        <v>14.64968152866242</v>
      </c>
      <c r="K24" s="126">
        <v>29.5</v>
      </c>
      <c r="L24" s="126">
        <f t="shared" si="2"/>
        <v>9.3949044585987256</v>
      </c>
      <c r="M24" s="126">
        <v>2.4</v>
      </c>
      <c r="N24" s="126"/>
      <c r="O24" s="180">
        <f t="shared" si="3"/>
        <v>2.0460250675413301E-3</v>
      </c>
      <c r="P24" s="131">
        <f>O24*(1+'Key Data'!F$3)</f>
        <v>2.5575313344266626E-3</v>
      </c>
      <c r="Q24" s="393"/>
      <c r="R24" s="393"/>
      <c r="S24" s="389"/>
    </row>
    <row r="25" spans="1:19" s="44" customFormat="1" x14ac:dyDescent="0.3">
      <c r="A25" s="380"/>
      <c r="B25" s="380"/>
      <c r="C25" s="380"/>
      <c r="D25" s="380"/>
      <c r="E25" s="172"/>
      <c r="F25" s="172"/>
      <c r="G25" s="367"/>
      <c r="H25" s="94" t="s">
        <v>314</v>
      </c>
      <c r="I25" s="126">
        <v>54</v>
      </c>
      <c r="J25" s="126">
        <f t="shared" si="0"/>
        <v>17.197452229299362</v>
      </c>
      <c r="K25" s="126">
        <v>29.5</v>
      </c>
      <c r="L25" s="126">
        <f t="shared" si="2"/>
        <v>9.3949044585987256</v>
      </c>
      <c r="M25" s="126">
        <v>2.6</v>
      </c>
      <c r="N25" s="126"/>
      <c r="O25" s="180">
        <f t="shared" si="3"/>
        <v>2.1042961587276654E-3</v>
      </c>
      <c r="P25" s="131">
        <f>O25*(1+'Key Data'!F$3)</f>
        <v>2.6303701984095817E-3</v>
      </c>
      <c r="Q25" s="393"/>
      <c r="R25" s="393"/>
      <c r="S25" s="389"/>
    </row>
    <row r="26" spans="1:19" s="44" customFormat="1" x14ac:dyDescent="0.3">
      <c r="A26" s="380"/>
      <c r="B26" s="380"/>
      <c r="C26" s="380"/>
      <c r="D26" s="380"/>
      <c r="E26" s="172"/>
      <c r="F26" s="172"/>
      <c r="G26" s="367"/>
      <c r="H26" s="94" t="s">
        <v>314</v>
      </c>
      <c r="I26" s="126">
        <v>41</v>
      </c>
      <c r="J26" s="126">
        <f t="shared" si="0"/>
        <v>13.057324840764331</v>
      </c>
      <c r="K26" s="126">
        <v>24.5</v>
      </c>
      <c r="L26" s="126">
        <f t="shared" si="2"/>
        <v>7.8025477707006363</v>
      </c>
      <c r="M26" s="126">
        <v>2.1</v>
      </c>
      <c r="N26" s="126"/>
      <c r="O26" s="180">
        <f t="shared" si="3"/>
        <v>1.6784100494330228E-3</v>
      </c>
      <c r="P26" s="131">
        <f>O26*(1+'Key Data'!F$3)</f>
        <v>2.0980125617912782E-3</v>
      </c>
      <c r="Q26" s="393"/>
      <c r="R26" s="393"/>
      <c r="S26" s="389"/>
    </row>
    <row r="27" spans="1:19" s="44" customFormat="1" x14ac:dyDescent="0.3">
      <c r="A27" s="380"/>
      <c r="B27" s="380"/>
      <c r="C27" s="380"/>
      <c r="D27" s="380"/>
      <c r="E27" s="172"/>
      <c r="F27" s="172"/>
      <c r="G27" s="367"/>
      <c r="H27" s="94" t="s">
        <v>314</v>
      </c>
      <c r="I27" s="126">
        <v>33</v>
      </c>
      <c r="J27" s="126">
        <f t="shared" si="0"/>
        <v>10.509554140127388</v>
      </c>
      <c r="K27" s="126">
        <v>20</v>
      </c>
      <c r="L27" s="126">
        <f t="shared" si="2"/>
        <v>6.3694267515923562</v>
      </c>
      <c r="M27" s="126">
        <v>1.8</v>
      </c>
      <c r="N27" s="126"/>
      <c r="O27" s="180">
        <f t="shared" si="3"/>
        <v>1.2707064856595973E-3</v>
      </c>
      <c r="P27" s="131">
        <f>O27*(1+'Key Data'!F$3)</f>
        <v>1.5883831070744967E-3</v>
      </c>
      <c r="Q27" s="393"/>
      <c r="R27" s="393"/>
      <c r="S27" s="389"/>
    </row>
    <row r="28" spans="1:19" s="44" customFormat="1" x14ac:dyDescent="0.3">
      <c r="A28" s="380"/>
      <c r="B28" s="380"/>
      <c r="C28" s="380"/>
      <c r="D28" s="380"/>
      <c r="E28" s="172"/>
      <c r="F28" s="172"/>
      <c r="G28" s="367"/>
      <c r="H28" s="94" t="s">
        <v>314</v>
      </c>
      <c r="I28" s="126">
        <v>47</v>
      </c>
      <c r="J28" s="126">
        <f t="shared" si="0"/>
        <v>14.968152866242038</v>
      </c>
      <c r="K28" s="126">
        <v>29</v>
      </c>
      <c r="L28" s="126">
        <f t="shared" si="2"/>
        <v>9.2356687898089174</v>
      </c>
      <c r="M28" s="126">
        <v>2</v>
      </c>
      <c r="N28" s="126"/>
      <c r="O28" s="180">
        <f t="shared" si="3"/>
        <v>1.8884054792241904E-3</v>
      </c>
      <c r="P28" s="131">
        <f>O28*(1+'Key Data'!F$3)</f>
        <v>2.3605068490302381E-3</v>
      </c>
      <c r="Q28" s="393"/>
      <c r="R28" s="393"/>
      <c r="S28" s="389"/>
    </row>
    <row r="29" spans="1:19" s="44" customFormat="1" x14ac:dyDescent="0.3">
      <c r="A29" s="380"/>
      <c r="B29" s="380"/>
      <c r="C29" s="380"/>
      <c r="D29" s="380"/>
      <c r="E29" s="172"/>
      <c r="F29" s="172"/>
      <c r="G29" s="367"/>
      <c r="H29" s="94" t="s">
        <v>314</v>
      </c>
      <c r="I29" s="126">
        <v>45.5</v>
      </c>
      <c r="J29" s="126">
        <f t="shared" si="0"/>
        <v>14.490445859872612</v>
      </c>
      <c r="K29" s="126">
        <v>27</v>
      </c>
      <c r="L29" s="126">
        <f t="shared" si="2"/>
        <v>8.598726114649681</v>
      </c>
      <c r="M29" s="126">
        <v>2</v>
      </c>
      <c r="N29" s="126"/>
      <c r="O29" s="180">
        <f t="shared" si="3"/>
        <v>1.7843612276661871E-3</v>
      </c>
      <c r="P29" s="131">
        <f>O29*(1+'Key Data'!F$3)</f>
        <v>2.2304515345827336E-3</v>
      </c>
      <c r="Q29" s="393"/>
      <c r="R29" s="393"/>
      <c r="S29" s="389"/>
    </row>
    <row r="30" spans="1:19" s="44" customFormat="1" x14ac:dyDescent="0.3">
      <c r="A30" s="380"/>
      <c r="B30" s="380"/>
      <c r="C30" s="380"/>
      <c r="D30" s="380"/>
      <c r="E30" s="172"/>
      <c r="F30" s="172"/>
      <c r="G30" s="367"/>
      <c r="H30" s="94" t="s">
        <v>314</v>
      </c>
      <c r="I30" s="126">
        <v>41.5</v>
      </c>
      <c r="J30" s="126">
        <f t="shared" si="0"/>
        <v>13.216560509554139</v>
      </c>
      <c r="K30" s="126">
        <v>25</v>
      </c>
      <c r="L30" s="126">
        <f t="shared" si="2"/>
        <v>7.9617834394904454</v>
      </c>
      <c r="M30" s="126">
        <v>2.7</v>
      </c>
      <c r="N30" s="126"/>
      <c r="O30" s="180">
        <f t="shared" si="3"/>
        <v>1.8907820950758308E-3</v>
      </c>
      <c r="P30" s="131">
        <f>O30*(1+'Key Data'!F$3)</f>
        <v>2.3634776188447885E-3</v>
      </c>
      <c r="Q30" s="393"/>
      <c r="R30" s="393"/>
      <c r="S30" s="389"/>
    </row>
    <row r="31" spans="1:19" s="44" customFormat="1" x14ac:dyDescent="0.3">
      <c r="A31" s="380"/>
      <c r="B31" s="380"/>
      <c r="C31" s="380"/>
      <c r="D31" s="380"/>
      <c r="E31" s="172"/>
      <c r="F31" s="172"/>
      <c r="G31" s="367"/>
      <c r="H31" s="94" t="s">
        <v>314</v>
      </c>
      <c r="I31" s="126">
        <v>41</v>
      </c>
      <c r="J31" s="126">
        <f t="shared" si="0"/>
        <v>13.057324840764331</v>
      </c>
      <c r="K31" s="126">
        <v>26.5</v>
      </c>
      <c r="L31" s="126">
        <f t="shared" si="2"/>
        <v>8.4394904458598727</v>
      </c>
      <c r="M31" s="126">
        <v>2.8</v>
      </c>
      <c r="N31" s="126"/>
      <c r="O31" s="180">
        <f t="shared" si="3"/>
        <v>2.0020972702607365E-3</v>
      </c>
      <c r="P31" s="131">
        <f>O31*(1+'Key Data'!F$3)</f>
        <v>2.5026215878259208E-3</v>
      </c>
      <c r="Q31" s="393"/>
      <c r="R31" s="393"/>
      <c r="S31" s="389"/>
    </row>
    <row r="32" spans="1:19" s="44" customFormat="1" x14ac:dyDescent="0.3">
      <c r="A32" s="380"/>
      <c r="B32" s="380"/>
      <c r="C32" s="380"/>
      <c r="D32" s="380"/>
      <c r="E32" s="172"/>
      <c r="F32" s="172"/>
      <c r="G32" s="367"/>
      <c r="H32" s="94" t="s">
        <v>314</v>
      </c>
      <c r="I32" s="126">
        <v>40.5</v>
      </c>
      <c r="J32" s="126">
        <f t="shared" si="0"/>
        <v>12.898089171974522</v>
      </c>
      <c r="K32" s="126">
        <v>18.5</v>
      </c>
      <c r="L32" s="126">
        <f t="shared" si="2"/>
        <v>5.8917197452229297</v>
      </c>
      <c r="M32" s="126">
        <v>2.4</v>
      </c>
      <c r="N32" s="126"/>
      <c r="O32" s="180">
        <f t="shared" si="3"/>
        <v>1.3666270300245935E-3</v>
      </c>
      <c r="P32" s="131">
        <f>O32*(1+'Key Data'!F$3)</f>
        <v>1.7082837875307419E-3</v>
      </c>
      <c r="Q32" s="393"/>
      <c r="R32" s="393"/>
      <c r="S32" s="389"/>
    </row>
    <row r="33" spans="1:19" s="44" customFormat="1" x14ac:dyDescent="0.3">
      <c r="A33" s="380"/>
      <c r="B33" s="380"/>
      <c r="C33" s="380"/>
      <c r="D33" s="380"/>
      <c r="E33" s="172"/>
      <c r="F33" s="172"/>
      <c r="G33" s="367"/>
      <c r="H33" s="94" t="s">
        <v>314</v>
      </c>
      <c r="I33" s="126">
        <v>41.5</v>
      </c>
      <c r="J33" s="126">
        <f t="shared" si="0"/>
        <v>13.216560509554139</v>
      </c>
      <c r="K33" s="126">
        <v>21</v>
      </c>
      <c r="L33" s="126">
        <f t="shared" si="2"/>
        <v>6.6878980891719744</v>
      </c>
      <c r="M33" s="126">
        <v>2.4</v>
      </c>
      <c r="N33" s="126"/>
      <c r="O33" s="180">
        <f t="shared" si="3"/>
        <v>1.5511775134351871E-3</v>
      </c>
      <c r="P33" s="131">
        <f>O33*(1+'Key Data'!F$3)</f>
        <v>1.938971891793984E-3</v>
      </c>
      <c r="Q33" s="393"/>
      <c r="R33" s="393"/>
      <c r="S33" s="389"/>
    </row>
    <row r="34" spans="1:19" s="44" customFormat="1" x14ac:dyDescent="0.3">
      <c r="A34" s="380"/>
      <c r="B34" s="380"/>
      <c r="C34" s="380"/>
      <c r="D34" s="380"/>
      <c r="E34" s="172"/>
      <c r="F34" s="172"/>
      <c r="G34" s="367"/>
      <c r="H34" s="94" t="s">
        <v>314</v>
      </c>
      <c r="I34" s="126">
        <v>35</v>
      </c>
      <c r="J34" s="126">
        <f t="shared" si="0"/>
        <v>11.146496815286623</v>
      </c>
      <c r="K34" s="126">
        <v>19.5</v>
      </c>
      <c r="L34" s="126">
        <f t="shared" si="2"/>
        <v>6.2101910828025479</v>
      </c>
      <c r="M34" s="126">
        <v>1.6</v>
      </c>
      <c r="N34" s="126"/>
      <c r="O34" s="180">
        <f t="shared" si="3"/>
        <v>1.1480977072766245E-3</v>
      </c>
      <c r="P34" s="131">
        <f>O34*(1+'Key Data'!F$3)</f>
        <v>1.4351221340957805E-3</v>
      </c>
      <c r="Q34" s="393"/>
      <c r="R34" s="393"/>
      <c r="S34" s="389"/>
    </row>
    <row r="35" spans="1:19" s="44" customFormat="1" x14ac:dyDescent="0.3">
      <c r="A35" s="380"/>
      <c r="B35" s="380"/>
      <c r="C35" s="380"/>
      <c r="D35" s="380"/>
      <c r="E35" s="172"/>
      <c r="F35" s="172"/>
      <c r="G35" s="367"/>
      <c r="H35" s="94" t="s">
        <v>314</v>
      </c>
      <c r="I35" s="126">
        <v>29</v>
      </c>
      <c r="J35" s="126">
        <f t="shared" si="0"/>
        <v>9.2356687898089174</v>
      </c>
      <c r="K35" s="126">
        <v>23.5</v>
      </c>
      <c r="L35" s="126">
        <f t="shared" si="2"/>
        <v>7.484076433121019</v>
      </c>
      <c r="M35" s="126">
        <v>2.2000000000000002</v>
      </c>
      <c r="N35" s="126"/>
      <c r="O35" s="180">
        <f t="shared" si="3"/>
        <v>1.6516011748559977E-3</v>
      </c>
      <c r="P35" s="131">
        <f>O35*(1+'Key Data'!F$3)</f>
        <v>2.0645014685699969E-3</v>
      </c>
      <c r="Q35" s="393"/>
      <c r="R35" s="393"/>
      <c r="S35" s="389"/>
    </row>
    <row r="36" spans="1:19" s="44" customFormat="1" x14ac:dyDescent="0.3">
      <c r="A36" s="380"/>
      <c r="B36" s="380"/>
      <c r="C36" s="380"/>
      <c r="D36" s="380"/>
      <c r="E36" s="172"/>
      <c r="F36" s="172"/>
      <c r="G36" s="367"/>
      <c r="H36" s="94" t="s">
        <v>314</v>
      </c>
      <c r="I36" s="126">
        <v>34.5</v>
      </c>
      <c r="J36" s="126">
        <f t="shared" si="0"/>
        <v>10.987261146496815</v>
      </c>
      <c r="K36" s="126">
        <v>24</v>
      </c>
      <c r="L36" s="126">
        <f t="shared" si="2"/>
        <v>7.6433121019108281</v>
      </c>
      <c r="M36" s="126">
        <v>1.6</v>
      </c>
      <c r="N36" s="126"/>
      <c r="O36" s="180">
        <f t="shared" si="3"/>
        <v>1.4504206223937485E-3</v>
      </c>
      <c r="P36" s="131">
        <f>O36*(1+'Key Data'!F$3)</f>
        <v>1.8130257779921857E-3</v>
      </c>
      <c r="Q36" s="393"/>
      <c r="R36" s="393"/>
      <c r="S36" s="389"/>
    </row>
    <row r="37" spans="1:19" s="44" customFormat="1" x14ac:dyDescent="0.3">
      <c r="A37" s="380"/>
      <c r="B37" s="380"/>
      <c r="C37" s="380"/>
      <c r="D37" s="380"/>
      <c r="E37" s="172"/>
      <c r="F37" s="172"/>
      <c r="G37" s="367"/>
      <c r="H37" s="94" t="s">
        <v>314</v>
      </c>
      <c r="I37" s="126">
        <v>34</v>
      </c>
      <c r="J37" s="126">
        <f t="shared" si="0"/>
        <v>10.828025477707007</v>
      </c>
      <c r="K37" s="126">
        <v>18</v>
      </c>
      <c r="L37" s="126">
        <f t="shared" si="2"/>
        <v>5.7324840764331206</v>
      </c>
      <c r="M37" s="126">
        <v>1.6</v>
      </c>
      <c r="N37" s="126"/>
      <c r="O37" s="180">
        <f t="shared" si="3"/>
        <v>1.0315555249039551E-3</v>
      </c>
      <c r="P37" s="131">
        <f>O37*(1+'Key Data'!F$3)</f>
        <v>1.289444406129944E-3</v>
      </c>
      <c r="Q37" s="393"/>
      <c r="R37" s="393"/>
      <c r="S37" s="389"/>
    </row>
    <row r="38" spans="1:19" s="44" customFormat="1" x14ac:dyDescent="0.3">
      <c r="A38" s="380"/>
      <c r="B38" s="380"/>
      <c r="C38" s="380"/>
      <c r="D38" s="380"/>
      <c r="E38" s="172"/>
      <c r="F38" s="172"/>
      <c r="G38" s="367"/>
      <c r="H38" s="94" t="s">
        <v>314</v>
      </c>
      <c r="I38" s="126">
        <v>41</v>
      </c>
      <c r="J38" s="126">
        <f t="shared" si="0"/>
        <v>13.057324840764331</v>
      </c>
      <c r="K38" s="126">
        <v>29</v>
      </c>
      <c r="L38" s="126">
        <f t="shared" si="2"/>
        <v>9.2356687898089174</v>
      </c>
      <c r="M38" s="126">
        <v>1.9</v>
      </c>
      <c r="N38" s="126"/>
      <c r="O38" s="180">
        <f t="shared" si="3"/>
        <v>1.8510639609100538E-3</v>
      </c>
      <c r="P38" s="131">
        <f>O38*(1+'Key Data'!F$3)</f>
        <v>2.313829951137567E-3</v>
      </c>
      <c r="Q38" s="393"/>
      <c r="R38" s="393"/>
      <c r="S38" s="389"/>
    </row>
    <row r="39" spans="1:19" s="44" customFormat="1" x14ac:dyDescent="0.3">
      <c r="A39" s="380"/>
      <c r="B39" s="380"/>
      <c r="C39" s="380"/>
      <c r="D39" s="380"/>
      <c r="E39" s="172"/>
      <c r="F39" s="172"/>
      <c r="G39" s="367"/>
      <c r="H39" s="94" t="s">
        <v>314</v>
      </c>
      <c r="I39" s="126">
        <v>28</v>
      </c>
      <c r="J39" s="126">
        <f t="shared" si="0"/>
        <v>8.9171974522292992</v>
      </c>
      <c r="K39" s="126">
        <v>19.399999999999999</v>
      </c>
      <c r="L39" s="126">
        <f t="shared" si="2"/>
        <v>6.1783439490445851</v>
      </c>
      <c r="M39" s="126">
        <v>1.6</v>
      </c>
      <c r="N39" s="126"/>
      <c r="O39" s="180">
        <f t="shared" si="3"/>
        <v>1.1406118296040143E-3</v>
      </c>
      <c r="P39" s="131">
        <f>O39*(1+'Key Data'!F$3)</f>
        <v>1.425764787005018E-3</v>
      </c>
      <c r="Q39" s="393"/>
      <c r="R39" s="393"/>
      <c r="S39" s="389"/>
    </row>
    <row r="40" spans="1:19" s="44" customFormat="1" x14ac:dyDescent="0.3">
      <c r="A40" s="380"/>
      <c r="B40" s="380"/>
      <c r="C40" s="380"/>
      <c r="D40" s="380"/>
      <c r="E40" s="172"/>
      <c r="F40" s="172"/>
      <c r="G40" s="367"/>
      <c r="H40" s="94" t="s">
        <v>314</v>
      </c>
      <c r="I40" s="126">
        <v>35</v>
      </c>
      <c r="J40" s="126">
        <f t="shared" si="0"/>
        <v>11.146496815286623</v>
      </c>
      <c r="K40" s="126">
        <v>21</v>
      </c>
      <c r="L40" s="126">
        <f t="shared" si="2"/>
        <v>6.6878980891719744</v>
      </c>
      <c r="M40" s="126">
        <v>1.8</v>
      </c>
      <c r="N40" s="126"/>
      <c r="O40" s="180">
        <f t="shared" si="3"/>
        <v>1.3417449646902907E-3</v>
      </c>
      <c r="P40" s="131">
        <f>O40*(1+'Key Data'!F$3)</f>
        <v>1.6771812058628635E-3</v>
      </c>
      <c r="Q40" s="393"/>
      <c r="R40" s="393"/>
      <c r="S40" s="389"/>
    </row>
    <row r="41" spans="1:19" s="44" customFormat="1" x14ac:dyDescent="0.3">
      <c r="A41" s="380"/>
      <c r="B41" s="380"/>
      <c r="C41" s="380"/>
      <c r="D41" s="380"/>
      <c r="E41" s="172"/>
      <c r="F41" s="172"/>
      <c r="G41" s="367"/>
      <c r="H41" s="94" t="s">
        <v>314</v>
      </c>
      <c r="I41" s="126">
        <v>42</v>
      </c>
      <c r="J41" s="126">
        <f t="shared" si="0"/>
        <v>13.375796178343949</v>
      </c>
      <c r="K41" s="126">
        <v>24</v>
      </c>
      <c r="L41" s="126">
        <f t="shared" si="2"/>
        <v>7.6433121019108281</v>
      </c>
      <c r="M41" s="126">
        <v>2.2999999999999998</v>
      </c>
      <c r="N41" s="126"/>
      <c r="O41" s="180">
        <f t="shared" si="3"/>
        <v>1.7146158217996085E-3</v>
      </c>
      <c r="P41" s="131">
        <f>O41*(1+'Key Data'!F$3)</f>
        <v>2.1432697772495106E-3</v>
      </c>
      <c r="Q41" s="393"/>
      <c r="R41" s="393"/>
      <c r="S41" s="389"/>
    </row>
    <row r="42" spans="1:19" s="44" customFormat="1" x14ac:dyDescent="0.3">
      <c r="A42" s="380"/>
      <c r="B42" s="380"/>
      <c r="C42" s="380"/>
      <c r="D42" s="380"/>
      <c r="E42" s="172"/>
      <c r="F42" s="172"/>
      <c r="G42" s="367"/>
      <c r="H42" s="94" t="s">
        <v>314</v>
      </c>
      <c r="I42" s="126">
        <v>35.5</v>
      </c>
      <c r="J42" s="126">
        <f t="shared" si="0"/>
        <v>11.305732484076433</v>
      </c>
      <c r="K42" s="126">
        <v>28.6</v>
      </c>
      <c r="L42" s="126">
        <f t="shared" si="2"/>
        <v>9.1082802547770694</v>
      </c>
      <c r="M42" s="126">
        <v>2.2000000000000002</v>
      </c>
      <c r="N42" s="126"/>
      <c r="O42" s="180">
        <f t="shared" si="3"/>
        <v>1.9375687428158075E-3</v>
      </c>
      <c r="P42" s="131">
        <f>O42*(1+'Key Data'!F$3)</f>
        <v>2.4219609285197593E-3</v>
      </c>
      <c r="Q42" s="393"/>
      <c r="R42" s="393"/>
      <c r="S42" s="389"/>
    </row>
    <row r="43" spans="1:19" s="44" customFormat="1" x14ac:dyDescent="0.3">
      <c r="A43" s="380"/>
      <c r="B43" s="380"/>
      <c r="C43" s="380"/>
      <c r="D43" s="380"/>
      <c r="E43" s="172"/>
      <c r="F43" s="172"/>
      <c r="G43" s="367"/>
      <c r="H43" s="94" t="s">
        <v>314</v>
      </c>
      <c r="I43" s="126">
        <v>35</v>
      </c>
      <c r="J43" s="126">
        <f t="shared" si="0"/>
        <v>11.146496815286623</v>
      </c>
      <c r="K43" s="126">
        <v>16</v>
      </c>
      <c r="L43" s="126">
        <f t="shared" si="2"/>
        <v>5.0955414012738851</v>
      </c>
      <c r="M43" s="126">
        <v>1.8</v>
      </c>
      <c r="N43" s="126"/>
      <c r="O43" s="180">
        <f t="shared" si="3"/>
        <v>9.4580947494610809E-4</v>
      </c>
      <c r="P43" s="131">
        <f>O43*(1+'Key Data'!F$3)</f>
        <v>1.182261843682635E-3</v>
      </c>
      <c r="Q43" s="393"/>
      <c r="R43" s="393"/>
      <c r="S43" s="389"/>
    </row>
    <row r="44" spans="1:19" s="44" customFormat="1" x14ac:dyDescent="0.3">
      <c r="A44" s="380"/>
      <c r="B44" s="380"/>
      <c r="C44" s="380"/>
      <c r="D44" s="380"/>
      <c r="E44" s="172"/>
      <c r="F44" s="172"/>
      <c r="G44" s="367"/>
      <c r="H44" s="94" t="s">
        <v>314</v>
      </c>
      <c r="I44" s="126">
        <v>35</v>
      </c>
      <c r="J44" s="126">
        <f t="shared" si="0"/>
        <v>11.146496815286623</v>
      </c>
      <c r="K44" s="126">
        <v>16</v>
      </c>
      <c r="L44" s="126">
        <f t="shared" si="2"/>
        <v>5.0955414012738851</v>
      </c>
      <c r="M44" s="126">
        <v>2.1</v>
      </c>
      <c r="N44" s="126"/>
      <c r="O44" s="180">
        <f t="shared" si="3"/>
        <v>1.058031169860352E-3</v>
      </c>
      <c r="P44" s="131">
        <f>O44*(1+'Key Data'!F$3)</f>
        <v>1.3225389623254401E-3</v>
      </c>
      <c r="Q44" s="393"/>
      <c r="R44" s="393"/>
      <c r="S44" s="389"/>
    </row>
    <row r="45" spans="1:19" s="44" customFormat="1" x14ac:dyDescent="0.3">
      <c r="A45" s="380"/>
      <c r="B45" s="380"/>
      <c r="C45" s="380"/>
      <c r="D45" s="380"/>
      <c r="E45" s="172"/>
      <c r="F45" s="172"/>
      <c r="G45" s="367"/>
      <c r="H45" s="94" t="s">
        <v>314</v>
      </c>
      <c r="I45" s="126">
        <v>39.5</v>
      </c>
      <c r="J45" s="126">
        <f t="shared" si="0"/>
        <v>12.579617834394904</v>
      </c>
      <c r="K45" s="126">
        <v>23</v>
      </c>
      <c r="L45" s="126">
        <f t="shared" si="2"/>
        <v>7.3248407643312099</v>
      </c>
      <c r="M45" s="126">
        <v>2.5</v>
      </c>
      <c r="N45" s="126"/>
      <c r="O45" s="180">
        <f t="shared" si="3"/>
        <v>1.7133508345134707E-3</v>
      </c>
      <c r="P45" s="131">
        <f>O45*(1+'Key Data'!F$3)</f>
        <v>2.1416885431418385E-3</v>
      </c>
      <c r="Q45" s="393"/>
      <c r="R45" s="393"/>
      <c r="S45" s="389"/>
    </row>
    <row r="46" spans="1:19" s="44" customFormat="1" x14ac:dyDescent="0.3">
      <c r="A46" s="380"/>
      <c r="B46" s="380"/>
      <c r="C46" s="380"/>
      <c r="D46" s="380"/>
      <c r="E46" s="172"/>
      <c r="F46" s="172"/>
      <c r="G46" s="367"/>
      <c r="H46" s="94" t="s">
        <v>314</v>
      </c>
      <c r="I46" s="126">
        <v>39</v>
      </c>
      <c r="J46" s="126">
        <f t="shared" si="0"/>
        <v>12.420382165605096</v>
      </c>
      <c r="K46" s="126">
        <v>16.5</v>
      </c>
      <c r="L46" s="126">
        <f t="shared" si="2"/>
        <v>5.2547770700636942</v>
      </c>
      <c r="M46" s="126">
        <v>2.4</v>
      </c>
      <c r="N46" s="126"/>
      <c r="O46" s="180">
        <f t="shared" si="3"/>
        <v>1.2000455587097981E-3</v>
      </c>
      <c r="P46" s="131">
        <f>O46*(1+'Key Data'!F$3)</f>
        <v>1.5000569483872477E-3</v>
      </c>
      <c r="Q46" s="393"/>
      <c r="R46" s="393"/>
      <c r="S46" s="389"/>
    </row>
    <row r="47" spans="1:19" s="44" customFormat="1" x14ac:dyDescent="0.3">
      <c r="A47" s="380"/>
      <c r="B47" s="380"/>
      <c r="C47" s="380"/>
      <c r="D47" s="380"/>
      <c r="E47" s="172"/>
      <c r="F47" s="172"/>
      <c r="G47" s="367"/>
      <c r="H47" s="94" t="s">
        <v>314</v>
      </c>
      <c r="I47" s="126">
        <v>25.5</v>
      </c>
      <c r="J47" s="126">
        <f t="shared" si="0"/>
        <v>8.1210191082802545</v>
      </c>
      <c r="K47" s="126">
        <v>13</v>
      </c>
      <c r="L47" s="126">
        <f t="shared" si="2"/>
        <v>4.1401273885350314</v>
      </c>
      <c r="M47" s="126">
        <v>1.6</v>
      </c>
      <c r="N47" s="126"/>
      <c r="O47" s="180">
        <f t="shared" si="3"/>
        <v>5.5774050987113699E-4</v>
      </c>
      <c r="P47" s="131">
        <f>O47*(1+'Key Data'!F$3)</f>
        <v>6.9717563733892119E-4</v>
      </c>
      <c r="Q47" s="393"/>
      <c r="R47" s="393"/>
      <c r="S47" s="389"/>
    </row>
    <row r="48" spans="1:19" s="44" customFormat="1" x14ac:dyDescent="0.3">
      <c r="A48" s="380"/>
      <c r="B48" s="380"/>
      <c r="C48" s="380"/>
      <c r="D48" s="380"/>
      <c r="E48" s="172"/>
      <c r="F48" s="172"/>
      <c r="G48" s="367"/>
      <c r="H48" s="94" t="s">
        <v>314</v>
      </c>
      <c r="I48" s="126">
        <v>37</v>
      </c>
      <c r="J48" s="126">
        <f t="shared" si="0"/>
        <v>11.783439490445859</v>
      </c>
      <c r="K48" s="126">
        <v>19.5</v>
      </c>
      <c r="L48" s="126">
        <f t="shared" si="2"/>
        <v>6.2101910828025479</v>
      </c>
      <c r="M48" s="126">
        <v>2.2000000000000002</v>
      </c>
      <c r="N48" s="126"/>
      <c r="O48" s="180">
        <f t="shared" si="3"/>
        <v>1.3799320235309176E-3</v>
      </c>
      <c r="P48" s="131">
        <f>O48*(1+'Key Data'!F$3)</f>
        <v>1.7249150294136469E-3</v>
      </c>
      <c r="Q48" s="393"/>
      <c r="R48" s="393"/>
      <c r="S48" s="389"/>
    </row>
    <row r="49" spans="1:19" s="44" customFormat="1" x14ac:dyDescent="0.3">
      <c r="A49" s="380"/>
      <c r="B49" s="380"/>
      <c r="C49" s="380"/>
      <c r="D49" s="380"/>
      <c r="E49" s="172"/>
      <c r="F49" s="172"/>
      <c r="G49" s="367"/>
      <c r="H49" s="94" t="s">
        <v>314</v>
      </c>
      <c r="I49" s="126">
        <v>41</v>
      </c>
      <c r="J49" s="126">
        <f t="shared" si="0"/>
        <v>13.057324840764331</v>
      </c>
      <c r="K49" s="126">
        <v>22</v>
      </c>
      <c r="L49" s="126">
        <f t="shared" si="2"/>
        <v>7.0063694267515917</v>
      </c>
      <c r="M49" s="126">
        <v>2.6</v>
      </c>
      <c r="N49" s="126"/>
      <c r="O49" s="180">
        <f t="shared" si="3"/>
        <v>1.6771817473859253E-3</v>
      </c>
      <c r="P49" s="131">
        <f>O49*(1+'Key Data'!F$3)</f>
        <v>2.0964771842324065E-3</v>
      </c>
      <c r="Q49" s="393"/>
      <c r="R49" s="393"/>
      <c r="S49" s="389"/>
    </row>
    <row r="50" spans="1:19" s="44" customFormat="1" x14ac:dyDescent="0.3">
      <c r="A50" s="380"/>
      <c r="B50" s="380"/>
      <c r="C50" s="380"/>
      <c r="D50" s="380"/>
      <c r="E50" s="172"/>
      <c r="F50" s="172"/>
      <c r="G50" s="367"/>
      <c r="H50" s="94" t="s">
        <v>314</v>
      </c>
      <c r="I50" s="126">
        <v>51.5</v>
      </c>
      <c r="J50" s="126">
        <f t="shared" si="0"/>
        <v>16.401273885350317</v>
      </c>
      <c r="K50" s="126">
        <v>22</v>
      </c>
      <c r="L50" s="126">
        <f t="shared" si="2"/>
        <v>7.0063694267515917</v>
      </c>
      <c r="M50" s="126">
        <v>3</v>
      </c>
      <c r="N50" s="126"/>
      <c r="O50" s="180">
        <f t="shared" si="3"/>
        <v>1.7813591615563353E-3</v>
      </c>
      <c r="P50" s="131">
        <f>O50*(1+'Key Data'!F$3)</f>
        <v>2.2266989519454192E-3</v>
      </c>
      <c r="Q50" s="393"/>
      <c r="R50" s="393"/>
      <c r="S50" s="389"/>
    </row>
    <row r="51" spans="1:19" s="44" customFormat="1" x14ac:dyDescent="0.3">
      <c r="A51" s="380"/>
      <c r="B51" s="380"/>
      <c r="C51" s="380"/>
      <c r="D51" s="380"/>
      <c r="E51" s="172"/>
      <c r="F51" s="172"/>
      <c r="G51" s="367"/>
      <c r="H51" s="94" t="s">
        <v>314</v>
      </c>
      <c r="I51" s="126">
        <v>31</v>
      </c>
      <c r="J51" s="126">
        <f t="shared" si="0"/>
        <v>9.872611464968152</v>
      </c>
      <c r="K51" s="126">
        <v>16</v>
      </c>
      <c r="L51" s="126">
        <f t="shared" si="2"/>
        <v>5.0955414012738851</v>
      </c>
      <c r="M51" s="126">
        <v>2.1</v>
      </c>
      <c r="N51" s="126"/>
      <c r="O51" s="180">
        <f t="shared" si="3"/>
        <v>1.058031169860352E-3</v>
      </c>
      <c r="P51" s="131">
        <f>O51*(1+'Key Data'!F$3)</f>
        <v>1.3225389623254401E-3</v>
      </c>
      <c r="Q51" s="393"/>
      <c r="R51" s="393"/>
      <c r="S51" s="389"/>
    </row>
    <row r="52" spans="1:19" s="44" customFormat="1" x14ac:dyDescent="0.3">
      <c r="A52" s="380"/>
      <c r="B52" s="380"/>
      <c r="C52" s="380"/>
      <c r="D52" s="380"/>
      <c r="E52" s="172"/>
      <c r="F52" s="172"/>
      <c r="G52" s="367"/>
      <c r="H52" s="94" t="s">
        <v>314</v>
      </c>
      <c r="I52" s="126">
        <v>37</v>
      </c>
      <c r="J52" s="126">
        <f t="shared" si="0"/>
        <v>11.783439490445859</v>
      </c>
      <c r="K52" s="126">
        <v>20.2</v>
      </c>
      <c r="L52" s="126">
        <f t="shared" si="2"/>
        <v>6.4331210191082802</v>
      </c>
      <c r="M52" s="126">
        <v>2.2999999999999998</v>
      </c>
      <c r="N52" s="126"/>
      <c r="O52" s="180">
        <f t="shared" si="3"/>
        <v>1.4636433168298234E-3</v>
      </c>
      <c r="P52" s="131">
        <f>O52*(1+'Key Data'!F$3)</f>
        <v>1.8295541460372792E-3</v>
      </c>
      <c r="Q52" s="393"/>
      <c r="R52" s="393"/>
      <c r="S52" s="389"/>
    </row>
    <row r="53" spans="1:19" s="44" customFormat="1" x14ac:dyDescent="0.3">
      <c r="A53" s="380"/>
      <c r="B53" s="380"/>
      <c r="C53" s="380"/>
      <c r="D53" s="380"/>
      <c r="E53" s="172"/>
      <c r="F53" s="172"/>
      <c r="G53" s="367"/>
      <c r="H53" s="94" t="s">
        <v>314</v>
      </c>
      <c r="I53" s="126">
        <v>41</v>
      </c>
      <c r="J53" s="126">
        <f t="shared" si="0"/>
        <v>13.057324840764331</v>
      </c>
      <c r="K53" s="126">
        <v>21.2</v>
      </c>
      <c r="L53" s="126">
        <f t="shared" si="2"/>
        <v>6.7515923566878975</v>
      </c>
      <c r="M53" s="126">
        <v>2.6</v>
      </c>
      <c r="N53" s="126"/>
      <c r="O53" s="180">
        <f t="shared" si="3"/>
        <v>1.6232496558193372E-3</v>
      </c>
      <c r="P53" s="131">
        <f>O53*(1+'Key Data'!F$3)</f>
        <v>2.0290620697741716E-3</v>
      </c>
      <c r="Q53" s="393"/>
      <c r="R53" s="393"/>
      <c r="S53" s="389"/>
    </row>
    <row r="54" spans="1:19" s="44" customFormat="1" x14ac:dyDescent="0.3">
      <c r="A54" s="380"/>
      <c r="B54" s="380"/>
      <c r="C54" s="380"/>
      <c r="D54" s="380"/>
      <c r="E54" s="172"/>
      <c r="F54" s="172"/>
      <c r="G54" s="367"/>
      <c r="H54" s="94" t="s">
        <v>314</v>
      </c>
      <c r="I54" s="126">
        <v>39</v>
      </c>
      <c r="J54" s="126">
        <f t="shared" si="0"/>
        <v>12.420382165605096</v>
      </c>
      <c r="K54" s="126">
        <v>17</v>
      </c>
      <c r="L54" s="126">
        <f t="shared" si="2"/>
        <v>5.4140127388535033</v>
      </c>
      <c r="M54" s="126">
        <v>2.7</v>
      </c>
      <c r="N54" s="126"/>
      <c r="O54" s="180">
        <f t="shared" si="3"/>
        <v>1.3292575230135811E-3</v>
      </c>
      <c r="P54" s="131">
        <f>O54*(1+'Key Data'!F$3)</f>
        <v>1.6615719037669763E-3</v>
      </c>
      <c r="Q54" s="393"/>
      <c r="R54" s="393"/>
      <c r="S54" s="389"/>
    </row>
    <row r="55" spans="1:19" s="44" customFormat="1" x14ac:dyDescent="0.3">
      <c r="A55" s="380"/>
      <c r="B55" s="380"/>
      <c r="C55" s="380"/>
      <c r="D55" s="380"/>
      <c r="E55" s="172"/>
      <c r="F55" s="172"/>
      <c r="G55" s="367"/>
      <c r="H55" s="94" t="s">
        <v>314</v>
      </c>
      <c r="I55" s="126">
        <v>32</v>
      </c>
      <c r="J55" s="126">
        <f t="shared" si="0"/>
        <v>10.19108280254777</v>
      </c>
      <c r="K55" s="126">
        <v>16.600000000000001</v>
      </c>
      <c r="L55" s="126">
        <f t="shared" si="2"/>
        <v>5.2866242038216562</v>
      </c>
      <c r="M55" s="126">
        <v>2.1</v>
      </c>
      <c r="N55" s="126"/>
      <c r="O55" s="180">
        <f t="shared" si="3"/>
        <v>1.1116323147270274E-3</v>
      </c>
      <c r="P55" s="131">
        <f>O55*(1+'Key Data'!F$3)</f>
        <v>1.3895403934087842E-3</v>
      </c>
      <c r="Q55" s="393"/>
      <c r="R55" s="393"/>
      <c r="S55" s="389"/>
    </row>
    <row r="56" spans="1:19" s="44" customFormat="1" x14ac:dyDescent="0.3">
      <c r="A56" s="380"/>
      <c r="B56" s="380"/>
      <c r="C56" s="380"/>
      <c r="D56" s="380"/>
      <c r="E56" s="172"/>
      <c r="F56" s="172"/>
      <c r="G56" s="367"/>
      <c r="H56" s="94" t="s">
        <v>314</v>
      </c>
      <c r="I56" s="126">
        <v>35</v>
      </c>
      <c r="J56" s="126">
        <f t="shared" si="0"/>
        <v>11.146496815286623</v>
      </c>
      <c r="K56" s="126">
        <v>20.6</v>
      </c>
      <c r="L56" s="126">
        <f t="shared" si="2"/>
        <v>6.5605095541401273</v>
      </c>
      <c r="M56" s="126">
        <v>2</v>
      </c>
      <c r="N56" s="126"/>
      <c r="O56" s="180">
        <f t="shared" si="3"/>
        <v>1.3904465571221835E-3</v>
      </c>
      <c r="P56" s="131">
        <f>O56*(1+'Key Data'!F$3)</f>
        <v>1.7380581964027294E-3</v>
      </c>
      <c r="Q56" s="393"/>
      <c r="R56" s="393"/>
      <c r="S56" s="389"/>
    </row>
    <row r="57" spans="1:19" s="44" customFormat="1" x14ac:dyDescent="0.3">
      <c r="A57" s="380"/>
      <c r="B57" s="380"/>
      <c r="C57" s="380"/>
      <c r="D57" s="380"/>
      <c r="E57" s="172"/>
      <c r="F57" s="172"/>
      <c r="G57" s="367"/>
      <c r="H57" s="94" t="s">
        <v>314</v>
      </c>
      <c r="I57" s="126">
        <v>19.600000000000001</v>
      </c>
      <c r="J57" s="126">
        <f t="shared" si="0"/>
        <v>6.2420382165605099</v>
      </c>
      <c r="K57" s="126">
        <v>14</v>
      </c>
      <c r="L57" s="126">
        <f t="shared" si="2"/>
        <v>4.4585987261146496</v>
      </c>
      <c r="M57" s="126">
        <v>1.5</v>
      </c>
      <c r="N57" s="126"/>
      <c r="O57" s="180">
        <f t="shared" si="3"/>
        <v>6.1865767393880428E-4</v>
      </c>
      <c r="P57" s="131">
        <f>O57*(1+'Key Data'!F$3)</f>
        <v>7.7332209242350538E-4</v>
      </c>
      <c r="Q57" s="393"/>
      <c r="R57" s="393"/>
      <c r="S57" s="389"/>
    </row>
    <row r="58" spans="1:19" s="44" customFormat="1" x14ac:dyDescent="0.3">
      <c r="A58" s="380"/>
      <c r="B58" s="380"/>
      <c r="C58" s="380"/>
      <c r="D58" s="380"/>
      <c r="E58" s="172"/>
      <c r="F58" s="172"/>
      <c r="G58" s="367"/>
      <c r="H58" s="94" t="s">
        <v>314</v>
      </c>
      <c r="I58" s="126">
        <v>36.5</v>
      </c>
      <c r="J58" s="126">
        <f t="shared" si="0"/>
        <v>11.624203821656051</v>
      </c>
      <c r="K58" s="126">
        <v>23.6</v>
      </c>
      <c r="L58" s="126">
        <f t="shared" si="2"/>
        <v>7.515923566878981</v>
      </c>
      <c r="M58" s="126">
        <v>1.6</v>
      </c>
      <c r="N58" s="126"/>
      <c r="O58" s="180">
        <f t="shared" si="3"/>
        <v>1.4259494581250972E-3</v>
      </c>
      <c r="P58" s="131">
        <f>O58*(1+'Key Data'!F$3)</f>
        <v>1.7824368226563715E-3</v>
      </c>
      <c r="Q58" s="393"/>
      <c r="R58" s="393"/>
      <c r="S58" s="389"/>
    </row>
    <row r="59" spans="1:19" s="44" customFormat="1" x14ac:dyDescent="0.3">
      <c r="A59" s="380"/>
      <c r="B59" s="380"/>
      <c r="C59" s="380"/>
      <c r="D59" s="380"/>
      <c r="E59" s="172"/>
      <c r="F59" s="172"/>
      <c r="G59" s="367"/>
      <c r="H59" s="94" t="s">
        <v>314</v>
      </c>
      <c r="I59" s="126">
        <v>47</v>
      </c>
      <c r="J59" s="126">
        <f t="shared" si="0"/>
        <v>14.968152866242038</v>
      </c>
      <c r="K59" s="126">
        <v>31.5</v>
      </c>
      <c r="L59" s="126">
        <f t="shared" si="2"/>
        <v>10.031847133757962</v>
      </c>
      <c r="M59" s="126">
        <v>2.1</v>
      </c>
      <c r="N59" s="126"/>
      <c r="O59" s="180">
        <f t="shared" si="3"/>
        <v>2.0443238570100222E-3</v>
      </c>
      <c r="P59" s="131">
        <f>O59*(1+'Key Data'!F$3)</f>
        <v>2.5554048212625279E-3</v>
      </c>
      <c r="Q59" s="393"/>
      <c r="R59" s="393"/>
      <c r="S59" s="389"/>
    </row>
    <row r="60" spans="1:19" s="44" customFormat="1" x14ac:dyDescent="0.3">
      <c r="A60" s="380"/>
      <c r="B60" s="380"/>
      <c r="C60" s="380"/>
      <c r="D60" s="380"/>
      <c r="E60" s="172"/>
      <c r="F60" s="172"/>
      <c r="G60" s="367"/>
      <c r="H60" s="94" t="s">
        <v>314</v>
      </c>
      <c r="I60" s="126">
        <v>37.5</v>
      </c>
      <c r="J60" s="126">
        <f t="shared" si="0"/>
        <v>11.942675159235668</v>
      </c>
      <c r="K60" s="126">
        <v>17.5</v>
      </c>
      <c r="L60" s="126">
        <f t="shared" si="2"/>
        <v>5.5732484076433115</v>
      </c>
      <c r="M60" s="126">
        <v>1.5</v>
      </c>
      <c r="N60" s="126"/>
      <c r="O60" s="180">
        <f t="shared" si="3"/>
        <v>9.435546846522935E-4</v>
      </c>
      <c r="P60" s="131">
        <f>O60*(1+'Key Data'!F$3)</f>
        <v>1.1794433558153668E-3</v>
      </c>
      <c r="Q60" s="393"/>
      <c r="R60" s="393"/>
      <c r="S60" s="389"/>
    </row>
    <row r="61" spans="1:19" s="44" customFormat="1" x14ac:dyDescent="0.3">
      <c r="A61" s="380"/>
      <c r="B61" s="380"/>
      <c r="C61" s="380"/>
      <c r="D61" s="380"/>
      <c r="E61" s="172"/>
      <c r="F61" s="172"/>
      <c r="G61" s="367"/>
      <c r="H61" s="94" t="s">
        <v>314</v>
      </c>
      <c r="I61" s="126">
        <v>26</v>
      </c>
      <c r="J61" s="126">
        <f t="shared" si="0"/>
        <v>8.2802547770700627</v>
      </c>
      <c r="K61" s="126">
        <v>14.5</v>
      </c>
      <c r="L61" s="126">
        <f t="shared" si="2"/>
        <v>4.6178343949044587</v>
      </c>
      <c r="M61" s="126">
        <v>1.6</v>
      </c>
      <c r="N61" s="126"/>
      <c r="O61" s="180">
        <f t="shared" si="3"/>
        <v>7.1673467897216561E-4</v>
      </c>
      <c r="P61" s="131">
        <f>O61*(1+'Key Data'!F$3)</f>
        <v>8.9591834871520699E-4</v>
      </c>
      <c r="Q61" s="393"/>
      <c r="R61" s="393"/>
      <c r="S61" s="389"/>
    </row>
    <row r="62" spans="1:19" s="44" customFormat="1" x14ac:dyDescent="0.3">
      <c r="A62" s="380"/>
      <c r="B62" s="380"/>
      <c r="C62" s="380"/>
      <c r="D62" s="380"/>
      <c r="E62" s="172"/>
      <c r="F62" s="172"/>
      <c r="G62" s="367"/>
      <c r="H62" s="94" t="s">
        <v>314</v>
      </c>
      <c r="I62" s="126">
        <v>29.5</v>
      </c>
      <c r="J62" s="126">
        <f t="shared" si="0"/>
        <v>9.3949044585987256</v>
      </c>
      <c r="K62" s="126">
        <v>18</v>
      </c>
      <c r="L62" s="126">
        <f t="shared" si="2"/>
        <v>5.7324840764331206</v>
      </c>
      <c r="M62" s="126">
        <v>1.6</v>
      </c>
      <c r="N62" s="126"/>
      <c r="O62" s="180">
        <f t="shared" si="3"/>
        <v>1.0315555249039551E-3</v>
      </c>
      <c r="P62" s="131">
        <f>O62*(1+'Key Data'!F$3)</f>
        <v>1.289444406129944E-3</v>
      </c>
      <c r="Q62" s="393"/>
      <c r="R62" s="393"/>
      <c r="S62" s="389"/>
    </row>
    <row r="63" spans="1:19" s="44" customFormat="1" x14ac:dyDescent="0.3">
      <c r="A63" s="380"/>
      <c r="B63" s="380"/>
      <c r="C63" s="380"/>
      <c r="D63" s="380"/>
      <c r="E63" s="172"/>
      <c r="F63" s="172"/>
      <c r="G63" s="367"/>
      <c r="H63" s="94" t="s">
        <v>314</v>
      </c>
      <c r="I63" s="126">
        <v>43.5</v>
      </c>
      <c r="J63" s="126">
        <f t="shared" si="0"/>
        <v>13.853503184713375</v>
      </c>
      <c r="K63" s="126">
        <v>24.5</v>
      </c>
      <c r="L63" s="126">
        <f t="shared" si="2"/>
        <v>7.8025477707006363</v>
      </c>
      <c r="M63" s="126">
        <v>2.8</v>
      </c>
      <c r="N63" s="126"/>
      <c r="O63" s="180">
        <f t="shared" si="3"/>
        <v>1.8878425981779193E-3</v>
      </c>
      <c r="P63" s="131">
        <f>O63*(1+'Key Data'!F$3)</f>
        <v>2.3598032477223992E-3</v>
      </c>
      <c r="Q63" s="393"/>
      <c r="R63" s="393"/>
      <c r="S63" s="389"/>
    </row>
    <row r="64" spans="1:19" s="44" customFormat="1" x14ac:dyDescent="0.3">
      <c r="A64" s="380"/>
      <c r="B64" s="380"/>
      <c r="C64" s="380"/>
      <c r="D64" s="380"/>
      <c r="E64" s="172"/>
      <c r="F64" s="172"/>
      <c r="G64" s="367"/>
      <c r="H64" s="94" t="s">
        <v>314</v>
      </c>
      <c r="I64" s="126">
        <v>37</v>
      </c>
      <c r="J64" s="126">
        <f t="shared" si="0"/>
        <v>11.783439490445859</v>
      </c>
      <c r="K64" s="126">
        <v>16</v>
      </c>
      <c r="L64" s="126">
        <f t="shared" si="2"/>
        <v>5.0955414012738851</v>
      </c>
      <c r="M64" s="126">
        <v>2.5</v>
      </c>
      <c r="N64" s="126"/>
      <c r="O64" s="180">
        <f t="shared" si="3"/>
        <v>1.1849604357017502E-3</v>
      </c>
      <c r="P64" s="131">
        <f>O64*(1+'Key Data'!F$3)</f>
        <v>1.4812005446271878E-3</v>
      </c>
      <c r="Q64" s="393"/>
      <c r="R64" s="393"/>
      <c r="S64" s="389"/>
    </row>
    <row r="65" spans="1:19" s="44" customFormat="1" x14ac:dyDescent="0.3">
      <c r="A65" s="380"/>
      <c r="B65" s="380"/>
      <c r="C65" s="380"/>
      <c r="D65" s="380"/>
      <c r="E65" s="172"/>
      <c r="F65" s="172"/>
      <c r="G65" s="367"/>
      <c r="H65" s="94" t="s">
        <v>314</v>
      </c>
      <c r="I65" s="126">
        <v>38</v>
      </c>
      <c r="J65" s="126">
        <f t="shared" si="0"/>
        <v>12.101910828025478</v>
      </c>
      <c r="K65" s="126">
        <v>16.5</v>
      </c>
      <c r="L65" s="126">
        <f t="shared" si="2"/>
        <v>5.2547770700636942</v>
      </c>
      <c r="M65" s="126">
        <v>2</v>
      </c>
      <c r="N65" s="126"/>
      <c r="O65" s="180">
        <f t="shared" si="3"/>
        <v>1.0673154653637986E-3</v>
      </c>
      <c r="P65" s="131">
        <f>O65*(1+'Key Data'!F$3)</f>
        <v>1.3341443317047483E-3</v>
      </c>
      <c r="Q65" s="393"/>
      <c r="R65" s="393"/>
      <c r="S65" s="389"/>
    </row>
    <row r="66" spans="1:19" s="44" customFormat="1" x14ac:dyDescent="0.3">
      <c r="A66" s="380"/>
      <c r="B66" s="380"/>
      <c r="C66" s="380"/>
      <c r="D66" s="380"/>
      <c r="E66" s="172"/>
      <c r="F66" s="172"/>
      <c r="G66" s="367"/>
      <c r="H66" s="94" t="s">
        <v>314</v>
      </c>
      <c r="I66" s="126">
        <v>37</v>
      </c>
      <c r="J66" s="126">
        <f t="shared" ref="J66:J129" si="4">I66/3.14</f>
        <v>11.783439490445859</v>
      </c>
      <c r="K66" s="126">
        <v>15.5</v>
      </c>
      <c r="L66" s="126">
        <f t="shared" si="2"/>
        <v>4.936305732484076</v>
      </c>
      <c r="M66" s="126">
        <v>2.2999999999999998</v>
      </c>
      <c r="N66" s="126"/>
      <c r="O66" s="180">
        <f t="shared" si="3"/>
        <v>1.0780325196480917E-3</v>
      </c>
      <c r="P66" s="131">
        <f>O66*(1+'Key Data'!F$3)</f>
        <v>1.3475406495601146E-3</v>
      </c>
      <c r="Q66" s="393"/>
      <c r="R66" s="393"/>
      <c r="S66" s="389"/>
    </row>
    <row r="67" spans="1:19" s="44" customFormat="1" x14ac:dyDescent="0.3">
      <c r="A67" s="380"/>
      <c r="B67" s="380"/>
      <c r="C67" s="380"/>
      <c r="D67" s="380"/>
      <c r="E67" s="172"/>
      <c r="F67" s="172"/>
      <c r="G67" s="367"/>
      <c r="H67" s="94" t="s">
        <v>314</v>
      </c>
      <c r="I67" s="126">
        <v>29.3</v>
      </c>
      <c r="J67" s="126">
        <f t="shared" si="4"/>
        <v>9.3312101910828016</v>
      </c>
      <c r="K67" s="126">
        <v>19.100000000000001</v>
      </c>
      <c r="L67" s="126">
        <f t="shared" si="2"/>
        <v>6.0828025477707008</v>
      </c>
      <c r="M67" s="126">
        <v>1.8</v>
      </c>
      <c r="N67" s="126"/>
      <c r="O67" s="180">
        <f t="shared" si="3"/>
        <v>1.2036665112015498E-3</v>
      </c>
      <c r="P67" s="131">
        <f>O67*(1+'Key Data'!F$3)</f>
        <v>1.5045831390019372E-3</v>
      </c>
      <c r="Q67" s="393"/>
      <c r="R67" s="393"/>
      <c r="S67" s="389"/>
    </row>
    <row r="68" spans="1:19" s="44" customFormat="1" x14ac:dyDescent="0.3">
      <c r="A68" s="380"/>
      <c r="B68" s="380"/>
      <c r="C68" s="380"/>
      <c r="D68" s="380"/>
      <c r="E68" s="172"/>
      <c r="F68" s="172"/>
      <c r="G68" s="367"/>
      <c r="H68" s="94" t="s">
        <v>314</v>
      </c>
      <c r="I68" s="126">
        <v>32.5</v>
      </c>
      <c r="J68" s="126">
        <f t="shared" si="4"/>
        <v>10.350318471337578</v>
      </c>
      <c r="K68" s="126">
        <v>24.2</v>
      </c>
      <c r="L68" s="126">
        <f t="shared" si="2"/>
        <v>7.7070063694267512</v>
      </c>
      <c r="M68" s="126">
        <v>2.2999999999999998</v>
      </c>
      <c r="N68" s="126"/>
      <c r="O68" s="180">
        <f t="shared" si="3"/>
        <v>1.7266988786978044E-3</v>
      </c>
      <c r="P68" s="131">
        <f>O68*(1+'Key Data'!F$3)</f>
        <v>2.1583735983722557E-3</v>
      </c>
      <c r="Q68" s="393"/>
      <c r="R68" s="393"/>
      <c r="S68" s="389"/>
    </row>
    <row r="69" spans="1:19" s="44" customFormat="1" x14ac:dyDescent="0.3">
      <c r="A69" s="380"/>
      <c r="B69" s="380"/>
      <c r="C69" s="380"/>
      <c r="D69" s="380"/>
      <c r="E69" s="172"/>
      <c r="F69" s="172"/>
      <c r="G69" s="367"/>
      <c r="H69" s="94" t="s">
        <v>314</v>
      </c>
      <c r="I69" s="126">
        <v>38</v>
      </c>
      <c r="J69" s="126">
        <f t="shared" si="4"/>
        <v>12.101910828025478</v>
      </c>
      <c r="K69" s="126">
        <v>16.5</v>
      </c>
      <c r="L69" s="126">
        <f t="shared" si="2"/>
        <v>5.2547770700636942</v>
      </c>
      <c r="M69" s="126">
        <v>2.6</v>
      </c>
      <c r="N69" s="126"/>
      <c r="O69" s="180">
        <f t="shared" si="3"/>
        <v>1.2583166498961326E-3</v>
      </c>
      <c r="P69" s="131">
        <f>O69*(1+'Key Data'!F$3)</f>
        <v>1.5728958123701656E-3</v>
      </c>
      <c r="Q69" s="393"/>
      <c r="R69" s="393"/>
      <c r="S69" s="389"/>
    </row>
    <row r="70" spans="1:19" s="44" customFormat="1" x14ac:dyDescent="0.3">
      <c r="A70" s="380"/>
      <c r="B70" s="380"/>
      <c r="C70" s="380"/>
      <c r="D70" s="380"/>
      <c r="E70" s="172"/>
      <c r="F70" s="172"/>
      <c r="G70" s="367"/>
      <c r="H70" s="94" t="s">
        <v>314</v>
      </c>
      <c r="I70" s="126">
        <v>45</v>
      </c>
      <c r="J70" s="126">
        <f t="shared" si="4"/>
        <v>14.331210191082802</v>
      </c>
      <c r="K70" s="126">
        <v>24.5</v>
      </c>
      <c r="L70" s="126">
        <f t="shared" si="2"/>
        <v>7.8025477707006363</v>
      </c>
      <c r="M70" s="126">
        <v>2.9</v>
      </c>
      <c r="N70" s="126"/>
      <c r="O70" s="180">
        <f t="shared" si="3"/>
        <v>1.9133890790005237E-3</v>
      </c>
      <c r="P70" s="131">
        <f>O70*(1+'Key Data'!F$3)</f>
        <v>2.3917363487506544E-3</v>
      </c>
      <c r="Q70" s="393"/>
      <c r="R70" s="393"/>
      <c r="S70" s="389"/>
    </row>
    <row r="71" spans="1:19" s="44" customFormat="1" x14ac:dyDescent="0.3">
      <c r="A71" s="380"/>
      <c r="B71" s="380"/>
      <c r="C71" s="380"/>
      <c r="D71" s="380"/>
      <c r="E71" s="172"/>
      <c r="F71" s="172"/>
      <c r="G71" s="367"/>
      <c r="H71" s="94" t="s">
        <v>314</v>
      </c>
      <c r="I71" s="126">
        <v>41</v>
      </c>
      <c r="J71" s="126">
        <f t="shared" si="4"/>
        <v>13.057324840764331</v>
      </c>
      <c r="K71" s="126">
        <v>21.5</v>
      </c>
      <c r="L71" s="126">
        <f t="shared" si="2"/>
        <v>6.8471337579617835</v>
      </c>
      <c r="M71" s="126">
        <v>2.8</v>
      </c>
      <c r="N71" s="126"/>
      <c r="O71" s="180">
        <f t="shared" si="3"/>
        <v>1.697659612578674E-3</v>
      </c>
      <c r="P71" s="131">
        <f>O71*(1+'Key Data'!F$3)</f>
        <v>2.1220745157233423E-3</v>
      </c>
      <c r="Q71" s="393"/>
      <c r="R71" s="393"/>
      <c r="S71" s="389"/>
    </row>
    <row r="72" spans="1:19" s="44" customFormat="1" x14ac:dyDescent="0.3">
      <c r="A72" s="380"/>
      <c r="B72" s="380"/>
      <c r="C72" s="380"/>
      <c r="D72" s="380"/>
      <c r="E72" s="172"/>
      <c r="F72" s="172"/>
      <c r="G72" s="367"/>
      <c r="H72" s="94" t="s">
        <v>314</v>
      </c>
      <c r="I72" s="126">
        <v>29.5</v>
      </c>
      <c r="J72" s="126">
        <f t="shared" si="4"/>
        <v>9.3949044585987256</v>
      </c>
      <c r="K72" s="126">
        <v>15</v>
      </c>
      <c r="L72" s="126">
        <f t="shared" si="2"/>
        <v>4.7770700636942669</v>
      </c>
      <c r="M72" s="126">
        <v>1.6</v>
      </c>
      <c r="N72" s="126"/>
      <c r="O72" s="180">
        <f t="shared" si="3"/>
        <v>7.660953382119573E-4</v>
      </c>
      <c r="P72" s="131">
        <f>O72*(1+'Key Data'!F$3)</f>
        <v>9.576191727649466E-4</v>
      </c>
      <c r="Q72" s="393"/>
      <c r="R72" s="393"/>
      <c r="S72" s="389"/>
    </row>
    <row r="73" spans="1:19" s="44" customFormat="1" x14ac:dyDescent="0.3">
      <c r="A73" s="380"/>
      <c r="B73" s="380"/>
      <c r="C73" s="380"/>
      <c r="D73" s="380"/>
      <c r="E73" s="172"/>
      <c r="F73" s="172"/>
      <c r="G73" s="367"/>
      <c r="H73" s="94" t="s">
        <v>314</v>
      </c>
      <c r="I73" s="126">
        <v>26</v>
      </c>
      <c r="J73" s="126">
        <f t="shared" si="4"/>
        <v>8.2802547770700627</v>
      </c>
      <c r="K73" s="126">
        <v>16</v>
      </c>
      <c r="L73" s="126">
        <f t="shared" si="2"/>
        <v>5.0955414012738851</v>
      </c>
      <c r="M73" s="126">
        <v>1.6</v>
      </c>
      <c r="N73" s="126"/>
      <c r="O73" s="180">
        <f t="shared" si="3"/>
        <v>8.6006342498826105E-4</v>
      </c>
      <c r="P73" s="131">
        <f>O73*(1+'Key Data'!F$3)</f>
        <v>1.0750792812353263E-3</v>
      </c>
      <c r="Q73" s="393"/>
      <c r="R73" s="393"/>
      <c r="S73" s="389"/>
    </row>
    <row r="74" spans="1:19" s="44" customFormat="1" x14ac:dyDescent="0.3">
      <c r="A74" s="380"/>
      <c r="B74" s="380"/>
      <c r="C74" s="380"/>
      <c r="D74" s="380"/>
      <c r="E74" s="172"/>
      <c r="F74" s="172"/>
      <c r="G74" s="367"/>
      <c r="H74" s="94" t="s">
        <v>314</v>
      </c>
      <c r="I74" s="126">
        <v>37.5</v>
      </c>
      <c r="J74" s="126">
        <f t="shared" si="4"/>
        <v>11.942675159235668</v>
      </c>
      <c r="K74" s="126">
        <v>29</v>
      </c>
      <c r="L74" s="126">
        <f t="shared" si="2"/>
        <v>9.2356687898089174</v>
      </c>
      <c r="M74" s="126">
        <v>2.4</v>
      </c>
      <c r="N74" s="126"/>
      <c r="O74" s="180">
        <f t="shared" si="3"/>
        <v>2.0211355725701895E-3</v>
      </c>
      <c r="P74" s="131">
        <f>O74*(1+'Key Data'!F$3)</f>
        <v>2.5264194657127368E-3</v>
      </c>
      <c r="Q74" s="393"/>
      <c r="R74" s="393"/>
      <c r="S74" s="389"/>
    </row>
    <row r="75" spans="1:19" s="44" customFormat="1" x14ac:dyDescent="0.3">
      <c r="A75" s="380"/>
      <c r="B75" s="380"/>
      <c r="C75" s="380"/>
      <c r="D75" s="380"/>
      <c r="E75" s="172"/>
      <c r="F75" s="172"/>
      <c r="G75" s="367"/>
      <c r="H75" s="94" t="s">
        <v>314</v>
      </c>
      <c r="I75" s="126">
        <v>41</v>
      </c>
      <c r="J75" s="126">
        <f t="shared" si="4"/>
        <v>13.057324840764331</v>
      </c>
      <c r="K75" s="126">
        <v>26.5</v>
      </c>
      <c r="L75" s="126">
        <f t="shared" si="2"/>
        <v>8.4394904458598727</v>
      </c>
      <c r="M75" s="126">
        <v>2.8</v>
      </c>
      <c r="N75" s="126"/>
      <c r="O75" s="180">
        <f t="shared" si="3"/>
        <v>2.0020972702607365E-3</v>
      </c>
      <c r="P75" s="131">
        <f>O75*(1+'Key Data'!F$3)</f>
        <v>2.5026215878259208E-3</v>
      </c>
      <c r="Q75" s="393"/>
      <c r="R75" s="393"/>
      <c r="S75" s="389"/>
    </row>
    <row r="76" spans="1:19" s="44" customFormat="1" x14ac:dyDescent="0.3">
      <c r="A76" s="380"/>
      <c r="B76" s="380"/>
      <c r="C76" s="380"/>
      <c r="D76" s="380"/>
      <c r="E76" s="172"/>
      <c r="F76" s="172"/>
      <c r="G76" s="367"/>
      <c r="H76" s="94" t="s">
        <v>314</v>
      </c>
      <c r="I76" s="126">
        <v>42</v>
      </c>
      <c r="J76" s="126">
        <f t="shared" si="4"/>
        <v>13.375796178343949</v>
      </c>
      <c r="K76" s="126">
        <v>26</v>
      </c>
      <c r="L76" s="126">
        <f t="shared" si="2"/>
        <v>8.2802547770700627</v>
      </c>
      <c r="M76" s="126">
        <v>2.6</v>
      </c>
      <c r="N76" s="126"/>
      <c r="O76" s="180">
        <f t="shared" si="3"/>
        <v>1.9204124946554956E-3</v>
      </c>
      <c r="P76" s="131">
        <f>O76*(1+'Key Data'!F$3)</f>
        <v>2.4005156183193694E-3</v>
      </c>
      <c r="Q76" s="393"/>
      <c r="R76" s="393"/>
      <c r="S76" s="389"/>
    </row>
    <row r="77" spans="1:19" s="44" customFormat="1" x14ac:dyDescent="0.3">
      <c r="A77" s="380"/>
      <c r="B77" s="380"/>
      <c r="C77" s="380"/>
      <c r="D77" s="380"/>
      <c r="E77" s="172"/>
      <c r="F77" s="172"/>
      <c r="G77" s="367"/>
      <c r="H77" s="94" t="s">
        <v>314</v>
      </c>
      <c r="I77" s="126">
        <v>46</v>
      </c>
      <c r="J77" s="126">
        <f t="shared" si="4"/>
        <v>14.64968152866242</v>
      </c>
      <c r="K77" s="126">
        <v>23.4</v>
      </c>
      <c r="L77" s="126">
        <f t="shared" si="2"/>
        <v>7.452229299363057</v>
      </c>
      <c r="M77" s="126">
        <v>2.6</v>
      </c>
      <c r="N77" s="126"/>
      <c r="O77" s="180">
        <f t="shared" si="3"/>
        <v>1.7670075838577006E-3</v>
      </c>
      <c r="P77" s="131">
        <f>O77*(1+'Key Data'!F$3)</f>
        <v>2.2087594798221259E-3</v>
      </c>
      <c r="Q77" s="393"/>
      <c r="R77" s="393"/>
      <c r="S77" s="389"/>
    </row>
    <row r="78" spans="1:19" s="44" customFormat="1" x14ac:dyDescent="0.3">
      <c r="A78" s="380"/>
      <c r="B78" s="380"/>
      <c r="C78" s="380"/>
      <c r="D78" s="380"/>
      <c r="E78" s="172"/>
      <c r="F78" s="172"/>
      <c r="G78" s="367"/>
      <c r="H78" s="94" t="s">
        <v>314</v>
      </c>
      <c r="I78" s="126">
        <v>36</v>
      </c>
      <c r="J78" s="126">
        <f t="shared" si="4"/>
        <v>11.464968152866241</v>
      </c>
      <c r="K78" s="126">
        <v>14.6</v>
      </c>
      <c r="L78" s="126">
        <f t="shared" si="2"/>
        <v>4.6496815286624198</v>
      </c>
      <c r="M78" s="126">
        <v>2.1</v>
      </c>
      <c r="N78" s="126"/>
      <c r="O78" s="180">
        <f t="shared" si="3"/>
        <v>9.2470933608723781E-4</v>
      </c>
      <c r="P78" s="131">
        <f>O78*(1+'Key Data'!F$3)</f>
        <v>1.1558866701090473E-3</v>
      </c>
      <c r="Q78" s="393"/>
      <c r="R78" s="393"/>
      <c r="S78" s="389"/>
    </row>
    <row r="79" spans="1:19" s="44" customFormat="1" x14ac:dyDescent="0.3">
      <c r="A79" s="380"/>
      <c r="B79" s="380"/>
      <c r="C79" s="380"/>
      <c r="D79" s="380"/>
      <c r="E79" s="172"/>
      <c r="F79" s="172"/>
      <c r="G79" s="367"/>
      <c r="H79" s="94" t="s">
        <v>314</v>
      </c>
      <c r="I79" s="126">
        <v>38</v>
      </c>
      <c r="J79" s="126">
        <f t="shared" si="4"/>
        <v>12.101910828025478</v>
      </c>
      <c r="K79" s="126">
        <v>15.2</v>
      </c>
      <c r="L79" s="126">
        <f t="shared" si="2"/>
        <v>4.8407643312101909</v>
      </c>
      <c r="M79" s="126">
        <v>2.1</v>
      </c>
      <c r="N79" s="126"/>
      <c r="O79" s="180">
        <f t="shared" si="3"/>
        <v>9.8334813323207879E-4</v>
      </c>
      <c r="P79" s="131">
        <f>O79*(1+'Key Data'!F$3)</f>
        <v>1.2291851665400984E-3</v>
      </c>
      <c r="Q79" s="393"/>
      <c r="R79" s="393"/>
      <c r="S79" s="389"/>
    </row>
    <row r="80" spans="1:19" s="44" customFormat="1" x14ac:dyDescent="0.3">
      <c r="A80" s="380"/>
      <c r="B80" s="380"/>
      <c r="C80" s="380"/>
      <c r="D80" s="380"/>
      <c r="E80" s="172"/>
      <c r="F80" s="172"/>
      <c r="G80" s="367"/>
      <c r="H80" s="94" t="s">
        <v>314</v>
      </c>
      <c r="I80" s="126">
        <v>39</v>
      </c>
      <c r="J80" s="126">
        <f t="shared" si="4"/>
        <v>12.420382165605096</v>
      </c>
      <c r="K80" s="126">
        <v>14.8</v>
      </c>
      <c r="L80" s="126">
        <f t="shared" si="2"/>
        <v>4.7133757961783438</v>
      </c>
      <c r="M80" s="126">
        <v>2</v>
      </c>
      <c r="N80" s="126"/>
      <c r="O80" s="180">
        <f t="shared" si="3"/>
        <v>9.0899992596510533E-4</v>
      </c>
      <c r="P80" s="131">
        <f>O80*(1+'Key Data'!F$3)</f>
        <v>1.1362499074563817E-3</v>
      </c>
      <c r="Q80" s="393"/>
      <c r="R80" s="393"/>
      <c r="S80" s="389"/>
    </row>
    <row r="81" spans="1:19" s="44" customFormat="1" x14ac:dyDescent="0.3">
      <c r="A81" s="380"/>
      <c r="B81" s="380"/>
      <c r="C81" s="380"/>
      <c r="D81" s="380"/>
      <c r="E81" s="172"/>
      <c r="F81" s="172"/>
      <c r="G81" s="367"/>
      <c r="H81" s="94" t="s">
        <v>314</v>
      </c>
      <c r="I81" s="126">
        <v>42</v>
      </c>
      <c r="J81" s="126">
        <f t="shared" si="4"/>
        <v>13.375796178343949</v>
      </c>
      <c r="K81" s="126">
        <v>14.8</v>
      </c>
      <c r="L81" s="126">
        <f t="shared" ref="L81:L144" si="5">K81/3.14</f>
        <v>4.7133757961783438</v>
      </c>
      <c r="M81" s="126">
        <v>2.6</v>
      </c>
      <c r="N81" s="126"/>
      <c r="O81" s="180">
        <f t="shared" si="3"/>
        <v>1.1000011104974382E-3</v>
      </c>
      <c r="P81" s="131">
        <f>O81*(1+'Key Data'!F$3)</f>
        <v>1.3750013881217978E-3</v>
      </c>
      <c r="Q81" s="393"/>
      <c r="R81" s="393"/>
      <c r="S81" s="389"/>
    </row>
    <row r="82" spans="1:19" s="44" customFormat="1" x14ac:dyDescent="0.3">
      <c r="A82" s="380"/>
      <c r="B82" s="380"/>
      <c r="C82" s="380"/>
      <c r="D82" s="380"/>
      <c r="E82" s="172"/>
      <c r="F82" s="172"/>
      <c r="G82" s="367"/>
      <c r="H82" s="94" t="s">
        <v>314</v>
      </c>
      <c r="I82" s="126">
        <v>42</v>
      </c>
      <c r="J82" s="126">
        <f t="shared" si="4"/>
        <v>13.375796178343949</v>
      </c>
      <c r="K82" s="126">
        <v>16.399999999999999</v>
      </c>
      <c r="L82" s="126">
        <f t="shared" si="5"/>
        <v>5.2229299363057322</v>
      </c>
      <c r="M82" s="126">
        <v>2.6</v>
      </c>
      <c r="N82" s="126"/>
      <c r="O82" s="180">
        <f t="shared" ref="O82:O145" si="6">EXP((LN(-1.853+0.728*LN(L82^2*M82))))/1000</f>
        <v>1.2494655588089201E-3</v>
      </c>
      <c r="P82" s="131">
        <f>O82*(1+'Key Data'!F$3)</f>
        <v>1.5618319485111501E-3</v>
      </c>
      <c r="Q82" s="393"/>
      <c r="R82" s="393"/>
      <c r="S82" s="389"/>
    </row>
    <row r="83" spans="1:19" s="44" customFormat="1" x14ac:dyDescent="0.3">
      <c r="A83" s="380"/>
      <c r="B83" s="380"/>
      <c r="C83" s="380"/>
      <c r="D83" s="380"/>
      <c r="E83" s="172"/>
      <c r="F83" s="172"/>
      <c r="G83" s="367"/>
      <c r="H83" s="94" t="s">
        <v>314</v>
      </c>
      <c r="I83" s="126">
        <v>46.3</v>
      </c>
      <c r="J83" s="126">
        <f t="shared" si="4"/>
        <v>14.745222929936304</v>
      </c>
      <c r="K83" s="126">
        <v>18</v>
      </c>
      <c r="L83" s="126">
        <f t="shared" si="5"/>
        <v>5.7324840764331206</v>
      </c>
      <c r="M83" s="126">
        <v>2.8</v>
      </c>
      <c r="N83" s="126"/>
      <c r="O83" s="180">
        <f t="shared" si="6"/>
        <v>1.4389558185209433E-3</v>
      </c>
      <c r="P83" s="131">
        <f>O83*(1+'Key Data'!F$3)</f>
        <v>1.7986947731511791E-3</v>
      </c>
      <c r="Q83" s="393"/>
      <c r="R83" s="393"/>
      <c r="S83" s="389"/>
    </row>
    <row r="84" spans="1:19" s="44" customFormat="1" x14ac:dyDescent="0.3">
      <c r="A84" s="380"/>
      <c r="B84" s="380"/>
      <c r="C84" s="380"/>
      <c r="D84" s="380"/>
      <c r="E84" s="172"/>
      <c r="F84" s="172"/>
      <c r="G84" s="367"/>
      <c r="H84" s="94" t="s">
        <v>314</v>
      </c>
      <c r="I84" s="126">
        <v>46.2</v>
      </c>
      <c r="J84" s="126">
        <f t="shared" si="4"/>
        <v>14.713375796178344</v>
      </c>
      <c r="K84" s="126">
        <v>17.600000000000001</v>
      </c>
      <c r="L84" s="126">
        <f t="shared" si="5"/>
        <v>5.6050955414012744</v>
      </c>
      <c r="M84" s="126">
        <v>2.9</v>
      </c>
      <c r="N84" s="126"/>
      <c r="O84" s="180">
        <f t="shared" si="6"/>
        <v>1.4317818212229508E-3</v>
      </c>
      <c r="P84" s="131">
        <f>O84*(1+'Key Data'!F$3)</f>
        <v>1.7897272765286885E-3</v>
      </c>
      <c r="Q84" s="393"/>
      <c r="R84" s="393"/>
      <c r="S84" s="389"/>
    </row>
    <row r="85" spans="1:19" s="44" customFormat="1" x14ac:dyDescent="0.3">
      <c r="A85" s="381">
        <v>2</v>
      </c>
      <c r="B85" s="381" t="s">
        <v>323</v>
      </c>
      <c r="C85" s="381" t="s">
        <v>324</v>
      </c>
      <c r="D85" s="381" t="s">
        <v>325</v>
      </c>
      <c r="E85" s="200">
        <v>15.057370000000001</v>
      </c>
      <c r="F85" s="200">
        <v>75.011660000000006</v>
      </c>
      <c r="G85" s="374">
        <v>2021</v>
      </c>
      <c r="H85" s="72" t="s">
        <v>314</v>
      </c>
      <c r="I85" s="128">
        <v>41</v>
      </c>
      <c r="J85" s="128">
        <f t="shared" si="4"/>
        <v>13.057324840764331</v>
      </c>
      <c r="K85" s="128">
        <v>26.2</v>
      </c>
      <c r="L85" s="128">
        <f t="shared" si="5"/>
        <v>8.3439490445859867</v>
      </c>
      <c r="M85" s="128">
        <v>1.8</v>
      </c>
      <c r="N85" s="128"/>
      <c r="O85" s="182">
        <f t="shared" si="6"/>
        <v>1.6638659974418132E-3</v>
      </c>
      <c r="P85" s="138">
        <f>O85*(1+'Key Data'!F$3)</f>
        <v>2.0798324968022666E-3</v>
      </c>
      <c r="Q85" s="394">
        <f>SUM(P85:P150)</f>
        <v>0.15942355550979298</v>
      </c>
      <c r="R85" s="394">
        <f>Q85*10000/900</f>
        <v>1.7713728389976997</v>
      </c>
      <c r="S85" s="389"/>
    </row>
    <row r="86" spans="1:19" s="44" customFormat="1" x14ac:dyDescent="0.3">
      <c r="A86" s="381"/>
      <c r="B86" s="381"/>
      <c r="C86" s="381"/>
      <c r="D86" s="381"/>
      <c r="E86" s="200">
        <v>15.05757</v>
      </c>
      <c r="F86" s="200">
        <v>75.01182</v>
      </c>
      <c r="G86" s="374"/>
      <c r="H86" s="72" t="s">
        <v>314</v>
      </c>
      <c r="I86" s="128">
        <v>32.4</v>
      </c>
      <c r="J86" s="128">
        <f t="shared" si="4"/>
        <v>10.318471337579616</v>
      </c>
      <c r="K86" s="128">
        <v>21</v>
      </c>
      <c r="L86" s="128">
        <f t="shared" si="5"/>
        <v>6.6878980891719744</v>
      </c>
      <c r="M86" s="128">
        <v>1.9</v>
      </c>
      <c r="N86" s="128"/>
      <c r="O86" s="182">
        <f t="shared" si="6"/>
        <v>1.3811059017750516E-3</v>
      </c>
      <c r="P86" s="138">
        <f>O86*(1+'Key Data'!F$3)</f>
        <v>1.7263823772188146E-3</v>
      </c>
      <c r="Q86" s="394"/>
      <c r="R86" s="394"/>
      <c r="S86" s="389"/>
    </row>
    <row r="87" spans="1:19" s="44" customFormat="1" x14ac:dyDescent="0.3">
      <c r="A87" s="381"/>
      <c r="B87" s="381"/>
      <c r="C87" s="381"/>
      <c r="D87" s="381"/>
      <c r="E87" s="200">
        <v>15.05772</v>
      </c>
      <c r="F87" s="200">
        <v>75.011589999999998</v>
      </c>
      <c r="G87" s="374"/>
      <c r="H87" s="72" t="s">
        <v>314</v>
      </c>
      <c r="I87" s="128">
        <v>57</v>
      </c>
      <c r="J87" s="128">
        <f t="shared" si="4"/>
        <v>18.152866242038215</v>
      </c>
      <c r="K87" s="128">
        <v>32.6</v>
      </c>
      <c r="L87" s="128">
        <f t="shared" si="5"/>
        <v>10.382165605095542</v>
      </c>
      <c r="M87" s="128">
        <v>1.6</v>
      </c>
      <c r="N87" s="128"/>
      <c r="O87" s="182">
        <f t="shared" si="6"/>
        <v>1.8963329372777358E-3</v>
      </c>
      <c r="P87" s="138">
        <f>O87*(1+'Key Data'!F$3)</f>
        <v>2.3704161715971698E-3</v>
      </c>
      <c r="Q87" s="394"/>
      <c r="R87" s="394"/>
      <c r="S87" s="389"/>
    </row>
    <row r="88" spans="1:19" s="44" customFormat="1" x14ac:dyDescent="0.3">
      <c r="A88" s="381"/>
      <c r="B88" s="381"/>
      <c r="C88" s="381"/>
      <c r="D88" s="381"/>
      <c r="E88" s="200">
        <v>15.05724</v>
      </c>
      <c r="F88" s="200">
        <v>75.011319999999998</v>
      </c>
      <c r="G88" s="374"/>
      <c r="H88" s="72" t="s">
        <v>314</v>
      </c>
      <c r="I88" s="128">
        <v>41</v>
      </c>
      <c r="J88" s="128">
        <f t="shared" si="4"/>
        <v>13.057324840764331</v>
      </c>
      <c r="K88" s="128">
        <v>27.8</v>
      </c>
      <c r="L88" s="128">
        <f t="shared" si="5"/>
        <v>8.8535031847133752</v>
      </c>
      <c r="M88" s="128">
        <v>1.4</v>
      </c>
      <c r="N88" s="128"/>
      <c r="O88" s="182">
        <f t="shared" si="6"/>
        <v>1.5672158377107242E-3</v>
      </c>
      <c r="P88" s="138">
        <f>O88*(1+'Key Data'!F$3)</f>
        <v>1.9590197971384054E-3</v>
      </c>
      <c r="Q88" s="394"/>
      <c r="R88" s="394"/>
      <c r="S88" s="389"/>
    </row>
    <row r="89" spans="1:19" s="44" customFormat="1" x14ac:dyDescent="0.3">
      <c r="A89" s="381"/>
      <c r="B89" s="381"/>
      <c r="C89" s="381"/>
      <c r="D89" s="381"/>
      <c r="E89" s="200">
        <v>15.057219999999999</v>
      </c>
      <c r="F89" s="200">
        <v>75.01146</v>
      </c>
      <c r="G89" s="374"/>
      <c r="H89" s="72" t="s">
        <v>314</v>
      </c>
      <c r="I89" s="128">
        <v>36</v>
      </c>
      <c r="J89" s="128">
        <f t="shared" si="4"/>
        <v>11.464968152866241</v>
      </c>
      <c r="K89" s="128">
        <v>28.4</v>
      </c>
      <c r="L89" s="128">
        <f t="shared" si="5"/>
        <v>9.0445859872611454</v>
      </c>
      <c r="M89" s="128">
        <v>1.2</v>
      </c>
      <c r="N89" s="128"/>
      <c r="O89" s="182">
        <f t="shared" si="6"/>
        <v>1.4860842920256282E-3</v>
      </c>
      <c r="P89" s="138">
        <f>O89*(1+'Key Data'!F$3)</f>
        <v>1.8576053650320352E-3</v>
      </c>
      <c r="Q89" s="394"/>
      <c r="R89" s="394"/>
      <c r="S89" s="389"/>
    </row>
    <row r="90" spans="1:19" s="44" customFormat="1" x14ac:dyDescent="0.3">
      <c r="A90" s="381"/>
      <c r="B90" s="381"/>
      <c r="C90" s="381"/>
      <c r="D90" s="381"/>
      <c r="E90" s="200"/>
      <c r="F90" s="200"/>
      <c r="G90" s="374"/>
      <c r="H90" s="72" t="s">
        <v>314</v>
      </c>
      <c r="I90" s="128">
        <v>35</v>
      </c>
      <c r="J90" s="128">
        <f t="shared" si="4"/>
        <v>11.146496815286623</v>
      </c>
      <c r="K90" s="128">
        <v>23.2</v>
      </c>
      <c r="L90" s="128">
        <f t="shared" si="5"/>
        <v>7.388535031847133</v>
      </c>
      <c r="M90" s="128">
        <v>1.2</v>
      </c>
      <c r="N90" s="128"/>
      <c r="O90" s="182">
        <f t="shared" si="6"/>
        <v>1.1916274144090594E-3</v>
      </c>
      <c r="P90" s="138">
        <f>O90*(1+'Key Data'!F$3)</f>
        <v>1.4895342680113243E-3</v>
      </c>
      <c r="Q90" s="394"/>
      <c r="R90" s="394"/>
      <c r="S90" s="389"/>
    </row>
    <row r="91" spans="1:19" s="44" customFormat="1" x14ac:dyDescent="0.3">
      <c r="A91" s="381"/>
      <c r="B91" s="381"/>
      <c r="C91" s="381"/>
      <c r="D91" s="381"/>
      <c r="E91" s="200"/>
      <c r="F91" s="200"/>
      <c r="G91" s="374"/>
      <c r="H91" s="72" t="s">
        <v>314</v>
      </c>
      <c r="I91" s="128">
        <v>60</v>
      </c>
      <c r="J91" s="128">
        <f t="shared" si="4"/>
        <v>19.108280254777068</v>
      </c>
      <c r="K91" s="128">
        <v>35.799999999999997</v>
      </c>
      <c r="L91" s="128">
        <f t="shared" si="5"/>
        <v>11.401273885350317</v>
      </c>
      <c r="M91" s="128">
        <v>1</v>
      </c>
      <c r="N91" s="128"/>
      <c r="O91" s="182">
        <f t="shared" si="6"/>
        <v>1.6905037361163331E-3</v>
      </c>
      <c r="P91" s="138">
        <f>O91*(1+'Key Data'!F$3)</f>
        <v>2.1131296701454166E-3</v>
      </c>
      <c r="Q91" s="394"/>
      <c r="R91" s="394"/>
      <c r="S91" s="389"/>
    </row>
    <row r="92" spans="1:19" s="44" customFormat="1" x14ac:dyDescent="0.3">
      <c r="A92" s="381"/>
      <c r="B92" s="381"/>
      <c r="C92" s="381"/>
      <c r="D92" s="381"/>
      <c r="E92" s="200"/>
      <c r="F92" s="200"/>
      <c r="G92" s="374"/>
      <c r="H92" s="72" t="s">
        <v>314</v>
      </c>
      <c r="I92" s="128">
        <v>59</v>
      </c>
      <c r="J92" s="128">
        <f t="shared" si="4"/>
        <v>18.789808917197451</v>
      </c>
      <c r="K92" s="128">
        <v>32.799999999999997</v>
      </c>
      <c r="L92" s="128">
        <f t="shared" si="5"/>
        <v>10.445859872611464</v>
      </c>
      <c r="M92" s="128">
        <v>2</v>
      </c>
      <c r="N92" s="128"/>
      <c r="O92" s="182">
        <f t="shared" si="6"/>
        <v>2.0676866691718672E-3</v>
      </c>
      <c r="P92" s="138">
        <f>O92*(1+'Key Data'!F$3)</f>
        <v>2.5846083364648338E-3</v>
      </c>
      <c r="Q92" s="394"/>
      <c r="R92" s="394"/>
      <c r="S92" s="389"/>
    </row>
    <row r="93" spans="1:19" s="44" customFormat="1" x14ac:dyDescent="0.3">
      <c r="A93" s="381"/>
      <c r="B93" s="381"/>
      <c r="C93" s="381"/>
      <c r="D93" s="381"/>
      <c r="E93" s="200"/>
      <c r="F93" s="200"/>
      <c r="G93" s="374"/>
      <c r="H93" s="72" t="s">
        <v>314</v>
      </c>
      <c r="I93" s="128">
        <v>51</v>
      </c>
      <c r="J93" s="128">
        <f t="shared" si="4"/>
        <v>16.242038216560509</v>
      </c>
      <c r="K93" s="128">
        <v>33.200000000000003</v>
      </c>
      <c r="L93" s="128">
        <f t="shared" si="5"/>
        <v>10.573248407643312</v>
      </c>
      <c r="M93" s="128">
        <v>1.7</v>
      </c>
      <c r="N93" s="128"/>
      <c r="O93" s="182">
        <f t="shared" si="6"/>
        <v>1.9670215894325811E-3</v>
      </c>
      <c r="P93" s="138">
        <f>O93*(1+'Key Data'!F$3)</f>
        <v>2.4587769867907266E-3</v>
      </c>
      <c r="Q93" s="394"/>
      <c r="R93" s="394"/>
      <c r="S93" s="389"/>
    </row>
    <row r="94" spans="1:19" s="44" customFormat="1" x14ac:dyDescent="0.3">
      <c r="A94" s="381"/>
      <c r="B94" s="381"/>
      <c r="C94" s="381"/>
      <c r="D94" s="381"/>
      <c r="E94" s="200"/>
      <c r="F94" s="200"/>
      <c r="G94" s="374"/>
      <c r="H94" s="72" t="s">
        <v>314</v>
      </c>
      <c r="I94" s="128">
        <v>56.3</v>
      </c>
      <c r="J94" s="128">
        <f t="shared" si="4"/>
        <v>17.929936305732483</v>
      </c>
      <c r="K94" s="128">
        <v>28.5</v>
      </c>
      <c r="L94" s="128">
        <f t="shared" si="5"/>
        <v>9.0764331210191074</v>
      </c>
      <c r="M94" s="128">
        <v>2</v>
      </c>
      <c r="N94" s="128"/>
      <c r="O94" s="182">
        <f t="shared" si="6"/>
        <v>1.8630831018357087E-3</v>
      </c>
      <c r="P94" s="138">
        <f>O94*(1+'Key Data'!F$3)</f>
        <v>2.3288538772946359E-3</v>
      </c>
      <c r="Q94" s="394"/>
      <c r="R94" s="394"/>
      <c r="S94" s="389"/>
    </row>
    <row r="95" spans="1:19" s="44" customFormat="1" x14ac:dyDescent="0.3">
      <c r="A95" s="381"/>
      <c r="B95" s="381"/>
      <c r="C95" s="381"/>
      <c r="D95" s="381"/>
      <c r="E95" s="200"/>
      <c r="F95" s="200"/>
      <c r="G95" s="374"/>
      <c r="H95" s="72" t="s">
        <v>314</v>
      </c>
      <c r="I95" s="128">
        <v>38.5</v>
      </c>
      <c r="J95" s="128">
        <f t="shared" si="4"/>
        <v>12.261146496815286</v>
      </c>
      <c r="K95" s="128">
        <v>27.1</v>
      </c>
      <c r="L95" s="128">
        <f t="shared" si="5"/>
        <v>8.630573248407643</v>
      </c>
      <c r="M95" s="128">
        <v>1.6</v>
      </c>
      <c r="N95" s="128"/>
      <c r="O95" s="182">
        <f t="shared" si="6"/>
        <v>1.6272953532086535E-3</v>
      </c>
      <c r="P95" s="138">
        <f>O95*(1+'Key Data'!F$3)</f>
        <v>2.0341191915108168E-3</v>
      </c>
      <c r="Q95" s="394"/>
      <c r="R95" s="394"/>
      <c r="S95" s="389"/>
    </row>
    <row r="96" spans="1:19" s="44" customFormat="1" x14ac:dyDescent="0.3">
      <c r="A96" s="381"/>
      <c r="B96" s="381"/>
      <c r="C96" s="381"/>
      <c r="D96" s="381"/>
      <c r="E96" s="200"/>
      <c r="F96" s="200"/>
      <c r="G96" s="374"/>
      <c r="H96" s="72" t="s">
        <v>314</v>
      </c>
      <c r="I96" s="128">
        <v>47.5</v>
      </c>
      <c r="J96" s="128">
        <f t="shared" si="4"/>
        <v>15.127388535031846</v>
      </c>
      <c r="K96" s="128">
        <v>30</v>
      </c>
      <c r="L96" s="128">
        <f t="shared" si="5"/>
        <v>9.5541401273885338</v>
      </c>
      <c r="M96" s="128">
        <v>1.2</v>
      </c>
      <c r="N96" s="128"/>
      <c r="O96" s="182">
        <f t="shared" si="6"/>
        <v>1.5658850843623415E-3</v>
      </c>
      <c r="P96" s="138">
        <f>O96*(1+'Key Data'!F$3)</f>
        <v>1.957356355452927E-3</v>
      </c>
      <c r="Q96" s="394"/>
      <c r="R96" s="394"/>
      <c r="S96" s="389"/>
    </row>
    <row r="97" spans="1:19" s="44" customFormat="1" x14ac:dyDescent="0.3">
      <c r="A97" s="381"/>
      <c r="B97" s="381"/>
      <c r="C97" s="381"/>
      <c r="D97" s="381"/>
      <c r="E97" s="200"/>
      <c r="F97" s="200"/>
      <c r="G97" s="374"/>
      <c r="H97" s="72" t="s">
        <v>314</v>
      </c>
      <c r="I97" s="128">
        <v>57</v>
      </c>
      <c r="J97" s="128">
        <f t="shared" si="4"/>
        <v>18.152866242038215</v>
      </c>
      <c r="K97" s="128">
        <v>29</v>
      </c>
      <c r="L97" s="128">
        <f t="shared" si="5"/>
        <v>9.2356687898089174</v>
      </c>
      <c r="M97" s="128">
        <v>1.4</v>
      </c>
      <c r="N97" s="128"/>
      <c r="O97" s="182">
        <f t="shared" si="6"/>
        <v>1.6287461200367931E-3</v>
      </c>
      <c r="P97" s="138">
        <f>O97*(1+'Key Data'!F$3)</f>
        <v>2.0359326500459913E-3</v>
      </c>
      <c r="Q97" s="394"/>
      <c r="R97" s="394"/>
      <c r="S97" s="389"/>
    </row>
    <row r="98" spans="1:19" s="44" customFormat="1" x14ac:dyDescent="0.3">
      <c r="A98" s="381"/>
      <c r="B98" s="381"/>
      <c r="C98" s="381"/>
      <c r="D98" s="381"/>
      <c r="E98" s="200"/>
      <c r="F98" s="200"/>
      <c r="G98" s="374"/>
      <c r="H98" s="72" t="s">
        <v>314</v>
      </c>
      <c r="I98" s="128">
        <v>55.4</v>
      </c>
      <c r="J98" s="128">
        <f t="shared" si="4"/>
        <v>17.643312101910826</v>
      </c>
      <c r="K98" s="128">
        <v>33.6</v>
      </c>
      <c r="L98" s="128">
        <f t="shared" si="5"/>
        <v>10.700636942675159</v>
      </c>
      <c r="M98" s="128">
        <v>1.6</v>
      </c>
      <c r="N98" s="128"/>
      <c r="O98" s="182">
        <f t="shared" si="6"/>
        <v>1.9403241989142345E-3</v>
      </c>
      <c r="P98" s="138">
        <f>O98*(1+'Key Data'!F$3)</f>
        <v>2.4254052486427933E-3</v>
      </c>
      <c r="Q98" s="394"/>
      <c r="R98" s="394"/>
      <c r="S98" s="389"/>
    </row>
    <row r="99" spans="1:19" s="44" customFormat="1" x14ac:dyDescent="0.3">
      <c r="A99" s="381"/>
      <c r="B99" s="381"/>
      <c r="C99" s="381"/>
      <c r="D99" s="381"/>
      <c r="E99" s="200"/>
      <c r="F99" s="200"/>
      <c r="G99" s="374"/>
      <c r="H99" s="72" t="s">
        <v>314</v>
      </c>
      <c r="I99" s="128">
        <v>40.6</v>
      </c>
      <c r="J99" s="128">
        <f t="shared" si="4"/>
        <v>12.929936305732484</v>
      </c>
      <c r="K99" s="128">
        <v>31.6</v>
      </c>
      <c r="L99" s="128">
        <f t="shared" si="5"/>
        <v>10.063694267515924</v>
      </c>
      <c r="M99" s="128">
        <v>1.6</v>
      </c>
      <c r="N99" s="128"/>
      <c r="O99" s="182">
        <f t="shared" si="6"/>
        <v>1.850971012990353E-3</v>
      </c>
      <c r="P99" s="138">
        <f>O99*(1+'Key Data'!F$3)</f>
        <v>2.3137137662379414E-3</v>
      </c>
      <c r="Q99" s="394"/>
      <c r="R99" s="394"/>
      <c r="S99" s="389"/>
    </row>
    <row r="100" spans="1:19" s="44" customFormat="1" x14ac:dyDescent="0.3">
      <c r="A100" s="381"/>
      <c r="B100" s="381"/>
      <c r="C100" s="381"/>
      <c r="D100" s="381"/>
      <c r="E100" s="200"/>
      <c r="F100" s="200"/>
      <c r="G100" s="374"/>
      <c r="H100" s="72" t="s">
        <v>314</v>
      </c>
      <c r="I100" s="128">
        <v>69.5</v>
      </c>
      <c r="J100" s="128">
        <f t="shared" si="4"/>
        <v>22.133757961783438</v>
      </c>
      <c r="K100" s="128">
        <v>32</v>
      </c>
      <c r="L100" s="128">
        <f t="shared" si="5"/>
        <v>10.19108280254777</v>
      </c>
      <c r="M100" s="128">
        <v>2.5</v>
      </c>
      <c r="N100" s="128"/>
      <c r="O100" s="182">
        <f t="shared" si="6"/>
        <v>2.1941827305970306E-3</v>
      </c>
      <c r="P100" s="138">
        <f>O100*(1+'Key Data'!F$3)</f>
        <v>2.7427284132462882E-3</v>
      </c>
      <c r="Q100" s="394"/>
      <c r="R100" s="394"/>
      <c r="S100" s="389"/>
    </row>
    <row r="101" spans="1:19" s="44" customFormat="1" x14ac:dyDescent="0.3">
      <c r="A101" s="381"/>
      <c r="B101" s="381"/>
      <c r="C101" s="381"/>
      <c r="D101" s="381"/>
      <c r="E101" s="200"/>
      <c r="F101" s="200"/>
      <c r="G101" s="374"/>
      <c r="H101" s="72" t="s">
        <v>314</v>
      </c>
      <c r="I101" s="128">
        <v>40.5</v>
      </c>
      <c r="J101" s="128">
        <f t="shared" si="4"/>
        <v>12.898089171974522</v>
      </c>
      <c r="K101" s="128">
        <v>26.5</v>
      </c>
      <c r="L101" s="128">
        <f t="shared" si="5"/>
        <v>8.4394904458598727</v>
      </c>
      <c r="M101" s="128">
        <v>1</v>
      </c>
      <c r="N101" s="128"/>
      <c r="O101" s="182">
        <f t="shared" si="6"/>
        <v>1.2525343345528531E-3</v>
      </c>
      <c r="P101" s="138">
        <f>O101*(1+'Key Data'!F$3)</f>
        <v>1.5656679181910663E-3</v>
      </c>
      <c r="Q101" s="394"/>
      <c r="R101" s="394"/>
      <c r="S101" s="389"/>
    </row>
    <row r="102" spans="1:19" s="44" customFormat="1" x14ac:dyDescent="0.3">
      <c r="A102" s="381"/>
      <c r="B102" s="381"/>
      <c r="C102" s="381"/>
      <c r="D102" s="381"/>
      <c r="E102" s="200"/>
      <c r="F102" s="200"/>
      <c r="G102" s="374"/>
      <c r="H102" s="72" t="s">
        <v>314</v>
      </c>
      <c r="I102" s="128">
        <v>63.5</v>
      </c>
      <c r="J102" s="128">
        <f t="shared" si="4"/>
        <v>20.222929936305732</v>
      </c>
      <c r="K102" s="128">
        <v>35.5</v>
      </c>
      <c r="L102" s="128">
        <f t="shared" si="5"/>
        <v>11.305732484076433</v>
      </c>
      <c r="M102" s="128">
        <v>2.8</v>
      </c>
      <c r="N102" s="128"/>
      <c r="O102" s="182">
        <f t="shared" si="6"/>
        <v>2.4278141451010019E-3</v>
      </c>
      <c r="P102" s="138">
        <f>O102*(1+'Key Data'!F$3)</f>
        <v>3.0347676813762521E-3</v>
      </c>
      <c r="Q102" s="394"/>
      <c r="R102" s="394"/>
      <c r="S102" s="389"/>
    </row>
    <row r="103" spans="1:19" s="44" customFormat="1" x14ac:dyDescent="0.3">
      <c r="A103" s="381"/>
      <c r="B103" s="381"/>
      <c r="C103" s="381"/>
      <c r="D103" s="381"/>
      <c r="E103" s="200"/>
      <c r="F103" s="200"/>
      <c r="G103" s="374"/>
      <c r="H103" s="72" t="s">
        <v>314</v>
      </c>
      <c r="I103" s="128">
        <v>60</v>
      </c>
      <c r="J103" s="128">
        <f t="shared" si="4"/>
        <v>19.108280254777068</v>
      </c>
      <c r="K103" s="128">
        <v>26.5</v>
      </c>
      <c r="L103" s="128">
        <f t="shared" si="5"/>
        <v>8.4394904458598727</v>
      </c>
      <c r="M103" s="128">
        <v>2.4</v>
      </c>
      <c r="N103" s="128"/>
      <c r="O103" s="182">
        <f t="shared" si="6"/>
        <v>1.8898755753464925E-3</v>
      </c>
      <c r="P103" s="138">
        <f>O103*(1+'Key Data'!F$3)</f>
        <v>2.3623444691831157E-3</v>
      </c>
      <c r="Q103" s="394"/>
      <c r="R103" s="394"/>
      <c r="S103" s="389"/>
    </row>
    <row r="104" spans="1:19" s="44" customFormat="1" x14ac:dyDescent="0.3">
      <c r="A104" s="381"/>
      <c r="B104" s="381"/>
      <c r="C104" s="381"/>
      <c r="D104" s="381"/>
      <c r="E104" s="200"/>
      <c r="F104" s="200"/>
      <c r="G104" s="374"/>
      <c r="H104" s="72" t="s">
        <v>314</v>
      </c>
      <c r="I104" s="128">
        <v>55.5</v>
      </c>
      <c r="J104" s="128">
        <f t="shared" si="4"/>
        <v>17.67515923566879</v>
      </c>
      <c r="K104" s="128">
        <v>27.5</v>
      </c>
      <c r="L104" s="128">
        <f t="shared" si="5"/>
        <v>8.7579617834394909</v>
      </c>
      <c r="M104" s="128">
        <v>2.2000000000000002</v>
      </c>
      <c r="N104" s="128"/>
      <c r="O104" s="182">
        <f t="shared" si="6"/>
        <v>1.8804633844646298E-3</v>
      </c>
      <c r="P104" s="138">
        <f>O104*(1+'Key Data'!F$3)</f>
        <v>2.3505792305807873E-3</v>
      </c>
      <c r="Q104" s="394"/>
      <c r="R104" s="394"/>
      <c r="S104" s="389"/>
    </row>
    <row r="105" spans="1:19" s="44" customFormat="1" x14ac:dyDescent="0.3">
      <c r="A105" s="381"/>
      <c r="B105" s="381"/>
      <c r="C105" s="381"/>
      <c r="D105" s="381"/>
      <c r="E105" s="200"/>
      <c r="F105" s="200"/>
      <c r="G105" s="374"/>
      <c r="H105" s="72" t="s">
        <v>314</v>
      </c>
      <c r="I105" s="128">
        <v>55.5</v>
      </c>
      <c r="J105" s="128">
        <f t="shared" si="4"/>
        <v>17.67515923566879</v>
      </c>
      <c r="K105" s="128">
        <v>28</v>
      </c>
      <c r="L105" s="128">
        <f t="shared" si="5"/>
        <v>8.9171974522292992</v>
      </c>
      <c r="M105" s="128">
        <v>2.5</v>
      </c>
      <c r="N105" s="128"/>
      <c r="O105" s="182">
        <f t="shared" si="6"/>
        <v>1.9997610229357259E-3</v>
      </c>
      <c r="P105" s="138">
        <f>O105*(1+'Key Data'!F$3)</f>
        <v>2.4997012786696572E-3</v>
      </c>
      <c r="Q105" s="394"/>
      <c r="R105" s="394"/>
      <c r="S105" s="389"/>
    </row>
    <row r="106" spans="1:19" s="44" customFormat="1" x14ac:dyDescent="0.3">
      <c r="A106" s="381"/>
      <c r="B106" s="381"/>
      <c r="C106" s="381"/>
      <c r="D106" s="381"/>
      <c r="E106" s="200"/>
      <c r="F106" s="200"/>
      <c r="G106" s="374"/>
      <c r="H106" s="72" t="s">
        <v>314</v>
      </c>
      <c r="I106" s="128">
        <v>54.5</v>
      </c>
      <c r="J106" s="128">
        <f t="shared" si="4"/>
        <v>17.35668789808917</v>
      </c>
      <c r="K106" s="128">
        <v>27.5</v>
      </c>
      <c r="L106" s="128">
        <f t="shared" si="5"/>
        <v>8.7579617834394909</v>
      </c>
      <c r="M106" s="128">
        <v>2.6</v>
      </c>
      <c r="N106" s="128"/>
      <c r="O106" s="182">
        <f t="shared" si="6"/>
        <v>2.0020787580994153E-3</v>
      </c>
      <c r="P106" s="138">
        <f>O106*(1+'Key Data'!F$3)</f>
        <v>2.5025984476242692E-3</v>
      </c>
      <c r="Q106" s="394"/>
      <c r="R106" s="394"/>
      <c r="S106" s="389"/>
    </row>
    <row r="107" spans="1:19" s="44" customFormat="1" x14ac:dyDescent="0.3">
      <c r="A107" s="381"/>
      <c r="B107" s="381"/>
      <c r="C107" s="381"/>
      <c r="D107" s="381"/>
      <c r="E107" s="200"/>
      <c r="F107" s="200"/>
      <c r="G107" s="374"/>
      <c r="H107" s="72" t="s">
        <v>314</v>
      </c>
      <c r="I107" s="128">
        <v>60</v>
      </c>
      <c r="J107" s="128">
        <f t="shared" si="4"/>
        <v>19.108280254777068</v>
      </c>
      <c r="K107" s="128">
        <v>28</v>
      </c>
      <c r="L107" s="128">
        <f t="shared" si="5"/>
        <v>8.9171974522292992</v>
      </c>
      <c r="M107" s="128">
        <v>2.9</v>
      </c>
      <c r="N107" s="128"/>
      <c r="O107" s="182">
        <f t="shared" si="6"/>
        <v>2.1078107866618289E-3</v>
      </c>
      <c r="P107" s="138">
        <f>O107*(1+'Key Data'!F$3)</f>
        <v>2.6347634833272862E-3</v>
      </c>
      <c r="Q107" s="394"/>
      <c r="R107" s="394"/>
      <c r="S107" s="389"/>
    </row>
    <row r="108" spans="1:19" s="44" customFormat="1" x14ac:dyDescent="0.3">
      <c r="A108" s="381"/>
      <c r="B108" s="381"/>
      <c r="C108" s="381"/>
      <c r="D108" s="381"/>
      <c r="E108" s="200"/>
      <c r="F108" s="200"/>
      <c r="G108" s="374"/>
      <c r="H108" s="72" t="s">
        <v>314</v>
      </c>
      <c r="I108" s="128">
        <v>61</v>
      </c>
      <c r="J108" s="128">
        <f t="shared" si="4"/>
        <v>19.426751592356688</v>
      </c>
      <c r="K108" s="128">
        <v>37</v>
      </c>
      <c r="L108" s="128">
        <f t="shared" si="5"/>
        <v>11.783439490445859</v>
      </c>
      <c r="M108" s="128">
        <v>3.2</v>
      </c>
      <c r="N108" s="128"/>
      <c r="O108" s="182">
        <f t="shared" si="6"/>
        <v>2.5852818736647699E-3</v>
      </c>
      <c r="P108" s="138">
        <f>O108*(1+'Key Data'!F$3)</f>
        <v>3.2316023420809626E-3</v>
      </c>
      <c r="Q108" s="394"/>
      <c r="R108" s="394"/>
      <c r="S108" s="389"/>
    </row>
    <row r="109" spans="1:19" s="44" customFormat="1" x14ac:dyDescent="0.3">
      <c r="A109" s="381"/>
      <c r="B109" s="381"/>
      <c r="C109" s="381"/>
      <c r="D109" s="381"/>
      <c r="E109" s="200"/>
      <c r="F109" s="200"/>
      <c r="G109" s="374"/>
      <c r="H109" s="72" t="s">
        <v>314</v>
      </c>
      <c r="I109" s="128">
        <v>62</v>
      </c>
      <c r="J109" s="128">
        <f t="shared" si="4"/>
        <v>19.745222929936304</v>
      </c>
      <c r="K109" s="128">
        <v>32</v>
      </c>
      <c r="L109" s="128">
        <f t="shared" si="5"/>
        <v>10.19108280254777</v>
      </c>
      <c r="M109" s="128">
        <v>3.2</v>
      </c>
      <c r="N109" s="128"/>
      <c r="O109" s="182">
        <f t="shared" si="6"/>
        <v>2.3738968673311812E-3</v>
      </c>
      <c r="P109" s="138">
        <f>O109*(1+'Key Data'!F$3)</f>
        <v>2.9673710841639765E-3</v>
      </c>
      <c r="Q109" s="394"/>
      <c r="R109" s="394"/>
      <c r="S109" s="389"/>
    </row>
    <row r="110" spans="1:19" s="44" customFormat="1" x14ac:dyDescent="0.3">
      <c r="A110" s="381"/>
      <c r="B110" s="381"/>
      <c r="C110" s="381"/>
      <c r="D110" s="381"/>
      <c r="E110" s="200"/>
      <c r="F110" s="200"/>
      <c r="G110" s="374"/>
      <c r="H110" s="72" t="s">
        <v>314</v>
      </c>
      <c r="I110" s="128">
        <v>64</v>
      </c>
      <c r="J110" s="128">
        <f t="shared" si="4"/>
        <v>20.38216560509554</v>
      </c>
      <c r="K110" s="128">
        <v>30</v>
      </c>
      <c r="L110" s="128">
        <f t="shared" si="5"/>
        <v>9.5541401273885338</v>
      </c>
      <c r="M110" s="128">
        <v>1</v>
      </c>
      <c r="N110" s="128"/>
      <c r="O110" s="182">
        <f t="shared" si="6"/>
        <v>1.4331549910163422E-3</v>
      </c>
      <c r="P110" s="138">
        <f>O110*(1+'Key Data'!F$3)</f>
        <v>1.7914437387704278E-3</v>
      </c>
      <c r="Q110" s="394"/>
      <c r="R110" s="394"/>
      <c r="S110" s="389"/>
    </row>
    <row r="111" spans="1:19" s="44" customFormat="1" x14ac:dyDescent="0.3">
      <c r="A111" s="381"/>
      <c r="B111" s="381"/>
      <c r="C111" s="381"/>
      <c r="D111" s="381"/>
      <c r="E111" s="200"/>
      <c r="F111" s="200"/>
      <c r="G111" s="374"/>
      <c r="H111" s="72" t="s">
        <v>314</v>
      </c>
      <c r="I111" s="128">
        <v>57</v>
      </c>
      <c r="J111" s="128">
        <f t="shared" si="4"/>
        <v>18.152866242038215</v>
      </c>
      <c r="K111" s="128">
        <v>37</v>
      </c>
      <c r="L111" s="128">
        <f t="shared" si="5"/>
        <v>11.783439490445859</v>
      </c>
      <c r="M111" s="128">
        <v>3.9</v>
      </c>
      <c r="N111" s="128"/>
      <c r="O111" s="182">
        <f t="shared" si="6"/>
        <v>2.7292990148089524E-3</v>
      </c>
      <c r="P111" s="138">
        <f>O111*(1+'Key Data'!F$3)</f>
        <v>3.4116237685111904E-3</v>
      </c>
      <c r="Q111" s="394"/>
      <c r="R111" s="394"/>
      <c r="S111" s="389"/>
    </row>
    <row r="112" spans="1:19" s="44" customFormat="1" x14ac:dyDescent="0.3">
      <c r="A112" s="381"/>
      <c r="B112" s="381"/>
      <c r="C112" s="381"/>
      <c r="D112" s="381"/>
      <c r="E112" s="200"/>
      <c r="F112" s="200"/>
      <c r="G112" s="374"/>
      <c r="H112" s="72" t="s">
        <v>314</v>
      </c>
      <c r="I112" s="128">
        <v>43</v>
      </c>
      <c r="J112" s="128">
        <f t="shared" si="4"/>
        <v>13.694267515923567</v>
      </c>
      <c r="K112" s="128">
        <v>27.5</v>
      </c>
      <c r="L112" s="128">
        <f t="shared" si="5"/>
        <v>8.7579617834394909</v>
      </c>
      <c r="M112" s="128">
        <v>3.2</v>
      </c>
      <c r="N112" s="128"/>
      <c r="O112" s="182">
        <f t="shared" si="6"/>
        <v>2.153240215657977E-3</v>
      </c>
      <c r="P112" s="138">
        <f>O112*(1+'Key Data'!F$3)</f>
        <v>2.6915502695724711E-3</v>
      </c>
      <c r="Q112" s="394"/>
      <c r="R112" s="394"/>
      <c r="S112" s="389"/>
    </row>
    <row r="113" spans="1:19" s="44" customFormat="1" x14ac:dyDescent="0.3">
      <c r="A113" s="381"/>
      <c r="B113" s="381"/>
      <c r="C113" s="381"/>
      <c r="D113" s="381"/>
      <c r="E113" s="200"/>
      <c r="F113" s="200"/>
      <c r="G113" s="374"/>
      <c r="H113" s="72" t="s">
        <v>314</v>
      </c>
      <c r="I113" s="128">
        <v>36</v>
      </c>
      <c r="J113" s="128">
        <f t="shared" si="4"/>
        <v>11.464968152866241</v>
      </c>
      <c r="K113" s="128">
        <v>25</v>
      </c>
      <c r="L113" s="128">
        <f t="shared" si="5"/>
        <v>7.9617834394904454</v>
      </c>
      <c r="M113" s="128">
        <v>2.4</v>
      </c>
      <c r="N113" s="128"/>
      <c r="O113" s="182">
        <f t="shared" si="6"/>
        <v>1.8050360451179832E-3</v>
      </c>
      <c r="P113" s="138">
        <f>O113*(1+'Key Data'!F$3)</f>
        <v>2.2562950563974789E-3</v>
      </c>
      <c r="Q113" s="394"/>
      <c r="R113" s="394"/>
      <c r="S113" s="389"/>
    </row>
    <row r="114" spans="1:19" s="44" customFormat="1" x14ac:dyDescent="0.3">
      <c r="A114" s="381"/>
      <c r="B114" s="381"/>
      <c r="C114" s="381"/>
      <c r="D114" s="381"/>
      <c r="E114" s="200"/>
      <c r="F114" s="200"/>
      <c r="G114" s="374"/>
      <c r="H114" s="72" t="s">
        <v>314</v>
      </c>
      <c r="I114" s="128">
        <v>49</v>
      </c>
      <c r="J114" s="128">
        <f t="shared" si="4"/>
        <v>15.605095541401273</v>
      </c>
      <c r="K114" s="128">
        <v>35.5</v>
      </c>
      <c r="L114" s="128">
        <f t="shared" si="5"/>
        <v>11.305732484076433</v>
      </c>
      <c r="M114" s="128">
        <v>2.6</v>
      </c>
      <c r="N114" s="128"/>
      <c r="O114" s="182">
        <f t="shared" si="6"/>
        <v>2.373863541373093E-3</v>
      </c>
      <c r="P114" s="138">
        <f>O114*(1+'Key Data'!F$3)</f>
        <v>2.9673294267163661E-3</v>
      </c>
      <c r="Q114" s="394"/>
      <c r="R114" s="394"/>
      <c r="S114" s="389"/>
    </row>
    <row r="115" spans="1:19" s="44" customFormat="1" x14ac:dyDescent="0.3">
      <c r="A115" s="381"/>
      <c r="B115" s="381"/>
      <c r="C115" s="381"/>
      <c r="D115" s="381"/>
      <c r="E115" s="200"/>
      <c r="F115" s="200"/>
      <c r="G115" s="374"/>
      <c r="H115" s="72" t="s">
        <v>314</v>
      </c>
      <c r="I115" s="128">
        <v>54</v>
      </c>
      <c r="J115" s="128">
        <f t="shared" si="4"/>
        <v>17.197452229299362</v>
      </c>
      <c r="K115" s="128">
        <v>27.4</v>
      </c>
      <c r="L115" s="128">
        <f t="shared" si="5"/>
        <v>8.7261146496815272</v>
      </c>
      <c r="M115" s="128">
        <v>3.8</v>
      </c>
      <c r="N115" s="128"/>
      <c r="O115" s="182">
        <f t="shared" si="6"/>
        <v>2.2730430073990872E-3</v>
      </c>
      <c r="P115" s="138">
        <f>O115*(1+'Key Data'!F$3)</f>
        <v>2.841303759248859E-3</v>
      </c>
      <c r="Q115" s="394"/>
      <c r="R115" s="394"/>
      <c r="S115" s="389"/>
    </row>
    <row r="116" spans="1:19" s="44" customFormat="1" x14ac:dyDescent="0.3">
      <c r="A116" s="381"/>
      <c r="B116" s="381"/>
      <c r="C116" s="381"/>
      <c r="D116" s="381"/>
      <c r="E116" s="200"/>
      <c r="F116" s="200"/>
      <c r="G116" s="374"/>
      <c r="H116" s="72" t="s">
        <v>314</v>
      </c>
      <c r="I116" s="128">
        <v>52</v>
      </c>
      <c r="J116" s="128">
        <f t="shared" si="4"/>
        <v>16.560509554140125</v>
      </c>
      <c r="K116" s="128">
        <v>35</v>
      </c>
      <c r="L116" s="128">
        <f t="shared" si="5"/>
        <v>11.146496815286623</v>
      </c>
      <c r="M116" s="128">
        <v>3.7</v>
      </c>
      <c r="N116" s="128"/>
      <c r="O116" s="182">
        <f t="shared" si="6"/>
        <v>2.610064673550161E-3</v>
      </c>
      <c r="P116" s="138">
        <f>O116*(1+'Key Data'!F$3)</f>
        <v>3.2625808419377011E-3</v>
      </c>
      <c r="Q116" s="394"/>
      <c r="R116" s="394"/>
      <c r="S116" s="389"/>
    </row>
    <row r="117" spans="1:19" s="44" customFormat="1" x14ac:dyDescent="0.3">
      <c r="A117" s="381"/>
      <c r="B117" s="381"/>
      <c r="C117" s="381"/>
      <c r="D117" s="381"/>
      <c r="E117" s="200"/>
      <c r="F117" s="200"/>
      <c r="G117" s="374"/>
      <c r="H117" s="72" t="s">
        <v>314</v>
      </c>
      <c r="I117" s="128">
        <v>58</v>
      </c>
      <c r="J117" s="128">
        <f t="shared" si="4"/>
        <v>18.471337579617835</v>
      </c>
      <c r="K117" s="128">
        <v>32.200000000000003</v>
      </c>
      <c r="L117" s="128">
        <f t="shared" si="5"/>
        <v>10.254777070063694</v>
      </c>
      <c r="M117" s="128">
        <v>3.3</v>
      </c>
      <c r="N117" s="128"/>
      <c r="O117" s="182">
        <f t="shared" si="6"/>
        <v>2.4053703152775042E-3</v>
      </c>
      <c r="P117" s="138">
        <f>O117*(1+'Key Data'!F$3)</f>
        <v>3.0067128940968802E-3</v>
      </c>
      <c r="Q117" s="394"/>
      <c r="R117" s="394"/>
      <c r="S117" s="389"/>
    </row>
    <row r="118" spans="1:19" s="44" customFormat="1" x14ac:dyDescent="0.3">
      <c r="A118" s="381"/>
      <c r="B118" s="381"/>
      <c r="C118" s="381"/>
      <c r="D118" s="381"/>
      <c r="E118" s="200"/>
      <c r="F118" s="200"/>
      <c r="G118" s="374"/>
      <c r="H118" s="72" t="s">
        <v>314</v>
      </c>
      <c r="I118" s="128">
        <v>45.6</v>
      </c>
      <c r="J118" s="128">
        <f t="shared" si="4"/>
        <v>14.522292993630574</v>
      </c>
      <c r="K118" s="128">
        <v>32.6</v>
      </c>
      <c r="L118" s="128">
        <f t="shared" si="5"/>
        <v>10.382165605095542</v>
      </c>
      <c r="M118" s="128">
        <v>2.5</v>
      </c>
      <c r="N118" s="128"/>
      <c r="O118" s="182">
        <f t="shared" si="6"/>
        <v>2.2212299479912254E-3</v>
      </c>
      <c r="P118" s="138">
        <f>O118*(1+'Key Data'!F$3)</f>
        <v>2.7765374349890317E-3</v>
      </c>
      <c r="Q118" s="394"/>
      <c r="R118" s="394"/>
      <c r="S118" s="389"/>
    </row>
    <row r="119" spans="1:19" s="44" customFormat="1" x14ac:dyDescent="0.3">
      <c r="A119" s="381"/>
      <c r="B119" s="381"/>
      <c r="C119" s="381"/>
      <c r="D119" s="381"/>
      <c r="E119" s="200"/>
      <c r="F119" s="200"/>
      <c r="G119" s="374"/>
      <c r="H119" s="72" t="s">
        <v>314</v>
      </c>
      <c r="I119" s="128">
        <v>49.5</v>
      </c>
      <c r="J119" s="128">
        <f t="shared" si="4"/>
        <v>15.764331210191083</v>
      </c>
      <c r="K119" s="128">
        <v>31.5</v>
      </c>
      <c r="L119" s="128">
        <f t="shared" si="5"/>
        <v>10.031847133757962</v>
      </c>
      <c r="M119" s="128">
        <v>2.4</v>
      </c>
      <c r="N119" s="128"/>
      <c r="O119" s="182">
        <f t="shared" si="6"/>
        <v>2.1415347108406746E-3</v>
      </c>
      <c r="P119" s="138">
        <f>O119*(1+'Key Data'!F$3)</f>
        <v>2.6769183885508433E-3</v>
      </c>
      <c r="Q119" s="394"/>
      <c r="R119" s="394"/>
      <c r="S119" s="389"/>
    </row>
    <row r="120" spans="1:19" s="44" customFormat="1" x14ac:dyDescent="0.3">
      <c r="A120" s="381"/>
      <c r="B120" s="381"/>
      <c r="C120" s="381"/>
      <c r="D120" s="381"/>
      <c r="E120" s="200"/>
      <c r="F120" s="200"/>
      <c r="G120" s="374"/>
      <c r="H120" s="72" t="s">
        <v>314</v>
      </c>
      <c r="I120" s="128">
        <v>50</v>
      </c>
      <c r="J120" s="128">
        <f t="shared" si="4"/>
        <v>15.923566878980891</v>
      </c>
      <c r="K120" s="128">
        <v>26.5</v>
      </c>
      <c r="L120" s="128">
        <f t="shared" si="5"/>
        <v>8.4394904458598727</v>
      </c>
      <c r="M120" s="128">
        <v>2.8</v>
      </c>
      <c r="N120" s="128"/>
      <c r="O120" s="182">
        <f t="shared" si="6"/>
        <v>2.0020972702607365E-3</v>
      </c>
      <c r="P120" s="138">
        <f>O120*(1+'Key Data'!F$3)</f>
        <v>2.5026215878259208E-3</v>
      </c>
      <c r="Q120" s="394"/>
      <c r="R120" s="394"/>
      <c r="S120" s="389"/>
    </row>
    <row r="121" spans="1:19" s="44" customFormat="1" x14ac:dyDescent="0.3">
      <c r="A121" s="381"/>
      <c r="B121" s="381"/>
      <c r="C121" s="381"/>
      <c r="D121" s="381"/>
      <c r="E121" s="200"/>
      <c r="F121" s="200"/>
      <c r="G121" s="374"/>
      <c r="H121" s="72" t="s">
        <v>314</v>
      </c>
      <c r="I121" s="128">
        <v>56</v>
      </c>
      <c r="J121" s="128">
        <f t="shared" si="4"/>
        <v>17.834394904458598</v>
      </c>
      <c r="K121" s="128">
        <v>27.5</v>
      </c>
      <c r="L121" s="128">
        <f t="shared" si="5"/>
        <v>8.7579617834394909</v>
      </c>
      <c r="M121" s="128">
        <v>3.6</v>
      </c>
      <c r="N121" s="128"/>
      <c r="O121" s="182">
        <f t="shared" si="6"/>
        <v>2.238986265615825E-3</v>
      </c>
      <c r="P121" s="138">
        <f>O121*(1+'Key Data'!F$3)</f>
        <v>2.7987328320197812E-3</v>
      </c>
      <c r="Q121" s="394"/>
      <c r="R121" s="394"/>
      <c r="S121" s="389"/>
    </row>
    <row r="122" spans="1:19" s="44" customFormat="1" x14ac:dyDescent="0.3">
      <c r="A122" s="381"/>
      <c r="B122" s="381"/>
      <c r="C122" s="381"/>
      <c r="D122" s="381"/>
      <c r="E122" s="200"/>
      <c r="F122" s="200"/>
      <c r="G122" s="374"/>
      <c r="H122" s="72" t="s">
        <v>314</v>
      </c>
      <c r="I122" s="128">
        <v>53.5</v>
      </c>
      <c r="J122" s="128">
        <f t="shared" si="4"/>
        <v>17.038216560509554</v>
      </c>
      <c r="K122" s="128">
        <v>30.5</v>
      </c>
      <c r="L122" s="128">
        <f t="shared" si="5"/>
        <v>9.7133757961783438</v>
      </c>
      <c r="M122" s="128">
        <v>3.6</v>
      </c>
      <c r="N122" s="128"/>
      <c r="O122" s="182">
        <f t="shared" si="6"/>
        <v>2.3897414941536875E-3</v>
      </c>
      <c r="P122" s="138">
        <f>O122*(1+'Key Data'!F$3)</f>
        <v>2.9871768676921094E-3</v>
      </c>
      <c r="Q122" s="394"/>
      <c r="R122" s="394"/>
      <c r="S122" s="389"/>
    </row>
    <row r="123" spans="1:19" s="44" customFormat="1" x14ac:dyDescent="0.3">
      <c r="A123" s="381"/>
      <c r="B123" s="381"/>
      <c r="C123" s="381"/>
      <c r="D123" s="381"/>
      <c r="E123" s="200"/>
      <c r="F123" s="200"/>
      <c r="G123" s="374"/>
      <c r="H123" s="72" t="s">
        <v>314</v>
      </c>
      <c r="I123" s="128">
        <v>45</v>
      </c>
      <c r="J123" s="128">
        <f t="shared" si="4"/>
        <v>14.331210191082802</v>
      </c>
      <c r="K123" s="128">
        <v>28</v>
      </c>
      <c r="L123" s="128">
        <f t="shared" si="5"/>
        <v>8.9171974522292992</v>
      </c>
      <c r="M123" s="128">
        <v>1.5</v>
      </c>
      <c r="N123" s="128"/>
      <c r="O123" s="182">
        <f t="shared" si="6"/>
        <v>1.6278799688340844E-3</v>
      </c>
      <c r="P123" s="138">
        <f>O123*(1+'Key Data'!F$3)</f>
        <v>2.0348499610426053E-3</v>
      </c>
      <c r="Q123" s="394"/>
      <c r="R123" s="394"/>
      <c r="S123" s="389"/>
    </row>
    <row r="124" spans="1:19" s="44" customFormat="1" x14ac:dyDescent="0.3">
      <c r="A124" s="381"/>
      <c r="B124" s="381"/>
      <c r="C124" s="381"/>
      <c r="D124" s="381"/>
      <c r="E124" s="200"/>
      <c r="F124" s="200"/>
      <c r="G124" s="374"/>
      <c r="H124" s="72" t="s">
        <v>314</v>
      </c>
      <c r="I124" s="128">
        <v>59</v>
      </c>
      <c r="J124" s="128">
        <f t="shared" si="4"/>
        <v>18.789808917197451</v>
      </c>
      <c r="K124" s="128">
        <v>34</v>
      </c>
      <c r="L124" s="128">
        <f t="shared" si="5"/>
        <v>10.828025477707007</v>
      </c>
      <c r="M124" s="128">
        <v>3.2</v>
      </c>
      <c r="N124" s="128"/>
      <c r="O124" s="182">
        <f t="shared" si="6"/>
        <v>2.4621663166959113E-3</v>
      </c>
      <c r="P124" s="138">
        <f>O124*(1+'Key Data'!F$3)</f>
        <v>3.077707895869889E-3</v>
      </c>
      <c r="Q124" s="394"/>
      <c r="R124" s="394"/>
      <c r="S124" s="389"/>
    </row>
    <row r="125" spans="1:19" s="44" customFormat="1" x14ac:dyDescent="0.3">
      <c r="A125" s="381"/>
      <c r="B125" s="381"/>
      <c r="C125" s="381"/>
      <c r="D125" s="381"/>
      <c r="E125" s="200"/>
      <c r="F125" s="200"/>
      <c r="G125" s="374"/>
      <c r="H125" s="72" t="s">
        <v>314</v>
      </c>
      <c r="I125" s="128">
        <v>49.2</v>
      </c>
      <c r="J125" s="128">
        <f t="shared" si="4"/>
        <v>15.668789808917198</v>
      </c>
      <c r="K125" s="128">
        <v>29.8</v>
      </c>
      <c r="L125" s="128">
        <f t="shared" si="5"/>
        <v>9.4904458598726116</v>
      </c>
      <c r="M125" s="128">
        <v>3.6</v>
      </c>
      <c r="N125" s="128"/>
      <c r="O125" s="182">
        <f t="shared" si="6"/>
        <v>2.3559356637651652E-3</v>
      </c>
      <c r="P125" s="138">
        <f>O125*(1+'Key Data'!F$3)</f>
        <v>2.9449195797064563E-3</v>
      </c>
      <c r="Q125" s="394"/>
      <c r="R125" s="394"/>
      <c r="S125" s="389"/>
    </row>
    <row r="126" spans="1:19" s="44" customFormat="1" x14ac:dyDescent="0.3">
      <c r="A126" s="381"/>
      <c r="B126" s="381"/>
      <c r="C126" s="381"/>
      <c r="D126" s="381"/>
      <c r="E126" s="200"/>
      <c r="F126" s="200"/>
      <c r="G126" s="374"/>
      <c r="H126" s="72" t="s">
        <v>314</v>
      </c>
      <c r="I126" s="128">
        <v>43</v>
      </c>
      <c r="J126" s="128">
        <f t="shared" si="4"/>
        <v>13.694267515923567</v>
      </c>
      <c r="K126" s="128">
        <v>26.9</v>
      </c>
      <c r="L126" s="128">
        <f t="shared" si="5"/>
        <v>8.566878980891719</v>
      </c>
      <c r="M126" s="128">
        <v>1.6</v>
      </c>
      <c r="N126" s="128"/>
      <c r="O126" s="182">
        <f t="shared" si="6"/>
        <v>1.616510118708087E-3</v>
      </c>
      <c r="P126" s="138">
        <f>O126*(1+'Key Data'!F$3)</f>
        <v>2.0206376483851087E-3</v>
      </c>
      <c r="Q126" s="394"/>
      <c r="R126" s="394"/>
      <c r="S126" s="389"/>
    </row>
    <row r="127" spans="1:19" s="44" customFormat="1" x14ac:dyDescent="0.3">
      <c r="A127" s="381"/>
      <c r="B127" s="381"/>
      <c r="C127" s="381"/>
      <c r="D127" s="381"/>
      <c r="E127" s="200"/>
      <c r="F127" s="200"/>
      <c r="G127" s="374"/>
      <c r="H127" s="72" t="s">
        <v>314</v>
      </c>
      <c r="I127" s="128">
        <v>34</v>
      </c>
      <c r="J127" s="128">
        <f t="shared" si="4"/>
        <v>10.828025477707007</v>
      </c>
      <c r="K127" s="128">
        <v>24</v>
      </c>
      <c r="L127" s="128">
        <f t="shared" si="5"/>
        <v>7.6433121019108281</v>
      </c>
      <c r="M127" s="128">
        <v>1.6</v>
      </c>
      <c r="N127" s="128"/>
      <c r="O127" s="182">
        <f t="shared" si="6"/>
        <v>1.4504206223937485E-3</v>
      </c>
      <c r="P127" s="138">
        <f>O127*(1+'Key Data'!F$3)</f>
        <v>1.8130257779921857E-3</v>
      </c>
      <c r="Q127" s="394"/>
      <c r="R127" s="394"/>
      <c r="S127" s="389"/>
    </row>
    <row r="128" spans="1:19" s="44" customFormat="1" x14ac:dyDescent="0.3">
      <c r="A128" s="381"/>
      <c r="B128" s="381"/>
      <c r="C128" s="381"/>
      <c r="D128" s="381"/>
      <c r="E128" s="200"/>
      <c r="F128" s="200"/>
      <c r="G128" s="374"/>
      <c r="H128" s="72" t="s">
        <v>314</v>
      </c>
      <c r="I128" s="128">
        <v>43</v>
      </c>
      <c r="J128" s="128">
        <f t="shared" si="4"/>
        <v>13.694267515923567</v>
      </c>
      <c r="K128" s="128">
        <v>26.8</v>
      </c>
      <c r="L128" s="128">
        <f t="shared" si="5"/>
        <v>8.5350318471337587</v>
      </c>
      <c r="M128" s="128">
        <v>2.9</v>
      </c>
      <c r="N128" s="128"/>
      <c r="O128" s="182">
        <f t="shared" si="6"/>
        <v>2.0440341680712086E-3</v>
      </c>
      <c r="P128" s="138">
        <f>O128*(1+'Key Data'!F$3)</f>
        <v>2.5550427100890106E-3</v>
      </c>
      <c r="Q128" s="394"/>
      <c r="R128" s="394"/>
      <c r="S128" s="389"/>
    </row>
    <row r="129" spans="1:19" s="44" customFormat="1" x14ac:dyDescent="0.3">
      <c r="A129" s="381"/>
      <c r="B129" s="381"/>
      <c r="C129" s="381"/>
      <c r="D129" s="381"/>
      <c r="E129" s="200"/>
      <c r="F129" s="200"/>
      <c r="G129" s="374"/>
      <c r="H129" s="72" t="s">
        <v>314</v>
      </c>
      <c r="I129" s="128">
        <v>37</v>
      </c>
      <c r="J129" s="128">
        <f t="shared" si="4"/>
        <v>11.783439490445859</v>
      </c>
      <c r="K129" s="128">
        <v>28</v>
      </c>
      <c r="L129" s="128">
        <f t="shared" si="5"/>
        <v>8.9171974522292992</v>
      </c>
      <c r="M129" s="128">
        <v>2.8</v>
      </c>
      <c r="N129" s="128"/>
      <c r="O129" s="182">
        <f t="shared" si="6"/>
        <v>2.0822643058392236E-3</v>
      </c>
      <c r="P129" s="138">
        <f>O129*(1+'Key Data'!F$3)</f>
        <v>2.6028303822990297E-3</v>
      </c>
      <c r="Q129" s="394"/>
      <c r="R129" s="394"/>
      <c r="S129" s="389"/>
    </row>
    <row r="130" spans="1:19" s="44" customFormat="1" x14ac:dyDescent="0.3">
      <c r="A130" s="381"/>
      <c r="B130" s="381"/>
      <c r="C130" s="381"/>
      <c r="D130" s="381"/>
      <c r="E130" s="200"/>
      <c r="F130" s="200"/>
      <c r="G130" s="374"/>
      <c r="H130" s="72" t="s">
        <v>314</v>
      </c>
      <c r="I130" s="128">
        <v>56.5</v>
      </c>
      <c r="J130" s="128">
        <f t="shared" ref="J130:J193" si="7">I130/3.14</f>
        <v>17.993630573248407</v>
      </c>
      <c r="K130" s="128">
        <v>29.5</v>
      </c>
      <c r="L130" s="128">
        <f t="shared" si="5"/>
        <v>9.3949044585987256</v>
      </c>
      <c r="M130" s="128">
        <v>2.2999999999999998</v>
      </c>
      <c r="N130" s="128"/>
      <c r="O130" s="182">
        <f t="shared" si="6"/>
        <v>2.0150416682444467E-3</v>
      </c>
      <c r="P130" s="138">
        <f>O130*(1+'Key Data'!F$3)</f>
        <v>2.5188020853055583E-3</v>
      </c>
      <c r="Q130" s="394"/>
      <c r="R130" s="394"/>
      <c r="S130" s="389"/>
    </row>
    <row r="131" spans="1:19" s="44" customFormat="1" x14ac:dyDescent="0.3">
      <c r="A131" s="381"/>
      <c r="B131" s="381"/>
      <c r="C131" s="381"/>
      <c r="D131" s="381"/>
      <c r="E131" s="200"/>
      <c r="F131" s="200"/>
      <c r="G131" s="374"/>
      <c r="H131" s="72" t="s">
        <v>314</v>
      </c>
      <c r="I131" s="128">
        <v>48.5</v>
      </c>
      <c r="J131" s="128">
        <f t="shared" si="7"/>
        <v>15.445859872611464</v>
      </c>
      <c r="K131" s="128">
        <v>27.5</v>
      </c>
      <c r="L131" s="128">
        <f t="shared" si="5"/>
        <v>8.7579617834394909</v>
      </c>
      <c r="M131" s="128">
        <v>2.6</v>
      </c>
      <c r="N131" s="128"/>
      <c r="O131" s="182">
        <f t="shared" si="6"/>
        <v>2.0020787580994153E-3</v>
      </c>
      <c r="P131" s="138">
        <f>O131*(1+'Key Data'!F$3)</f>
        <v>2.5025984476242692E-3</v>
      </c>
      <c r="Q131" s="394"/>
      <c r="R131" s="394"/>
      <c r="S131" s="389"/>
    </row>
    <row r="132" spans="1:19" s="44" customFormat="1" x14ac:dyDescent="0.3">
      <c r="A132" s="381"/>
      <c r="B132" s="381"/>
      <c r="C132" s="381"/>
      <c r="D132" s="381"/>
      <c r="E132" s="200"/>
      <c r="F132" s="200"/>
      <c r="G132" s="374"/>
      <c r="H132" s="72" t="s">
        <v>314</v>
      </c>
      <c r="I132" s="128">
        <v>43.5</v>
      </c>
      <c r="J132" s="128">
        <f t="shared" si="7"/>
        <v>13.853503184713375</v>
      </c>
      <c r="K132" s="128">
        <v>30</v>
      </c>
      <c r="L132" s="128">
        <f t="shared" si="5"/>
        <v>9.5541401273885338</v>
      </c>
      <c r="M132" s="128">
        <v>2.2000000000000002</v>
      </c>
      <c r="N132" s="128"/>
      <c r="O132" s="182">
        <f t="shared" si="6"/>
        <v>2.0071519493615312E-3</v>
      </c>
      <c r="P132" s="138">
        <f>O132*(1+'Key Data'!F$3)</f>
        <v>2.5089399367019139E-3</v>
      </c>
      <c r="Q132" s="394"/>
      <c r="R132" s="394"/>
      <c r="S132" s="389"/>
    </row>
    <row r="133" spans="1:19" s="44" customFormat="1" x14ac:dyDescent="0.3">
      <c r="A133" s="381"/>
      <c r="B133" s="381"/>
      <c r="C133" s="381"/>
      <c r="D133" s="381"/>
      <c r="E133" s="200"/>
      <c r="F133" s="200"/>
      <c r="G133" s="374"/>
      <c r="H133" s="72" t="s">
        <v>314</v>
      </c>
      <c r="I133" s="128">
        <v>39</v>
      </c>
      <c r="J133" s="128">
        <f t="shared" si="7"/>
        <v>12.420382165605096</v>
      </c>
      <c r="K133" s="128">
        <v>26.5</v>
      </c>
      <c r="L133" s="128">
        <f t="shared" si="5"/>
        <v>8.4394904458598727</v>
      </c>
      <c r="M133" s="128">
        <v>2.2000000000000002</v>
      </c>
      <c r="N133" s="128"/>
      <c r="O133" s="182">
        <f t="shared" si="6"/>
        <v>1.8265312928980417E-3</v>
      </c>
      <c r="P133" s="138">
        <f>O133*(1+'Key Data'!F$3)</f>
        <v>2.283164116122552E-3</v>
      </c>
      <c r="Q133" s="394"/>
      <c r="R133" s="394"/>
      <c r="S133" s="389"/>
    </row>
    <row r="134" spans="1:19" s="44" customFormat="1" x14ac:dyDescent="0.3">
      <c r="A134" s="381"/>
      <c r="B134" s="381"/>
      <c r="C134" s="381"/>
      <c r="D134" s="381"/>
      <c r="E134" s="200"/>
      <c r="F134" s="200"/>
      <c r="G134" s="374"/>
      <c r="H134" s="72" t="s">
        <v>314</v>
      </c>
      <c r="I134" s="128">
        <v>36</v>
      </c>
      <c r="J134" s="128">
        <f t="shared" si="7"/>
        <v>11.464968152866241</v>
      </c>
      <c r="K134" s="128">
        <v>26.1</v>
      </c>
      <c r="L134" s="128">
        <f t="shared" si="5"/>
        <v>8.3121019108280247</v>
      </c>
      <c r="M134" s="128">
        <v>1.6</v>
      </c>
      <c r="N134" s="128"/>
      <c r="O134" s="182">
        <f t="shared" si="6"/>
        <v>1.5725520630696505E-3</v>
      </c>
      <c r="P134" s="138">
        <f>O134*(1+'Key Data'!F$3)</f>
        <v>1.9656900788370632E-3</v>
      </c>
      <c r="Q134" s="394"/>
      <c r="R134" s="394"/>
      <c r="S134" s="389"/>
    </row>
    <row r="135" spans="1:19" s="44" customFormat="1" x14ac:dyDescent="0.3">
      <c r="A135" s="381"/>
      <c r="B135" s="381"/>
      <c r="C135" s="381"/>
      <c r="D135" s="381"/>
      <c r="E135" s="200"/>
      <c r="F135" s="200"/>
      <c r="G135" s="374"/>
      <c r="H135" s="72" t="s">
        <v>314</v>
      </c>
      <c r="I135" s="128">
        <v>38</v>
      </c>
      <c r="J135" s="128">
        <f t="shared" si="7"/>
        <v>12.101910828025478</v>
      </c>
      <c r="K135" s="128">
        <v>30.5</v>
      </c>
      <c r="L135" s="128">
        <f t="shared" si="5"/>
        <v>9.7133757961783438</v>
      </c>
      <c r="M135" s="128">
        <v>2.6</v>
      </c>
      <c r="N135" s="128"/>
      <c r="O135" s="182">
        <f t="shared" si="6"/>
        <v>2.1528339866372787E-3</v>
      </c>
      <c r="P135" s="138">
        <f>O135*(1+'Key Data'!F$3)</f>
        <v>2.6910424832965983E-3</v>
      </c>
      <c r="Q135" s="394"/>
      <c r="R135" s="394"/>
      <c r="S135" s="389"/>
    </row>
    <row r="136" spans="1:19" s="44" customFormat="1" x14ac:dyDescent="0.3">
      <c r="A136" s="381"/>
      <c r="B136" s="381"/>
      <c r="C136" s="381"/>
      <c r="D136" s="381"/>
      <c r="E136" s="200"/>
      <c r="F136" s="200"/>
      <c r="G136" s="374"/>
      <c r="H136" s="72" t="s">
        <v>314</v>
      </c>
      <c r="I136" s="128">
        <v>52</v>
      </c>
      <c r="J136" s="128">
        <f t="shared" si="7"/>
        <v>16.560509554140125</v>
      </c>
      <c r="K136" s="128">
        <v>29</v>
      </c>
      <c r="L136" s="128">
        <f t="shared" si="5"/>
        <v>9.2356687898089174</v>
      </c>
      <c r="M136" s="128">
        <v>2.8</v>
      </c>
      <c r="N136" s="128"/>
      <c r="O136" s="182">
        <f t="shared" si="6"/>
        <v>2.1333572674844328E-3</v>
      </c>
      <c r="P136" s="138">
        <f>O136*(1+'Key Data'!F$3)</f>
        <v>2.666696584355541E-3</v>
      </c>
      <c r="Q136" s="394"/>
      <c r="R136" s="394"/>
      <c r="S136" s="389"/>
    </row>
    <row r="137" spans="1:19" s="44" customFormat="1" x14ac:dyDescent="0.3">
      <c r="A137" s="381"/>
      <c r="B137" s="381"/>
      <c r="C137" s="381"/>
      <c r="D137" s="381"/>
      <c r="E137" s="200"/>
      <c r="F137" s="200"/>
      <c r="G137" s="374"/>
      <c r="H137" s="72" t="s">
        <v>314</v>
      </c>
      <c r="I137" s="128">
        <v>27</v>
      </c>
      <c r="J137" s="128">
        <f t="shared" si="7"/>
        <v>8.598726114649681</v>
      </c>
      <c r="K137" s="128">
        <v>21</v>
      </c>
      <c r="L137" s="128">
        <f t="shared" si="5"/>
        <v>6.6878980891719744</v>
      </c>
      <c r="M137" s="128">
        <v>2.4</v>
      </c>
      <c r="N137" s="128"/>
      <c r="O137" s="182">
        <f t="shared" si="6"/>
        <v>1.5511775134351871E-3</v>
      </c>
      <c r="P137" s="138">
        <f>O137*(1+'Key Data'!F$3)</f>
        <v>1.938971891793984E-3</v>
      </c>
      <c r="Q137" s="394"/>
      <c r="R137" s="394"/>
      <c r="S137" s="389"/>
    </row>
    <row r="138" spans="1:19" s="44" customFormat="1" x14ac:dyDescent="0.3">
      <c r="A138" s="381"/>
      <c r="B138" s="381"/>
      <c r="C138" s="381"/>
      <c r="D138" s="381"/>
      <c r="E138" s="200"/>
      <c r="F138" s="200"/>
      <c r="G138" s="374"/>
      <c r="H138" s="72" t="s">
        <v>314</v>
      </c>
      <c r="I138" s="128">
        <v>52</v>
      </c>
      <c r="J138" s="128">
        <f t="shared" si="7"/>
        <v>16.560509554140125</v>
      </c>
      <c r="K138" s="128">
        <v>30</v>
      </c>
      <c r="L138" s="128">
        <f t="shared" si="5"/>
        <v>9.5541401273885338</v>
      </c>
      <c r="M138" s="128">
        <v>2.4</v>
      </c>
      <c r="N138" s="128"/>
      <c r="O138" s="182">
        <f t="shared" si="6"/>
        <v>2.0704962318099812E-3</v>
      </c>
      <c r="P138" s="138">
        <f>O138*(1+'Key Data'!F$3)</f>
        <v>2.5881202897624763E-3</v>
      </c>
      <c r="Q138" s="394"/>
      <c r="R138" s="394"/>
      <c r="S138" s="389"/>
    </row>
    <row r="139" spans="1:19" s="44" customFormat="1" x14ac:dyDescent="0.3">
      <c r="A139" s="381"/>
      <c r="B139" s="381"/>
      <c r="C139" s="381"/>
      <c r="D139" s="381"/>
      <c r="E139" s="200"/>
      <c r="F139" s="200"/>
      <c r="G139" s="374"/>
      <c r="H139" s="72" t="s">
        <v>314</v>
      </c>
      <c r="I139" s="128">
        <v>23</v>
      </c>
      <c r="J139" s="128">
        <f t="shared" si="7"/>
        <v>7.3248407643312099</v>
      </c>
      <c r="K139" s="128">
        <v>18</v>
      </c>
      <c r="L139" s="128">
        <f t="shared" si="5"/>
        <v>5.7324840764331206</v>
      </c>
      <c r="M139" s="128">
        <v>2.6</v>
      </c>
      <c r="N139" s="128"/>
      <c r="O139" s="182">
        <f t="shared" si="6"/>
        <v>1.3850052147930333E-3</v>
      </c>
      <c r="P139" s="138">
        <f>O139*(1+'Key Data'!F$3)</f>
        <v>1.7312565184912916E-3</v>
      </c>
      <c r="Q139" s="394"/>
      <c r="R139" s="394"/>
      <c r="S139" s="389"/>
    </row>
    <row r="140" spans="1:19" s="44" customFormat="1" x14ac:dyDescent="0.3">
      <c r="A140" s="381"/>
      <c r="B140" s="381"/>
      <c r="C140" s="381"/>
      <c r="D140" s="381"/>
      <c r="E140" s="200"/>
      <c r="F140" s="200"/>
      <c r="G140" s="374"/>
      <c r="H140" s="72" t="s">
        <v>314</v>
      </c>
      <c r="I140" s="128">
        <v>34</v>
      </c>
      <c r="J140" s="128">
        <f t="shared" si="7"/>
        <v>10.828025477707007</v>
      </c>
      <c r="K140" s="128">
        <v>24</v>
      </c>
      <c r="L140" s="128">
        <f t="shared" si="5"/>
        <v>7.6433121019108281</v>
      </c>
      <c r="M140" s="128">
        <v>2.4</v>
      </c>
      <c r="N140" s="128"/>
      <c r="O140" s="182">
        <f t="shared" si="6"/>
        <v>1.7455992210964923E-3</v>
      </c>
      <c r="P140" s="138">
        <f>O140*(1+'Key Data'!F$3)</f>
        <v>2.1819990263706153E-3</v>
      </c>
      <c r="Q140" s="394"/>
      <c r="R140" s="394"/>
      <c r="S140" s="389"/>
    </row>
    <row r="141" spans="1:19" s="44" customFormat="1" x14ac:dyDescent="0.3">
      <c r="A141" s="381"/>
      <c r="B141" s="381"/>
      <c r="C141" s="381"/>
      <c r="D141" s="381"/>
      <c r="E141" s="200"/>
      <c r="F141" s="200"/>
      <c r="G141" s="374"/>
      <c r="H141" s="72" t="s">
        <v>314</v>
      </c>
      <c r="I141" s="128">
        <v>37</v>
      </c>
      <c r="J141" s="128">
        <f t="shared" si="7"/>
        <v>11.783439490445859</v>
      </c>
      <c r="K141" s="128">
        <v>24.5</v>
      </c>
      <c r="L141" s="128">
        <f t="shared" si="5"/>
        <v>7.8025477707006363</v>
      </c>
      <c r="M141" s="128">
        <v>2.6</v>
      </c>
      <c r="N141" s="128"/>
      <c r="O141" s="182">
        <f t="shared" si="6"/>
        <v>1.8338919944500091E-3</v>
      </c>
      <c r="P141" s="138">
        <f>O141*(1+'Key Data'!F$3)</f>
        <v>2.2923649930625114E-3</v>
      </c>
      <c r="Q141" s="394"/>
      <c r="R141" s="394"/>
      <c r="S141" s="389"/>
    </row>
    <row r="142" spans="1:19" s="44" customFormat="1" x14ac:dyDescent="0.3">
      <c r="A142" s="381"/>
      <c r="B142" s="381"/>
      <c r="C142" s="381"/>
      <c r="D142" s="381"/>
      <c r="E142" s="200"/>
      <c r="F142" s="200"/>
      <c r="G142" s="374"/>
      <c r="H142" s="72" t="s">
        <v>314</v>
      </c>
      <c r="I142" s="128">
        <v>41.8</v>
      </c>
      <c r="J142" s="128">
        <f t="shared" si="7"/>
        <v>13.312101910828025</v>
      </c>
      <c r="K142" s="128">
        <v>30.2</v>
      </c>
      <c r="L142" s="128">
        <f t="shared" si="5"/>
        <v>9.6178343949044578</v>
      </c>
      <c r="M142" s="128">
        <v>2.6</v>
      </c>
      <c r="N142" s="128"/>
      <c r="O142" s="182">
        <f t="shared" si="6"/>
        <v>2.1384417771946971E-3</v>
      </c>
      <c r="P142" s="138">
        <f>O142*(1+'Key Data'!F$3)</f>
        <v>2.6730522214933714E-3</v>
      </c>
      <c r="Q142" s="394"/>
      <c r="R142" s="394"/>
      <c r="S142" s="389"/>
    </row>
    <row r="143" spans="1:19" s="44" customFormat="1" x14ac:dyDescent="0.3">
      <c r="A143" s="381"/>
      <c r="B143" s="381"/>
      <c r="C143" s="381"/>
      <c r="D143" s="381"/>
      <c r="E143" s="200"/>
      <c r="F143" s="200"/>
      <c r="G143" s="374"/>
      <c r="H143" s="72" t="s">
        <v>314</v>
      </c>
      <c r="I143" s="128">
        <v>52</v>
      </c>
      <c r="J143" s="128">
        <f t="shared" si="7"/>
        <v>16.560509554140125</v>
      </c>
      <c r="K143" s="128">
        <v>27.8</v>
      </c>
      <c r="L143" s="128">
        <f t="shared" si="5"/>
        <v>8.8535031847133752</v>
      </c>
      <c r="M143" s="128">
        <v>2.8</v>
      </c>
      <c r="N143" s="128"/>
      <c r="O143" s="182">
        <f t="shared" si="6"/>
        <v>2.0718269851583643E-3</v>
      </c>
      <c r="P143" s="138">
        <f>O143*(1+'Key Data'!F$3)</f>
        <v>2.5897837314479552E-3</v>
      </c>
      <c r="Q143" s="394"/>
      <c r="R143" s="394"/>
      <c r="S143" s="389"/>
    </row>
    <row r="144" spans="1:19" s="44" customFormat="1" x14ac:dyDescent="0.3">
      <c r="A144" s="381"/>
      <c r="B144" s="381"/>
      <c r="C144" s="381"/>
      <c r="D144" s="381"/>
      <c r="E144" s="200"/>
      <c r="F144" s="200"/>
      <c r="G144" s="374"/>
      <c r="H144" s="72" t="s">
        <v>314</v>
      </c>
      <c r="I144" s="128">
        <v>36.6</v>
      </c>
      <c r="J144" s="128">
        <f t="shared" si="7"/>
        <v>11.656050955414013</v>
      </c>
      <c r="K144" s="128">
        <v>22.2</v>
      </c>
      <c r="L144" s="128">
        <f t="shared" si="5"/>
        <v>7.0700636942675157</v>
      </c>
      <c r="M144" s="128">
        <v>2.8</v>
      </c>
      <c r="N144" s="128"/>
      <c r="O144" s="182">
        <f t="shared" si="6"/>
        <v>1.7443089116308357E-3</v>
      </c>
      <c r="P144" s="138">
        <f>O144*(1+'Key Data'!F$3)</f>
        <v>2.1803861395385447E-3</v>
      </c>
      <c r="Q144" s="394"/>
      <c r="R144" s="394"/>
      <c r="S144" s="389"/>
    </row>
    <row r="145" spans="1:19" s="44" customFormat="1" x14ac:dyDescent="0.3">
      <c r="A145" s="381"/>
      <c r="B145" s="381"/>
      <c r="C145" s="381"/>
      <c r="D145" s="381"/>
      <c r="E145" s="200"/>
      <c r="F145" s="200"/>
      <c r="G145" s="374"/>
      <c r="H145" s="72" t="s">
        <v>314</v>
      </c>
      <c r="I145" s="128">
        <v>47</v>
      </c>
      <c r="J145" s="128">
        <f t="shared" si="7"/>
        <v>14.968152866242038</v>
      </c>
      <c r="K145" s="128">
        <v>23</v>
      </c>
      <c r="L145" s="128">
        <f t="shared" ref="L145:L208" si="8">K145/3.14</f>
        <v>7.3248407643312099</v>
      </c>
      <c r="M145" s="128">
        <v>2.6</v>
      </c>
      <c r="N145" s="128"/>
      <c r="O145" s="182">
        <f t="shared" si="6"/>
        <v>1.7419035136890598E-3</v>
      </c>
      <c r="P145" s="138">
        <f>O145*(1+'Key Data'!F$3)</f>
        <v>2.1773793921113249E-3</v>
      </c>
      <c r="Q145" s="394"/>
      <c r="R145" s="394"/>
      <c r="S145" s="389"/>
    </row>
    <row r="146" spans="1:19" s="44" customFormat="1" x14ac:dyDescent="0.3">
      <c r="A146" s="381"/>
      <c r="B146" s="381"/>
      <c r="C146" s="381"/>
      <c r="D146" s="381"/>
      <c r="E146" s="200"/>
      <c r="F146" s="200"/>
      <c r="G146" s="374"/>
      <c r="H146" s="72" t="s">
        <v>314</v>
      </c>
      <c r="I146" s="128">
        <v>47</v>
      </c>
      <c r="J146" s="128">
        <f t="shared" si="7"/>
        <v>14.968152866242038</v>
      </c>
      <c r="K146" s="128">
        <v>28</v>
      </c>
      <c r="L146" s="128">
        <f t="shared" si="8"/>
        <v>8.9171974522292992</v>
      </c>
      <c r="M146" s="128">
        <v>3.2</v>
      </c>
      <c r="N146" s="128"/>
      <c r="O146" s="182">
        <f t="shared" ref="O146:O209" si="9">EXP((LN(-1.853+0.728*LN(L146^2*M146))))/1000</f>
        <v>2.1794751596698764E-3</v>
      </c>
      <c r="P146" s="138">
        <f>O146*(1+'Key Data'!F$3)</f>
        <v>2.7243439495873456E-3</v>
      </c>
      <c r="Q146" s="394"/>
      <c r="R146" s="394"/>
      <c r="S146" s="389"/>
    </row>
    <row r="147" spans="1:19" s="44" customFormat="1" x14ac:dyDescent="0.3">
      <c r="A147" s="381"/>
      <c r="B147" s="381"/>
      <c r="C147" s="381"/>
      <c r="D147" s="381"/>
      <c r="E147" s="200"/>
      <c r="F147" s="200"/>
      <c r="G147" s="374"/>
      <c r="H147" s="72" t="s">
        <v>314</v>
      </c>
      <c r="I147" s="128">
        <v>27.9</v>
      </c>
      <c r="J147" s="128">
        <f t="shared" si="7"/>
        <v>8.8853503184713372</v>
      </c>
      <c r="K147" s="128">
        <v>18</v>
      </c>
      <c r="L147" s="128">
        <f t="shared" si="8"/>
        <v>5.7324840764331206</v>
      </c>
      <c r="M147" s="128">
        <v>1.8</v>
      </c>
      <c r="N147" s="128"/>
      <c r="O147" s="182">
        <f t="shared" si="9"/>
        <v>1.1173015748618023E-3</v>
      </c>
      <c r="P147" s="138">
        <f>O147*(1+'Key Data'!F$3)</f>
        <v>1.3966269685772529E-3</v>
      </c>
      <c r="Q147" s="394"/>
      <c r="R147" s="394"/>
      <c r="S147" s="389"/>
    </row>
    <row r="148" spans="1:19" s="44" customFormat="1" x14ac:dyDescent="0.3">
      <c r="A148" s="381"/>
      <c r="B148" s="381"/>
      <c r="C148" s="381"/>
      <c r="D148" s="381"/>
      <c r="E148" s="200"/>
      <c r="F148" s="200"/>
      <c r="G148" s="374"/>
      <c r="H148" s="72" t="s">
        <v>314</v>
      </c>
      <c r="I148" s="128">
        <v>35.200000000000003</v>
      </c>
      <c r="J148" s="128">
        <f t="shared" si="7"/>
        <v>11.210191082802549</v>
      </c>
      <c r="K148" s="128">
        <v>22.4</v>
      </c>
      <c r="L148" s="128">
        <f t="shared" si="8"/>
        <v>7.1337579617834388</v>
      </c>
      <c r="M148" s="128">
        <v>1.9</v>
      </c>
      <c r="N148" s="128"/>
      <c r="O148" s="182">
        <f t="shared" si="9"/>
        <v>1.4750739885513548E-3</v>
      </c>
      <c r="P148" s="138">
        <f>O148*(1+'Key Data'!F$3)</f>
        <v>1.8438424856891936E-3</v>
      </c>
      <c r="Q148" s="394"/>
      <c r="R148" s="394"/>
      <c r="S148" s="389"/>
    </row>
    <row r="149" spans="1:19" s="44" customFormat="1" x14ac:dyDescent="0.3">
      <c r="A149" s="381"/>
      <c r="B149" s="381"/>
      <c r="C149" s="381"/>
      <c r="D149" s="381"/>
      <c r="E149" s="200"/>
      <c r="F149" s="200"/>
      <c r="G149" s="374"/>
      <c r="H149" s="72" t="s">
        <v>314</v>
      </c>
      <c r="I149" s="128">
        <v>36</v>
      </c>
      <c r="J149" s="128">
        <f t="shared" si="7"/>
        <v>11.464968152866241</v>
      </c>
      <c r="K149" s="128">
        <v>22</v>
      </c>
      <c r="L149" s="128">
        <f t="shared" si="8"/>
        <v>7.0063694267515917</v>
      </c>
      <c r="M149" s="128">
        <v>2.8</v>
      </c>
      <c r="N149" s="128"/>
      <c r="O149" s="182">
        <f t="shared" si="9"/>
        <v>1.7311323511138353E-3</v>
      </c>
      <c r="P149" s="138">
        <f>O149*(1+'Key Data'!F$3)</f>
        <v>2.1639154388922942E-3</v>
      </c>
      <c r="Q149" s="394"/>
      <c r="R149" s="394"/>
      <c r="S149" s="389"/>
    </row>
    <row r="150" spans="1:19" s="44" customFormat="1" x14ac:dyDescent="0.3">
      <c r="A150" s="381"/>
      <c r="B150" s="381"/>
      <c r="C150" s="381"/>
      <c r="D150" s="381"/>
      <c r="E150" s="200"/>
      <c r="F150" s="200"/>
      <c r="G150" s="374"/>
      <c r="H150" s="72" t="s">
        <v>314</v>
      </c>
      <c r="I150" s="128">
        <v>47</v>
      </c>
      <c r="J150" s="128">
        <f t="shared" si="7"/>
        <v>14.968152866242038</v>
      </c>
      <c r="K150" s="128">
        <v>33.5</v>
      </c>
      <c r="L150" s="128">
        <f t="shared" si="8"/>
        <v>10.668789808917197</v>
      </c>
      <c r="M150" s="128">
        <v>3.6</v>
      </c>
      <c r="N150" s="128"/>
      <c r="O150" s="182">
        <f t="shared" si="9"/>
        <v>2.526341601750593E-3</v>
      </c>
      <c r="P150" s="138">
        <f>O150*(1+'Key Data'!F$3)</f>
        <v>3.1579270021882414E-3</v>
      </c>
      <c r="Q150" s="394"/>
      <c r="R150" s="394"/>
      <c r="S150" s="389"/>
    </row>
    <row r="151" spans="1:19" s="44" customFormat="1" x14ac:dyDescent="0.3">
      <c r="A151" s="367">
        <v>3</v>
      </c>
      <c r="B151" s="367" t="s">
        <v>326</v>
      </c>
      <c r="C151" s="367" t="s">
        <v>327</v>
      </c>
      <c r="D151" s="367" t="s">
        <v>328</v>
      </c>
      <c r="E151" s="222">
        <v>14.951386899999999</v>
      </c>
      <c r="F151" s="222">
        <v>75.013435400000006</v>
      </c>
      <c r="G151" s="367">
        <v>2021</v>
      </c>
      <c r="H151" s="94" t="s">
        <v>314</v>
      </c>
      <c r="I151" s="126">
        <v>63.5</v>
      </c>
      <c r="J151" s="126">
        <f t="shared" si="7"/>
        <v>20.222929936305732</v>
      </c>
      <c r="K151" s="126">
        <v>47</v>
      </c>
      <c r="L151" s="126">
        <f t="shared" si="8"/>
        <v>14.968152866242038</v>
      </c>
      <c r="M151" s="126">
        <v>4.8</v>
      </c>
      <c r="N151" s="126"/>
      <c r="O151" s="180">
        <f t="shared" si="9"/>
        <v>3.2287788996473682E-3</v>
      </c>
      <c r="P151" s="131">
        <f>O151*(1+'Key Data'!F$3)</f>
        <v>4.0359736245592099E-3</v>
      </c>
      <c r="Q151" s="366">
        <f>SUM(P151:P263)</f>
        <v>0.39217664424422327</v>
      </c>
      <c r="R151" s="366">
        <f>Q151*10000/900</f>
        <v>4.3575182693802583</v>
      </c>
      <c r="S151" s="389"/>
    </row>
    <row r="152" spans="1:19" s="44" customFormat="1" x14ac:dyDescent="0.3">
      <c r="A152" s="367"/>
      <c r="B152" s="367"/>
      <c r="C152" s="367"/>
      <c r="D152" s="367"/>
      <c r="E152" s="222">
        <v>14.951168900000001</v>
      </c>
      <c r="F152" s="222">
        <v>75.013558099999997</v>
      </c>
      <c r="G152" s="367"/>
      <c r="H152" s="94" t="s">
        <v>314</v>
      </c>
      <c r="I152" s="126">
        <v>70</v>
      </c>
      <c r="J152" s="126">
        <f t="shared" si="7"/>
        <v>22.292993630573246</v>
      </c>
      <c r="K152" s="126">
        <v>39</v>
      </c>
      <c r="L152" s="126">
        <f t="shared" si="8"/>
        <v>12.420382165605096</v>
      </c>
      <c r="M152" s="126">
        <v>4.5999999999999996</v>
      </c>
      <c r="N152" s="126"/>
      <c r="O152" s="180">
        <f t="shared" si="9"/>
        <v>2.9261263490254052E-3</v>
      </c>
      <c r="P152" s="131">
        <f>O152*(1+'Key Data'!F$3)</f>
        <v>3.6576579362817565E-3</v>
      </c>
      <c r="Q152" s="366"/>
      <c r="R152" s="366"/>
      <c r="S152" s="389"/>
    </row>
    <row r="153" spans="1:19" s="44" customFormat="1" x14ac:dyDescent="0.3">
      <c r="A153" s="367"/>
      <c r="B153" s="367"/>
      <c r="C153" s="367"/>
      <c r="D153" s="367"/>
      <c r="E153" s="222">
        <v>14.951494</v>
      </c>
      <c r="F153" s="222">
        <v>75.013663399999999</v>
      </c>
      <c r="G153" s="367"/>
      <c r="H153" s="94" t="s">
        <v>314</v>
      </c>
      <c r="I153" s="126">
        <v>70</v>
      </c>
      <c r="J153" s="126">
        <f t="shared" si="7"/>
        <v>22.292993630573246</v>
      </c>
      <c r="K153" s="126">
        <v>45.8</v>
      </c>
      <c r="L153" s="126">
        <f t="shared" si="8"/>
        <v>14.585987261146496</v>
      </c>
      <c r="M153" s="126">
        <v>5</v>
      </c>
      <c r="N153" s="126"/>
      <c r="O153" s="180">
        <f t="shared" si="9"/>
        <v>3.2208400402391922E-3</v>
      </c>
      <c r="P153" s="131">
        <f>O153*(1+'Key Data'!F$3)</f>
        <v>4.0260500502989904E-3</v>
      </c>
      <c r="Q153" s="366"/>
      <c r="R153" s="366"/>
      <c r="S153" s="389"/>
    </row>
    <row r="154" spans="1:19" s="44" customFormat="1" x14ac:dyDescent="0.3">
      <c r="A154" s="367"/>
      <c r="B154" s="367"/>
      <c r="C154" s="367"/>
      <c r="D154" s="367"/>
      <c r="E154" s="222">
        <v>14.9512894</v>
      </c>
      <c r="F154" s="222">
        <v>75.013776699999994</v>
      </c>
      <c r="G154" s="367"/>
      <c r="H154" s="94" t="s">
        <v>314</v>
      </c>
      <c r="I154" s="126">
        <v>49.8</v>
      </c>
      <c r="J154" s="126">
        <f t="shared" si="7"/>
        <v>15.859872611464967</v>
      </c>
      <c r="K154" s="126">
        <v>38.799999999999997</v>
      </c>
      <c r="L154" s="126">
        <f t="shared" si="8"/>
        <v>12.35668789808917</v>
      </c>
      <c r="M154" s="126">
        <v>4.3</v>
      </c>
      <c r="N154" s="126"/>
      <c r="O154" s="180">
        <f t="shared" si="9"/>
        <v>2.8695432189336481E-3</v>
      </c>
      <c r="P154" s="131">
        <f>O154*(1+'Key Data'!F$3)</f>
        <v>3.5869290236670601E-3</v>
      </c>
      <c r="Q154" s="366"/>
      <c r="R154" s="366"/>
      <c r="S154" s="389"/>
    </row>
    <row r="155" spans="1:19" s="44" customFormat="1" x14ac:dyDescent="0.3">
      <c r="A155" s="367"/>
      <c r="B155" s="367"/>
      <c r="C155" s="367"/>
      <c r="D155" s="367"/>
      <c r="E155" s="222">
        <v>14.951343</v>
      </c>
      <c r="F155" s="222">
        <v>75.013668800000005</v>
      </c>
      <c r="G155" s="367"/>
      <c r="H155" s="94" t="s">
        <v>314</v>
      </c>
      <c r="I155" s="126">
        <v>55.5</v>
      </c>
      <c r="J155" s="126">
        <f t="shared" si="7"/>
        <v>17.67515923566879</v>
      </c>
      <c r="K155" s="126">
        <v>41.8</v>
      </c>
      <c r="L155" s="126">
        <f t="shared" si="8"/>
        <v>13.312101910828025</v>
      </c>
      <c r="M155" s="126">
        <v>4.5</v>
      </c>
      <c r="N155" s="126"/>
      <c r="O155" s="180">
        <f t="shared" si="9"/>
        <v>3.0110770185260869E-3</v>
      </c>
      <c r="P155" s="131">
        <f>O155*(1+'Key Data'!F$3)</f>
        <v>3.7638462731576089E-3</v>
      </c>
      <c r="Q155" s="366"/>
      <c r="R155" s="366"/>
      <c r="S155" s="389"/>
    </row>
    <row r="156" spans="1:19" s="44" customFormat="1" x14ac:dyDescent="0.3">
      <c r="A156" s="367"/>
      <c r="B156" s="367"/>
      <c r="C156" s="367"/>
      <c r="D156" s="367"/>
      <c r="E156" s="172"/>
      <c r="F156" s="172"/>
      <c r="G156" s="367"/>
      <c r="H156" s="94" t="s">
        <v>314</v>
      </c>
      <c r="I156" s="126">
        <v>44.6</v>
      </c>
      <c r="J156" s="126">
        <f t="shared" si="7"/>
        <v>14.203821656050955</v>
      </c>
      <c r="K156" s="126">
        <v>31.3</v>
      </c>
      <c r="L156" s="126">
        <f t="shared" si="8"/>
        <v>9.968152866242038</v>
      </c>
      <c r="M156" s="126">
        <v>3</v>
      </c>
      <c r="N156" s="126"/>
      <c r="O156" s="180">
        <f t="shared" si="9"/>
        <v>2.2947092994937608E-3</v>
      </c>
      <c r="P156" s="131">
        <f>O156*(1+'Key Data'!F$3)</f>
        <v>2.8683866243672008E-3</v>
      </c>
      <c r="Q156" s="366"/>
      <c r="R156" s="366"/>
      <c r="S156" s="389"/>
    </row>
    <row r="157" spans="1:19" s="44" customFormat="1" x14ac:dyDescent="0.3">
      <c r="A157" s="367"/>
      <c r="B157" s="367"/>
      <c r="C157" s="367"/>
      <c r="D157" s="367"/>
      <c r="E157" s="172"/>
      <c r="F157" s="172"/>
      <c r="G157" s="367"/>
      <c r="H157" s="94" t="s">
        <v>314</v>
      </c>
      <c r="I157" s="126">
        <v>60.4</v>
      </c>
      <c r="J157" s="126">
        <f t="shared" si="7"/>
        <v>19.235668789808916</v>
      </c>
      <c r="K157" s="126">
        <v>39.799999999999997</v>
      </c>
      <c r="L157" s="126">
        <f t="shared" si="8"/>
        <v>12.675159235668788</v>
      </c>
      <c r="M157" s="126">
        <v>5.2</v>
      </c>
      <c r="N157" s="126"/>
      <c r="O157" s="180">
        <f t="shared" si="9"/>
        <v>3.0449453070386687E-3</v>
      </c>
      <c r="P157" s="131">
        <f>O157*(1+'Key Data'!F$3)</f>
        <v>3.8061816337983359E-3</v>
      </c>
      <c r="Q157" s="366"/>
      <c r="R157" s="366"/>
      <c r="S157" s="389"/>
    </row>
    <row r="158" spans="1:19" s="44" customFormat="1" x14ac:dyDescent="0.3">
      <c r="A158" s="367"/>
      <c r="B158" s="367"/>
      <c r="C158" s="367"/>
      <c r="D158" s="367"/>
      <c r="E158" s="172"/>
      <c r="F158" s="172"/>
      <c r="G158" s="367"/>
      <c r="H158" s="94" t="s">
        <v>314</v>
      </c>
      <c r="I158" s="126">
        <v>56.5</v>
      </c>
      <c r="J158" s="126">
        <f t="shared" si="7"/>
        <v>17.993630573248407</v>
      </c>
      <c r="K158" s="126">
        <v>42.2</v>
      </c>
      <c r="L158" s="126">
        <f t="shared" si="8"/>
        <v>13.439490445859873</v>
      </c>
      <c r="M158" s="126">
        <v>4.9000000000000004</v>
      </c>
      <c r="N158" s="126"/>
      <c r="O158" s="180">
        <f t="shared" si="9"/>
        <v>3.0869386744782168E-3</v>
      </c>
      <c r="P158" s="131">
        <f>O158*(1+'Key Data'!F$3)</f>
        <v>3.8586733430977711E-3</v>
      </c>
      <c r="Q158" s="366"/>
      <c r="R158" s="366"/>
      <c r="S158" s="389"/>
    </row>
    <row r="159" spans="1:19" s="44" customFormat="1" x14ac:dyDescent="0.3">
      <c r="A159" s="367"/>
      <c r="B159" s="367"/>
      <c r="C159" s="367"/>
      <c r="D159" s="367"/>
      <c r="E159" s="172"/>
      <c r="F159" s="172"/>
      <c r="G159" s="367"/>
      <c r="H159" s="94" t="s">
        <v>314</v>
      </c>
      <c r="I159" s="126">
        <v>58.2</v>
      </c>
      <c r="J159" s="126">
        <f t="shared" si="7"/>
        <v>18.535031847133759</v>
      </c>
      <c r="K159" s="126">
        <v>40.6</v>
      </c>
      <c r="L159" s="126">
        <f t="shared" si="8"/>
        <v>12.929936305732484</v>
      </c>
      <c r="M159" s="126">
        <v>4.9000000000000004</v>
      </c>
      <c r="N159" s="126"/>
      <c r="O159" s="180">
        <f t="shared" si="9"/>
        <v>3.0306611376219074E-3</v>
      </c>
      <c r="P159" s="131">
        <f>O159*(1+'Key Data'!F$3)</f>
        <v>3.7883264220273842E-3</v>
      </c>
      <c r="Q159" s="366"/>
      <c r="R159" s="366"/>
      <c r="S159" s="389"/>
    </row>
    <row r="160" spans="1:19" s="44" customFormat="1" x14ac:dyDescent="0.3">
      <c r="A160" s="367"/>
      <c r="B160" s="367"/>
      <c r="C160" s="367"/>
      <c r="D160" s="367"/>
      <c r="E160" s="172"/>
      <c r="F160" s="172"/>
      <c r="G160" s="367"/>
      <c r="H160" s="94" t="s">
        <v>314</v>
      </c>
      <c r="I160" s="126">
        <v>63.5</v>
      </c>
      <c r="J160" s="126">
        <f t="shared" si="7"/>
        <v>20.222929936305732</v>
      </c>
      <c r="K160" s="126">
        <v>39.6</v>
      </c>
      <c r="L160" s="126">
        <f t="shared" si="8"/>
        <v>12.611464968152866</v>
      </c>
      <c r="M160" s="126">
        <v>4.2</v>
      </c>
      <c r="N160" s="126"/>
      <c r="O160" s="180">
        <f t="shared" si="9"/>
        <v>2.8821283339140638E-3</v>
      </c>
      <c r="P160" s="131">
        <f>O160*(1+'Key Data'!F$3)</f>
        <v>3.6026604173925799E-3</v>
      </c>
      <c r="Q160" s="366"/>
      <c r="R160" s="366"/>
      <c r="S160" s="389"/>
    </row>
    <row r="161" spans="1:19" s="44" customFormat="1" x14ac:dyDescent="0.3">
      <c r="A161" s="367"/>
      <c r="B161" s="367"/>
      <c r="C161" s="367"/>
      <c r="D161" s="367"/>
      <c r="E161" s="172"/>
      <c r="F161" s="172"/>
      <c r="G161" s="367"/>
      <c r="H161" s="94" t="s">
        <v>314</v>
      </c>
      <c r="I161" s="126">
        <v>54</v>
      </c>
      <c r="J161" s="126">
        <f t="shared" si="7"/>
        <v>17.197452229299362</v>
      </c>
      <c r="K161" s="126">
        <v>32.799999999999997</v>
      </c>
      <c r="L161" s="126">
        <f t="shared" si="8"/>
        <v>10.445859872611464</v>
      </c>
      <c r="M161" s="126">
        <v>4.8</v>
      </c>
      <c r="N161" s="126"/>
      <c r="O161" s="180">
        <f t="shared" si="9"/>
        <v>2.7050279099655058E-3</v>
      </c>
      <c r="P161" s="131">
        <f>O161*(1+'Key Data'!F$3)</f>
        <v>3.3812848874568823E-3</v>
      </c>
      <c r="Q161" s="366"/>
      <c r="R161" s="366"/>
      <c r="S161" s="389"/>
    </row>
    <row r="162" spans="1:19" s="44" customFormat="1" x14ac:dyDescent="0.3">
      <c r="A162" s="367"/>
      <c r="B162" s="367"/>
      <c r="C162" s="367"/>
      <c r="D162" s="367"/>
      <c r="E162" s="172"/>
      <c r="F162" s="172"/>
      <c r="G162" s="367"/>
      <c r="H162" s="94" t="s">
        <v>314</v>
      </c>
      <c r="I162" s="126">
        <v>73.5</v>
      </c>
      <c r="J162" s="126">
        <f t="shared" si="7"/>
        <v>23.407643312101911</v>
      </c>
      <c r="K162" s="126">
        <v>44</v>
      </c>
      <c r="L162" s="126">
        <f t="shared" si="8"/>
        <v>14.012738853503183</v>
      </c>
      <c r="M162" s="126">
        <v>4.8</v>
      </c>
      <c r="N162" s="126"/>
      <c r="O162" s="180">
        <f t="shared" si="9"/>
        <v>3.1327440985425116E-3</v>
      </c>
      <c r="P162" s="131">
        <f>O162*(1+'Key Data'!F$3)</f>
        <v>3.9159301231781393E-3</v>
      </c>
      <c r="Q162" s="366"/>
      <c r="R162" s="366"/>
      <c r="S162" s="389"/>
    </row>
    <row r="163" spans="1:19" s="44" customFormat="1" x14ac:dyDescent="0.3">
      <c r="A163" s="367"/>
      <c r="B163" s="367"/>
      <c r="C163" s="367"/>
      <c r="D163" s="367"/>
      <c r="E163" s="172"/>
      <c r="F163" s="172"/>
      <c r="G163" s="367"/>
      <c r="H163" s="94" t="s">
        <v>314</v>
      </c>
      <c r="I163" s="126">
        <v>61</v>
      </c>
      <c r="J163" s="126">
        <f t="shared" si="7"/>
        <v>19.426751592356688</v>
      </c>
      <c r="K163" s="126">
        <v>39</v>
      </c>
      <c r="L163" s="126">
        <f t="shared" si="8"/>
        <v>12.420382165605096</v>
      </c>
      <c r="M163" s="126">
        <v>4.5999999999999996</v>
      </c>
      <c r="N163" s="126"/>
      <c r="O163" s="180">
        <f t="shared" si="9"/>
        <v>2.9261263490254052E-3</v>
      </c>
      <c r="P163" s="131">
        <f>O163*(1+'Key Data'!F$3)</f>
        <v>3.6576579362817565E-3</v>
      </c>
      <c r="Q163" s="366"/>
      <c r="R163" s="366"/>
      <c r="S163" s="389"/>
    </row>
    <row r="164" spans="1:19" s="44" customFormat="1" x14ac:dyDescent="0.3">
      <c r="A164" s="367"/>
      <c r="B164" s="367"/>
      <c r="C164" s="367"/>
      <c r="D164" s="367"/>
      <c r="E164" s="172"/>
      <c r="F164" s="172"/>
      <c r="G164" s="367"/>
      <c r="H164" s="94" t="s">
        <v>314</v>
      </c>
      <c r="I164" s="126">
        <v>59.5</v>
      </c>
      <c r="J164" s="126">
        <f t="shared" si="7"/>
        <v>18.949044585987259</v>
      </c>
      <c r="K164" s="126">
        <v>42</v>
      </c>
      <c r="L164" s="126">
        <f t="shared" si="8"/>
        <v>13.375796178343949</v>
      </c>
      <c r="M164" s="126">
        <v>4.8</v>
      </c>
      <c r="N164" s="126"/>
      <c r="O164" s="180">
        <f t="shared" si="9"/>
        <v>3.0650109557781072E-3</v>
      </c>
      <c r="P164" s="131">
        <f>O164*(1+'Key Data'!F$3)</f>
        <v>3.8312636947226341E-3</v>
      </c>
      <c r="Q164" s="366"/>
      <c r="R164" s="366"/>
      <c r="S164" s="389"/>
    </row>
    <row r="165" spans="1:19" s="44" customFormat="1" x14ac:dyDescent="0.3">
      <c r="A165" s="367"/>
      <c r="B165" s="367"/>
      <c r="C165" s="367"/>
      <c r="D165" s="367"/>
      <c r="E165" s="172"/>
      <c r="F165" s="172"/>
      <c r="G165" s="367"/>
      <c r="H165" s="94" t="s">
        <v>314</v>
      </c>
      <c r="I165" s="126">
        <v>66</v>
      </c>
      <c r="J165" s="126">
        <f t="shared" si="7"/>
        <v>21.019108280254777</v>
      </c>
      <c r="K165" s="126">
        <v>44</v>
      </c>
      <c r="L165" s="126">
        <f t="shared" si="8"/>
        <v>14.012738853503183</v>
      </c>
      <c r="M165" s="126">
        <v>4.9000000000000004</v>
      </c>
      <c r="N165" s="126"/>
      <c r="O165" s="180">
        <f t="shared" si="9"/>
        <v>3.1477549396261035E-3</v>
      </c>
      <c r="P165" s="131">
        <f>O165*(1+'Key Data'!F$3)</f>
        <v>3.9346936745326289E-3</v>
      </c>
      <c r="Q165" s="366"/>
      <c r="R165" s="366"/>
      <c r="S165" s="389"/>
    </row>
    <row r="166" spans="1:19" s="44" customFormat="1" x14ac:dyDescent="0.3">
      <c r="A166" s="367"/>
      <c r="B166" s="367"/>
      <c r="C166" s="367"/>
      <c r="D166" s="367"/>
      <c r="E166" s="172"/>
      <c r="F166" s="172"/>
      <c r="G166" s="367"/>
      <c r="H166" s="94" t="s">
        <v>314</v>
      </c>
      <c r="I166" s="126">
        <v>67</v>
      </c>
      <c r="J166" s="126">
        <f t="shared" si="7"/>
        <v>21.337579617834393</v>
      </c>
      <c r="K166" s="126">
        <v>36.5</v>
      </c>
      <c r="L166" s="126">
        <f t="shared" si="8"/>
        <v>11.624203821656051</v>
      </c>
      <c r="M166" s="126">
        <v>4.5</v>
      </c>
      <c r="N166" s="126"/>
      <c r="O166" s="180">
        <f t="shared" si="9"/>
        <v>2.8136665995861488E-3</v>
      </c>
      <c r="P166" s="131">
        <f>O166*(1+'Key Data'!F$3)</f>
        <v>3.5170832494826861E-3</v>
      </c>
      <c r="Q166" s="366"/>
      <c r="R166" s="366"/>
      <c r="S166" s="389"/>
    </row>
    <row r="167" spans="1:19" s="44" customFormat="1" x14ac:dyDescent="0.3">
      <c r="A167" s="367"/>
      <c r="B167" s="367"/>
      <c r="C167" s="367"/>
      <c r="D167" s="367"/>
      <c r="E167" s="172"/>
      <c r="F167" s="172"/>
      <c r="G167" s="367"/>
      <c r="H167" s="94" t="s">
        <v>314</v>
      </c>
      <c r="I167" s="126">
        <v>61.5</v>
      </c>
      <c r="J167" s="126">
        <f t="shared" si="7"/>
        <v>19.585987261146496</v>
      </c>
      <c r="K167" s="126">
        <v>46</v>
      </c>
      <c r="L167" s="126">
        <f t="shared" si="8"/>
        <v>14.64968152866242</v>
      </c>
      <c r="M167" s="126">
        <v>5</v>
      </c>
      <c r="N167" s="126"/>
      <c r="O167" s="180">
        <f t="shared" si="9"/>
        <v>3.2271842768563908E-3</v>
      </c>
      <c r="P167" s="131">
        <f>O167*(1+'Key Data'!F$3)</f>
        <v>4.0339803460704886E-3</v>
      </c>
      <c r="Q167" s="366"/>
      <c r="R167" s="366"/>
      <c r="S167" s="389"/>
    </row>
    <row r="168" spans="1:19" s="44" customFormat="1" x14ac:dyDescent="0.3">
      <c r="A168" s="367"/>
      <c r="B168" s="367"/>
      <c r="C168" s="367"/>
      <c r="D168" s="367"/>
      <c r="E168" s="172"/>
      <c r="F168" s="172"/>
      <c r="G168" s="367"/>
      <c r="H168" s="94" t="s">
        <v>314</v>
      </c>
      <c r="I168" s="126">
        <v>54</v>
      </c>
      <c r="J168" s="126">
        <f t="shared" si="7"/>
        <v>17.197452229299362</v>
      </c>
      <c r="K168" s="126">
        <v>34</v>
      </c>
      <c r="L168" s="126">
        <f t="shared" si="8"/>
        <v>10.828025477707007</v>
      </c>
      <c r="M168" s="126">
        <v>3</v>
      </c>
      <c r="N168" s="126"/>
      <c r="O168" s="180">
        <f t="shared" si="9"/>
        <v>2.4151822733077593E-3</v>
      </c>
      <c r="P168" s="131">
        <f>O168*(1+'Key Data'!F$3)</f>
        <v>3.0189778416346994E-3</v>
      </c>
      <c r="Q168" s="366"/>
      <c r="R168" s="366"/>
      <c r="S168" s="389"/>
    </row>
    <row r="169" spans="1:19" s="44" customFormat="1" x14ac:dyDescent="0.3">
      <c r="A169" s="367"/>
      <c r="B169" s="367"/>
      <c r="C169" s="367"/>
      <c r="D169" s="367"/>
      <c r="E169" s="172"/>
      <c r="F169" s="172"/>
      <c r="G169" s="367"/>
      <c r="H169" s="94" t="s">
        <v>314</v>
      </c>
      <c r="I169" s="126">
        <v>78</v>
      </c>
      <c r="J169" s="126">
        <f t="shared" si="7"/>
        <v>24.840764331210192</v>
      </c>
      <c r="K169" s="126">
        <v>37</v>
      </c>
      <c r="L169" s="126">
        <f t="shared" si="8"/>
        <v>11.783439490445859</v>
      </c>
      <c r="M169" s="126">
        <v>3.5</v>
      </c>
      <c r="N169" s="126"/>
      <c r="O169" s="180">
        <f t="shared" si="9"/>
        <v>2.6505195251908635E-3</v>
      </c>
      <c r="P169" s="131">
        <f>O169*(1+'Key Data'!F$3)</f>
        <v>3.3131494064885794E-3</v>
      </c>
      <c r="Q169" s="366"/>
      <c r="R169" s="366"/>
      <c r="S169" s="389"/>
    </row>
    <row r="170" spans="1:19" s="44" customFormat="1" x14ac:dyDescent="0.3">
      <c r="A170" s="367"/>
      <c r="B170" s="367"/>
      <c r="C170" s="367"/>
      <c r="D170" s="367"/>
      <c r="E170" s="172"/>
      <c r="F170" s="172"/>
      <c r="G170" s="367"/>
      <c r="H170" s="94" t="s">
        <v>314</v>
      </c>
      <c r="I170" s="126">
        <v>57</v>
      </c>
      <c r="J170" s="126">
        <f t="shared" si="7"/>
        <v>18.152866242038215</v>
      </c>
      <c r="K170" s="126">
        <v>44</v>
      </c>
      <c r="L170" s="126">
        <f t="shared" si="8"/>
        <v>14.012738853503183</v>
      </c>
      <c r="M170" s="126">
        <v>5</v>
      </c>
      <c r="N170" s="126"/>
      <c r="O170" s="180">
        <f t="shared" si="9"/>
        <v>3.1624625105532572E-3</v>
      </c>
      <c r="P170" s="131">
        <f>O170*(1+'Key Data'!F$3)</f>
        <v>3.9530781381915715E-3</v>
      </c>
      <c r="Q170" s="366"/>
      <c r="R170" s="366"/>
      <c r="S170" s="389"/>
    </row>
    <row r="171" spans="1:19" s="44" customFormat="1" x14ac:dyDescent="0.3">
      <c r="A171" s="367"/>
      <c r="B171" s="367"/>
      <c r="C171" s="367"/>
      <c r="D171" s="367"/>
      <c r="E171" s="172"/>
      <c r="F171" s="172"/>
      <c r="G171" s="367"/>
      <c r="H171" s="94" t="s">
        <v>314</v>
      </c>
      <c r="I171" s="126">
        <v>65</v>
      </c>
      <c r="J171" s="126">
        <f t="shared" si="7"/>
        <v>20.700636942675157</v>
      </c>
      <c r="K171" s="126">
        <v>46</v>
      </c>
      <c r="L171" s="126">
        <f t="shared" si="8"/>
        <v>14.64968152866242</v>
      </c>
      <c r="M171" s="126">
        <v>4.9000000000000004</v>
      </c>
      <c r="N171" s="126"/>
      <c r="O171" s="180">
        <f t="shared" si="9"/>
        <v>3.2124767059292371E-3</v>
      </c>
      <c r="P171" s="131">
        <f>O171*(1+'Key Data'!F$3)</f>
        <v>4.015595882411546E-3</v>
      </c>
      <c r="Q171" s="366"/>
      <c r="R171" s="366"/>
      <c r="S171" s="389"/>
    </row>
    <row r="172" spans="1:19" s="44" customFormat="1" x14ac:dyDescent="0.3">
      <c r="A172" s="367"/>
      <c r="B172" s="367"/>
      <c r="C172" s="367"/>
      <c r="D172" s="367"/>
      <c r="E172" s="172"/>
      <c r="F172" s="172"/>
      <c r="G172" s="367"/>
      <c r="H172" s="94" t="s">
        <v>314</v>
      </c>
      <c r="I172" s="126">
        <v>53</v>
      </c>
      <c r="J172" s="126">
        <f t="shared" si="7"/>
        <v>16.878980891719745</v>
      </c>
      <c r="K172" s="126">
        <v>42.6</v>
      </c>
      <c r="L172" s="126">
        <f t="shared" si="8"/>
        <v>13.566878980891719</v>
      </c>
      <c r="M172" s="126">
        <v>5.2</v>
      </c>
      <c r="N172" s="126"/>
      <c r="O172" s="180">
        <f t="shared" si="9"/>
        <v>3.1439348755127302E-3</v>
      </c>
      <c r="P172" s="131">
        <f>O172*(1+'Key Data'!F$3)</f>
        <v>3.9299185943909125E-3</v>
      </c>
      <c r="Q172" s="366"/>
      <c r="R172" s="366"/>
      <c r="S172" s="389"/>
    </row>
    <row r="173" spans="1:19" s="44" customFormat="1" x14ac:dyDescent="0.3">
      <c r="A173" s="367"/>
      <c r="B173" s="367"/>
      <c r="C173" s="367"/>
      <c r="D173" s="367"/>
      <c r="E173" s="172"/>
      <c r="F173" s="172"/>
      <c r="G173" s="367"/>
      <c r="H173" s="94" t="s">
        <v>314</v>
      </c>
      <c r="I173" s="126">
        <v>57</v>
      </c>
      <c r="J173" s="126">
        <f t="shared" si="7"/>
        <v>18.152866242038215</v>
      </c>
      <c r="K173" s="126">
        <v>25.6</v>
      </c>
      <c r="L173" s="126">
        <f t="shared" si="8"/>
        <v>8.1528662420382165</v>
      </c>
      <c r="M173" s="126">
        <v>3.6</v>
      </c>
      <c r="N173" s="126"/>
      <c r="O173" s="180">
        <f t="shared" si="9"/>
        <v>2.1347459065755399E-3</v>
      </c>
      <c r="P173" s="131">
        <f>O173*(1+'Key Data'!F$3)</f>
        <v>2.668432383219425E-3</v>
      </c>
      <c r="Q173" s="366"/>
      <c r="R173" s="366"/>
      <c r="S173" s="389"/>
    </row>
    <row r="174" spans="1:19" s="44" customFormat="1" x14ac:dyDescent="0.3">
      <c r="A174" s="367"/>
      <c r="B174" s="367"/>
      <c r="C174" s="367"/>
      <c r="D174" s="367"/>
      <c r="E174" s="172"/>
      <c r="F174" s="172"/>
      <c r="G174" s="367"/>
      <c r="H174" s="94" t="s">
        <v>314</v>
      </c>
      <c r="I174" s="126">
        <v>57</v>
      </c>
      <c r="J174" s="126">
        <f t="shared" si="7"/>
        <v>18.152866242038215</v>
      </c>
      <c r="K174" s="126">
        <v>36.4</v>
      </c>
      <c r="L174" s="126">
        <f t="shared" si="8"/>
        <v>11.592356687898087</v>
      </c>
      <c r="M174" s="126">
        <v>4.8</v>
      </c>
      <c r="N174" s="126"/>
      <c r="O174" s="180">
        <f t="shared" si="9"/>
        <v>2.8566561274372881E-3</v>
      </c>
      <c r="P174" s="131">
        <f>O174*(1+'Key Data'!F$3)</f>
        <v>3.5708201592966103E-3</v>
      </c>
      <c r="Q174" s="366"/>
      <c r="R174" s="366"/>
      <c r="S174" s="389"/>
    </row>
    <row r="175" spans="1:19" s="44" customFormat="1" x14ac:dyDescent="0.3">
      <c r="A175" s="367"/>
      <c r="B175" s="367"/>
      <c r="C175" s="367"/>
      <c r="D175" s="367"/>
      <c r="E175" s="172"/>
      <c r="F175" s="172"/>
      <c r="G175" s="367"/>
      <c r="H175" s="94" t="s">
        <v>314</v>
      </c>
      <c r="I175" s="126">
        <v>54</v>
      </c>
      <c r="J175" s="126">
        <f t="shared" si="7"/>
        <v>17.197452229299362</v>
      </c>
      <c r="K175" s="126">
        <v>42.6</v>
      </c>
      <c r="L175" s="126">
        <f t="shared" si="8"/>
        <v>13.566878980891719</v>
      </c>
      <c r="M175" s="126">
        <v>5.2</v>
      </c>
      <c r="N175" s="126"/>
      <c r="O175" s="180">
        <f t="shared" si="9"/>
        <v>3.1439348755127302E-3</v>
      </c>
      <c r="P175" s="131">
        <f>O175*(1+'Key Data'!F$3)</f>
        <v>3.9299185943909125E-3</v>
      </c>
      <c r="Q175" s="366"/>
      <c r="R175" s="366"/>
      <c r="S175" s="389"/>
    </row>
    <row r="176" spans="1:19" s="44" customFormat="1" x14ac:dyDescent="0.3">
      <c r="A176" s="367"/>
      <c r="B176" s="367"/>
      <c r="C176" s="367"/>
      <c r="D176" s="367"/>
      <c r="E176" s="172"/>
      <c r="F176" s="172"/>
      <c r="G176" s="367"/>
      <c r="H176" s="94" t="s">
        <v>314</v>
      </c>
      <c r="I176" s="126">
        <v>47</v>
      </c>
      <c r="J176" s="126">
        <f t="shared" si="7"/>
        <v>14.968152866242038</v>
      </c>
      <c r="K176" s="126">
        <v>27.8</v>
      </c>
      <c r="L176" s="126">
        <f t="shared" si="8"/>
        <v>8.8535031847133752</v>
      </c>
      <c r="M176" s="126">
        <v>3.6</v>
      </c>
      <c r="N176" s="126"/>
      <c r="O176" s="180">
        <f t="shared" si="9"/>
        <v>2.2547838889468643E-3</v>
      </c>
      <c r="P176" s="131">
        <f>O176*(1+'Key Data'!F$3)</f>
        <v>2.8184798611835802E-3</v>
      </c>
      <c r="Q176" s="366"/>
      <c r="R176" s="366"/>
      <c r="S176" s="389"/>
    </row>
    <row r="177" spans="1:19" s="44" customFormat="1" x14ac:dyDescent="0.3">
      <c r="A177" s="367"/>
      <c r="B177" s="367"/>
      <c r="C177" s="367"/>
      <c r="D177" s="367"/>
      <c r="E177" s="172"/>
      <c r="F177" s="172"/>
      <c r="G177" s="367"/>
      <c r="H177" s="94" t="s">
        <v>314</v>
      </c>
      <c r="I177" s="126">
        <v>58</v>
      </c>
      <c r="J177" s="126">
        <f t="shared" si="7"/>
        <v>18.471337579617835</v>
      </c>
      <c r="K177" s="126">
        <v>40.6</v>
      </c>
      <c r="L177" s="126">
        <f t="shared" si="8"/>
        <v>12.929936305732484</v>
      </c>
      <c r="M177" s="126">
        <v>5.3</v>
      </c>
      <c r="N177" s="126"/>
      <c r="O177" s="180">
        <f t="shared" si="9"/>
        <v>3.0877884736633162E-3</v>
      </c>
      <c r="P177" s="131">
        <f>O177*(1+'Key Data'!F$3)</f>
        <v>3.8597355920791452E-3</v>
      </c>
      <c r="Q177" s="366"/>
      <c r="R177" s="366"/>
      <c r="S177" s="389"/>
    </row>
    <row r="178" spans="1:19" s="44" customFormat="1" x14ac:dyDescent="0.3">
      <c r="A178" s="367"/>
      <c r="B178" s="367"/>
      <c r="C178" s="367"/>
      <c r="D178" s="367"/>
      <c r="E178" s="172"/>
      <c r="F178" s="172"/>
      <c r="G178" s="367"/>
      <c r="H178" s="94" t="s">
        <v>314</v>
      </c>
      <c r="I178" s="126">
        <v>53.6</v>
      </c>
      <c r="J178" s="126">
        <f t="shared" si="7"/>
        <v>17.070063694267517</v>
      </c>
      <c r="K178" s="126">
        <v>40.799999999999997</v>
      </c>
      <c r="L178" s="126">
        <f t="shared" si="8"/>
        <v>12.993630573248407</v>
      </c>
      <c r="M178" s="126">
        <v>5</v>
      </c>
      <c r="N178" s="126"/>
      <c r="O178" s="180">
        <f t="shared" si="9"/>
        <v>3.0525235141013979E-3</v>
      </c>
      <c r="P178" s="131">
        <f>O178*(1+'Key Data'!F$3)</f>
        <v>3.8156543926267474E-3</v>
      </c>
      <c r="Q178" s="366"/>
      <c r="R178" s="366"/>
      <c r="S178" s="389"/>
    </row>
    <row r="179" spans="1:19" s="44" customFormat="1" x14ac:dyDescent="0.3">
      <c r="A179" s="367"/>
      <c r="B179" s="367"/>
      <c r="C179" s="367"/>
      <c r="D179" s="367"/>
      <c r="E179" s="172"/>
      <c r="F179" s="172"/>
      <c r="G179" s="367"/>
      <c r="H179" s="94" t="s">
        <v>314</v>
      </c>
      <c r="I179" s="126">
        <v>50</v>
      </c>
      <c r="J179" s="126">
        <f t="shared" si="7"/>
        <v>15.923566878980891</v>
      </c>
      <c r="K179" s="126">
        <v>31.2</v>
      </c>
      <c r="L179" s="126">
        <f t="shared" si="8"/>
        <v>9.936305732484076</v>
      </c>
      <c r="M179" s="126">
        <v>3.1</v>
      </c>
      <c r="N179" s="126"/>
      <c r="O179" s="180">
        <f t="shared" si="9"/>
        <v>2.3139210865330416E-3</v>
      </c>
      <c r="P179" s="131">
        <f>O179*(1+'Key Data'!F$3)</f>
        <v>2.8924013581663019E-3</v>
      </c>
      <c r="Q179" s="366"/>
      <c r="R179" s="366"/>
      <c r="S179" s="389"/>
    </row>
    <row r="180" spans="1:19" s="44" customFormat="1" x14ac:dyDescent="0.3">
      <c r="A180" s="367"/>
      <c r="B180" s="367"/>
      <c r="C180" s="367"/>
      <c r="D180" s="367"/>
      <c r="E180" s="172"/>
      <c r="F180" s="172"/>
      <c r="G180" s="367"/>
      <c r="H180" s="94" t="s">
        <v>314</v>
      </c>
      <c r="I180" s="126">
        <v>48</v>
      </c>
      <c r="J180" s="126">
        <f t="shared" si="7"/>
        <v>15.286624203821656</v>
      </c>
      <c r="K180" s="126">
        <v>30.2</v>
      </c>
      <c r="L180" s="126">
        <f t="shared" si="8"/>
        <v>9.6178343949044578</v>
      </c>
      <c r="M180" s="126">
        <v>4</v>
      </c>
      <c r="N180" s="126"/>
      <c r="O180" s="180">
        <f t="shared" si="9"/>
        <v>2.4520517401100035E-3</v>
      </c>
      <c r="P180" s="131">
        <f>O180*(1+'Key Data'!F$3)</f>
        <v>3.0650646751375042E-3</v>
      </c>
      <c r="Q180" s="366"/>
      <c r="R180" s="366"/>
      <c r="S180" s="389"/>
    </row>
    <row r="181" spans="1:19" s="44" customFormat="1" x14ac:dyDescent="0.3">
      <c r="A181" s="367"/>
      <c r="B181" s="367"/>
      <c r="C181" s="367"/>
      <c r="D181" s="367"/>
      <c r="E181" s="172"/>
      <c r="F181" s="172"/>
      <c r="G181" s="367"/>
      <c r="H181" s="94" t="s">
        <v>314</v>
      </c>
      <c r="I181" s="126">
        <v>61.2</v>
      </c>
      <c r="J181" s="126">
        <f t="shared" si="7"/>
        <v>19.490445859872612</v>
      </c>
      <c r="K181" s="126">
        <v>49.6</v>
      </c>
      <c r="L181" s="126">
        <f t="shared" si="8"/>
        <v>15.796178343949045</v>
      </c>
      <c r="M181" s="126">
        <v>5.2</v>
      </c>
      <c r="N181" s="126"/>
      <c r="O181" s="180">
        <f t="shared" si="9"/>
        <v>3.3654457366560225E-3</v>
      </c>
      <c r="P181" s="131">
        <f>O181*(1+'Key Data'!F$3)</f>
        <v>4.2068071708200282E-3</v>
      </c>
      <c r="Q181" s="366"/>
      <c r="R181" s="366"/>
      <c r="S181" s="389"/>
    </row>
    <row r="182" spans="1:19" s="44" customFormat="1" x14ac:dyDescent="0.3">
      <c r="A182" s="367"/>
      <c r="B182" s="367"/>
      <c r="C182" s="367"/>
      <c r="D182" s="367"/>
      <c r="E182" s="172"/>
      <c r="F182" s="172"/>
      <c r="G182" s="367"/>
      <c r="H182" s="94" t="s">
        <v>314</v>
      </c>
      <c r="I182" s="126">
        <v>57.6</v>
      </c>
      <c r="J182" s="126">
        <f t="shared" si="7"/>
        <v>18.343949044585987</v>
      </c>
      <c r="K182" s="126">
        <v>37.799999999999997</v>
      </c>
      <c r="L182" s="126">
        <f t="shared" si="8"/>
        <v>12.038216560509552</v>
      </c>
      <c r="M182" s="126">
        <v>4.8</v>
      </c>
      <c r="N182" s="126"/>
      <c r="O182" s="180">
        <f t="shared" si="9"/>
        <v>2.9116060449803118E-3</v>
      </c>
      <c r="P182" s="131">
        <f>O182*(1+'Key Data'!F$3)</f>
        <v>3.6395075562253897E-3</v>
      </c>
      <c r="Q182" s="366"/>
      <c r="R182" s="366"/>
      <c r="S182" s="389"/>
    </row>
    <row r="183" spans="1:19" s="44" customFormat="1" x14ac:dyDescent="0.3">
      <c r="A183" s="367"/>
      <c r="B183" s="367"/>
      <c r="C183" s="367"/>
      <c r="D183" s="367"/>
      <c r="E183" s="172"/>
      <c r="F183" s="172"/>
      <c r="G183" s="367"/>
      <c r="H183" s="94" t="s">
        <v>314</v>
      </c>
      <c r="I183" s="126">
        <v>74</v>
      </c>
      <c r="J183" s="126">
        <f t="shared" si="7"/>
        <v>23.566878980891719</v>
      </c>
      <c r="K183" s="126">
        <v>45</v>
      </c>
      <c r="L183" s="126">
        <f t="shared" si="8"/>
        <v>14.331210191082802</v>
      </c>
      <c r="M183" s="126">
        <v>5.5</v>
      </c>
      <c r="N183" s="126"/>
      <c r="O183" s="180">
        <f t="shared" si="9"/>
        <v>3.2645687995714033E-3</v>
      </c>
      <c r="P183" s="131">
        <f>O183*(1+'Key Data'!F$3)</f>
        <v>4.080710999464254E-3</v>
      </c>
      <c r="Q183" s="366"/>
      <c r="R183" s="366"/>
      <c r="S183" s="389"/>
    </row>
    <row r="184" spans="1:19" s="44" customFormat="1" x14ac:dyDescent="0.3">
      <c r="A184" s="367"/>
      <c r="B184" s="367"/>
      <c r="C184" s="367"/>
      <c r="D184" s="367"/>
      <c r="E184" s="172"/>
      <c r="F184" s="172"/>
      <c r="G184" s="367"/>
      <c r="H184" s="94" t="s">
        <v>314</v>
      </c>
      <c r="I184" s="126">
        <v>54.5</v>
      </c>
      <c r="J184" s="126">
        <f t="shared" si="7"/>
        <v>17.35668789808917</v>
      </c>
      <c r="K184" s="126">
        <v>35</v>
      </c>
      <c r="L184" s="126">
        <f t="shared" si="8"/>
        <v>11.146496815286623</v>
      </c>
      <c r="M184" s="126">
        <v>5.2</v>
      </c>
      <c r="N184" s="126"/>
      <c r="O184" s="180">
        <f t="shared" si="9"/>
        <v>2.8578218602724444E-3</v>
      </c>
      <c r="P184" s="131">
        <f>O184*(1+'Key Data'!F$3)</f>
        <v>3.5722773253405553E-3</v>
      </c>
      <c r="Q184" s="366"/>
      <c r="R184" s="366"/>
      <c r="S184" s="389"/>
    </row>
    <row r="185" spans="1:19" s="44" customFormat="1" x14ac:dyDescent="0.3">
      <c r="A185" s="367"/>
      <c r="B185" s="367"/>
      <c r="C185" s="367"/>
      <c r="D185" s="367"/>
      <c r="E185" s="172"/>
      <c r="F185" s="172"/>
      <c r="G185" s="367"/>
      <c r="H185" s="94" t="s">
        <v>314</v>
      </c>
      <c r="I185" s="126">
        <v>79</v>
      </c>
      <c r="J185" s="126">
        <f t="shared" si="7"/>
        <v>25.159235668789808</v>
      </c>
      <c r="K185" s="126">
        <v>38.5</v>
      </c>
      <c r="L185" s="126">
        <f t="shared" si="8"/>
        <v>12.261146496815286</v>
      </c>
      <c r="M185" s="126">
        <v>4.8</v>
      </c>
      <c r="N185" s="126"/>
      <c r="O185" s="180">
        <f t="shared" si="9"/>
        <v>2.9383223908812069E-3</v>
      </c>
      <c r="P185" s="131">
        <f>O185*(1+'Key Data'!F$3)</f>
        <v>3.6729029886015084E-3</v>
      </c>
      <c r="Q185" s="366"/>
      <c r="R185" s="366"/>
      <c r="S185" s="389"/>
    </row>
    <row r="186" spans="1:19" s="44" customFormat="1" x14ac:dyDescent="0.3">
      <c r="A186" s="367"/>
      <c r="B186" s="367"/>
      <c r="C186" s="367"/>
      <c r="D186" s="367"/>
      <c r="E186" s="172"/>
      <c r="F186" s="172"/>
      <c r="G186" s="367"/>
      <c r="H186" s="94" t="s">
        <v>314</v>
      </c>
      <c r="I186" s="126">
        <v>48.5</v>
      </c>
      <c r="J186" s="126">
        <f t="shared" si="7"/>
        <v>15.445859872611464</v>
      </c>
      <c r="K186" s="126">
        <v>34</v>
      </c>
      <c r="L186" s="126">
        <f t="shared" si="8"/>
        <v>10.828025477707007</v>
      </c>
      <c r="M186" s="126">
        <v>3.6</v>
      </c>
      <c r="N186" s="126"/>
      <c r="O186" s="180">
        <f t="shared" si="9"/>
        <v>2.5479123666537584E-3</v>
      </c>
      <c r="P186" s="131">
        <f>O186*(1+'Key Data'!F$3)</f>
        <v>3.1848904583171981E-3</v>
      </c>
      <c r="Q186" s="366"/>
      <c r="R186" s="366"/>
      <c r="S186" s="389"/>
    </row>
    <row r="187" spans="1:19" s="44" customFormat="1" x14ac:dyDescent="0.3">
      <c r="A187" s="367"/>
      <c r="B187" s="367"/>
      <c r="C187" s="367"/>
      <c r="D187" s="367"/>
      <c r="E187" s="172"/>
      <c r="F187" s="172"/>
      <c r="G187" s="367"/>
      <c r="H187" s="94" t="s">
        <v>314</v>
      </c>
      <c r="I187" s="126">
        <v>70.5</v>
      </c>
      <c r="J187" s="126">
        <f t="shared" si="7"/>
        <v>22.452229299363058</v>
      </c>
      <c r="K187" s="126">
        <v>42</v>
      </c>
      <c r="L187" s="126">
        <f t="shared" si="8"/>
        <v>13.375796178343949</v>
      </c>
      <c r="M187" s="126">
        <v>5.3</v>
      </c>
      <c r="N187" s="126"/>
      <c r="O187" s="180">
        <f t="shared" si="9"/>
        <v>3.1371491329031079E-3</v>
      </c>
      <c r="P187" s="131">
        <f>O187*(1+'Key Data'!F$3)</f>
        <v>3.9214364161288852E-3</v>
      </c>
      <c r="Q187" s="366"/>
      <c r="R187" s="366"/>
      <c r="S187" s="389"/>
    </row>
    <row r="188" spans="1:19" s="44" customFormat="1" x14ac:dyDescent="0.3">
      <c r="A188" s="367"/>
      <c r="B188" s="367"/>
      <c r="C188" s="367"/>
      <c r="D188" s="367"/>
      <c r="E188" s="172"/>
      <c r="F188" s="172"/>
      <c r="G188" s="367"/>
      <c r="H188" s="94" t="s">
        <v>314</v>
      </c>
      <c r="I188" s="126">
        <v>56</v>
      </c>
      <c r="J188" s="126">
        <f t="shared" si="7"/>
        <v>17.834394904458598</v>
      </c>
      <c r="K188" s="126">
        <v>30</v>
      </c>
      <c r="L188" s="126">
        <f t="shared" si="8"/>
        <v>9.5541401273885338</v>
      </c>
      <c r="M188" s="126">
        <v>3.5</v>
      </c>
      <c r="N188" s="126"/>
      <c r="O188" s="180">
        <f t="shared" si="9"/>
        <v>2.3451664320809701E-3</v>
      </c>
      <c r="P188" s="131">
        <f>O188*(1+'Key Data'!F$3)</f>
        <v>2.9314580401012128E-3</v>
      </c>
      <c r="Q188" s="366"/>
      <c r="R188" s="366"/>
      <c r="S188" s="389"/>
    </row>
    <row r="189" spans="1:19" s="44" customFormat="1" x14ac:dyDescent="0.3">
      <c r="A189" s="367"/>
      <c r="B189" s="367"/>
      <c r="C189" s="367"/>
      <c r="D189" s="367"/>
      <c r="E189" s="172"/>
      <c r="F189" s="172"/>
      <c r="G189" s="367"/>
      <c r="H189" s="94" t="s">
        <v>314</v>
      </c>
      <c r="I189" s="126">
        <v>63.5</v>
      </c>
      <c r="J189" s="126">
        <f t="shared" si="7"/>
        <v>20.222929936305732</v>
      </c>
      <c r="K189" s="126">
        <v>28</v>
      </c>
      <c r="L189" s="126">
        <f t="shared" si="8"/>
        <v>8.9171974522292992</v>
      </c>
      <c r="M189" s="126">
        <v>3.8</v>
      </c>
      <c r="N189" s="126"/>
      <c r="O189" s="180">
        <f t="shared" si="9"/>
        <v>2.3045821467124849E-3</v>
      </c>
      <c r="P189" s="131">
        <f>O189*(1+'Key Data'!F$3)</f>
        <v>2.8807276833906063E-3</v>
      </c>
      <c r="Q189" s="366"/>
      <c r="R189" s="366"/>
      <c r="S189" s="389"/>
    </row>
    <row r="190" spans="1:19" s="44" customFormat="1" x14ac:dyDescent="0.3">
      <c r="A190" s="367"/>
      <c r="B190" s="367"/>
      <c r="C190" s="367"/>
      <c r="D190" s="367"/>
      <c r="E190" s="172"/>
      <c r="F190" s="172"/>
      <c r="G190" s="367"/>
      <c r="H190" s="94" t="s">
        <v>314</v>
      </c>
      <c r="I190" s="126">
        <v>65</v>
      </c>
      <c r="J190" s="126">
        <f t="shared" si="7"/>
        <v>20.700636942675157</v>
      </c>
      <c r="K190" s="126">
        <v>37</v>
      </c>
      <c r="L190" s="126">
        <f t="shared" si="8"/>
        <v>11.783439490445859</v>
      </c>
      <c r="M190" s="126">
        <v>4.9000000000000004</v>
      </c>
      <c r="N190" s="126"/>
      <c r="O190" s="180">
        <f t="shared" si="9"/>
        <v>2.8954713134511064E-3</v>
      </c>
      <c r="P190" s="131">
        <f>O190*(1+'Key Data'!F$3)</f>
        <v>3.6193391418138827E-3</v>
      </c>
      <c r="Q190" s="366"/>
      <c r="R190" s="366"/>
      <c r="S190" s="389"/>
    </row>
    <row r="191" spans="1:19" s="44" customFormat="1" x14ac:dyDescent="0.3">
      <c r="A191" s="367"/>
      <c r="B191" s="367"/>
      <c r="C191" s="367"/>
      <c r="D191" s="367"/>
      <c r="E191" s="172"/>
      <c r="F191" s="172"/>
      <c r="G191" s="367"/>
      <c r="H191" s="94" t="s">
        <v>314</v>
      </c>
      <c r="I191" s="126">
        <v>77</v>
      </c>
      <c r="J191" s="126">
        <f t="shared" si="7"/>
        <v>24.522292993630572</v>
      </c>
      <c r="K191" s="126">
        <v>37.5</v>
      </c>
      <c r="L191" s="126">
        <f t="shared" si="8"/>
        <v>11.942675159235668</v>
      </c>
      <c r="M191" s="126">
        <v>4.8</v>
      </c>
      <c r="N191" s="126"/>
      <c r="O191" s="180">
        <f t="shared" si="9"/>
        <v>2.9000043899711113E-3</v>
      </c>
      <c r="P191" s="131">
        <f>O191*(1+'Key Data'!F$3)</f>
        <v>3.6250054874638893E-3</v>
      </c>
      <c r="Q191" s="366"/>
      <c r="R191" s="366"/>
      <c r="S191" s="389"/>
    </row>
    <row r="192" spans="1:19" s="44" customFormat="1" x14ac:dyDescent="0.3">
      <c r="A192" s="367"/>
      <c r="B192" s="367"/>
      <c r="C192" s="367"/>
      <c r="D192" s="367"/>
      <c r="E192" s="172"/>
      <c r="F192" s="172"/>
      <c r="G192" s="367"/>
      <c r="H192" s="94" t="s">
        <v>314</v>
      </c>
      <c r="I192" s="126">
        <v>57.5</v>
      </c>
      <c r="J192" s="126">
        <f t="shared" si="7"/>
        <v>18.312101910828027</v>
      </c>
      <c r="K192" s="126">
        <v>29</v>
      </c>
      <c r="L192" s="126">
        <f t="shared" si="8"/>
        <v>9.2356687898089174</v>
      </c>
      <c r="M192" s="126">
        <v>2.6</v>
      </c>
      <c r="N192" s="126"/>
      <c r="O192" s="180">
        <f t="shared" si="9"/>
        <v>2.0794066637565239E-3</v>
      </c>
      <c r="P192" s="131">
        <f>O192*(1+'Key Data'!F$3)</f>
        <v>2.599258329695655E-3</v>
      </c>
      <c r="Q192" s="366"/>
      <c r="R192" s="366"/>
      <c r="S192" s="389"/>
    </row>
    <row r="193" spans="1:19" s="44" customFormat="1" x14ac:dyDescent="0.3">
      <c r="A193" s="367"/>
      <c r="B193" s="367"/>
      <c r="C193" s="367"/>
      <c r="D193" s="367"/>
      <c r="E193" s="172"/>
      <c r="F193" s="172"/>
      <c r="G193" s="367"/>
      <c r="H193" s="94" t="s">
        <v>314</v>
      </c>
      <c r="I193" s="126">
        <v>67.5</v>
      </c>
      <c r="J193" s="126">
        <f t="shared" si="7"/>
        <v>21.496815286624201</v>
      </c>
      <c r="K193" s="126">
        <v>42</v>
      </c>
      <c r="L193" s="126">
        <f t="shared" si="8"/>
        <v>13.375796178343949</v>
      </c>
      <c r="M193" s="126">
        <v>5.2</v>
      </c>
      <c r="N193" s="126"/>
      <c r="O193" s="180">
        <f t="shared" si="9"/>
        <v>3.123282046964443E-3</v>
      </c>
      <c r="P193" s="131">
        <f>O193*(1+'Key Data'!F$3)</f>
        <v>3.9041025587055536E-3</v>
      </c>
      <c r="Q193" s="366"/>
      <c r="R193" s="366"/>
      <c r="S193" s="389"/>
    </row>
    <row r="194" spans="1:19" s="44" customFormat="1" x14ac:dyDescent="0.3">
      <c r="A194" s="367"/>
      <c r="B194" s="367"/>
      <c r="C194" s="367"/>
      <c r="D194" s="367"/>
      <c r="E194" s="172"/>
      <c r="F194" s="172"/>
      <c r="G194" s="367"/>
      <c r="H194" s="94" t="s">
        <v>314</v>
      </c>
      <c r="I194" s="126">
        <v>66</v>
      </c>
      <c r="J194" s="126">
        <f t="shared" ref="J194:J257" si="10">I194/3.14</f>
        <v>21.019108280254777</v>
      </c>
      <c r="K194" s="126">
        <v>41</v>
      </c>
      <c r="L194" s="126">
        <f t="shared" si="8"/>
        <v>13.057324840764331</v>
      </c>
      <c r="M194" s="126">
        <v>5.2</v>
      </c>
      <c r="N194" s="126"/>
      <c r="O194" s="180">
        <f t="shared" si="9"/>
        <v>3.0881960118653304E-3</v>
      </c>
      <c r="P194" s="131">
        <f>O194*(1+'Key Data'!F$3)</f>
        <v>3.8602450148316628E-3</v>
      </c>
      <c r="Q194" s="366"/>
      <c r="R194" s="366"/>
      <c r="S194" s="389"/>
    </row>
    <row r="195" spans="1:19" s="44" customFormat="1" x14ac:dyDescent="0.3">
      <c r="A195" s="367"/>
      <c r="B195" s="367"/>
      <c r="C195" s="367"/>
      <c r="D195" s="367"/>
      <c r="E195" s="172"/>
      <c r="F195" s="172"/>
      <c r="G195" s="367"/>
      <c r="H195" s="94" t="s">
        <v>314</v>
      </c>
      <c r="I195" s="126">
        <v>53</v>
      </c>
      <c r="J195" s="126">
        <f t="shared" si="10"/>
        <v>16.878980891719745</v>
      </c>
      <c r="K195" s="126">
        <v>42.5</v>
      </c>
      <c r="L195" s="126">
        <f t="shared" si="8"/>
        <v>13.535031847133757</v>
      </c>
      <c r="M195" s="126">
        <v>5.3</v>
      </c>
      <c r="N195" s="126"/>
      <c r="O195" s="180">
        <f t="shared" si="9"/>
        <v>3.1543801032371437E-3</v>
      </c>
      <c r="P195" s="131">
        <f>O195*(1+'Key Data'!F$3)</f>
        <v>3.9429751290464294E-3</v>
      </c>
      <c r="Q195" s="366"/>
      <c r="R195" s="366"/>
      <c r="S195" s="389"/>
    </row>
    <row r="196" spans="1:19" s="44" customFormat="1" x14ac:dyDescent="0.3">
      <c r="A196" s="367"/>
      <c r="B196" s="367"/>
      <c r="C196" s="367"/>
      <c r="D196" s="367"/>
      <c r="E196" s="172"/>
      <c r="F196" s="172"/>
      <c r="G196" s="367"/>
      <c r="H196" s="94" t="s">
        <v>314</v>
      </c>
      <c r="I196" s="126">
        <v>54.5</v>
      </c>
      <c r="J196" s="126">
        <f t="shared" si="10"/>
        <v>17.35668789808917</v>
      </c>
      <c r="K196" s="126">
        <v>34.5</v>
      </c>
      <c r="L196" s="126">
        <f t="shared" si="8"/>
        <v>10.987261146496815</v>
      </c>
      <c r="M196" s="126">
        <v>4.3</v>
      </c>
      <c r="N196" s="126"/>
      <c r="O196" s="180">
        <f t="shared" si="9"/>
        <v>2.6985201156398213E-3</v>
      </c>
      <c r="P196" s="131">
        <f>O196*(1+'Key Data'!F$3)</f>
        <v>3.3731501445497768E-3</v>
      </c>
      <c r="Q196" s="366"/>
      <c r="R196" s="366"/>
      <c r="S196" s="389"/>
    </row>
    <row r="197" spans="1:19" s="44" customFormat="1" x14ac:dyDescent="0.3">
      <c r="A197" s="367"/>
      <c r="B197" s="367"/>
      <c r="C197" s="367"/>
      <c r="D197" s="367"/>
      <c r="E197" s="172"/>
      <c r="F197" s="172"/>
      <c r="G197" s="367"/>
      <c r="H197" s="94" t="s">
        <v>314</v>
      </c>
      <c r="I197" s="126">
        <v>52</v>
      </c>
      <c r="J197" s="126">
        <f t="shared" si="10"/>
        <v>16.560509554140125</v>
      </c>
      <c r="K197" s="126">
        <v>36.5</v>
      </c>
      <c r="L197" s="126">
        <f t="shared" si="8"/>
        <v>11.624203821656051</v>
      </c>
      <c r="M197" s="126">
        <v>3.2</v>
      </c>
      <c r="N197" s="126"/>
      <c r="O197" s="180">
        <f t="shared" si="9"/>
        <v>2.565472044271557E-3</v>
      </c>
      <c r="P197" s="131">
        <f>O197*(1+'Key Data'!F$3)</f>
        <v>3.2068400553394464E-3</v>
      </c>
      <c r="Q197" s="366"/>
      <c r="R197" s="366"/>
      <c r="S197" s="389"/>
    </row>
    <row r="198" spans="1:19" s="44" customFormat="1" x14ac:dyDescent="0.3">
      <c r="A198" s="367"/>
      <c r="B198" s="367"/>
      <c r="C198" s="367"/>
      <c r="D198" s="367"/>
      <c r="E198" s="172"/>
      <c r="F198" s="172"/>
      <c r="G198" s="367"/>
      <c r="H198" s="94" t="s">
        <v>314</v>
      </c>
      <c r="I198" s="126">
        <v>73</v>
      </c>
      <c r="J198" s="126">
        <f t="shared" si="10"/>
        <v>23.248407643312103</v>
      </c>
      <c r="K198" s="126">
        <v>43.5</v>
      </c>
      <c r="L198" s="126">
        <f t="shared" si="8"/>
        <v>13.853503184713375</v>
      </c>
      <c r="M198" s="126">
        <v>4.5999999999999996</v>
      </c>
      <c r="N198" s="126"/>
      <c r="O198" s="180">
        <f t="shared" si="9"/>
        <v>3.0851205181264339E-3</v>
      </c>
      <c r="P198" s="131">
        <f>O198*(1+'Key Data'!F$3)</f>
        <v>3.8564006476580425E-3</v>
      </c>
      <c r="Q198" s="366"/>
      <c r="R198" s="366"/>
      <c r="S198" s="389"/>
    </row>
    <row r="199" spans="1:19" s="44" customFormat="1" x14ac:dyDescent="0.3">
      <c r="A199" s="367"/>
      <c r="B199" s="367"/>
      <c r="C199" s="367"/>
      <c r="D199" s="367"/>
      <c r="E199" s="172"/>
      <c r="F199" s="172"/>
      <c r="G199" s="367"/>
      <c r="H199" s="94" t="s">
        <v>314</v>
      </c>
      <c r="I199" s="126">
        <v>64</v>
      </c>
      <c r="J199" s="126">
        <f t="shared" si="10"/>
        <v>20.38216560509554</v>
      </c>
      <c r="K199" s="126">
        <v>38.5</v>
      </c>
      <c r="L199" s="126">
        <f t="shared" si="8"/>
        <v>12.261146496815286</v>
      </c>
      <c r="M199" s="126">
        <v>4.5999999999999996</v>
      </c>
      <c r="N199" s="126"/>
      <c r="O199" s="180">
        <f t="shared" si="9"/>
        <v>2.9073389915843231E-3</v>
      </c>
      <c r="P199" s="131">
        <f>O199*(1+'Key Data'!F$3)</f>
        <v>3.6341737394804041E-3</v>
      </c>
      <c r="Q199" s="366"/>
      <c r="R199" s="366"/>
      <c r="S199" s="389"/>
    </row>
    <row r="200" spans="1:19" s="44" customFormat="1" x14ac:dyDescent="0.3">
      <c r="A200" s="367"/>
      <c r="B200" s="367"/>
      <c r="C200" s="367"/>
      <c r="D200" s="367"/>
      <c r="E200" s="172"/>
      <c r="F200" s="172"/>
      <c r="G200" s="367"/>
      <c r="H200" s="94" t="s">
        <v>314</v>
      </c>
      <c r="I200" s="126">
        <v>62</v>
      </c>
      <c r="J200" s="126">
        <f t="shared" si="10"/>
        <v>19.745222929936304</v>
      </c>
      <c r="K200" s="126">
        <v>34</v>
      </c>
      <c r="L200" s="126">
        <f t="shared" si="8"/>
        <v>10.828025477707007</v>
      </c>
      <c r="M200" s="126">
        <v>4.9000000000000004</v>
      </c>
      <c r="N200" s="126"/>
      <c r="O200" s="180">
        <f t="shared" si="9"/>
        <v>2.772355756482246E-3</v>
      </c>
      <c r="P200" s="131">
        <f>O200*(1+'Key Data'!F$3)</f>
        <v>3.4654446956028074E-3</v>
      </c>
      <c r="Q200" s="366"/>
      <c r="R200" s="366"/>
      <c r="S200" s="389"/>
    </row>
    <row r="201" spans="1:19" s="44" customFormat="1" x14ac:dyDescent="0.3">
      <c r="A201" s="367"/>
      <c r="B201" s="367"/>
      <c r="C201" s="367"/>
      <c r="D201" s="367"/>
      <c r="E201" s="172"/>
      <c r="F201" s="172"/>
      <c r="G201" s="367"/>
      <c r="H201" s="94" t="s">
        <v>314</v>
      </c>
      <c r="I201" s="126">
        <v>56</v>
      </c>
      <c r="J201" s="126">
        <f t="shared" si="10"/>
        <v>17.834394904458598</v>
      </c>
      <c r="K201" s="126">
        <v>39.5</v>
      </c>
      <c r="L201" s="126">
        <f t="shared" si="8"/>
        <v>12.579617834394904</v>
      </c>
      <c r="M201" s="126">
        <v>4.2</v>
      </c>
      <c r="N201" s="126"/>
      <c r="O201" s="180">
        <f t="shared" si="9"/>
        <v>2.8784469160235736E-3</v>
      </c>
      <c r="P201" s="131">
        <f>O201*(1+'Key Data'!F$3)</f>
        <v>3.5980586450294668E-3</v>
      </c>
      <c r="Q201" s="366"/>
      <c r="R201" s="366"/>
      <c r="S201" s="389"/>
    </row>
    <row r="202" spans="1:19" s="44" customFormat="1" x14ac:dyDescent="0.3">
      <c r="A202" s="367"/>
      <c r="B202" s="367"/>
      <c r="C202" s="367"/>
      <c r="D202" s="367"/>
      <c r="E202" s="172"/>
      <c r="F202" s="172"/>
      <c r="G202" s="367"/>
      <c r="H202" s="94" t="s">
        <v>314</v>
      </c>
      <c r="I202" s="126">
        <v>56</v>
      </c>
      <c r="J202" s="126">
        <f t="shared" si="10"/>
        <v>17.834394904458598</v>
      </c>
      <c r="K202" s="126">
        <v>42</v>
      </c>
      <c r="L202" s="126">
        <f t="shared" si="8"/>
        <v>13.375796178343949</v>
      </c>
      <c r="M202" s="126">
        <v>5.3</v>
      </c>
      <c r="N202" s="126"/>
      <c r="O202" s="180">
        <f t="shared" si="9"/>
        <v>3.1371491329031079E-3</v>
      </c>
      <c r="P202" s="131">
        <f>O202*(1+'Key Data'!F$3)</f>
        <v>3.9214364161288852E-3</v>
      </c>
      <c r="Q202" s="366"/>
      <c r="R202" s="366"/>
      <c r="S202" s="389"/>
    </row>
    <row r="203" spans="1:19" s="44" customFormat="1" x14ac:dyDescent="0.3">
      <c r="A203" s="367"/>
      <c r="B203" s="367"/>
      <c r="C203" s="367"/>
      <c r="D203" s="367"/>
      <c r="E203" s="172"/>
      <c r="F203" s="172"/>
      <c r="G203" s="367"/>
      <c r="H203" s="94" t="s">
        <v>314</v>
      </c>
      <c r="I203" s="126">
        <v>41</v>
      </c>
      <c r="J203" s="126">
        <f t="shared" si="10"/>
        <v>13.057324840764331</v>
      </c>
      <c r="K203" s="126">
        <v>31.6</v>
      </c>
      <c r="L203" s="126">
        <f t="shared" si="8"/>
        <v>10.063694267515924</v>
      </c>
      <c r="M203" s="126">
        <v>2.5</v>
      </c>
      <c r="N203" s="126"/>
      <c r="O203" s="180">
        <f t="shared" si="9"/>
        <v>2.1758680237038428E-3</v>
      </c>
      <c r="P203" s="131">
        <f>O203*(1+'Key Data'!F$3)</f>
        <v>2.7198350296298033E-3</v>
      </c>
      <c r="Q203" s="366"/>
      <c r="R203" s="366"/>
      <c r="S203" s="389"/>
    </row>
    <row r="204" spans="1:19" s="44" customFormat="1" x14ac:dyDescent="0.3">
      <c r="A204" s="367"/>
      <c r="B204" s="367"/>
      <c r="C204" s="367"/>
      <c r="D204" s="367"/>
      <c r="E204" s="172"/>
      <c r="F204" s="172"/>
      <c r="G204" s="367"/>
      <c r="H204" s="94" t="s">
        <v>314</v>
      </c>
      <c r="I204" s="126">
        <v>57</v>
      </c>
      <c r="J204" s="126">
        <f t="shared" si="10"/>
        <v>18.152866242038215</v>
      </c>
      <c r="K204" s="126">
        <v>38.6</v>
      </c>
      <c r="L204" s="126">
        <f t="shared" si="8"/>
        <v>12.292993630573248</v>
      </c>
      <c r="M204" s="126">
        <v>5.2</v>
      </c>
      <c r="N204" s="126"/>
      <c r="O204" s="180">
        <f t="shared" si="9"/>
        <v>3.0003703972853214E-3</v>
      </c>
      <c r="P204" s="131">
        <f>O204*(1+'Key Data'!F$3)</f>
        <v>3.7504629966066518E-3</v>
      </c>
      <c r="Q204" s="366"/>
      <c r="R204" s="366"/>
      <c r="S204" s="389"/>
    </row>
    <row r="205" spans="1:19" s="44" customFormat="1" x14ac:dyDescent="0.3">
      <c r="A205" s="367"/>
      <c r="B205" s="367"/>
      <c r="C205" s="367"/>
      <c r="D205" s="367"/>
      <c r="E205" s="172"/>
      <c r="F205" s="172"/>
      <c r="G205" s="367"/>
      <c r="H205" s="94" t="s">
        <v>314</v>
      </c>
      <c r="I205" s="126">
        <v>52</v>
      </c>
      <c r="J205" s="126">
        <f t="shared" si="10"/>
        <v>16.560509554140125</v>
      </c>
      <c r="K205" s="126">
        <v>33.6</v>
      </c>
      <c r="L205" s="126">
        <f t="shared" si="8"/>
        <v>10.700636942675159</v>
      </c>
      <c r="M205" s="126">
        <v>2.8</v>
      </c>
      <c r="N205" s="126"/>
      <c r="O205" s="180">
        <f t="shared" si="9"/>
        <v>2.3477244925312222E-3</v>
      </c>
      <c r="P205" s="131">
        <f>O205*(1+'Key Data'!F$3)</f>
        <v>2.934655615664028E-3</v>
      </c>
      <c r="Q205" s="366"/>
      <c r="R205" s="366"/>
      <c r="S205" s="389"/>
    </row>
    <row r="206" spans="1:19" s="44" customFormat="1" x14ac:dyDescent="0.3">
      <c r="A206" s="367"/>
      <c r="B206" s="367"/>
      <c r="C206" s="367"/>
      <c r="D206" s="367"/>
      <c r="E206" s="172"/>
      <c r="F206" s="172"/>
      <c r="G206" s="367"/>
      <c r="H206" s="94" t="s">
        <v>314</v>
      </c>
      <c r="I206" s="126">
        <v>48.6</v>
      </c>
      <c r="J206" s="126">
        <f t="shared" si="10"/>
        <v>15.477707006369426</v>
      </c>
      <c r="K206" s="126">
        <v>36.6</v>
      </c>
      <c r="L206" s="126">
        <f t="shared" si="8"/>
        <v>11.656050955414013</v>
      </c>
      <c r="M206" s="126">
        <v>5</v>
      </c>
      <c r="N206" s="126"/>
      <c r="O206" s="180">
        <f t="shared" si="9"/>
        <v>2.8943526416013283E-3</v>
      </c>
      <c r="P206" s="131">
        <f>O206*(1+'Key Data'!F$3)</f>
        <v>3.6179408020016604E-3</v>
      </c>
      <c r="Q206" s="366"/>
      <c r="R206" s="366"/>
      <c r="S206" s="389"/>
    </row>
    <row r="207" spans="1:19" s="44" customFormat="1" x14ac:dyDescent="0.3">
      <c r="A207" s="367"/>
      <c r="B207" s="367"/>
      <c r="C207" s="367"/>
      <c r="D207" s="367"/>
      <c r="E207" s="172"/>
      <c r="F207" s="172"/>
      <c r="G207" s="367"/>
      <c r="H207" s="94" t="s">
        <v>314</v>
      </c>
      <c r="I207" s="126">
        <v>53</v>
      </c>
      <c r="J207" s="126">
        <f t="shared" si="10"/>
        <v>16.878980891719745</v>
      </c>
      <c r="K207" s="126">
        <v>41.6</v>
      </c>
      <c r="L207" s="126">
        <f t="shared" si="8"/>
        <v>13.248407643312103</v>
      </c>
      <c r="M207" s="126">
        <v>6.6</v>
      </c>
      <c r="N207" s="126"/>
      <c r="O207" s="180">
        <f t="shared" si="9"/>
        <v>3.2829121513528862E-3</v>
      </c>
      <c r="P207" s="131">
        <f>O207*(1+'Key Data'!F$3)</f>
        <v>4.1036401891911076E-3</v>
      </c>
      <c r="Q207" s="366"/>
      <c r="R207" s="366"/>
      <c r="S207" s="389"/>
    </row>
    <row r="208" spans="1:19" s="44" customFormat="1" x14ac:dyDescent="0.3">
      <c r="A208" s="367"/>
      <c r="B208" s="367"/>
      <c r="C208" s="367"/>
      <c r="D208" s="367"/>
      <c r="E208" s="172"/>
      <c r="F208" s="172"/>
      <c r="G208" s="367"/>
      <c r="H208" s="94" t="s">
        <v>314</v>
      </c>
      <c r="I208" s="126">
        <v>67</v>
      </c>
      <c r="J208" s="126">
        <f t="shared" si="10"/>
        <v>21.337579617834393</v>
      </c>
      <c r="K208" s="126">
        <v>36.6</v>
      </c>
      <c r="L208" s="126">
        <f t="shared" si="8"/>
        <v>11.656050955414013</v>
      </c>
      <c r="M208" s="126">
        <v>5.6</v>
      </c>
      <c r="N208" s="126"/>
      <c r="O208" s="180">
        <f t="shared" si="9"/>
        <v>2.9768559245048269E-3</v>
      </c>
      <c r="P208" s="131">
        <f>O208*(1+'Key Data'!F$3)</f>
        <v>3.7210699056310337E-3</v>
      </c>
      <c r="Q208" s="366"/>
      <c r="R208" s="366"/>
      <c r="S208" s="389"/>
    </row>
    <row r="209" spans="1:19" s="44" customFormat="1" x14ac:dyDescent="0.3">
      <c r="A209" s="367"/>
      <c r="B209" s="367"/>
      <c r="C209" s="367"/>
      <c r="D209" s="367"/>
      <c r="E209" s="172"/>
      <c r="F209" s="172"/>
      <c r="G209" s="367"/>
      <c r="H209" s="94" t="s">
        <v>314</v>
      </c>
      <c r="I209" s="126">
        <v>56.4</v>
      </c>
      <c r="J209" s="126">
        <f t="shared" si="10"/>
        <v>17.961783439490446</v>
      </c>
      <c r="K209" s="126">
        <v>30.6</v>
      </c>
      <c r="L209" s="126">
        <f t="shared" ref="L209:L263" si="11">K209/3.14</f>
        <v>9.7452229299363058</v>
      </c>
      <c r="M209" s="126">
        <v>4</v>
      </c>
      <c r="N209" s="126"/>
      <c r="O209" s="180">
        <f t="shared" si="9"/>
        <v>2.4712099112548609E-3</v>
      </c>
      <c r="P209" s="131">
        <f>O209*(1+'Key Data'!F$3)</f>
        <v>3.0890123890685763E-3</v>
      </c>
      <c r="Q209" s="366"/>
      <c r="R209" s="366"/>
      <c r="S209" s="389"/>
    </row>
    <row r="210" spans="1:19" s="44" customFormat="1" x14ac:dyDescent="0.3">
      <c r="A210" s="367"/>
      <c r="B210" s="367"/>
      <c r="C210" s="367"/>
      <c r="D210" s="367"/>
      <c r="E210" s="172"/>
      <c r="F210" s="172"/>
      <c r="G210" s="367"/>
      <c r="H210" s="94" t="s">
        <v>314</v>
      </c>
      <c r="I210" s="126">
        <v>65</v>
      </c>
      <c r="J210" s="126">
        <f t="shared" si="10"/>
        <v>20.700636942675157</v>
      </c>
      <c r="K210" s="126">
        <v>35.6</v>
      </c>
      <c r="L210" s="126">
        <f t="shared" si="11"/>
        <v>11.337579617834395</v>
      </c>
      <c r="M210" s="126">
        <v>4.2</v>
      </c>
      <c r="N210" s="126"/>
      <c r="O210" s="180">
        <f t="shared" ref="O210:O263" si="12">EXP((LN(-1.853+0.728*LN(L210^2*M210))))/1000</f>
        <v>2.727088386448097E-3</v>
      </c>
      <c r="P210" s="131">
        <f>O210*(1+'Key Data'!F$3)</f>
        <v>3.4088604830601211E-3</v>
      </c>
      <c r="Q210" s="366"/>
      <c r="R210" s="366"/>
      <c r="S210" s="389"/>
    </row>
    <row r="211" spans="1:19" s="44" customFormat="1" x14ac:dyDescent="0.3">
      <c r="A211" s="367"/>
      <c r="B211" s="367"/>
      <c r="C211" s="367"/>
      <c r="D211" s="367"/>
      <c r="E211" s="172"/>
      <c r="F211" s="172"/>
      <c r="G211" s="367"/>
      <c r="H211" s="94" t="s">
        <v>314</v>
      </c>
      <c r="I211" s="126">
        <v>46</v>
      </c>
      <c r="J211" s="126">
        <f t="shared" si="10"/>
        <v>14.64968152866242</v>
      </c>
      <c r="K211" s="126">
        <v>36.6</v>
      </c>
      <c r="L211" s="126">
        <f t="shared" si="11"/>
        <v>11.656050955414013</v>
      </c>
      <c r="M211" s="126">
        <v>4.3</v>
      </c>
      <c r="N211" s="126"/>
      <c r="O211" s="180">
        <f t="shared" si="12"/>
        <v>2.7845535778745515E-3</v>
      </c>
      <c r="P211" s="131">
        <f>O211*(1+'Key Data'!F$3)</f>
        <v>3.4806919723431896E-3</v>
      </c>
      <c r="Q211" s="366"/>
      <c r="R211" s="366"/>
      <c r="S211" s="389"/>
    </row>
    <row r="212" spans="1:19" s="44" customFormat="1" x14ac:dyDescent="0.3">
      <c r="A212" s="367"/>
      <c r="B212" s="367"/>
      <c r="C212" s="367"/>
      <c r="D212" s="367"/>
      <c r="E212" s="172"/>
      <c r="F212" s="172"/>
      <c r="G212" s="367"/>
      <c r="H212" s="94" t="s">
        <v>314</v>
      </c>
      <c r="I212" s="126">
        <v>71</v>
      </c>
      <c r="J212" s="126">
        <f t="shared" si="10"/>
        <v>22.611464968152866</v>
      </c>
      <c r="K212" s="126">
        <v>43.6</v>
      </c>
      <c r="L212" s="126">
        <f t="shared" si="11"/>
        <v>13.885350318471337</v>
      </c>
      <c r="M212" s="126">
        <v>5</v>
      </c>
      <c r="N212" s="126"/>
      <c r="O212" s="180">
        <f t="shared" si="12"/>
        <v>3.1491656144851327E-3</v>
      </c>
      <c r="P212" s="131">
        <f>O212*(1+'Key Data'!F$3)</f>
        <v>3.9364570181064156E-3</v>
      </c>
      <c r="Q212" s="366"/>
      <c r="R212" s="366"/>
      <c r="S212" s="389"/>
    </row>
    <row r="213" spans="1:19" s="44" customFormat="1" x14ac:dyDescent="0.3">
      <c r="A213" s="367"/>
      <c r="B213" s="367"/>
      <c r="C213" s="367"/>
      <c r="D213" s="367"/>
      <c r="E213" s="172"/>
      <c r="F213" s="172"/>
      <c r="G213" s="367"/>
      <c r="H213" s="94" t="s">
        <v>314</v>
      </c>
      <c r="I213" s="126">
        <v>53</v>
      </c>
      <c r="J213" s="126">
        <f t="shared" si="10"/>
        <v>16.878980891719745</v>
      </c>
      <c r="K213" s="126">
        <v>36.4</v>
      </c>
      <c r="L213" s="126">
        <f t="shared" si="11"/>
        <v>11.592356687898087</v>
      </c>
      <c r="M213" s="126">
        <v>3.6</v>
      </c>
      <c r="N213" s="126"/>
      <c r="O213" s="180">
        <f t="shared" si="12"/>
        <v>2.6472235786923902E-3</v>
      </c>
      <c r="P213" s="131">
        <f>O213*(1+'Key Data'!F$3)</f>
        <v>3.3090294733654877E-3</v>
      </c>
      <c r="Q213" s="366"/>
      <c r="R213" s="366"/>
      <c r="S213" s="389"/>
    </row>
    <row r="214" spans="1:19" s="44" customFormat="1" x14ac:dyDescent="0.3">
      <c r="A214" s="367"/>
      <c r="B214" s="367"/>
      <c r="C214" s="367"/>
      <c r="D214" s="367"/>
      <c r="E214" s="172"/>
      <c r="F214" s="172"/>
      <c r="G214" s="367"/>
      <c r="H214" s="94" t="s">
        <v>314</v>
      </c>
      <c r="I214" s="126">
        <v>38</v>
      </c>
      <c r="J214" s="126">
        <f t="shared" si="10"/>
        <v>12.101910828025478</v>
      </c>
      <c r="K214" s="126">
        <v>27.4</v>
      </c>
      <c r="L214" s="126">
        <f t="shared" si="11"/>
        <v>8.7261146496815272</v>
      </c>
      <c r="M214" s="126">
        <v>3</v>
      </c>
      <c r="N214" s="126"/>
      <c r="O214" s="180">
        <f t="shared" si="12"/>
        <v>2.1009519769683276E-3</v>
      </c>
      <c r="P214" s="131">
        <f>O214*(1+'Key Data'!F$3)</f>
        <v>2.6261899712104095E-3</v>
      </c>
      <c r="Q214" s="366"/>
      <c r="R214" s="366"/>
      <c r="S214" s="389"/>
    </row>
    <row r="215" spans="1:19" s="44" customFormat="1" x14ac:dyDescent="0.3">
      <c r="A215" s="367"/>
      <c r="B215" s="367"/>
      <c r="C215" s="367"/>
      <c r="D215" s="367"/>
      <c r="E215" s="172"/>
      <c r="F215" s="172"/>
      <c r="G215" s="367"/>
      <c r="H215" s="94" t="s">
        <v>314</v>
      </c>
      <c r="I215" s="126">
        <v>47</v>
      </c>
      <c r="J215" s="126">
        <f t="shared" si="10"/>
        <v>14.968152866242038</v>
      </c>
      <c r="K215" s="126">
        <v>26.8</v>
      </c>
      <c r="L215" s="126">
        <f t="shared" si="11"/>
        <v>8.5350318471337587</v>
      </c>
      <c r="M215" s="126">
        <v>3.5</v>
      </c>
      <c r="N215" s="126"/>
      <c r="O215" s="180">
        <f t="shared" si="12"/>
        <v>2.1809361926053493E-3</v>
      </c>
      <c r="P215" s="131">
        <f>O215*(1+'Key Data'!F$3)</f>
        <v>2.7261702407566867E-3</v>
      </c>
      <c r="Q215" s="366"/>
      <c r="R215" s="366"/>
      <c r="S215" s="389"/>
    </row>
    <row r="216" spans="1:19" s="44" customFormat="1" x14ac:dyDescent="0.3">
      <c r="A216" s="367"/>
      <c r="B216" s="367"/>
      <c r="C216" s="367"/>
      <c r="D216" s="367"/>
      <c r="E216" s="172"/>
      <c r="F216" s="172"/>
      <c r="G216" s="367"/>
      <c r="H216" s="94" t="s">
        <v>314</v>
      </c>
      <c r="I216" s="126">
        <v>62</v>
      </c>
      <c r="J216" s="126">
        <f t="shared" si="10"/>
        <v>19.745222929936304</v>
      </c>
      <c r="K216" s="126">
        <v>31.6</v>
      </c>
      <c r="L216" s="126">
        <f t="shared" si="11"/>
        <v>10.063694267515924</v>
      </c>
      <c r="M216" s="126">
        <v>4.8</v>
      </c>
      <c r="N216" s="126"/>
      <c r="O216" s="180">
        <f t="shared" si="12"/>
        <v>2.6507607591407371E-3</v>
      </c>
      <c r="P216" s="131">
        <f>O216*(1+'Key Data'!F$3)</f>
        <v>3.3134509489259212E-3</v>
      </c>
      <c r="Q216" s="366"/>
      <c r="R216" s="366"/>
      <c r="S216" s="389"/>
    </row>
    <row r="217" spans="1:19" s="44" customFormat="1" x14ac:dyDescent="0.3">
      <c r="A217" s="367"/>
      <c r="B217" s="367"/>
      <c r="C217" s="367"/>
      <c r="D217" s="367"/>
      <c r="E217" s="172"/>
      <c r="F217" s="172"/>
      <c r="G217" s="367"/>
      <c r="H217" s="94" t="s">
        <v>314</v>
      </c>
      <c r="I217" s="126">
        <v>47</v>
      </c>
      <c r="J217" s="126">
        <f t="shared" si="10"/>
        <v>14.968152866242038</v>
      </c>
      <c r="K217" s="126">
        <v>22.8</v>
      </c>
      <c r="L217" s="126">
        <f t="shared" si="11"/>
        <v>7.2611464968152868</v>
      </c>
      <c r="M217" s="126">
        <v>2.4</v>
      </c>
      <c r="N217" s="126"/>
      <c r="O217" s="180">
        <f t="shared" si="12"/>
        <v>1.6709161844682188E-3</v>
      </c>
      <c r="P217" s="131">
        <f>O217*(1+'Key Data'!F$3)</f>
        <v>2.0886452305852736E-3</v>
      </c>
      <c r="Q217" s="366"/>
      <c r="R217" s="366"/>
      <c r="S217" s="389"/>
    </row>
    <row r="218" spans="1:19" s="44" customFormat="1" x14ac:dyDescent="0.3">
      <c r="A218" s="367"/>
      <c r="B218" s="367"/>
      <c r="C218" s="367"/>
      <c r="D218" s="367"/>
      <c r="E218" s="172"/>
      <c r="F218" s="172"/>
      <c r="G218" s="367"/>
      <c r="H218" s="94" t="s">
        <v>314</v>
      </c>
      <c r="I218" s="126">
        <v>59.6</v>
      </c>
      <c r="J218" s="126">
        <f t="shared" si="10"/>
        <v>18.980891719745223</v>
      </c>
      <c r="K218" s="126">
        <v>44.6</v>
      </c>
      <c r="L218" s="126">
        <f t="shared" si="11"/>
        <v>14.203821656050955</v>
      </c>
      <c r="M218" s="126">
        <v>5.0999999999999996</v>
      </c>
      <c r="N218" s="126"/>
      <c r="O218" s="180">
        <f t="shared" si="12"/>
        <v>3.1965992149817712E-3</v>
      </c>
      <c r="P218" s="131">
        <f>O218*(1+'Key Data'!F$3)</f>
        <v>3.9957490187272141E-3</v>
      </c>
      <c r="Q218" s="366"/>
      <c r="R218" s="366"/>
      <c r="S218" s="389"/>
    </row>
    <row r="219" spans="1:19" s="44" customFormat="1" x14ac:dyDescent="0.3">
      <c r="A219" s="367"/>
      <c r="B219" s="367"/>
      <c r="C219" s="367"/>
      <c r="D219" s="367"/>
      <c r="E219" s="172"/>
      <c r="F219" s="172"/>
      <c r="G219" s="367"/>
      <c r="H219" s="94" t="s">
        <v>314</v>
      </c>
      <c r="I219" s="126">
        <v>64</v>
      </c>
      <c r="J219" s="126">
        <f t="shared" si="10"/>
        <v>20.38216560509554</v>
      </c>
      <c r="K219" s="126">
        <v>38.799999999999997</v>
      </c>
      <c r="L219" s="126">
        <f t="shared" si="11"/>
        <v>12.35668789808917</v>
      </c>
      <c r="M219" s="126">
        <v>5.2</v>
      </c>
      <c r="N219" s="126"/>
      <c r="O219" s="180">
        <f t="shared" si="12"/>
        <v>3.0078949618360142E-3</v>
      </c>
      <c r="P219" s="131">
        <f>O219*(1+'Key Data'!F$3)</f>
        <v>3.7598687022950177E-3</v>
      </c>
      <c r="Q219" s="366"/>
      <c r="R219" s="366"/>
      <c r="S219" s="389"/>
    </row>
    <row r="220" spans="1:19" s="44" customFormat="1" x14ac:dyDescent="0.3">
      <c r="A220" s="367"/>
      <c r="B220" s="367"/>
      <c r="C220" s="367"/>
      <c r="D220" s="367"/>
      <c r="E220" s="172"/>
      <c r="F220" s="172"/>
      <c r="G220" s="367"/>
      <c r="H220" s="94" t="s">
        <v>314</v>
      </c>
      <c r="I220" s="126">
        <v>55</v>
      </c>
      <c r="J220" s="126">
        <f t="shared" si="10"/>
        <v>17.515923566878982</v>
      </c>
      <c r="K220" s="126">
        <v>35</v>
      </c>
      <c r="L220" s="126">
        <f t="shared" si="11"/>
        <v>11.146496815286623</v>
      </c>
      <c r="M220" s="126">
        <v>4.8</v>
      </c>
      <c r="N220" s="126"/>
      <c r="O220" s="180">
        <f t="shared" si="12"/>
        <v>2.7995507690861095E-3</v>
      </c>
      <c r="P220" s="131">
        <f>O220*(1+'Key Data'!F$3)</f>
        <v>3.4994384613576367E-3</v>
      </c>
      <c r="Q220" s="366"/>
      <c r="R220" s="366"/>
      <c r="S220" s="389"/>
    </row>
    <row r="221" spans="1:19" s="44" customFormat="1" x14ac:dyDescent="0.3">
      <c r="A221" s="367"/>
      <c r="B221" s="367"/>
      <c r="C221" s="367"/>
      <c r="D221" s="367"/>
      <c r="E221" s="172"/>
      <c r="F221" s="172"/>
      <c r="G221" s="367"/>
      <c r="H221" s="94" t="s">
        <v>314</v>
      </c>
      <c r="I221" s="126">
        <v>71</v>
      </c>
      <c r="J221" s="126">
        <f t="shared" si="10"/>
        <v>22.611464968152866</v>
      </c>
      <c r="K221" s="126">
        <v>39.5</v>
      </c>
      <c r="L221" s="126">
        <f t="shared" si="11"/>
        <v>12.579617834394904</v>
      </c>
      <c r="M221" s="126">
        <v>4.3</v>
      </c>
      <c r="N221" s="126"/>
      <c r="O221" s="180">
        <f t="shared" si="12"/>
        <v>2.8955771181381953E-3</v>
      </c>
      <c r="P221" s="131">
        <f>O221*(1+'Key Data'!F$3)</f>
        <v>3.6194713976727441E-3</v>
      </c>
      <c r="Q221" s="366"/>
      <c r="R221" s="366"/>
      <c r="S221" s="389"/>
    </row>
    <row r="222" spans="1:19" s="44" customFormat="1" x14ac:dyDescent="0.3">
      <c r="A222" s="367"/>
      <c r="B222" s="367"/>
      <c r="C222" s="367"/>
      <c r="D222" s="367"/>
      <c r="E222" s="172"/>
      <c r="F222" s="172"/>
      <c r="G222" s="367"/>
      <c r="H222" s="94" t="s">
        <v>314</v>
      </c>
      <c r="I222" s="126">
        <v>64</v>
      </c>
      <c r="J222" s="126">
        <f t="shared" si="10"/>
        <v>20.38216560509554</v>
      </c>
      <c r="K222" s="126">
        <v>34.5</v>
      </c>
      <c r="L222" s="126">
        <f t="shared" si="11"/>
        <v>10.987261146496815</v>
      </c>
      <c r="M222" s="126">
        <v>4.2</v>
      </c>
      <c r="N222" s="126"/>
      <c r="O222" s="180">
        <f t="shared" si="12"/>
        <v>2.6813899135252005E-3</v>
      </c>
      <c r="P222" s="131">
        <f>O222*(1+'Key Data'!F$3)</f>
        <v>3.3517373919065008E-3</v>
      </c>
      <c r="Q222" s="366"/>
      <c r="R222" s="366"/>
      <c r="S222" s="389"/>
    </row>
    <row r="223" spans="1:19" s="44" customFormat="1" x14ac:dyDescent="0.3">
      <c r="A223" s="367"/>
      <c r="B223" s="367"/>
      <c r="C223" s="367"/>
      <c r="D223" s="367"/>
      <c r="E223" s="172"/>
      <c r="F223" s="172"/>
      <c r="G223" s="367"/>
      <c r="H223" s="94" t="s">
        <v>314</v>
      </c>
      <c r="I223" s="126">
        <v>53.5</v>
      </c>
      <c r="J223" s="126">
        <f t="shared" si="10"/>
        <v>17.038216560509554</v>
      </c>
      <c r="K223" s="126">
        <v>42.5</v>
      </c>
      <c r="L223" s="126">
        <f t="shared" si="11"/>
        <v>13.535031847133757</v>
      </c>
      <c r="M223" s="126">
        <v>5.4</v>
      </c>
      <c r="N223" s="126"/>
      <c r="O223" s="180">
        <f t="shared" si="12"/>
        <v>3.167987976069991E-3</v>
      </c>
      <c r="P223" s="131">
        <f>O223*(1+'Key Data'!F$3)</f>
        <v>3.9599849700874892E-3</v>
      </c>
      <c r="Q223" s="366"/>
      <c r="R223" s="366"/>
      <c r="S223" s="389"/>
    </row>
    <row r="224" spans="1:19" s="44" customFormat="1" x14ac:dyDescent="0.3">
      <c r="A224" s="367"/>
      <c r="B224" s="367"/>
      <c r="C224" s="367"/>
      <c r="D224" s="367"/>
      <c r="E224" s="172"/>
      <c r="F224" s="172"/>
      <c r="G224" s="367"/>
      <c r="H224" s="94" t="s">
        <v>314</v>
      </c>
      <c r="I224" s="126">
        <v>69.5</v>
      </c>
      <c r="J224" s="126">
        <f t="shared" si="10"/>
        <v>22.133757961783438</v>
      </c>
      <c r="K224" s="126">
        <v>35</v>
      </c>
      <c r="L224" s="126">
        <f t="shared" si="11"/>
        <v>11.146496815286623</v>
      </c>
      <c r="M224" s="126">
        <v>4</v>
      </c>
      <c r="N224" s="126"/>
      <c r="O224" s="180">
        <f t="shared" si="12"/>
        <v>2.6668206757401104E-3</v>
      </c>
      <c r="P224" s="131">
        <f>O224*(1+'Key Data'!F$3)</f>
        <v>3.3335258446751379E-3</v>
      </c>
      <c r="Q224" s="366"/>
      <c r="R224" s="366"/>
      <c r="S224" s="389"/>
    </row>
    <row r="225" spans="1:19" s="44" customFormat="1" x14ac:dyDescent="0.3">
      <c r="A225" s="367"/>
      <c r="B225" s="367"/>
      <c r="C225" s="367"/>
      <c r="D225" s="367"/>
      <c r="E225" s="172"/>
      <c r="F225" s="172"/>
      <c r="G225" s="367"/>
      <c r="H225" s="94" t="s">
        <v>314</v>
      </c>
      <c r="I225" s="126">
        <v>50.5</v>
      </c>
      <c r="J225" s="126">
        <f t="shared" si="10"/>
        <v>16.082802547770701</v>
      </c>
      <c r="K225" s="126">
        <v>32.5</v>
      </c>
      <c r="L225" s="126">
        <f t="shared" si="11"/>
        <v>10.350318471337578</v>
      </c>
      <c r="M225" s="126">
        <v>3.5</v>
      </c>
      <c r="N225" s="126"/>
      <c r="O225" s="180">
        <f t="shared" si="12"/>
        <v>2.461708614453639E-3</v>
      </c>
      <c r="P225" s="131">
        <f>O225*(1+'Key Data'!F$3)</f>
        <v>3.0771357680670487E-3</v>
      </c>
      <c r="Q225" s="366"/>
      <c r="R225" s="366"/>
      <c r="S225" s="389"/>
    </row>
    <row r="226" spans="1:19" s="44" customFormat="1" x14ac:dyDescent="0.3">
      <c r="A226" s="367"/>
      <c r="B226" s="367"/>
      <c r="C226" s="367"/>
      <c r="D226" s="367"/>
      <c r="E226" s="172"/>
      <c r="F226" s="172"/>
      <c r="G226" s="367"/>
      <c r="H226" s="94" t="s">
        <v>314</v>
      </c>
      <c r="I226" s="126">
        <v>46</v>
      </c>
      <c r="J226" s="126">
        <f t="shared" si="10"/>
        <v>14.64968152866242</v>
      </c>
      <c r="K226" s="126">
        <v>24</v>
      </c>
      <c r="L226" s="126">
        <f t="shared" si="11"/>
        <v>7.6433121019108281</v>
      </c>
      <c r="M226" s="126">
        <v>3.6</v>
      </c>
      <c r="N226" s="126"/>
      <c r="O226" s="180">
        <f t="shared" si="12"/>
        <v>2.040777819799236E-3</v>
      </c>
      <c r="P226" s="131">
        <f>O226*(1+'Key Data'!F$3)</f>
        <v>2.550972274749045E-3</v>
      </c>
      <c r="Q226" s="366"/>
      <c r="R226" s="366"/>
      <c r="S226" s="389"/>
    </row>
    <row r="227" spans="1:19" s="44" customFormat="1" x14ac:dyDescent="0.3">
      <c r="A227" s="367"/>
      <c r="B227" s="367"/>
      <c r="C227" s="367"/>
      <c r="D227" s="367"/>
      <c r="E227" s="172"/>
      <c r="F227" s="172"/>
      <c r="G227" s="367"/>
      <c r="H227" s="94" t="s">
        <v>314</v>
      </c>
      <c r="I227" s="126">
        <v>69</v>
      </c>
      <c r="J227" s="126">
        <f t="shared" si="10"/>
        <v>21.97452229299363</v>
      </c>
      <c r="K227" s="126">
        <v>40.5</v>
      </c>
      <c r="L227" s="126">
        <f t="shared" si="11"/>
        <v>12.898089171974522</v>
      </c>
      <c r="M227" s="126">
        <v>5</v>
      </c>
      <c r="N227" s="126"/>
      <c r="O227" s="180">
        <f t="shared" si="12"/>
        <v>3.04177807787606E-3</v>
      </c>
      <c r="P227" s="131">
        <f>O227*(1+'Key Data'!F$3)</f>
        <v>3.8022225973450749E-3</v>
      </c>
      <c r="Q227" s="366"/>
      <c r="R227" s="366"/>
      <c r="S227" s="389"/>
    </row>
    <row r="228" spans="1:19" s="44" customFormat="1" x14ac:dyDescent="0.3">
      <c r="A228" s="367"/>
      <c r="B228" s="367"/>
      <c r="C228" s="367"/>
      <c r="D228" s="367"/>
      <c r="E228" s="172"/>
      <c r="F228" s="172"/>
      <c r="G228" s="367"/>
      <c r="H228" s="94" t="s">
        <v>314</v>
      </c>
      <c r="I228" s="126">
        <v>56</v>
      </c>
      <c r="J228" s="126">
        <f t="shared" si="10"/>
        <v>17.834394904458598</v>
      </c>
      <c r="K228" s="126">
        <v>41.5</v>
      </c>
      <c r="L228" s="126">
        <f t="shared" si="11"/>
        <v>13.216560509554139</v>
      </c>
      <c r="M228" s="126">
        <v>5.0999999999999996</v>
      </c>
      <c r="N228" s="126"/>
      <c r="O228" s="180">
        <f t="shared" si="12"/>
        <v>3.0917083462964549E-3</v>
      </c>
      <c r="P228" s="131">
        <f>O228*(1+'Key Data'!F$3)</f>
        <v>3.8646354328705688E-3</v>
      </c>
      <c r="Q228" s="366"/>
      <c r="R228" s="366"/>
      <c r="S228" s="389"/>
    </row>
    <row r="229" spans="1:19" s="44" customFormat="1" x14ac:dyDescent="0.3">
      <c r="A229" s="367"/>
      <c r="B229" s="367"/>
      <c r="C229" s="367"/>
      <c r="D229" s="367"/>
      <c r="E229" s="172"/>
      <c r="F229" s="172"/>
      <c r="G229" s="367"/>
      <c r="H229" s="94" t="s">
        <v>314</v>
      </c>
      <c r="I229" s="126">
        <v>58</v>
      </c>
      <c r="J229" s="126">
        <f t="shared" si="10"/>
        <v>18.471337579617835</v>
      </c>
      <c r="K229" s="126">
        <v>31</v>
      </c>
      <c r="L229" s="126">
        <f t="shared" si="11"/>
        <v>9.872611464968152</v>
      </c>
      <c r="M229" s="126">
        <v>3.4</v>
      </c>
      <c r="N229" s="126"/>
      <c r="O229" s="180">
        <f t="shared" si="12"/>
        <v>2.371805487267517E-3</v>
      </c>
      <c r="P229" s="131">
        <f>O229*(1+'Key Data'!F$3)</f>
        <v>2.9647568590843963E-3</v>
      </c>
      <c r="Q229" s="366"/>
      <c r="R229" s="366"/>
      <c r="S229" s="389"/>
    </row>
    <row r="230" spans="1:19" s="44" customFormat="1" x14ac:dyDescent="0.3">
      <c r="A230" s="367"/>
      <c r="B230" s="367"/>
      <c r="C230" s="367"/>
      <c r="D230" s="367"/>
      <c r="E230" s="172"/>
      <c r="F230" s="172"/>
      <c r="G230" s="367"/>
      <c r="H230" s="94" t="s">
        <v>314</v>
      </c>
      <c r="I230" s="126">
        <v>72.5</v>
      </c>
      <c r="J230" s="126">
        <f t="shared" si="10"/>
        <v>23.089171974522291</v>
      </c>
      <c r="K230" s="126">
        <v>45</v>
      </c>
      <c r="L230" s="126">
        <f t="shared" si="11"/>
        <v>14.331210191082802</v>
      </c>
      <c r="M230" s="126">
        <v>5</v>
      </c>
      <c r="N230" s="126"/>
      <c r="O230" s="180">
        <f t="shared" si="12"/>
        <v>3.1951829886738546E-3</v>
      </c>
      <c r="P230" s="131">
        <f>O230*(1+'Key Data'!F$3)</f>
        <v>3.9939787358423181E-3</v>
      </c>
      <c r="Q230" s="366"/>
      <c r="R230" s="366"/>
      <c r="S230" s="389"/>
    </row>
    <row r="231" spans="1:19" s="44" customFormat="1" x14ac:dyDescent="0.3">
      <c r="A231" s="367"/>
      <c r="B231" s="367"/>
      <c r="C231" s="367"/>
      <c r="D231" s="367"/>
      <c r="E231" s="172"/>
      <c r="F231" s="172"/>
      <c r="G231" s="367"/>
      <c r="H231" s="94" t="s">
        <v>314</v>
      </c>
      <c r="I231" s="126">
        <v>69</v>
      </c>
      <c r="J231" s="126">
        <f t="shared" si="10"/>
        <v>21.97452229299363</v>
      </c>
      <c r="K231" s="126">
        <v>43.5</v>
      </c>
      <c r="L231" s="126">
        <f t="shared" si="11"/>
        <v>13.853503184713375</v>
      </c>
      <c r="M231" s="126">
        <v>5.5</v>
      </c>
      <c r="N231" s="126"/>
      <c r="O231" s="180">
        <f t="shared" si="12"/>
        <v>3.2152081403316111E-3</v>
      </c>
      <c r="P231" s="131">
        <f>O231*(1+'Key Data'!F$3)</f>
        <v>4.0190101754145136E-3</v>
      </c>
      <c r="Q231" s="366"/>
      <c r="R231" s="366"/>
      <c r="S231" s="389"/>
    </row>
    <row r="232" spans="1:19" s="44" customFormat="1" x14ac:dyDescent="0.3">
      <c r="A232" s="367"/>
      <c r="B232" s="367"/>
      <c r="C232" s="367"/>
      <c r="D232" s="367"/>
      <c r="E232" s="172"/>
      <c r="F232" s="172"/>
      <c r="G232" s="367"/>
      <c r="H232" s="94" t="s">
        <v>314</v>
      </c>
      <c r="I232" s="126">
        <v>50</v>
      </c>
      <c r="J232" s="126">
        <f t="shared" si="10"/>
        <v>15.923566878980891</v>
      </c>
      <c r="K232" s="126">
        <v>36.6</v>
      </c>
      <c r="L232" s="126">
        <f t="shared" si="11"/>
        <v>11.656050955414013</v>
      </c>
      <c r="M232" s="126">
        <v>5.2</v>
      </c>
      <c r="N232" s="126"/>
      <c r="O232" s="180">
        <f t="shared" si="12"/>
        <v>2.9229053207769163E-3</v>
      </c>
      <c r="P232" s="131">
        <f>O232*(1+'Key Data'!F$3)</f>
        <v>3.6536316509711451E-3</v>
      </c>
      <c r="Q232" s="366"/>
      <c r="R232" s="366"/>
      <c r="S232" s="389"/>
    </row>
    <row r="233" spans="1:19" s="44" customFormat="1" x14ac:dyDescent="0.3">
      <c r="A233" s="367"/>
      <c r="B233" s="367"/>
      <c r="C233" s="367"/>
      <c r="D233" s="367"/>
      <c r="E233" s="172"/>
      <c r="F233" s="172"/>
      <c r="G233" s="367"/>
      <c r="H233" s="94" t="s">
        <v>314</v>
      </c>
      <c r="I233" s="126">
        <v>56.6</v>
      </c>
      <c r="J233" s="126">
        <f t="shared" si="10"/>
        <v>18.02547770700637</v>
      </c>
      <c r="K233" s="126">
        <v>32.200000000000003</v>
      </c>
      <c r="L233" s="126">
        <f t="shared" si="11"/>
        <v>10.254777070063694</v>
      </c>
      <c r="M233" s="126">
        <v>4.5999999999999996</v>
      </c>
      <c r="N233" s="126"/>
      <c r="O233" s="180">
        <f t="shared" si="12"/>
        <v>2.6471637471739678E-3</v>
      </c>
      <c r="P233" s="131">
        <f>O233*(1+'Key Data'!F$3)</f>
        <v>3.3089546839674597E-3</v>
      </c>
      <c r="Q233" s="366"/>
      <c r="R233" s="366"/>
      <c r="S233" s="389"/>
    </row>
    <row r="234" spans="1:19" s="44" customFormat="1" x14ac:dyDescent="0.3">
      <c r="A234" s="367"/>
      <c r="B234" s="367"/>
      <c r="C234" s="367"/>
      <c r="D234" s="367"/>
      <c r="E234" s="172"/>
      <c r="F234" s="172"/>
      <c r="G234" s="367"/>
      <c r="H234" s="94" t="s">
        <v>314</v>
      </c>
      <c r="I234" s="126">
        <v>63</v>
      </c>
      <c r="J234" s="126">
        <f t="shared" si="10"/>
        <v>20.063694267515924</v>
      </c>
      <c r="K234" s="126">
        <v>46.8</v>
      </c>
      <c r="L234" s="126">
        <f t="shared" si="11"/>
        <v>14.904458598726114</v>
      </c>
      <c r="M234" s="126">
        <v>5.4</v>
      </c>
      <c r="N234" s="126"/>
      <c r="O234" s="180">
        <f t="shared" si="12"/>
        <v>3.3083159849721334E-3</v>
      </c>
      <c r="P234" s="131">
        <f>O234*(1+'Key Data'!F$3)</f>
        <v>4.135394981215167E-3</v>
      </c>
      <c r="Q234" s="366"/>
      <c r="R234" s="366"/>
      <c r="S234" s="389"/>
    </row>
    <row r="235" spans="1:19" s="44" customFormat="1" x14ac:dyDescent="0.3">
      <c r="A235" s="367"/>
      <c r="B235" s="367"/>
      <c r="C235" s="367"/>
      <c r="D235" s="367"/>
      <c r="E235" s="223"/>
      <c r="F235" s="223"/>
      <c r="G235" s="367"/>
      <c r="H235" s="94" t="s">
        <v>314</v>
      </c>
      <c r="I235" s="126">
        <v>41</v>
      </c>
      <c r="J235" s="126">
        <f t="shared" si="10"/>
        <v>13.057324840764331</v>
      </c>
      <c r="K235" s="126">
        <v>30.6</v>
      </c>
      <c r="L235" s="126">
        <f t="shared" si="11"/>
        <v>9.7452229299363058</v>
      </c>
      <c r="M235" s="126">
        <v>2.2999999999999998</v>
      </c>
      <c r="N235" s="126"/>
      <c r="O235" s="180">
        <f t="shared" si="12"/>
        <v>2.0683454578563358E-3</v>
      </c>
      <c r="P235" s="131">
        <f>O235*(1+'Key Data'!F$3)</f>
        <v>2.5854318223204197E-3</v>
      </c>
      <c r="Q235" s="366"/>
      <c r="R235" s="366"/>
      <c r="S235" s="389"/>
    </row>
    <row r="236" spans="1:19" s="44" customFormat="1" x14ac:dyDescent="0.3">
      <c r="A236" s="367"/>
      <c r="B236" s="367"/>
      <c r="C236" s="367"/>
      <c r="D236" s="367"/>
      <c r="E236" s="172"/>
      <c r="F236" s="172"/>
      <c r="G236" s="367"/>
      <c r="H236" s="94" t="s">
        <v>314</v>
      </c>
      <c r="I236" s="126">
        <v>63.4</v>
      </c>
      <c r="J236" s="126">
        <f t="shared" si="10"/>
        <v>20.191082802547768</v>
      </c>
      <c r="K236" s="126">
        <v>31.6</v>
      </c>
      <c r="L236" s="126">
        <f t="shared" si="11"/>
        <v>10.063694267515924</v>
      </c>
      <c r="M236" s="126">
        <v>4.9000000000000004</v>
      </c>
      <c r="N236" s="126"/>
      <c r="O236" s="180">
        <f t="shared" si="12"/>
        <v>2.6657716002243294E-3</v>
      </c>
      <c r="P236" s="131">
        <f>O236*(1+'Key Data'!F$3)</f>
        <v>3.3322145002804117E-3</v>
      </c>
      <c r="Q236" s="366"/>
      <c r="R236" s="366"/>
      <c r="S236" s="389"/>
    </row>
    <row r="237" spans="1:19" s="44" customFormat="1" x14ac:dyDescent="0.3">
      <c r="A237" s="367"/>
      <c r="B237" s="367"/>
      <c r="C237" s="367"/>
      <c r="D237" s="367"/>
      <c r="E237" s="172"/>
      <c r="F237" s="172"/>
      <c r="G237" s="367"/>
      <c r="H237" s="94" t="s">
        <v>314</v>
      </c>
      <c r="I237" s="126">
        <v>58</v>
      </c>
      <c r="J237" s="126">
        <f t="shared" si="10"/>
        <v>18.471337579617835</v>
      </c>
      <c r="K237" s="126">
        <v>32.6</v>
      </c>
      <c r="L237" s="126">
        <f t="shared" si="11"/>
        <v>10.382165605095542</v>
      </c>
      <c r="M237" s="126">
        <v>3.9</v>
      </c>
      <c r="N237" s="126"/>
      <c r="O237" s="180">
        <f t="shared" si="12"/>
        <v>2.5449612258695575E-3</v>
      </c>
      <c r="P237" s="131">
        <f>O237*(1+'Key Data'!F$3)</f>
        <v>3.1812015323369469E-3</v>
      </c>
      <c r="Q237" s="366"/>
      <c r="R237" s="366"/>
      <c r="S237" s="389"/>
    </row>
    <row r="238" spans="1:19" s="44" customFormat="1" x14ac:dyDescent="0.3">
      <c r="A238" s="367"/>
      <c r="B238" s="367"/>
      <c r="C238" s="367"/>
      <c r="D238" s="367"/>
      <c r="E238" s="172"/>
      <c r="F238" s="172"/>
      <c r="G238" s="367"/>
      <c r="H238" s="94" t="s">
        <v>314</v>
      </c>
      <c r="I238" s="126">
        <v>51.8</v>
      </c>
      <c r="J238" s="126">
        <f t="shared" si="10"/>
        <v>16.496815286624201</v>
      </c>
      <c r="K238" s="126">
        <v>32.6</v>
      </c>
      <c r="L238" s="126">
        <f t="shared" si="11"/>
        <v>10.382165605095542</v>
      </c>
      <c r="M238" s="126">
        <v>4</v>
      </c>
      <c r="N238" s="126"/>
      <c r="O238" s="180">
        <f t="shared" si="12"/>
        <v>2.5633925900821206E-3</v>
      </c>
      <c r="P238" s="131">
        <f>O238*(1+'Key Data'!F$3)</f>
        <v>3.2042407376026505E-3</v>
      </c>
      <c r="Q238" s="366"/>
      <c r="R238" s="366"/>
      <c r="S238" s="389"/>
    </row>
    <row r="239" spans="1:19" s="44" customFormat="1" x14ac:dyDescent="0.3">
      <c r="A239" s="367"/>
      <c r="B239" s="367"/>
      <c r="C239" s="367"/>
      <c r="D239" s="367"/>
      <c r="E239" s="172"/>
      <c r="F239" s="172"/>
      <c r="G239" s="367"/>
      <c r="H239" s="94" t="s">
        <v>314</v>
      </c>
      <c r="I239" s="126">
        <v>63</v>
      </c>
      <c r="J239" s="126">
        <f t="shared" si="10"/>
        <v>20.063694267515924</v>
      </c>
      <c r="K239" s="126">
        <v>46.8</v>
      </c>
      <c r="L239" s="126">
        <f t="shared" si="11"/>
        <v>14.904458598726114</v>
      </c>
      <c r="M239" s="126">
        <v>5.2</v>
      </c>
      <c r="N239" s="126"/>
      <c r="O239" s="180">
        <f t="shared" si="12"/>
        <v>3.2808410262006212E-3</v>
      </c>
      <c r="P239" s="131">
        <f>O239*(1+'Key Data'!F$3)</f>
        <v>4.1010512827507764E-3</v>
      </c>
      <c r="Q239" s="366"/>
      <c r="R239" s="366"/>
      <c r="S239" s="389"/>
    </row>
    <row r="240" spans="1:19" s="44" customFormat="1" x14ac:dyDescent="0.3">
      <c r="A240" s="367"/>
      <c r="B240" s="367"/>
      <c r="C240" s="367"/>
      <c r="D240" s="367"/>
      <c r="E240" s="172"/>
      <c r="F240" s="172"/>
      <c r="G240" s="367"/>
      <c r="H240" s="94" t="s">
        <v>314</v>
      </c>
      <c r="I240" s="126">
        <v>56.8</v>
      </c>
      <c r="J240" s="126">
        <f t="shared" si="10"/>
        <v>18.089171974522291</v>
      </c>
      <c r="K240" s="126">
        <v>42.2</v>
      </c>
      <c r="L240" s="126">
        <f t="shared" si="11"/>
        <v>13.439490445859873</v>
      </c>
      <c r="M240" s="126">
        <v>5</v>
      </c>
      <c r="N240" s="126"/>
      <c r="O240" s="180">
        <f t="shared" si="12"/>
        <v>3.1016462454053722E-3</v>
      </c>
      <c r="P240" s="131">
        <f>O240*(1+'Key Data'!F$3)</f>
        <v>3.8770578067567154E-3</v>
      </c>
      <c r="Q240" s="366"/>
      <c r="R240" s="366"/>
      <c r="S240" s="389"/>
    </row>
    <row r="241" spans="1:19" s="44" customFormat="1" x14ac:dyDescent="0.3">
      <c r="A241" s="367"/>
      <c r="B241" s="367"/>
      <c r="C241" s="367"/>
      <c r="D241" s="367"/>
      <c r="E241" s="172"/>
      <c r="F241" s="172"/>
      <c r="G241" s="367"/>
      <c r="H241" s="94" t="s">
        <v>314</v>
      </c>
      <c r="I241" s="126">
        <v>62.6</v>
      </c>
      <c r="J241" s="126">
        <f t="shared" si="10"/>
        <v>19.936305732484076</v>
      </c>
      <c r="K241" s="126">
        <v>44.8</v>
      </c>
      <c r="L241" s="126">
        <f t="shared" si="11"/>
        <v>14.267515923566878</v>
      </c>
      <c r="M241" s="126">
        <v>4.5999999999999996</v>
      </c>
      <c r="N241" s="126"/>
      <c r="O241" s="180">
        <f t="shared" si="12"/>
        <v>3.1279956432575273E-3</v>
      </c>
      <c r="P241" s="131">
        <f>O241*(1+'Key Data'!F$3)</f>
        <v>3.909994554071909E-3</v>
      </c>
      <c r="Q241" s="366"/>
      <c r="R241" s="366"/>
      <c r="S241" s="389"/>
    </row>
    <row r="242" spans="1:19" s="44" customFormat="1" x14ac:dyDescent="0.3">
      <c r="A242" s="367"/>
      <c r="B242" s="367"/>
      <c r="C242" s="367"/>
      <c r="D242" s="367"/>
      <c r="E242" s="172"/>
      <c r="F242" s="172"/>
      <c r="G242" s="367"/>
      <c r="H242" s="94" t="s">
        <v>314</v>
      </c>
      <c r="I242" s="126">
        <v>53.4</v>
      </c>
      <c r="J242" s="126">
        <f t="shared" si="10"/>
        <v>17.00636942675159</v>
      </c>
      <c r="K242" s="126">
        <v>33.799999999999997</v>
      </c>
      <c r="L242" s="126">
        <f t="shared" si="11"/>
        <v>10.764331210191081</v>
      </c>
      <c r="M242" s="126">
        <v>4.3</v>
      </c>
      <c r="N242" s="126"/>
      <c r="O242" s="180">
        <f t="shared" si="12"/>
        <v>2.6686742682654366E-3</v>
      </c>
      <c r="P242" s="131">
        <f>O242*(1+'Key Data'!F$3)</f>
        <v>3.3358428353317958E-3</v>
      </c>
      <c r="Q242" s="366"/>
      <c r="R242" s="366"/>
      <c r="S242" s="389"/>
    </row>
    <row r="243" spans="1:19" s="44" customFormat="1" x14ac:dyDescent="0.3">
      <c r="A243" s="367"/>
      <c r="B243" s="367"/>
      <c r="C243" s="367"/>
      <c r="D243" s="367"/>
      <c r="E243" s="172"/>
      <c r="F243" s="172"/>
      <c r="G243" s="367"/>
      <c r="H243" s="94" t="s">
        <v>314</v>
      </c>
      <c r="I243" s="126">
        <v>46.5</v>
      </c>
      <c r="J243" s="126">
        <f t="shared" si="10"/>
        <v>14.808917197452228</v>
      </c>
      <c r="K243" s="126">
        <v>28</v>
      </c>
      <c r="L243" s="126">
        <f t="shared" si="11"/>
        <v>8.9171974522292992</v>
      </c>
      <c r="M243" s="126">
        <v>2.6</v>
      </c>
      <c r="N243" s="126"/>
      <c r="O243" s="180">
        <f t="shared" si="12"/>
        <v>2.0283137021113147E-3</v>
      </c>
      <c r="P243" s="131">
        <f>O243*(1+'Key Data'!F$3)</f>
        <v>2.5353921276391432E-3</v>
      </c>
      <c r="Q243" s="366"/>
      <c r="R243" s="366"/>
      <c r="S243" s="389"/>
    </row>
    <row r="244" spans="1:19" s="44" customFormat="1" x14ac:dyDescent="0.3">
      <c r="A244" s="367"/>
      <c r="B244" s="367"/>
      <c r="C244" s="367"/>
      <c r="D244" s="367"/>
      <c r="E244" s="172"/>
      <c r="F244" s="172"/>
      <c r="G244" s="367"/>
      <c r="H244" s="94" t="s">
        <v>314</v>
      </c>
      <c r="I244" s="126">
        <v>37.5</v>
      </c>
      <c r="J244" s="126">
        <f t="shared" si="10"/>
        <v>11.942675159235668</v>
      </c>
      <c r="K244" s="126">
        <v>24</v>
      </c>
      <c r="L244" s="126">
        <f t="shared" si="11"/>
        <v>7.6433121019108281</v>
      </c>
      <c r="M244" s="126">
        <v>2.6</v>
      </c>
      <c r="N244" s="126"/>
      <c r="O244" s="180">
        <f t="shared" si="12"/>
        <v>1.8038703122828267E-3</v>
      </c>
      <c r="P244" s="131">
        <f>O244*(1+'Key Data'!F$3)</f>
        <v>2.2548378903535335E-3</v>
      </c>
      <c r="Q244" s="366"/>
      <c r="R244" s="366"/>
      <c r="S244" s="389"/>
    </row>
    <row r="245" spans="1:19" s="44" customFormat="1" x14ac:dyDescent="0.3">
      <c r="A245" s="367"/>
      <c r="B245" s="367"/>
      <c r="C245" s="367"/>
      <c r="D245" s="367"/>
      <c r="E245" s="172"/>
      <c r="F245" s="172"/>
      <c r="G245" s="367"/>
      <c r="H245" s="94" t="s">
        <v>314</v>
      </c>
      <c r="I245" s="126">
        <v>46</v>
      </c>
      <c r="J245" s="126">
        <f t="shared" si="10"/>
        <v>14.64968152866242</v>
      </c>
      <c r="K245" s="126">
        <v>27</v>
      </c>
      <c r="L245" s="126">
        <f t="shared" si="11"/>
        <v>8.598726114649681</v>
      </c>
      <c r="M245" s="126">
        <v>3</v>
      </c>
      <c r="N245" s="126"/>
      <c r="O245" s="180">
        <f t="shared" si="12"/>
        <v>2.0795398263689312E-3</v>
      </c>
      <c r="P245" s="131">
        <f>O245*(1+'Key Data'!F$3)</f>
        <v>2.5994247829611641E-3</v>
      </c>
      <c r="Q245" s="366"/>
      <c r="R245" s="366"/>
      <c r="S245" s="389"/>
    </row>
    <row r="246" spans="1:19" s="44" customFormat="1" x14ac:dyDescent="0.3">
      <c r="A246" s="367"/>
      <c r="B246" s="367"/>
      <c r="C246" s="367"/>
      <c r="D246" s="367"/>
      <c r="E246" s="172"/>
      <c r="F246" s="172"/>
      <c r="G246" s="367"/>
      <c r="H246" s="94" t="s">
        <v>314</v>
      </c>
      <c r="I246" s="126">
        <v>63.5</v>
      </c>
      <c r="J246" s="126">
        <f t="shared" si="10"/>
        <v>20.222929936305732</v>
      </c>
      <c r="K246" s="126">
        <v>36.5</v>
      </c>
      <c r="L246" s="126">
        <f t="shared" si="11"/>
        <v>11.624203821656051</v>
      </c>
      <c r="M246" s="126">
        <v>4</v>
      </c>
      <c r="N246" s="126"/>
      <c r="O246" s="180">
        <f t="shared" si="12"/>
        <v>2.7279205496283021E-3</v>
      </c>
      <c r="P246" s="131">
        <f>O246*(1+'Key Data'!F$3)</f>
        <v>3.4099006870353778E-3</v>
      </c>
      <c r="Q246" s="366"/>
      <c r="R246" s="366"/>
      <c r="S246" s="389"/>
    </row>
    <row r="247" spans="1:19" s="44" customFormat="1" x14ac:dyDescent="0.3">
      <c r="A247" s="367"/>
      <c r="B247" s="367"/>
      <c r="C247" s="367"/>
      <c r="D247" s="367"/>
      <c r="E247" s="172"/>
      <c r="F247" s="172"/>
      <c r="G247" s="367"/>
      <c r="H247" s="94" t="s">
        <v>314</v>
      </c>
      <c r="I247" s="126">
        <v>60</v>
      </c>
      <c r="J247" s="126">
        <f t="shared" si="10"/>
        <v>19.108280254777068</v>
      </c>
      <c r="K247" s="126">
        <v>30.5</v>
      </c>
      <c r="L247" s="126">
        <f t="shared" si="11"/>
        <v>9.7133757961783438</v>
      </c>
      <c r="M247" s="126">
        <v>3.9</v>
      </c>
      <c r="N247" s="126"/>
      <c r="O247" s="180">
        <f t="shared" si="12"/>
        <v>2.4480125853400228E-3</v>
      </c>
      <c r="P247" s="131">
        <f>O247*(1+'Key Data'!F$3)</f>
        <v>3.0600157316750284E-3</v>
      </c>
      <c r="Q247" s="366"/>
      <c r="R247" s="366"/>
      <c r="S247" s="389"/>
    </row>
    <row r="248" spans="1:19" s="44" customFormat="1" x14ac:dyDescent="0.3">
      <c r="A248" s="367"/>
      <c r="B248" s="367"/>
      <c r="C248" s="367"/>
      <c r="D248" s="367"/>
      <c r="E248" s="172"/>
      <c r="F248" s="172"/>
      <c r="G248" s="367"/>
      <c r="H248" s="94" t="s">
        <v>314</v>
      </c>
      <c r="I248" s="126">
        <v>60</v>
      </c>
      <c r="J248" s="126">
        <f t="shared" si="10"/>
        <v>19.108280254777068</v>
      </c>
      <c r="K248" s="126">
        <v>34.6</v>
      </c>
      <c r="L248" s="126">
        <f t="shared" si="11"/>
        <v>11.019108280254777</v>
      </c>
      <c r="M248" s="126">
        <v>3.9</v>
      </c>
      <c r="N248" s="126"/>
      <c r="O248" s="180">
        <f t="shared" si="12"/>
        <v>2.631653495083677E-3</v>
      </c>
      <c r="P248" s="131">
        <f>O248*(1+'Key Data'!F$3)</f>
        <v>3.2895668688545962E-3</v>
      </c>
      <c r="Q248" s="366"/>
      <c r="R248" s="366"/>
      <c r="S248" s="389"/>
    </row>
    <row r="249" spans="1:19" s="44" customFormat="1" x14ac:dyDescent="0.3">
      <c r="A249" s="367"/>
      <c r="B249" s="367"/>
      <c r="C249" s="367"/>
      <c r="D249" s="367"/>
      <c r="E249" s="172"/>
      <c r="F249" s="172"/>
      <c r="G249" s="367"/>
      <c r="H249" s="94" t="s">
        <v>314</v>
      </c>
      <c r="I249" s="126">
        <v>67</v>
      </c>
      <c r="J249" s="126">
        <f t="shared" si="10"/>
        <v>21.337579617834393</v>
      </c>
      <c r="K249" s="126">
        <v>35.5</v>
      </c>
      <c r="L249" s="126">
        <f t="shared" si="11"/>
        <v>11.305732484076433</v>
      </c>
      <c r="M249" s="126">
        <v>4</v>
      </c>
      <c r="N249" s="126"/>
      <c r="O249" s="180">
        <f t="shared" si="12"/>
        <v>2.6874735042883994E-3</v>
      </c>
      <c r="P249" s="131">
        <f>O249*(1+'Key Data'!F$3)</f>
        <v>3.359341880360499E-3</v>
      </c>
      <c r="Q249" s="366"/>
      <c r="R249" s="366"/>
      <c r="S249" s="389"/>
    </row>
    <row r="250" spans="1:19" s="44" customFormat="1" x14ac:dyDescent="0.3">
      <c r="A250" s="367"/>
      <c r="B250" s="367"/>
      <c r="C250" s="367"/>
      <c r="D250" s="367"/>
      <c r="E250" s="172"/>
      <c r="F250" s="172"/>
      <c r="G250" s="367"/>
      <c r="H250" s="94" t="s">
        <v>314</v>
      </c>
      <c r="I250" s="126">
        <v>61</v>
      </c>
      <c r="J250" s="126">
        <f t="shared" si="10"/>
        <v>19.426751592356688</v>
      </c>
      <c r="K250" s="126">
        <v>37</v>
      </c>
      <c r="L250" s="126">
        <f t="shared" si="11"/>
        <v>11.783439490445859</v>
      </c>
      <c r="M250" s="126">
        <v>4.8</v>
      </c>
      <c r="N250" s="126"/>
      <c r="O250" s="180">
        <f t="shared" si="12"/>
        <v>2.8804604723675145E-3</v>
      </c>
      <c r="P250" s="131">
        <f>O250*(1+'Key Data'!F$3)</f>
        <v>3.6005755904593931E-3</v>
      </c>
      <c r="Q250" s="366"/>
      <c r="R250" s="366"/>
      <c r="S250" s="389"/>
    </row>
    <row r="251" spans="1:19" s="44" customFormat="1" x14ac:dyDescent="0.3">
      <c r="A251" s="367"/>
      <c r="B251" s="367"/>
      <c r="C251" s="367"/>
      <c r="D251" s="367"/>
      <c r="E251" s="172"/>
      <c r="F251" s="172"/>
      <c r="G251" s="367"/>
      <c r="H251" s="94" t="s">
        <v>314</v>
      </c>
      <c r="I251" s="126">
        <v>58</v>
      </c>
      <c r="J251" s="126">
        <f t="shared" si="10"/>
        <v>18.471337579617835</v>
      </c>
      <c r="K251" s="126">
        <v>34</v>
      </c>
      <c r="L251" s="126">
        <f t="shared" si="11"/>
        <v>10.828025477707007</v>
      </c>
      <c r="M251" s="126">
        <v>4.5999999999999996</v>
      </c>
      <c r="N251" s="126"/>
      <c r="O251" s="180">
        <f t="shared" si="12"/>
        <v>2.7263615161017708E-3</v>
      </c>
      <c r="P251" s="131">
        <f>O251*(1+'Key Data'!F$3)</f>
        <v>3.4079518951272134E-3</v>
      </c>
      <c r="Q251" s="366"/>
      <c r="R251" s="366"/>
      <c r="S251" s="389"/>
    </row>
    <row r="252" spans="1:19" s="44" customFormat="1" x14ac:dyDescent="0.3">
      <c r="A252" s="367"/>
      <c r="B252" s="367"/>
      <c r="C252" s="367"/>
      <c r="D252" s="367"/>
      <c r="E252" s="172"/>
      <c r="F252" s="172"/>
      <c r="G252" s="367"/>
      <c r="H252" s="94" t="s">
        <v>314</v>
      </c>
      <c r="I252" s="126">
        <v>50</v>
      </c>
      <c r="J252" s="126">
        <f t="shared" si="10"/>
        <v>15.923566878980891</v>
      </c>
      <c r="K252" s="126">
        <v>35.5</v>
      </c>
      <c r="L252" s="126">
        <f t="shared" si="11"/>
        <v>11.305732484076433</v>
      </c>
      <c r="M252" s="126">
        <v>3.4</v>
      </c>
      <c r="N252" s="126"/>
      <c r="O252" s="180">
        <f t="shared" si="12"/>
        <v>2.5691597236140195E-3</v>
      </c>
      <c r="P252" s="131">
        <f>O252*(1+'Key Data'!F$3)</f>
        <v>3.2114496545175243E-3</v>
      </c>
      <c r="Q252" s="366"/>
      <c r="R252" s="366"/>
      <c r="S252" s="389"/>
    </row>
    <row r="253" spans="1:19" s="44" customFormat="1" x14ac:dyDescent="0.3">
      <c r="A253" s="367"/>
      <c r="B253" s="367"/>
      <c r="C253" s="367"/>
      <c r="D253" s="367"/>
      <c r="E253" s="172"/>
      <c r="F253" s="172"/>
      <c r="G253" s="367"/>
      <c r="H253" s="94" t="s">
        <v>314</v>
      </c>
      <c r="I253" s="126">
        <v>63</v>
      </c>
      <c r="J253" s="126">
        <f t="shared" si="10"/>
        <v>20.063694267515924</v>
      </c>
      <c r="K253" s="126">
        <v>43</v>
      </c>
      <c r="L253" s="126">
        <f t="shared" si="11"/>
        <v>13.694267515923567</v>
      </c>
      <c r="M253" s="126">
        <v>4.3</v>
      </c>
      <c r="N253" s="126"/>
      <c r="O253" s="180">
        <f t="shared" si="12"/>
        <v>3.019190708291319E-3</v>
      </c>
      <c r="P253" s="131">
        <f>O253*(1+'Key Data'!F$3)</f>
        <v>3.7739883853641488E-3</v>
      </c>
      <c r="Q253" s="366"/>
      <c r="R253" s="366"/>
      <c r="S253" s="389"/>
    </row>
    <row r="254" spans="1:19" s="44" customFormat="1" x14ac:dyDescent="0.3">
      <c r="A254" s="367"/>
      <c r="B254" s="367"/>
      <c r="C254" s="367"/>
      <c r="D254" s="367"/>
      <c r="E254" s="172"/>
      <c r="F254" s="172"/>
      <c r="G254" s="367"/>
      <c r="H254" s="94" t="s">
        <v>314</v>
      </c>
      <c r="I254" s="126">
        <v>60</v>
      </c>
      <c r="J254" s="126">
        <f t="shared" si="10"/>
        <v>19.108280254777068</v>
      </c>
      <c r="K254" s="126">
        <v>31.5</v>
      </c>
      <c r="L254" s="126">
        <f t="shared" si="11"/>
        <v>10.031847133757962</v>
      </c>
      <c r="M254" s="126">
        <v>4</v>
      </c>
      <c r="N254" s="126"/>
      <c r="O254" s="180">
        <f t="shared" si="12"/>
        <v>2.5134157649423158E-3</v>
      </c>
      <c r="P254" s="131">
        <f>O254*(1+'Key Data'!F$3)</f>
        <v>3.1417697061778948E-3</v>
      </c>
      <c r="Q254" s="366"/>
      <c r="R254" s="366"/>
      <c r="S254" s="389"/>
    </row>
    <row r="255" spans="1:19" s="44" customFormat="1" x14ac:dyDescent="0.3">
      <c r="A255" s="367"/>
      <c r="B255" s="367"/>
      <c r="C255" s="367"/>
      <c r="D255" s="367"/>
      <c r="E255" s="172"/>
      <c r="F255" s="172"/>
      <c r="G255" s="367"/>
      <c r="H255" s="94" t="s">
        <v>314</v>
      </c>
      <c r="I255" s="126">
        <v>56</v>
      </c>
      <c r="J255" s="126">
        <f t="shared" si="10"/>
        <v>17.834394904458598</v>
      </c>
      <c r="K255" s="126">
        <v>32</v>
      </c>
      <c r="L255" s="126">
        <f t="shared" si="11"/>
        <v>10.19108280254777</v>
      </c>
      <c r="M255" s="126">
        <v>3.7</v>
      </c>
      <c r="N255" s="126"/>
      <c r="O255" s="180">
        <f t="shared" si="12"/>
        <v>2.479589370497976E-3</v>
      </c>
      <c r="P255" s="131">
        <f>O255*(1+'Key Data'!F$3)</f>
        <v>3.0994867131224702E-3</v>
      </c>
      <c r="Q255" s="366"/>
      <c r="R255" s="366"/>
      <c r="S255" s="389"/>
    </row>
    <row r="256" spans="1:19" s="44" customFormat="1" x14ac:dyDescent="0.3">
      <c r="A256" s="367"/>
      <c r="B256" s="367"/>
      <c r="C256" s="367"/>
      <c r="D256" s="367"/>
      <c r="E256" s="172"/>
      <c r="F256" s="172"/>
      <c r="G256" s="367"/>
      <c r="H256" s="94" t="s">
        <v>314</v>
      </c>
      <c r="I256" s="126">
        <v>46</v>
      </c>
      <c r="J256" s="126">
        <f t="shared" si="10"/>
        <v>14.64968152866242</v>
      </c>
      <c r="K256" s="126">
        <v>25</v>
      </c>
      <c r="L256" s="126">
        <f t="shared" si="11"/>
        <v>7.9617834394904454</v>
      </c>
      <c r="M256" s="126">
        <v>2.4</v>
      </c>
      <c r="N256" s="126"/>
      <c r="O256" s="180">
        <f t="shared" si="12"/>
        <v>1.8050360451179832E-3</v>
      </c>
      <c r="P256" s="131">
        <f>O256*(1+'Key Data'!F$3)</f>
        <v>2.2562950563974789E-3</v>
      </c>
      <c r="Q256" s="366"/>
      <c r="R256" s="366"/>
      <c r="S256" s="389"/>
    </row>
    <row r="257" spans="1:20" s="44" customFormat="1" x14ac:dyDescent="0.3">
      <c r="A257" s="367"/>
      <c r="B257" s="367"/>
      <c r="C257" s="367"/>
      <c r="D257" s="367"/>
      <c r="E257" s="172"/>
      <c r="F257" s="172"/>
      <c r="G257" s="367"/>
      <c r="H257" s="94" t="s">
        <v>314</v>
      </c>
      <c r="I257" s="126">
        <v>63.5</v>
      </c>
      <c r="J257" s="126">
        <f t="shared" si="10"/>
        <v>20.222929936305732</v>
      </c>
      <c r="K257" s="126">
        <v>43.2</v>
      </c>
      <c r="L257" s="126">
        <f t="shared" si="11"/>
        <v>13.757961783439491</v>
      </c>
      <c r="M257" s="126">
        <v>5</v>
      </c>
      <c r="N257" s="126"/>
      <c r="O257" s="180">
        <f t="shared" si="12"/>
        <v>3.1357461646523634E-3</v>
      </c>
      <c r="P257" s="131">
        <f>O257*(1+'Key Data'!F$3)</f>
        <v>3.9196827058154545E-3</v>
      </c>
      <c r="Q257" s="366"/>
      <c r="R257" s="366"/>
      <c r="S257" s="389"/>
    </row>
    <row r="258" spans="1:20" s="44" customFormat="1" x14ac:dyDescent="0.3">
      <c r="A258" s="367"/>
      <c r="B258" s="367"/>
      <c r="C258" s="367"/>
      <c r="D258" s="367"/>
      <c r="E258" s="172"/>
      <c r="F258" s="172"/>
      <c r="G258" s="367"/>
      <c r="H258" s="94" t="s">
        <v>314</v>
      </c>
      <c r="I258" s="126">
        <v>50.5</v>
      </c>
      <c r="J258" s="126">
        <f t="shared" ref="J258:J298" si="13">I258/3.14</f>
        <v>16.082802547770701</v>
      </c>
      <c r="K258" s="126">
        <v>40.5</v>
      </c>
      <c r="L258" s="126">
        <f t="shared" si="11"/>
        <v>12.898089171974522</v>
      </c>
      <c r="M258" s="126">
        <v>4.9000000000000004</v>
      </c>
      <c r="N258" s="126"/>
      <c r="O258" s="180">
        <f t="shared" si="12"/>
        <v>3.0270705069489058E-3</v>
      </c>
      <c r="P258" s="131">
        <f>O258*(1+'Key Data'!F$3)</f>
        <v>3.7838381336861323E-3</v>
      </c>
      <c r="Q258" s="366"/>
      <c r="R258" s="366"/>
      <c r="S258" s="389"/>
    </row>
    <row r="259" spans="1:20" s="44" customFormat="1" x14ac:dyDescent="0.3">
      <c r="A259" s="367"/>
      <c r="B259" s="367"/>
      <c r="C259" s="367"/>
      <c r="D259" s="367"/>
      <c r="E259" s="172"/>
      <c r="F259" s="172"/>
      <c r="G259" s="367"/>
      <c r="H259" s="94" t="s">
        <v>314</v>
      </c>
      <c r="I259" s="126">
        <v>72</v>
      </c>
      <c r="J259" s="126">
        <f t="shared" si="13"/>
        <v>22.929936305732483</v>
      </c>
      <c r="K259" s="126">
        <v>33.5</v>
      </c>
      <c r="L259" s="126">
        <f t="shared" si="11"/>
        <v>10.668789808917197</v>
      </c>
      <c r="M259" s="126">
        <v>4.8</v>
      </c>
      <c r="N259" s="126"/>
      <c r="O259" s="180">
        <f t="shared" si="12"/>
        <v>2.73577415049549E-3</v>
      </c>
      <c r="P259" s="131">
        <f>O259*(1+'Key Data'!F$3)</f>
        <v>3.4197176881193628E-3</v>
      </c>
      <c r="Q259" s="366"/>
      <c r="R259" s="366"/>
      <c r="S259" s="389"/>
    </row>
    <row r="260" spans="1:20" s="44" customFormat="1" x14ac:dyDescent="0.3">
      <c r="A260" s="367"/>
      <c r="B260" s="367"/>
      <c r="C260" s="367"/>
      <c r="D260" s="367"/>
      <c r="E260" s="172"/>
      <c r="F260" s="172"/>
      <c r="G260" s="367"/>
      <c r="H260" s="94" t="s">
        <v>314</v>
      </c>
      <c r="I260" s="126">
        <v>67</v>
      </c>
      <c r="J260" s="126">
        <f t="shared" si="13"/>
        <v>21.337579617834393</v>
      </c>
      <c r="K260" s="126">
        <v>40.5</v>
      </c>
      <c r="L260" s="126">
        <f t="shared" si="11"/>
        <v>12.898089171974522</v>
      </c>
      <c r="M260" s="126">
        <v>4.8</v>
      </c>
      <c r="N260" s="126"/>
      <c r="O260" s="180">
        <f t="shared" si="12"/>
        <v>3.0120596658653139E-3</v>
      </c>
      <c r="P260" s="131">
        <f>O260*(1+'Key Data'!F$3)</f>
        <v>3.7650745823316423E-3</v>
      </c>
      <c r="Q260" s="366"/>
      <c r="R260" s="366"/>
      <c r="S260" s="389"/>
    </row>
    <row r="261" spans="1:20" s="44" customFormat="1" x14ac:dyDescent="0.3">
      <c r="A261" s="367"/>
      <c r="B261" s="367"/>
      <c r="C261" s="367"/>
      <c r="D261" s="367"/>
      <c r="E261" s="172"/>
      <c r="F261" s="172"/>
      <c r="G261" s="367"/>
      <c r="H261" s="94" t="s">
        <v>314</v>
      </c>
      <c r="I261" s="126">
        <v>61.5</v>
      </c>
      <c r="J261" s="126">
        <f t="shared" si="13"/>
        <v>19.585987261146496</v>
      </c>
      <c r="K261" s="126">
        <v>34.5</v>
      </c>
      <c r="L261" s="126">
        <f t="shared" si="11"/>
        <v>10.987261146496815</v>
      </c>
      <c r="M261" s="126">
        <v>3.6</v>
      </c>
      <c r="N261" s="126"/>
      <c r="O261" s="180">
        <f t="shared" si="12"/>
        <v>2.5691682186109563E-3</v>
      </c>
      <c r="P261" s="131">
        <f>O261*(1+'Key Data'!F$3)</f>
        <v>3.2114602732636953E-3</v>
      </c>
      <c r="Q261" s="366"/>
      <c r="R261" s="366"/>
      <c r="S261" s="389"/>
    </row>
    <row r="262" spans="1:20" s="44" customFormat="1" x14ac:dyDescent="0.3">
      <c r="A262" s="367"/>
      <c r="B262" s="367"/>
      <c r="C262" s="367"/>
      <c r="D262" s="367"/>
      <c r="E262" s="172"/>
      <c r="F262" s="172"/>
      <c r="G262" s="367"/>
      <c r="H262" s="94" t="s">
        <v>314</v>
      </c>
      <c r="I262" s="126">
        <v>52.5</v>
      </c>
      <c r="J262" s="126">
        <f t="shared" si="13"/>
        <v>16.719745222929937</v>
      </c>
      <c r="K262" s="126">
        <v>36.5</v>
      </c>
      <c r="L262" s="126">
        <f t="shared" si="11"/>
        <v>11.624203821656051</v>
      </c>
      <c r="M262" s="126">
        <v>3.6</v>
      </c>
      <c r="N262" s="126"/>
      <c r="O262" s="180">
        <f t="shared" si="12"/>
        <v>2.6512180942294041E-3</v>
      </c>
      <c r="P262" s="131">
        <f>O262*(1+'Key Data'!F$3)</f>
        <v>3.3140226177867551E-3</v>
      </c>
      <c r="Q262" s="366"/>
      <c r="R262" s="366"/>
      <c r="S262" s="389"/>
    </row>
    <row r="263" spans="1:20" s="44" customFormat="1" x14ac:dyDescent="0.3">
      <c r="A263" s="367"/>
      <c r="B263" s="367"/>
      <c r="C263" s="367"/>
      <c r="D263" s="367"/>
      <c r="E263" s="172"/>
      <c r="F263" s="172"/>
      <c r="G263" s="367"/>
      <c r="H263" s="94" t="s">
        <v>314</v>
      </c>
      <c r="I263" s="126">
        <v>48.5</v>
      </c>
      <c r="J263" s="126">
        <f t="shared" si="13"/>
        <v>15.445859872611464</v>
      </c>
      <c r="K263" s="126">
        <v>38</v>
      </c>
      <c r="L263" s="126">
        <f t="shared" si="11"/>
        <v>12.101910828025478</v>
      </c>
      <c r="M263" s="126">
        <v>5.0999999999999996</v>
      </c>
      <c r="N263" s="126"/>
      <c r="O263" s="180">
        <f t="shared" si="12"/>
        <v>2.9634241648015063E-3</v>
      </c>
      <c r="P263" s="131">
        <f>O263*(1+'Key Data'!F$3)</f>
        <v>3.704280206001883E-3</v>
      </c>
      <c r="Q263" s="366"/>
      <c r="R263" s="366"/>
      <c r="S263" s="389"/>
    </row>
    <row r="264" spans="1:20" s="44" customFormat="1" ht="15" customHeight="1" x14ac:dyDescent="0.3">
      <c r="A264" s="374">
        <v>4</v>
      </c>
      <c r="B264" s="374" t="s">
        <v>329</v>
      </c>
      <c r="C264" s="374" t="s">
        <v>330</v>
      </c>
      <c r="D264" s="374" t="s">
        <v>289</v>
      </c>
      <c r="E264" s="200">
        <v>15.333035799999999</v>
      </c>
      <c r="F264" s="200">
        <v>75.730863600000006</v>
      </c>
      <c r="G264" s="374">
        <v>2021</v>
      </c>
      <c r="H264" s="72" t="s">
        <v>331</v>
      </c>
      <c r="I264" s="128">
        <v>45.8</v>
      </c>
      <c r="J264" s="128">
        <f t="shared" si="13"/>
        <v>14.585987261146496</v>
      </c>
      <c r="K264" s="128">
        <f>SQRT(34.3^2+13.6^2+10.6^2)</f>
        <v>38.390233132920663</v>
      </c>
      <c r="L264" s="128">
        <f t="shared" ref="L264:L298" si="14">K264/3.14/100</f>
        <v>0.12226188895834605</v>
      </c>
      <c r="M264" s="128">
        <v>5</v>
      </c>
      <c r="N264" s="128"/>
      <c r="O264" s="128">
        <f>(0.30706+5.12731*L264-2.0987*SQRT(L264))^2*'Key Data'!$I$17*'Key Data'!$F$17</f>
        <v>4.4145807110594987E-2</v>
      </c>
      <c r="P264" s="138">
        <f>O264*(1+'Key Data'!F$3)</f>
        <v>5.5182258888243733E-2</v>
      </c>
      <c r="Q264" s="379">
        <f>SUM(P264:P298)</f>
        <v>1.9922370063169499</v>
      </c>
      <c r="R264" s="379">
        <f>Q264*10000/900</f>
        <v>22.135966736855</v>
      </c>
      <c r="S264" s="389"/>
      <c r="T264" s="220"/>
    </row>
    <row r="265" spans="1:20" s="44" customFormat="1" ht="15" customHeight="1" x14ac:dyDescent="0.3">
      <c r="A265" s="374"/>
      <c r="B265" s="374"/>
      <c r="C265" s="374"/>
      <c r="D265" s="374"/>
      <c r="E265" s="200">
        <v>15.333017999999999</v>
      </c>
      <c r="F265" s="200">
        <v>75.731172700000002</v>
      </c>
      <c r="G265" s="374"/>
      <c r="H265" s="72" t="s">
        <v>331</v>
      </c>
      <c r="I265" s="128">
        <v>44.8</v>
      </c>
      <c r="J265" s="128">
        <f t="shared" si="13"/>
        <v>14.267515923566878</v>
      </c>
      <c r="K265" s="128">
        <f>SQRT(24.3^2+15^2+26^2+8^2+13.2^2+14^2)</f>
        <v>43.883140270495687</v>
      </c>
      <c r="L265" s="128">
        <f t="shared" si="14"/>
        <v>0.13975522379138755</v>
      </c>
      <c r="M265" s="128">
        <v>5</v>
      </c>
      <c r="N265" s="128"/>
      <c r="O265" s="128">
        <f>(0.30706+5.12731*L265-2.0987*SQRT(L265))^2*'Key Data'!$I$17*'Key Data'!$F$17</f>
        <v>6.300409849879722E-2</v>
      </c>
      <c r="P265" s="138">
        <f>O265*(1+'Key Data'!F$3)</f>
        <v>7.8755123123496529E-2</v>
      </c>
      <c r="Q265" s="379"/>
      <c r="R265" s="379"/>
      <c r="S265" s="389"/>
    </row>
    <row r="266" spans="1:20" s="44" customFormat="1" ht="15" customHeight="1" x14ac:dyDescent="0.3">
      <c r="A266" s="374"/>
      <c r="B266" s="374"/>
      <c r="C266" s="374"/>
      <c r="D266" s="374"/>
      <c r="E266" s="200">
        <v>15.3332903</v>
      </c>
      <c r="F266" s="200">
        <v>75.731132500000001</v>
      </c>
      <c r="G266" s="374"/>
      <c r="H266" s="72" t="s">
        <v>331</v>
      </c>
      <c r="I266" s="128">
        <v>57.6</v>
      </c>
      <c r="J266" s="128">
        <f t="shared" si="13"/>
        <v>18.343949044585987</v>
      </c>
      <c r="K266" s="128">
        <f>SQRT(23^2+22^2+29^2)</f>
        <v>43.058100283221968</v>
      </c>
      <c r="L266" s="128">
        <f t="shared" si="14"/>
        <v>0.13712770790835022</v>
      </c>
      <c r="M266" s="128">
        <v>5.2</v>
      </c>
      <c r="N266" s="128"/>
      <c r="O266" s="128">
        <f>(0.30706+5.12731*L266-2.0987*SQRT(L266))^2*'Key Data'!$I$17*'Key Data'!$F$17</f>
        <v>5.9849377983988344E-2</v>
      </c>
      <c r="P266" s="138">
        <f>O266*(1+'Key Data'!F$3)</f>
        <v>7.4811722479985437E-2</v>
      </c>
      <c r="Q266" s="379"/>
      <c r="R266" s="379"/>
      <c r="S266" s="389"/>
    </row>
    <row r="267" spans="1:20" s="44" customFormat="1" ht="15" customHeight="1" x14ac:dyDescent="0.3">
      <c r="A267" s="374"/>
      <c r="B267" s="374"/>
      <c r="C267" s="374"/>
      <c r="D267" s="374"/>
      <c r="E267" s="200">
        <v>15.333293899999999</v>
      </c>
      <c r="F267" s="200">
        <v>75.730898800000006</v>
      </c>
      <c r="G267" s="374"/>
      <c r="H267" s="72" t="s">
        <v>331</v>
      </c>
      <c r="I267" s="128">
        <v>51.6</v>
      </c>
      <c r="J267" s="128">
        <f t="shared" si="13"/>
        <v>16.433121019108281</v>
      </c>
      <c r="K267" s="128">
        <f>SQRT(400+14.2^2+26.6^2+400+8.6^2)</f>
        <v>42.227479204896902</v>
      </c>
      <c r="L267" s="128">
        <f t="shared" si="14"/>
        <v>0.13448241784999013</v>
      </c>
      <c r="M267" s="128">
        <v>4.8</v>
      </c>
      <c r="N267" s="128"/>
      <c r="O267" s="128">
        <f>(0.30706+5.12731*L267-2.0987*SQRT(L267))^2*'Key Data'!$I$17*'Key Data'!$F$17</f>
        <v>5.6791226080954466E-2</v>
      </c>
      <c r="P267" s="138">
        <f>O267*(1+'Key Data'!F$3)</f>
        <v>7.0989032601193075E-2</v>
      </c>
      <c r="Q267" s="379"/>
      <c r="R267" s="379"/>
      <c r="S267" s="389"/>
    </row>
    <row r="268" spans="1:20" s="44" customFormat="1" ht="15" customHeight="1" x14ac:dyDescent="0.3">
      <c r="A268" s="374"/>
      <c r="B268" s="374"/>
      <c r="C268" s="374"/>
      <c r="D268" s="374"/>
      <c r="E268" s="200">
        <v>15.3331438</v>
      </c>
      <c r="F268" s="200">
        <v>75.730971600000004</v>
      </c>
      <c r="G268" s="374"/>
      <c r="H268" s="72" t="s">
        <v>331</v>
      </c>
      <c r="I268" s="128">
        <v>37.6</v>
      </c>
      <c r="J268" s="128">
        <f t="shared" si="13"/>
        <v>11.97452229299363</v>
      </c>
      <c r="K268" s="128">
        <f>SQRT(400+22.6^2+121)</f>
        <v>32.121021154378013</v>
      </c>
      <c r="L268" s="128">
        <f t="shared" si="14"/>
        <v>0.10229624571457965</v>
      </c>
      <c r="M268" s="128">
        <v>4.4000000000000004</v>
      </c>
      <c r="N268" s="128"/>
      <c r="O268" s="128">
        <f>(0.30706+5.12731*L268-2.0987*SQRT(L268))^2*'Key Data'!$I$17*'Key Data'!$F$17</f>
        <v>2.8337320985685387E-2</v>
      </c>
      <c r="P268" s="138">
        <f>O268*(1+'Key Data'!F$3)</f>
        <v>3.5421651232106735E-2</v>
      </c>
      <c r="Q268" s="379"/>
      <c r="R268" s="379"/>
      <c r="S268" s="389"/>
    </row>
    <row r="269" spans="1:20" s="44" customFormat="1" ht="15" customHeight="1" x14ac:dyDescent="0.3">
      <c r="A269" s="374"/>
      <c r="B269" s="374"/>
      <c r="C269" s="374"/>
      <c r="D269" s="374"/>
      <c r="E269" s="200"/>
      <c r="F269" s="200"/>
      <c r="G269" s="374"/>
      <c r="H269" s="72" t="s">
        <v>331</v>
      </c>
      <c r="I269" s="128">
        <v>37</v>
      </c>
      <c r="J269" s="128">
        <f t="shared" si="13"/>
        <v>11.783439490445859</v>
      </c>
      <c r="K269" s="128">
        <f>SQRT(12.2^2+17^2+25^2)</f>
        <v>32.601226970775194</v>
      </c>
      <c r="L269" s="128">
        <f t="shared" si="14"/>
        <v>0.1038255636011949</v>
      </c>
      <c r="M269" s="128">
        <v>3.9</v>
      </c>
      <c r="N269" s="128"/>
      <c r="O269" s="128">
        <f>(0.30706+5.12731*L269-2.0987*SQRT(L269))^2*'Key Data'!$I$17*'Key Data'!$F$17</f>
        <v>2.935103472644874E-2</v>
      </c>
      <c r="P269" s="138">
        <f>O269*(1+'Key Data'!F$3)</f>
        <v>3.6688793408060923E-2</v>
      </c>
      <c r="Q269" s="379"/>
      <c r="R269" s="379"/>
      <c r="S269" s="389"/>
    </row>
    <row r="270" spans="1:20" s="44" customFormat="1" ht="15" customHeight="1" x14ac:dyDescent="0.3">
      <c r="A270" s="374"/>
      <c r="B270" s="374"/>
      <c r="C270" s="374"/>
      <c r="D270" s="374"/>
      <c r="E270" s="200"/>
      <c r="F270" s="200"/>
      <c r="G270" s="374"/>
      <c r="H270" s="72" t="s">
        <v>331</v>
      </c>
      <c r="I270" s="128">
        <v>28</v>
      </c>
      <c r="J270" s="128">
        <f t="shared" si="13"/>
        <v>8.9171974522292992</v>
      </c>
      <c r="K270" s="128">
        <f>SQRT(100+16.5^2+64+8.5^2)</f>
        <v>22.549944567559361</v>
      </c>
      <c r="L270" s="128">
        <f t="shared" si="14"/>
        <v>7.1815110087768669E-2</v>
      </c>
      <c r="M270" s="128">
        <v>2.8</v>
      </c>
      <c r="N270" s="128"/>
      <c r="O270" s="128">
        <f>(0.30706+5.12731*L270-2.0987*SQRT(L270))^2*'Key Data'!$I$17*'Key Data'!$F$17</f>
        <v>1.4043344623588234E-2</v>
      </c>
      <c r="P270" s="138">
        <f>O270*(1+'Key Data'!F$3)</f>
        <v>1.7554180779485291E-2</v>
      </c>
      <c r="Q270" s="379"/>
      <c r="R270" s="379"/>
      <c r="S270" s="389"/>
    </row>
    <row r="271" spans="1:20" s="44" customFormat="1" ht="15" customHeight="1" x14ac:dyDescent="0.3">
      <c r="A271" s="374"/>
      <c r="B271" s="374"/>
      <c r="C271" s="374"/>
      <c r="D271" s="374"/>
      <c r="E271" s="200"/>
      <c r="F271" s="200"/>
      <c r="G271" s="374"/>
      <c r="H271" s="72" t="s">
        <v>331</v>
      </c>
      <c r="I271" s="128">
        <v>44</v>
      </c>
      <c r="J271" s="128">
        <f t="shared" si="13"/>
        <v>14.012738853503183</v>
      </c>
      <c r="K271" s="128">
        <f>SQRT(20^2+13^2+20^2+19^2)</f>
        <v>36.469165057620941</v>
      </c>
      <c r="L271" s="128">
        <f t="shared" si="14"/>
        <v>0.11614383776312401</v>
      </c>
      <c r="M271" s="128">
        <v>5</v>
      </c>
      <c r="N271" s="128"/>
      <c r="O271" s="128">
        <f>(0.30706+5.12731*L271-2.0987*SQRT(L271))^2*'Key Data'!$I$17*'Key Data'!$F$17</f>
        <v>3.8689914178921654E-2</v>
      </c>
      <c r="P271" s="138">
        <f>O271*(1+'Key Data'!F$3)</f>
        <v>4.8362392723652066E-2</v>
      </c>
      <c r="Q271" s="379"/>
      <c r="R271" s="379"/>
      <c r="S271" s="389"/>
    </row>
    <row r="272" spans="1:20" s="44" customFormat="1" ht="15" customHeight="1" x14ac:dyDescent="0.3">
      <c r="A272" s="374"/>
      <c r="B272" s="374"/>
      <c r="C272" s="374"/>
      <c r="D272" s="374"/>
      <c r="E272" s="200"/>
      <c r="F272" s="200"/>
      <c r="G272" s="374"/>
      <c r="H272" s="72" t="s">
        <v>331</v>
      </c>
      <c r="I272" s="128">
        <v>54</v>
      </c>
      <c r="J272" s="128">
        <f t="shared" si="13"/>
        <v>17.197452229299362</v>
      </c>
      <c r="K272" s="128">
        <f>SQRT(17^2+441+100+625+81+169+144)</f>
        <v>43</v>
      </c>
      <c r="L272" s="128">
        <f t="shared" si="14"/>
        <v>0.13694267515923567</v>
      </c>
      <c r="M272" s="128">
        <v>5</v>
      </c>
      <c r="N272" s="128"/>
      <c r="O272" s="128">
        <f>(0.30706+5.12731*L272-2.0987*SQRT(L272))^2*'Key Data'!$I$17*'Key Data'!$F$17</f>
        <v>5.9631639207552135E-2</v>
      </c>
      <c r="P272" s="138">
        <f>O272*(1+'Key Data'!F$3)</f>
        <v>7.4539549009440167E-2</v>
      </c>
      <c r="Q272" s="379"/>
      <c r="R272" s="379"/>
      <c r="S272" s="389"/>
    </row>
    <row r="273" spans="1:19" s="44" customFormat="1" ht="15" customHeight="1" x14ac:dyDescent="0.3">
      <c r="A273" s="374"/>
      <c r="B273" s="374"/>
      <c r="C273" s="374"/>
      <c r="D273" s="374"/>
      <c r="E273" s="200"/>
      <c r="F273" s="200"/>
      <c r="G273" s="374"/>
      <c r="H273" s="72" t="s">
        <v>331</v>
      </c>
      <c r="I273" s="128">
        <v>46</v>
      </c>
      <c r="J273" s="128">
        <f t="shared" si="13"/>
        <v>14.64968152866242</v>
      </c>
      <c r="K273" s="128">
        <f>SQRT(24^2+27^2+800)</f>
        <v>45.880278987817846</v>
      </c>
      <c r="L273" s="128">
        <f t="shared" si="14"/>
        <v>0.14611553817776385</v>
      </c>
      <c r="M273" s="128">
        <v>5.0999999999999996</v>
      </c>
      <c r="N273" s="128"/>
      <c r="O273" s="128">
        <f>(0.30706+5.12731*L273-2.0987*SQRT(L273))^2*'Key Data'!$I$17*'Key Data'!$F$17</f>
        <v>7.1134647203750109E-2</v>
      </c>
      <c r="P273" s="138">
        <f>O273*(1+'Key Data'!F$3)</f>
        <v>8.891830900468764E-2</v>
      </c>
      <c r="Q273" s="379"/>
      <c r="R273" s="379"/>
      <c r="S273" s="389"/>
    </row>
    <row r="274" spans="1:19" s="44" customFormat="1" ht="15" customHeight="1" x14ac:dyDescent="0.3">
      <c r="A274" s="374"/>
      <c r="B274" s="374"/>
      <c r="C274" s="374"/>
      <c r="D274" s="374"/>
      <c r="E274" s="200"/>
      <c r="F274" s="200"/>
      <c r="G274" s="374"/>
      <c r="H274" s="72" t="s">
        <v>331</v>
      </c>
      <c r="I274" s="128">
        <v>41</v>
      </c>
      <c r="J274" s="128">
        <f t="shared" si="13"/>
        <v>13.057324840764331</v>
      </c>
      <c r="K274" s="128">
        <f>SQRT(22^2+14^2+169+81)</f>
        <v>30.495901363953813</v>
      </c>
      <c r="L274" s="128">
        <f t="shared" si="14"/>
        <v>9.7120704980744627E-2</v>
      </c>
      <c r="M274" s="128">
        <v>4.5999999999999996</v>
      </c>
      <c r="N274" s="128"/>
      <c r="O274" s="128">
        <f>(0.30706+5.12731*L274-2.0987*SQRT(L274))^2*'Key Data'!$I$17*'Key Data'!$F$17</f>
        <v>2.5133108907128564E-2</v>
      </c>
      <c r="P274" s="138">
        <f>O274*(1+'Key Data'!F$3)</f>
        <v>3.1416386133910706E-2</v>
      </c>
      <c r="Q274" s="379"/>
      <c r="R274" s="379"/>
      <c r="S274" s="389"/>
    </row>
    <row r="275" spans="1:19" s="44" customFormat="1" ht="15" customHeight="1" x14ac:dyDescent="0.3">
      <c r="A275" s="374"/>
      <c r="B275" s="374"/>
      <c r="C275" s="374"/>
      <c r="D275" s="374"/>
      <c r="E275" s="200"/>
      <c r="F275" s="200"/>
      <c r="G275" s="374"/>
      <c r="H275" s="72" t="s">
        <v>331</v>
      </c>
      <c r="I275" s="128">
        <v>40</v>
      </c>
      <c r="J275" s="128">
        <f t="shared" si="13"/>
        <v>12.738853503184712</v>
      </c>
      <c r="K275" s="128">
        <f>SQRT(27^2+16.8^2+19^2)</f>
        <v>37.04375790872195</v>
      </c>
      <c r="L275" s="128">
        <f t="shared" si="14"/>
        <v>0.11797375130166225</v>
      </c>
      <c r="M275" s="128">
        <v>4.8</v>
      </c>
      <c r="N275" s="128"/>
      <c r="O275" s="128">
        <f>(0.30706+5.12731*L275-2.0987*SQRT(L275))^2*'Key Data'!$I$17*'Key Data'!$F$17</f>
        <v>4.0262874941079517E-2</v>
      </c>
      <c r="P275" s="138">
        <f>O275*(1+'Key Data'!F$3)</f>
        <v>5.0328593676349398E-2</v>
      </c>
      <c r="Q275" s="379"/>
      <c r="R275" s="379"/>
      <c r="S275" s="389"/>
    </row>
    <row r="276" spans="1:19" s="44" customFormat="1" ht="15" customHeight="1" x14ac:dyDescent="0.3">
      <c r="A276" s="374"/>
      <c r="B276" s="374"/>
      <c r="C276" s="374"/>
      <c r="D276" s="374"/>
      <c r="E276" s="200"/>
      <c r="F276" s="200"/>
      <c r="G276" s="374"/>
      <c r="H276" s="72" t="s">
        <v>331</v>
      </c>
      <c r="I276" s="128">
        <v>38</v>
      </c>
      <c r="J276" s="128">
        <f t="shared" si="13"/>
        <v>12.101910828025478</v>
      </c>
      <c r="K276" s="128">
        <f>SQRT(24^2+14^2+15^2+64)</f>
        <v>32.572994949804659</v>
      </c>
      <c r="L276" s="128">
        <f t="shared" si="14"/>
        <v>0.10373565270638427</v>
      </c>
      <c r="M276" s="128">
        <v>4</v>
      </c>
      <c r="N276" s="128"/>
      <c r="O276" s="128">
        <f>(0.30706+5.12731*L276-2.0987*SQRT(L276))^2*'Key Data'!$I$17*'Key Data'!$F$17</f>
        <v>2.9290576475965637E-2</v>
      </c>
      <c r="P276" s="138">
        <f>O276*(1+'Key Data'!F$3)</f>
        <v>3.6613220594957044E-2</v>
      </c>
      <c r="Q276" s="379"/>
      <c r="R276" s="379"/>
      <c r="S276" s="389"/>
    </row>
    <row r="277" spans="1:19" s="44" customFormat="1" ht="15" customHeight="1" x14ac:dyDescent="0.3">
      <c r="A277" s="374"/>
      <c r="B277" s="374"/>
      <c r="C277" s="374"/>
      <c r="D277" s="374"/>
      <c r="E277" s="200"/>
      <c r="F277" s="200"/>
      <c r="G277" s="374"/>
      <c r="H277" s="72" t="s">
        <v>331</v>
      </c>
      <c r="I277" s="128">
        <v>33</v>
      </c>
      <c r="J277" s="128">
        <f t="shared" si="13"/>
        <v>10.509554140127388</v>
      </c>
      <c r="K277" s="128">
        <f>SQRT(225+121+144+225)</f>
        <v>26.739483914241877</v>
      </c>
      <c r="L277" s="128">
        <f t="shared" si="14"/>
        <v>8.5157592083572847E-2</v>
      </c>
      <c r="M277" s="128">
        <v>3.2</v>
      </c>
      <c r="N277" s="128"/>
      <c r="O277" s="128">
        <f>(0.30706+5.12731*L277-2.0987*SQRT(L277))^2*'Key Data'!$I$17*'Key Data'!$F$17</f>
        <v>1.8992715559383252E-2</v>
      </c>
      <c r="P277" s="138">
        <f>O277*(1+'Key Data'!F$3)</f>
        <v>2.3740894449229066E-2</v>
      </c>
      <c r="Q277" s="379"/>
      <c r="R277" s="379"/>
      <c r="S277" s="389"/>
    </row>
    <row r="278" spans="1:19" s="44" customFormat="1" ht="15" customHeight="1" x14ac:dyDescent="0.3">
      <c r="A278" s="374"/>
      <c r="B278" s="374"/>
      <c r="C278" s="374"/>
      <c r="D278" s="374"/>
      <c r="E278" s="200"/>
      <c r="F278" s="200"/>
      <c r="G278" s="374"/>
      <c r="H278" s="72" t="s">
        <v>331</v>
      </c>
      <c r="I278" s="128">
        <v>50.2</v>
      </c>
      <c r="J278" s="128">
        <f t="shared" si="13"/>
        <v>15.987261146496815</v>
      </c>
      <c r="K278" s="128">
        <f>SQRT(27.8^2+23.2^2+19^2+14^2)</f>
        <v>43.221291049666711</v>
      </c>
      <c r="L278" s="128">
        <f t="shared" si="14"/>
        <v>0.1376474237250532</v>
      </c>
      <c r="M278" s="128">
        <v>5.2</v>
      </c>
      <c r="N278" s="128"/>
      <c r="O278" s="128">
        <f>(0.30706+5.12731*L278-2.0987*SQRT(L278))^2*'Key Data'!$I$17*'Key Data'!$F$17</f>
        <v>6.0464056155393291E-2</v>
      </c>
      <c r="P278" s="138">
        <f>O278*(1+'Key Data'!F$3)</f>
        <v>7.5580070194241608E-2</v>
      </c>
      <c r="Q278" s="379"/>
      <c r="R278" s="379"/>
      <c r="S278" s="389"/>
    </row>
    <row r="279" spans="1:19" s="44" customFormat="1" ht="15" customHeight="1" x14ac:dyDescent="0.3">
      <c r="A279" s="374"/>
      <c r="B279" s="374"/>
      <c r="C279" s="374"/>
      <c r="D279" s="374"/>
      <c r="E279" s="200"/>
      <c r="F279" s="200"/>
      <c r="G279" s="374"/>
      <c r="H279" s="72" t="s">
        <v>331</v>
      </c>
      <c r="I279" s="128">
        <v>45</v>
      </c>
      <c r="J279" s="128">
        <f t="shared" si="13"/>
        <v>14.331210191082802</v>
      </c>
      <c r="K279" s="128">
        <f>SQRT(17^2+14.2^2+22.3^2+27.2^2)</f>
        <v>41.566452819551486</v>
      </c>
      <c r="L279" s="128">
        <f t="shared" si="14"/>
        <v>0.13237723827882639</v>
      </c>
      <c r="M279" s="128">
        <v>5.5</v>
      </c>
      <c r="N279" s="128"/>
      <c r="O279" s="128">
        <f>(0.30706+5.12731*L279-2.0987*SQRT(L279))^2*'Key Data'!$I$17*'Key Data'!$F$17</f>
        <v>5.4440799858585E-2</v>
      </c>
      <c r="P279" s="138">
        <f>O279*(1+'Key Data'!F$3)</f>
        <v>6.8050999823231248E-2</v>
      </c>
      <c r="Q279" s="379"/>
      <c r="R279" s="379"/>
      <c r="S279" s="389"/>
    </row>
    <row r="280" spans="1:19" s="44" customFormat="1" ht="15" customHeight="1" x14ac:dyDescent="0.3">
      <c r="A280" s="374"/>
      <c r="B280" s="374"/>
      <c r="C280" s="374"/>
      <c r="D280" s="374"/>
      <c r="E280" s="200"/>
      <c r="F280" s="200"/>
      <c r="G280" s="374"/>
      <c r="H280" s="72" t="s">
        <v>331</v>
      </c>
      <c r="I280" s="128">
        <v>47</v>
      </c>
      <c r="J280" s="128">
        <f t="shared" si="13"/>
        <v>14.968152866242038</v>
      </c>
      <c r="K280" s="128">
        <f>SQRT(484+196+100+484)</f>
        <v>35.552777669262355</v>
      </c>
      <c r="L280" s="128">
        <f t="shared" si="14"/>
        <v>0.11322540659000749</v>
      </c>
      <c r="M280" s="128">
        <v>5.3</v>
      </c>
      <c r="N280" s="128"/>
      <c r="O280" s="128">
        <f>(0.30706+5.12731*L280-2.0987*SQRT(L280))^2*'Key Data'!$I$17*'Key Data'!$F$17</f>
        <v>3.6283041063971073E-2</v>
      </c>
      <c r="P280" s="138">
        <f>O280*(1+'Key Data'!F$3)</f>
        <v>4.535380132996384E-2</v>
      </c>
      <c r="Q280" s="379"/>
      <c r="R280" s="379"/>
      <c r="S280" s="389"/>
    </row>
    <row r="281" spans="1:19" s="44" customFormat="1" ht="15" customHeight="1" x14ac:dyDescent="0.3">
      <c r="A281" s="374"/>
      <c r="B281" s="374"/>
      <c r="C281" s="374"/>
      <c r="D281" s="374"/>
      <c r="E281" s="200"/>
      <c r="F281" s="200"/>
      <c r="G281" s="374"/>
      <c r="H281" s="72" t="s">
        <v>331</v>
      </c>
      <c r="I281" s="128">
        <v>41</v>
      </c>
      <c r="J281" s="128">
        <f t="shared" si="13"/>
        <v>13.057324840764331</v>
      </c>
      <c r="K281" s="128">
        <f>SQRT(29^2+17^2+10^2)</f>
        <v>35.071355833500363</v>
      </c>
      <c r="L281" s="128">
        <f t="shared" si="14"/>
        <v>0.11169221603025592</v>
      </c>
      <c r="M281" s="128">
        <v>5.0999999999999996</v>
      </c>
      <c r="N281" s="128"/>
      <c r="O281" s="128">
        <f>(0.30706+5.12731*L281-2.0987*SQRT(L281))^2*'Key Data'!$I$17*'Key Data'!$F$17</f>
        <v>3.5067931974806718E-2</v>
      </c>
      <c r="P281" s="138">
        <f>O281*(1+'Key Data'!F$3)</f>
        <v>4.3834914968508401E-2</v>
      </c>
      <c r="Q281" s="379"/>
      <c r="R281" s="379"/>
      <c r="S281" s="389"/>
    </row>
    <row r="282" spans="1:19" s="44" customFormat="1" ht="15" customHeight="1" x14ac:dyDescent="0.3">
      <c r="A282" s="374"/>
      <c r="B282" s="374"/>
      <c r="C282" s="374"/>
      <c r="D282" s="374"/>
      <c r="E282" s="200"/>
      <c r="F282" s="200"/>
      <c r="G282" s="374"/>
      <c r="H282" s="72" t="s">
        <v>331</v>
      </c>
      <c r="I282" s="128">
        <v>39</v>
      </c>
      <c r="J282" s="128">
        <f t="shared" si="13"/>
        <v>12.420382165605096</v>
      </c>
      <c r="K282" s="128">
        <f>SQRT(25^2+14^2+15^2+17^2+121+81)</f>
        <v>39.204591567825318</v>
      </c>
      <c r="L282" s="128">
        <f t="shared" si="14"/>
        <v>0.12485538715867936</v>
      </c>
      <c r="M282" s="128">
        <v>5.0999999999999996</v>
      </c>
      <c r="N282" s="128"/>
      <c r="O282" s="128">
        <f>(0.30706+5.12731*L282-2.0987*SQRT(L282))^2*'Key Data'!$I$17*'Key Data'!$F$17</f>
        <v>4.6630976044762823E-2</v>
      </c>
      <c r="P282" s="138">
        <f>O282*(1+'Key Data'!F$3)</f>
        <v>5.8288720055953529E-2</v>
      </c>
      <c r="Q282" s="379"/>
      <c r="R282" s="379"/>
      <c r="S282" s="389"/>
    </row>
    <row r="283" spans="1:19" s="44" customFormat="1" ht="15" customHeight="1" x14ac:dyDescent="0.3">
      <c r="A283" s="374"/>
      <c r="B283" s="374"/>
      <c r="C283" s="374"/>
      <c r="D283" s="374"/>
      <c r="E283" s="200"/>
      <c r="F283" s="200"/>
      <c r="G283" s="374"/>
      <c r="H283" s="72" t="s">
        <v>331</v>
      </c>
      <c r="I283" s="128">
        <v>43</v>
      </c>
      <c r="J283" s="128">
        <f t="shared" si="13"/>
        <v>13.694267515923567</v>
      </c>
      <c r="K283" s="128">
        <f>SQRT(21^2+16^2+17^2+144+144+100+81+14.2^2)</f>
        <v>40.701842710127998</v>
      </c>
      <c r="L283" s="128">
        <f t="shared" si="14"/>
        <v>0.12962370289849681</v>
      </c>
      <c r="M283" s="128">
        <v>5</v>
      </c>
      <c r="N283" s="128"/>
      <c r="O283" s="128">
        <f>(0.30706+5.12731*L283-2.0987*SQRT(L283))^2*'Key Data'!$I$17*'Key Data'!$F$17</f>
        <v>5.1476263984616494E-2</v>
      </c>
      <c r="P283" s="138">
        <f>O283*(1+'Key Data'!F$3)</f>
        <v>6.434532998077061E-2</v>
      </c>
      <c r="Q283" s="379"/>
      <c r="R283" s="379"/>
      <c r="S283" s="389"/>
    </row>
    <row r="284" spans="1:19" s="44" customFormat="1" ht="15" customHeight="1" x14ac:dyDescent="0.3">
      <c r="A284" s="374"/>
      <c r="B284" s="374"/>
      <c r="C284" s="374"/>
      <c r="D284" s="374"/>
      <c r="E284" s="200"/>
      <c r="F284" s="200"/>
      <c r="G284" s="374"/>
      <c r="H284" s="72" t="s">
        <v>331</v>
      </c>
      <c r="I284" s="128">
        <v>45</v>
      </c>
      <c r="J284" s="128">
        <f t="shared" si="13"/>
        <v>14.331210191082802</v>
      </c>
      <c r="K284" s="128">
        <f>SQRT(18^2+18^2+13^2+14^2+14^2+81+225)</f>
        <v>38.923000912057127</v>
      </c>
      <c r="L284" s="128">
        <f t="shared" si="14"/>
        <v>0.12395860163075519</v>
      </c>
      <c r="M284" s="128">
        <v>5</v>
      </c>
      <c r="N284" s="128"/>
      <c r="O284" s="128">
        <f>(0.30706+5.12731*L284-2.0987*SQRT(L284))^2*'Key Data'!$I$17*'Key Data'!$F$17</f>
        <v>4.575982976648766E-2</v>
      </c>
      <c r="P284" s="138">
        <f>O284*(1+'Key Data'!F$3)</f>
        <v>5.7199787208109573E-2</v>
      </c>
      <c r="Q284" s="379"/>
      <c r="R284" s="379"/>
      <c r="S284" s="389"/>
    </row>
    <row r="285" spans="1:19" s="44" customFormat="1" ht="15" customHeight="1" x14ac:dyDescent="0.3">
      <c r="A285" s="374"/>
      <c r="B285" s="374"/>
      <c r="C285" s="374"/>
      <c r="D285" s="374"/>
      <c r="E285" s="200"/>
      <c r="F285" s="200"/>
      <c r="G285" s="374"/>
      <c r="H285" s="72" t="s">
        <v>331</v>
      </c>
      <c r="I285" s="128">
        <v>40.6</v>
      </c>
      <c r="J285" s="128">
        <f t="shared" si="13"/>
        <v>12.929936305732484</v>
      </c>
      <c r="K285" s="128">
        <f>SQRT(25.6^2+21.6^2+14^2)</f>
        <v>36.303167905845356</v>
      </c>
      <c r="L285" s="128">
        <f t="shared" si="14"/>
        <v>0.11561518441352024</v>
      </c>
      <c r="M285" s="128">
        <v>5.2</v>
      </c>
      <c r="N285" s="128"/>
      <c r="O285" s="128">
        <f>(0.30706+5.12731*L285-2.0987*SQRT(L285))^2*'Key Data'!$I$17*'Key Data'!$F$17</f>
        <v>3.8244703201587377E-2</v>
      </c>
      <c r="P285" s="138">
        <f>O285*(1+'Key Data'!F$3)</f>
        <v>4.7805879001984221E-2</v>
      </c>
      <c r="Q285" s="379"/>
      <c r="R285" s="379"/>
      <c r="S285" s="389"/>
    </row>
    <row r="286" spans="1:19" s="44" customFormat="1" ht="15" customHeight="1" x14ac:dyDescent="0.3">
      <c r="A286" s="374"/>
      <c r="B286" s="374"/>
      <c r="C286" s="374"/>
      <c r="D286" s="374"/>
      <c r="E286" s="200"/>
      <c r="F286" s="200"/>
      <c r="G286" s="374"/>
      <c r="H286" s="72" t="s">
        <v>331</v>
      </c>
      <c r="I286" s="128">
        <v>44</v>
      </c>
      <c r="J286" s="128">
        <f t="shared" si="13"/>
        <v>14.012738853503183</v>
      </c>
      <c r="K286" s="128">
        <f>SQRT(14^2+18^2+20.5^2+21.2^2+27^2)</f>
        <v>46.029229843654782</v>
      </c>
      <c r="L286" s="128">
        <f t="shared" si="14"/>
        <v>0.14658990396068403</v>
      </c>
      <c r="M286" s="128">
        <v>5.0999999999999996</v>
      </c>
      <c r="N286" s="128"/>
      <c r="O286" s="128">
        <f>(0.30706+5.12731*L286-2.0987*SQRT(L286))^2*'Key Data'!$I$17*'Key Data'!$F$17</f>
        <v>7.1769551624915842E-2</v>
      </c>
      <c r="P286" s="138">
        <f>O286*(1+'Key Data'!F$3)</f>
        <v>8.9711939531144799E-2</v>
      </c>
      <c r="Q286" s="379"/>
      <c r="R286" s="379"/>
      <c r="S286" s="389"/>
    </row>
    <row r="287" spans="1:19" s="44" customFormat="1" ht="15" customHeight="1" x14ac:dyDescent="0.3">
      <c r="A287" s="374"/>
      <c r="B287" s="374"/>
      <c r="C287" s="374"/>
      <c r="D287" s="374"/>
      <c r="E287" s="200"/>
      <c r="F287" s="200"/>
      <c r="G287" s="374"/>
      <c r="H287" s="72" t="s">
        <v>331</v>
      </c>
      <c r="I287" s="128">
        <v>47</v>
      </c>
      <c r="J287" s="128">
        <f t="shared" si="13"/>
        <v>14.968152866242038</v>
      </c>
      <c r="K287" s="128">
        <f>SQRT(29^2+12^2+21.2^2)</f>
        <v>37.874001637006884</v>
      </c>
      <c r="L287" s="128">
        <f t="shared" si="14"/>
        <v>0.12061783960830218</v>
      </c>
      <c r="M287" s="128">
        <v>5.0999999999999996</v>
      </c>
      <c r="N287" s="128"/>
      <c r="O287" s="128">
        <f>(0.30706+5.12731*L287-2.0987*SQRT(L287))^2*'Key Data'!$I$17*'Key Data'!$F$17</f>
        <v>4.2624133126819244E-2</v>
      </c>
      <c r="P287" s="138">
        <f>O287*(1+'Key Data'!F$3)</f>
        <v>5.3280166408524052E-2</v>
      </c>
      <c r="Q287" s="379"/>
      <c r="R287" s="379"/>
      <c r="S287" s="389"/>
    </row>
    <row r="288" spans="1:19" s="44" customFormat="1" ht="15" customHeight="1" x14ac:dyDescent="0.3">
      <c r="A288" s="374"/>
      <c r="B288" s="374"/>
      <c r="C288" s="374"/>
      <c r="D288" s="374"/>
      <c r="E288" s="200"/>
      <c r="F288" s="200"/>
      <c r="G288" s="374"/>
      <c r="H288" s="72" t="s">
        <v>331</v>
      </c>
      <c r="I288" s="128">
        <v>51</v>
      </c>
      <c r="J288" s="128">
        <f t="shared" si="13"/>
        <v>16.242038216560509</v>
      </c>
      <c r="K288" s="128">
        <v>41</v>
      </c>
      <c r="L288" s="128">
        <f t="shared" si="14"/>
        <v>0.13057324840764331</v>
      </c>
      <c r="M288" s="128">
        <v>5.0999999999999996</v>
      </c>
      <c r="N288" s="128"/>
      <c r="O288" s="128">
        <f>(0.30706+5.12731*L288-2.0987*SQRT(L288))^2*'Key Data'!$I$17*'Key Data'!$F$17</f>
        <v>5.2484629753376255E-2</v>
      </c>
      <c r="P288" s="138">
        <f>O288*(1+'Key Data'!F$3)</f>
        <v>6.5605787191720319E-2</v>
      </c>
      <c r="Q288" s="379"/>
      <c r="R288" s="379"/>
      <c r="S288" s="389"/>
    </row>
    <row r="289" spans="1:19" s="44" customFormat="1" ht="15" customHeight="1" x14ac:dyDescent="0.3">
      <c r="A289" s="374"/>
      <c r="B289" s="374"/>
      <c r="C289" s="374"/>
      <c r="D289" s="374"/>
      <c r="E289" s="200"/>
      <c r="F289" s="200"/>
      <c r="G289" s="374"/>
      <c r="H289" s="72" t="s">
        <v>331</v>
      </c>
      <c r="I289" s="128">
        <f>SQRT(24.5^2+45.2^2)</f>
        <v>51.41293611533969</v>
      </c>
      <c r="J289" s="128">
        <f t="shared" si="13"/>
        <v>16.373546533547671</v>
      </c>
      <c r="K289" s="128">
        <f>SQRT(22.2^2+23^2+16^2+18.8^2)</f>
        <v>40.389107442477609</v>
      </c>
      <c r="L289" s="128">
        <f t="shared" si="14"/>
        <v>0.1286277307085274</v>
      </c>
      <c r="M289" s="128">
        <v>5</v>
      </c>
      <c r="N289" s="128"/>
      <c r="O289" s="128">
        <f>(0.30706+5.12731*L289-2.0987*SQRT(L289))^2*'Key Data'!$I$17*'Key Data'!$F$17</f>
        <v>5.0434243214272256E-2</v>
      </c>
      <c r="P289" s="138">
        <f>O289*(1+'Key Data'!F$3)</f>
        <v>6.304280401784032E-2</v>
      </c>
      <c r="Q289" s="379"/>
      <c r="R289" s="379"/>
      <c r="S289" s="389"/>
    </row>
    <row r="290" spans="1:19" s="44" customFormat="1" ht="15" customHeight="1" x14ac:dyDescent="0.3">
      <c r="A290" s="374"/>
      <c r="B290" s="374"/>
      <c r="C290" s="374"/>
      <c r="D290" s="374"/>
      <c r="E290" s="200"/>
      <c r="F290" s="200"/>
      <c r="G290" s="374"/>
      <c r="H290" s="72" t="s">
        <v>331</v>
      </c>
      <c r="I290" s="128">
        <v>35.9</v>
      </c>
      <c r="J290" s="128">
        <f t="shared" si="13"/>
        <v>11.433121019108279</v>
      </c>
      <c r="K290" s="128">
        <f>SQRT(19^2+12.2^2+23^2)</f>
        <v>32.231040938821693</v>
      </c>
      <c r="L290" s="128">
        <f t="shared" si="14"/>
        <v>0.10264662719369966</v>
      </c>
      <c r="M290" s="128">
        <v>5.0999999999999996</v>
      </c>
      <c r="N290" s="128"/>
      <c r="O290" s="128">
        <f>(0.30706+5.12731*L290-2.0987*SQRT(L290))^2*'Key Data'!$I$17*'Key Data'!$F$17</f>
        <v>2.8566834491848683E-2</v>
      </c>
      <c r="P290" s="138">
        <f>O290*(1+'Key Data'!F$3)</f>
        <v>3.5708543114810851E-2</v>
      </c>
      <c r="Q290" s="379"/>
      <c r="R290" s="379"/>
      <c r="S290" s="389"/>
    </row>
    <row r="291" spans="1:19" s="44" customFormat="1" ht="15" customHeight="1" x14ac:dyDescent="0.3">
      <c r="A291" s="374"/>
      <c r="B291" s="374"/>
      <c r="C291" s="374"/>
      <c r="D291" s="374"/>
      <c r="E291" s="200"/>
      <c r="F291" s="200"/>
      <c r="G291" s="374"/>
      <c r="H291" s="72" t="s">
        <v>331</v>
      </c>
      <c r="I291" s="128">
        <v>45.2</v>
      </c>
      <c r="J291" s="128">
        <f t="shared" si="13"/>
        <v>14.394904458598726</v>
      </c>
      <c r="K291" s="128">
        <f>SQRT(20.2^2+17^2+19^2+144+14^2)</f>
        <v>37.390373092548835</v>
      </c>
      <c r="L291" s="128">
        <f t="shared" si="14"/>
        <v>0.11907762131384979</v>
      </c>
      <c r="M291" s="128">
        <v>4.8</v>
      </c>
      <c r="N291" s="128"/>
      <c r="O291" s="128">
        <f>(0.30706+5.12731*L291-2.0987*SQRT(L291))^2*'Key Data'!$I$17*'Key Data'!$F$17</f>
        <v>4.1235865629022907E-2</v>
      </c>
      <c r="P291" s="138">
        <f>O291*(1+'Key Data'!F$3)</f>
        <v>5.1544832036278632E-2</v>
      </c>
      <c r="Q291" s="379"/>
      <c r="R291" s="379"/>
      <c r="S291" s="389"/>
    </row>
    <row r="292" spans="1:19" s="44" customFormat="1" ht="15" customHeight="1" x14ac:dyDescent="0.3">
      <c r="A292" s="374"/>
      <c r="B292" s="374"/>
      <c r="C292" s="374"/>
      <c r="D292" s="374"/>
      <c r="E292" s="200"/>
      <c r="F292" s="200"/>
      <c r="G292" s="374"/>
      <c r="H292" s="72" t="s">
        <v>331</v>
      </c>
      <c r="I292" s="128">
        <v>50.6</v>
      </c>
      <c r="J292" s="128">
        <f t="shared" si="13"/>
        <v>16.114649681528661</v>
      </c>
      <c r="K292" s="128">
        <f>SQRT(20.6^2+24.5^2+7.6^2+26^2+15^2)</f>
        <v>44.5350423823757</v>
      </c>
      <c r="L292" s="128">
        <f t="shared" si="14"/>
        <v>0.1418313451668016</v>
      </c>
      <c r="M292" s="128">
        <v>5.2</v>
      </c>
      <c r="N292" s="128"/>
      <c r="O292" s="128">
        <f>(0.30706+5.12731*L292-2.0987*SQRT(L292))^2*'Key Data'!$I$17*'Key Data'!$F$17</f>
        <v>6.5580512095339091E-2</v>
      </c>
      <c r="P292" s="138">
        <f>O292*(1+'Key Data'!F$3)</f>
        <v>8.1975640119173868E-2</v>
      </c>
      <c r="Q292" s="379"/>
      <c r="R292" s="379"/>
      <c r="S292" s="389"/>
    </row>
    <row r="293" spans="1:19" s="44" customFormat="1" ht="15" customHeight="1" x14ac:dyDescent="0.3">
      <c r="A293" s="374"/>
      <c r="B293" s="374"/>
      <c r="C293" s="374"/>
      <c r="D293" s="374"/>
      <c r="E293" s="200"/>
      <c r="F293" s="200"/>
      <c r="G293" s="374"/>
      <c r="H293" s="72" t="s">
        <v>331</v>
      </c>
      <c r="I293" s="128">
        <v>40</v>
      </c>
      <c r="J293" s="128">
        <f t="shared" si="13"/>
        <v>12.738853503184712</v>
      </c>
      <c r="K293" s="128">
        <f>SQRT(20.6^2+21^2+11.5^2+81)</f>
        <v>32.842198464780033</v>
      </c>
      <c r="L293" s="128">
        <f t="shared" si="14"/>
        <v>0.10459298874133768</v>
      </c>
      <c r="M293" s="128">
        <v>5</v>
      </c>
      <c r="N293" s="128"/>
      <c r="O293" s="128">
        <f>(0.30706+5.12731*L293-2.0987*SQRT(L293))^2*'Key Data'!$I$17*'Key Data'!$F$17</f>
        <v>2.9871472847689842E-2</v>
      </c>
      <c r="P293" s="138">
        <f>O293*(1+'Key Data'!F$3)</f>
        <v>3.7339341059612299E-2</v>
      </c>
      <c r="Q293" s="379"/>
      <c r="R293" s="379"/>
      <c r="S293" s="389"/>
    </row>
    <row r="294" spans="1:19" s="44" customFormat="1" ht="15" customHeight="1" x14ac:dyDescent="0.3">
      <c r="A294" s="374"/>
      <c r="B294" s="374"/>
      <c r="C294" s="374"/>
      <c r="D294" s="374"/>
      <c r="E294" s="200"/>
      <c r="F294" s="200"/>
      <c r="G294" s="374"/>
      <c r="H294" s="72" t="s">
        <v>331</v>
      </c>
      <c r="I294" s="128">
        <v>50</v>
      </c>
      <c r="J294" s="128">
        <f t="shared" si="13"/>
        <v>15.923566878980891</v>
      </c>
      <c r="K294" s="128">
        <f>SQRT(21.4^2+18.2^2+30^2+225+16.4^2)</f>
        <v>46.724297747531743</v>
      </c>
      <c r="L294" s="128">
        <f t="shared" si="14"/>
        <v>0.14880349601124757</v>
      </c>
      <c r="M294" s="128">
        <v>4.8</v>
      </c>
      <c r="N294" s="128"/>
      <c r="O294" s="128">
        <f>(0.30706+5.12731*L294-2.0987*SQRT(L294))^2*'Key Data'!$I$17*'Key Data'!$F$17</f>
        <v>7.4785456020501392E-2</v>
      </c>
      <c r="P294" s="138">
        <f>O294*(1+'Key Data'!F$3)</f>
        <v>9.3481820025626744E-2</v>
      </c>
      <c r="Q294" s="379"/>
      <c r="R294" s="379"/>
      <c r="S294" s="389"/>
    </row>
    <row r="295" spans="1:19" s="44" customFormat="1" ht="15" customHeight="1" x14ac:dyDescent="0.3">
      <c r="A295" s="374"/>
      <c r="B295" s="374"/>
      <c r="C295" s="374"/>
      <c r="D295" s="374"/>
      <c r="E295" s="200"/>
      <c r="F295" s="200"/>
      <c r="G295" s="374"/>
      <c r="H295" s="72" t="s">
        <v>331</v>
      </c>
      <c r="I295" s="128">
        <v>58</v>
      </c>
      <c r="J295" s="128">
        <f t="shared" si="13"/>
        <v>18.471337579617835</v>
      </c>
      <c r="K295" s="128">
        <v>44.4</v>
      </c>
      <c r="L295" s="128">
        <f t="shared" si="14"/>
        <v>0.14140127388535031</v>
      </c>
      <c r="M295" s="128">
        <v>4.8</v>
      </c>
      <c r="N295" s="128"/>
      <c r="O295" s="128">
        <f>(0.30706+5.12731*L295-2.0987*SQRT(L295))^2*'Key Data'!$I$17*'Key Data'!$F$17</f>
        <v>6.5040686234859271E-2</v>
      </c>
      <c r="P295" s="138">
        <f>O295*(1+'Key Data'!F$3)</f>
        <v>8.1300857793574086E-2</v>
      </c>
      <c r="Q295" s="379"/>
      <c r="R295" s="379"/>
      <c r="S295" s="389"/>
    </row>
    <row r="296" spans="1:19" s="44" customFormat="1" ht="15" customHeight="1" x14ac:dyDescent="0.3">
      <c r="A296" s="374"/>
      <c r="B296" s="374"/>
      <c r="C296" s="374"/>
      <c r="D296" s="374"/>
      <c r="E296" s="200"/>
      <c r="F296" s="200"/>
      <c r="G296" s="374"/>
      <c r="H296" s="72" t="s">
        <v>331</v>
      </c>
      <c r="I296" s="128">
        <v>40</v>
      </c>
      <c r="J296" s="128">
        <f t="shared" si="13"/>
        <v>12.738853503184712</v>
      </c>
      <c r="K296" s="128">
        <f>SQRT(19^2+15^2+22.4^2)</f>
        <v>32.98120676991671</v>
      </c>
      <c r="L296" s="128">
        <f t="shared" si="14"/>
        <v>0.10503569035005322</v>
      </c>
      <c r="M296" s="128">
        <v>4.8</v>
      </c>
      <c r="N296" s="128"/>
      <c r="O296" s="128">
        <f>(0.30706+5.12731*L296-2.0987*SQRT(L296))^2*'Key Data'!$I$17*'Key Data'!$F$17</f>
        <v>3.0175294156815753E-2</v>
      </c>
      <c r="P296" s="138">
        <f>O296*(1+'Key Data'!F$3)</f>
        <v>3.771911769601969E-2</v>
      </c>
      <c r="Q296" s="379"/>
      <c r="R296" s="379"/>
      <c r="S296" s="389"/>
    </row>
    <row r="297" spans="1:19" s="44" customFormat="1" ht="15" customHeight="1" x14ac:dyDescent="0.3">
      <c r="A297" s="374"/>
      <c r="B297" s="374"/>
      <c r="C297" s="374"/>
      <c r="D297" s="374"/>
      <c r="E297" s="200"/>
      <c r="F297" s="200"/>
      <c r="G297" s="374"/>
      <c r="H297" s="72" t="s">
        <v>331</v>
      </c>
      <c r="I297" s="128">
        <v>58.5</v>
      </c>
      <c r="J297" s="128">
        <f t="shared" si="13"/>
        <v>18.630573248407643</v>
      </c>
      <c r="K297" s="128">
        <v>42</v>
      </c>
      <c r="L297" s="128">
        <f t="shared" si="14"/>
        <v>0.13375796178343949</v>
      </c>
      <c r="M297" s="128">
        <v>4.8</v>
      </c>
      <c r="N297" s="128"/>
      <c r="O297" s="128">
        <f>(0.30706+5.12731*L297-2.0987*SQRT(L297))^2*'Key Data'!$I$17*'Key Data'!$F$17</f>
        <v>5.5974095877781196E-2</v>
      </c>
      <c r="P297" s="138">
        <f>O297*(1+'Key Data'!F$3)</f>
        <v>6.9967619847226492E-2</v>
      </c>
      <c r="Q297" s="379"/>
      <c r="R297" s="379"/>
      <c r="S297" s="389"/>
    </row>
    <row r="298" spans="1:19" s="44" customFormat="1" ht="15" customHeight="1" x14ac:dyDescent="0.3">
      <c r="A298" s="374"/>
      <c r="B298" s="374"/>
      <c r="C298" s="374"/>
      <c r="D298" s="374"/>
      <c r="E298" s="200"/>
      <c r="F298" s="200"/>
      <c r="G298" s="374"/>
      <c r="H298" s="72" t="s">
        <v>331</v>
      </c>
      <c r="I298" s="128">
        <v>43</v>
      </c>
      <c r="J298" s="128">
        <f t="shared" si="13"/>
        <v>13.694267515923567</v>
      </c>
      <c r="K298" s="128">
        <f>SQRT(30^2+16^2+12.7^2)</f>
        <v>36.294489939934408</v>
      </c>
      <c r="L298" s="128">
        <f t="shared" si="14"/>
        <v>0.11558754757940895</v>
      </c>
      <c r="M298" s="128">
        <v>4.5999999999999996</v>
      </c>
      <c r="N298" s="128"/>
      <c r="O298" s="128">
        <f>(0.30706+5.12731*L298-2.0987*SQRT(L298))^2*'Key Data'!$I$17*'Key Data'!$F$17</f>
        <v>3.8221541446269741E-2</v>
      </c>
      <c r="P298" s="138">
        <f>O298*(1+'Key Data'!F$3)</f>
        <v>4.7776926807837176E-2</v>
      </c>
      <c r="Q298" s="379"/>
      <c r="R298" s="379"/>
      <c r="S298" s="389"/>
    </row>
    <row r="299" spans="1:19" s="44" customFormat="1" ht="15" customHeight="1" x14ac:dyDescent="0.3">
      <c r="A299" s="384">
        <v>5</v>
      </c>
      <c r="B299" s="385" t="s">
        <v>360</v>
      </c>
      <c r="C299" s="385"/>
      <c r="D299" s="385" t="s">
        <v>445</v>
      </c>
      <c r="E299" s="386">
        <v>27.210654000000002</v>
      </c>
      <c r="F299" s="386">
        <v>94.462929000000003</v>
      </c>
      <c r="G299" s="391">
        <v>2021</v>
      </c>
      <c r="H299" s="221" t="s">
        <v>357</v>
      </c>
      <c r="I299" s="126"/>
      <c r="J299" s="126"/>
      <c r="K299" s="126">
        <v>23.1</v>
      </c>
      <c r="L299" s="126">
        <f t="shared" ref="L299:L330" si="15">K299/3.14</f>
        <v>7.3566878980891719</v>
      </c>
      <c r="M299" s="126"/>
      <c r="N299" s="126"/>
      <c r="O299" s="126">
        <f>((0.18*L299^2.16)*1.32)/1000</f>
        <v>1.7696210392512915E-2</v>
      </c>
      <c r="P299" s="131">
        <f>O299*(1+'Key Data'!F$3)</f>
        <v>2.2120262990641144E-2</v>
      </c>
      <c r="Q299" s="392">
        <f>SUM(P299:P350)</f>
        <v>1.0548927085652071</v>
      </c>
      <c r="R299" s="392">
        <f>Q299*10000/900</f>
        <v>11.721030095168967</v>
      </c>
      <c r="S299" s="389"/>
    </row>
    <row r="300" spans="1:19" s="44" customFormat="1" ht="15" customHeight="1" x14ac:dyDescent="0.3">
      <c r="A300" s="384"/>
      <c r="B300" s="385"/>
      <c r="C300" s="385"/>
      <c r="D300" s="385"/>
      <c r="E300" s="386"/>
      <c r="F300" s="386"/>
      <c r="G300" s="391"/>
      <c r="H300" s="221" t="s">
        <v>357</v>
      </c>
      <c r="I300" s="126"/>
      <c r="J300" s="126"/>
      <c r="K300" s="126">
        <v>31.767278762903192</v>
      </c>
      <c r="L300" s="126">
        <f t="shared" si="15"/>
        <v>10.116967758886366</v>
      </c>
      <c r="M300" s="126"/>
      <c r="N300" s="126"/>
      <c r="O300" s="126">
        <f t="shared" ref="O300:O330" si="16">((0.18*L300^2.16)*1.32)/1000</f>
        <v>3.5217232686217875E-2</v>
      </c>
      <c r="P300" s="131">
        <f>O300*(1+'Key Data'!F$3)</f>
        <v>4.4021540857772344E-2</v>
      </c>
      <c r="Q300" s="392"/>
      <c r="R300" s="392"/>
      <c r="S300" s="389"/>
    </row>
    <row r="301" spans="1:19" s="44" customFormat="1" ht="15" customHeight="1" x14ac:dyDescent="0.3">
      <c r="A301" s="384"/>
      <c r="B301" s="385"/>
      <c r="C301" s="385"/>
      <c r="D301" s="385"/>
      <c r="E301" s="386"/>
      <c r="F301" s="386"/>
      <c r="G301" s="391"/>
      <c r="H301" s="221" t="s">
        <v>357</v>
      </c>
      <c r="I301" s="126"/>
      <c r="J301" s="126"/>
      <c r="K301" s="126">
        <v>30.1</v>
      </c>
      <c r="L301" s="126">
        <f t="shared" si="15"/>
        <v>9.5859872611464976</v>
      </c>
      <c r="M301" s="126"/>
      <c r="N301" s="126"/>
      <c r="O301" s="126">
        <f t="shared" si="16"/>
        <v>3.134599261605437E-2</v>
      </c>
      <c r="P301" s="131">
        <f>O301*(1+'Key Data'!F$3)</f>
        <v>3.9182490770067961E-2</v>
      </c>
      <c r="Q301" s="392"/>
      <c r="R301" s="392"/>
      <c r="S301" s="389"/>
    </row>
    <row r="302" spans="1:19" s="44" customFormat="1" ht="15" customHeight="1" x14ac:dyDescent="0.3">
      <c r="A302" s="384"/>
      <c r="B302" s="385"/>
      <c r="C302" s="385"/>
      <c r="D302" s="385"/>
      <c r="E302" s="386"/>
      <c r="F302" s="386"/>
      <c r="G302" s="391"/>
      <c r="H302" s="221" t="s">
        <v>357</v>
      </c>
      <c r="I302" s="126"/>
      <c r="J302" s="126"/>
      <c r="K302" s="126">
        <v>15.814234094637655</v>
      </c>
      <c r="L302" s="126">
        <f t="shared" si="15"/>
        <v>5.0363802849164507</v>
      </c>
      <c r="M302" s="126"/>
      <c r="N302" s="126"/>
      <c r="O302" s="126">
        <f t="shared" si="16"/>
        <v>7.8058900395602676E-3</v>
      </c>
      <c r="P302" s="131">
        <f>O302*(1+'Key Data'!F$3)</f>
        <v>9.7573625494503345E-3</v>
      </c>
      <c r="Q302" s="392"/>
      <c r="R302" s="392"/>
      <c r="S302" s="389"/>
    </row>
    <row r="303" spans="1:19" s="44" customFormat="1" ht="15" customHeight="1" x14ac:dyDescent="0.3">
      <c r="A303" s="384"/>
      <c r="B303" s="385"/>
      <c r="C303" s="385"/>
      <c r="D303" s="385"/>
      <c r="E303" s="386"/>
      <c r="F303" s="386"/>
      <c r="G303" s="391"/>
      <c r="H303" s="221" t="s">
        <v>357</v>
      </c>
      <c r="I303" s="126"/>
      <c r="J303" s="126"/>
      <c r="K303" s="126">
        <v>12</v>
      </c>
      <c r="L303" s="126">
        <f t="shared" si="15"/>
        <v>3.8216560509554141</v>
      </c>
      <c r="M303" s="126"/>
      <c r="N303" s="126"/>
      <c r="O303" s="126">
        <f t="shared" si="16"/>
        <v>4.3004102461106208E-3</v>
      </c>
      <c r="P303" s="131">
        <f>O303*(1+'Key Data'!F$3)</f>
        <v>5.3755128076382764E-3</v>
      </c>
      <c r="Q303" s="392"/>
      <c r="R303" s="392"/>
      <c r="S303" s="389"/>
    </row>
    <row r="304" spans="1:19" s="44" customFormat="1" ht="15" customHeight="1" x14ac:dyDescent="0.3">
      <c r="A304" s="384"/>
      <c r="B304" s="385"/>
      <c r="C304" s="385"/>
      <c r="D304" s="385"/>
      <c r="E304" s="386"/>
      <c r="F304" s="386"/>
      <c r="G304" s="391"/>
      <c r="H304" s="221" t="s">
        <v>357</v>
      </c>
      <c r="I304" s="126"/>
      <c r="J304" s="126"/>
      <c r="K304" s="126">
        <v>17.8</v>
      </c>
      <c r="L304" s="126">
        <f t="shared" si="15"/>
        <v>5.6687898089171975</v>
      </c>
      <c r="M304" s="126"/>
      <c r="N304" s="126"/>
      <c r="O304" s="126">
        <f t="shared" si="16"/>
        <v>1.007826100527975E-2</v>
      </c>
      <c r="P304" s="131">
        <f>O304*(1+'Key Data'!F$3)</f>
        <v>1.2597826256599689E-2</v>
      </c>
      <c r="Q304" s="392"/>
      <c r="R304" s="392"/>
      <c r="S304" s="389"/>
    </row>
    <row r="305" spans="1:19" s="44" customFormat="1" ht="15" customHeight="1" x14ac:dyDescent="0.3">
      <c r="A305" s="384"/>
      <c r="B305" s="385"/>
      <c r="C305" s="385"/>
      <c r="D305" s="385"/>
      <c r="E305" s="386"/>
      <c r="F305" s="386"/>
      <c r="G305" s="391"/>
      <c r="H305" s="221" t="s">
        <v>357</v>
      </c>
      <c r="I305" s="126"/>
      <c r="J305" s="126"/>
      <c r="K305" s="126">
        <v>26.2</v>
      </c>
      <c r="L305" s="126">
        <f t="shared" si="15"/>
        <v>8.3439490445859867</v>
      </c>
      <c r="M305" s="126"/>
      <c r="N305" s="126"/>
      <c r="O305" s="126">
        <f t="shared" si="16"/>
        <v>2.3227859248637621E-2</v>
      </c>
      <c r="P305" s="131">
        <f>O305*(1+'Key Data'!F$3)</f>
        <v>2.9034824060797028E-2</v>
      </c>
      <c r="Q305" s="392"/>
      <c r="R305" s="392"/>
      <c r="S305" s="389"/>
    </row>
    <row r="306" spans="1:19" s="44" customFormat="1" ht="15" customHeight="1" x14ac:dyDescent="0.3">
      <c r="A306" s="384"/>
      <c r="B306" s="385"/>
      <c r="C306" s="385"/>
      <c r="D306" s="385"/>
      <c r="E306" s="386"/>
      <c r="F306" s="386"/>
      <c r="G306" s="391"/>
      <c r="H306" s="221" t="s">
        <v>357</v>
      </c>
      <c r="I306" s="126"/>
      <c r="J306" s="126"/>
      <c r="K306" s="126">
        <v>26.3</v>
      </c>
      <c r="L306" s="126">
        <f t="shared" si="15"/>
        <v>8.3757961783439487</v>
      </c>
      <c r="M306" s="126"/>
      <c r="N306" s="126"/>
      <c r="O306" s="126">
        <f t="shared" si="16"/>
        <v>2.3419780114073058E-2</v>
      </c>
      <c r="P306" s="131">
        <f>O306*(1+'Key Data'!F$3)</f>
        <v>2.9274725142591322E-2</v>
      </c>
      <c r="Q306" s="392"/>
      <c r="R306" s="392"/>
      <c r="S306" s="389"/>
    </row>
    <row r="307" spans="1:19" s="44" customFormat="1" ht="15" customHeight="1" x14ac:dyDescent="0.3">
      <c r="A307" s="384"/>
      <c r="B307" s="385"/>
      <c r="C307" s="385"/>
      <c r="D307" s="385"/>
      <c r="E307" s="386"/>
      <c r="F307" s="386"/>
      <c r="G307" s="391"/>
      <c r="H307" s="221" t="s">
        <v>357</v>
      </c>
      <c r="I307" s="126"/>
      <c r="J307" s="126"/>
      <c r="K307" s="126">
        <v>18.2</v>
      </c>
      <c r="L307" s="126">
        <f t="shared" si="15"/>
        <v>5.7961783439490437</v>
      </c>
      <c r="M307" s="126"/>
      <c r="N307" s="126"/>
      <c r="O307" s="126">
        <f t="shared" si="16"/>
        <v>1.057383659155787E-2</v>
      </c>
      <c r="P307" s="131">
        <f>O307*(1+'Key Data'!F$3)</f>
        <v>1.3217295739447337E-2</v>
      </c>
      <c r="Q307" s="392"/>
      <c r="R307" s="392"/>
      <c r="S307" s="389"/>
    </row>
    <row r="308" spans="1:19" s="44" customFormat="1" ht="15" customHeight="1" x14ac:dyDescent="0.3">
      <c r="A308" s="384"/>
      <c r="B308" s="385"/>
      <c r="C308" s="385"/>
      <c r="D308" s="385"/>
      <c r="E308" s="386"/>
      <c r="F308" s="386"/>
      <c r="G308" s="391"/>
      <c r="H308" s="221" t="s">
        <v>357</v>
      </c>
      <c r="I308" s="126"/>
      <c r="J308" s="126"/>
      <c r="K308" s="126">
        <v>32.557641192199412</v>
      </c>
      <c r="L308" s="126">
        <f t="shared" si="15"/>
        <v>10.36867553891701</v>
      </c>
      <c r="M308" s="126"/>
      <c r="N308" s="126"/>
      <c r="O308" s="126">
        <f t="shared" si="16"/>
        <v>3.7137163608736784E-2</v>
      </c>
      <c r="P308" s="131">
        <f>O308*(1+'Key Data'!F$3)</f>
        <v>4.642145451092098E-2</v>
      </c>
      <c r="Q308" s="392"/>
      <c r="R308" s="392"/>
      <c r="S308" s="389"/>
    </row>
    <row r="309" spans="1:19" s="44" customFormat="1" ht="15" customHeight="1" x14ac:dyDescent="0.3">
      <c r="A309" s="384"/>
      <c r="B309" s="385"/>
      <c r="C309" s="385"/>
      <c r="D309" s="385"/>
      <c r="E309" s="386"/>
      <c r="F309" s="386"/>
      <c r="G309" s="391"/>
      <c r="H309" s="221" t="s">
        <v>357</v>
      </c>
      <c r="I309" s="126"/>
      <c r="J309" s="126"/>
      <c r="K309" s="126">
        <v>26</v>
      </c>
      <c r="L309" s="126">
        <f t="shared" si="15"/>
        <v>8.2802547770700627</v>
      </c>
      <c r="M309" s="126"/>
      <c r="N309" s="126"/>
      <c r="O309" s="126">
        <f t="shared" si="16"/>
        <v>2.2846560544759933E-2</v>
      </c>
      <c r="P309" s="131">
        <f>O309*(1+'Key Data'!F$3)</f>
        <v>2.8558200680949917E-2</v>
      </c>
      <c r="Q309" s="392"/>
      <c r="R309" s="392"/>
      <c r="S309" s="389"/>
    </row>
    <row r="310" spans="1:19" s="44" customFormat="1" ht="15" customHeight="1" x14ac:dyDescent="0.3">
      <c r="A310" s="384"/>
      <c r="B310" s="385"/>
      <c r="C310" s="385"/>
      <c r="D310" s="385"/>
      <c r="E310" s="386"/>
      <c r="F310" s="386"/>
      <c r="G310" s="391"/>
      <c r="H310" s="221" t="s">
        <v>357</v>
      </c>
      <c r="I310" s="126"/>
      <c r="J310" s="126"/>
      <c r="K310" s="126">
        <v>25.2</v>
      </c>
      <c r="L310" s="126">
        <f t="shared" si="15"/>
        <v>8.0254777070063685</v>
      </c>
      <c r="M310" s="126"/>
      <c r="N310" s="126"/>
      <c r="O310" s="126">
        <f t="shared" si="16"/>
        <v>2.1355196136814542E-2</v>
      </c>
      <c r="P310" s="131">
        <f>O310*(1+'Key Data'!F$3)</f>
        <v>2.6693995171018177E-2</v>
      </c>
      <c r="Q310" s="392"/>
      <c r="R310" s="392"/>
      <c r="S310" s="389"/>
    </row>
    <row r="311" spans="1:19" s="44" customFormat="1" ht="15" customHeight="1" x14ac:dyDescent="0.3">
      <c r="A311" s="384"/>
      <c r="B311" s="385"/>
      <c r="C311" s="385"/>
      <c r="D311" s="385"/>
      <c r="E311" s="386"/>
      <c r="F311" s="386"/>
      <c r="G311" s="391"/>
      <c r="H311" s="221" t="s">
        <v>357</v>
      </c>
      <c r="I311" s="126"/>
      <c r="J311" s="126"/>
      <c r="K311" s="126">
        <v>22.8</v>
      </c>
      <c r="L311" s="126">
        <f t="shared" si="15"/>
        <v>7.2611464968152868</v>
      </c>
      <c r="M311" s="126"/>
      <c r="N311" s="126"/>
      <c r="O311" s="126">
        <f t="shared" si="16"/>
        <v>1.7203533836955848E-2</v>
      </c>
      <c r="P311" s="131">
        <f>O311*(1+'Key Data'!F$3)</f>
        <v>2.150441729619481E-2</v>
      </c>
      <c r="Q311" s="392"/>
      <c r="R311" s="392"/>
      <c r="S311" s="389"/>
    </row>
    <row r="312" spans="1:19" s="44" customFormat="1" ht="15" customHeight="1" x14ac:dyDescent="0.3">
      <c r="A312" s="384"/>
      <c r="B312" s="385"/>
      <c r="C312" s="385"/>
      <c r="D312" s="385"/>
      <c r="E312" s="386"/>
      <c r="F312" s="386"/>
      <c r="G312" s="391"/>
      <c r="H312" s="221" t="s">
        <v>357</v>
      </c>
      <c r="I312" s="126"/>
      <c r="J312" s="126"/>
      <c r="K312" s="126">
        <v>28</v>
      </c>
      <c r="L312" s="126">
        <f t="shared" si="15"/>
        <v>8.9171974522292992</v>
      </c>
      <c r="M312" s="126"/>
      <c r="N312" s="126"/>
      <c r="O312" s="126">
        <f t="shared" si="16"/>
        <v>2.6812650310465352E-2</v>
      </c>
      <c r="P312" s="131">
        <f>O312*(1+'Key Data'!F$3)</f>
        <v>3.3515812888081691E-2</v>
      </c>
      <c r="Q312" s="392"/>
      <c r="R312" s="392"/>
      <c r="S312" s="389"/>
    </row>
    <row r="313" spans="1:19" s="44" customFormat="1" ht="15" customHeight="1" x14ac:dyDescent="0.3">
      <c r="A313" s="384"/>
      <c r="B313" s="385"/>
      <c r="C313" s="385"/>
      <c r="D313" s="385"/>
      <c r="E313" s="386"/>
      <c r="F313" s="386"/>
      <c r="G313" s="391"/>
      <c r="H313" s="221" t="s">
        <v>357</v>
      </c>
      <c r="I313" s="126"/>
      <c r="J313" s="126"/>
      <c r="K313" s="126">
        <v>11.5</v>
      </c>
      <c r="L313" s="126">
        <f t="shared" si="15"/>
        <v>3.6624203821656049</v>
      </c>
      <c r="M313" s="126"/>
      <c r="N313" s="126"/>
      <c r="O313" s="126">
        <f t="shared" si="16"/>
        <v>3.9227057462132616E-3</v>
      </c>
      <c r="P313" s="131">
        <f>O313*(1+'Key Data'!F$3)</f>
        <v>4.9033821827665774E-3</v>
      </c>
      <c r="Q313" s="392"/>
      <c r="R313" s="392"/>
      <c r="S313" s="389"/>
    </row>
    <row r="314" spans="1:19" s="44" customFormat="1" ht="15" customHeight="1" x14ac:dyDescent="0.3">
      <c r="A314" s="384"/>
      <c r="B314" s="385"/>
      <c r="C314" s="385"/>
      <c r="D314" s="385"/>
      <c r="E314" s="386"/>
      <c r="F314" s="386"/>
      <c r="G314" s="391"/>
      <c r="H314" s="221" t="s">
        <v>357</v>
      </c>
      <c r="I314" s="126"/>
      <c r="J314" s="126"/>
      <c r="K314" s="126">
        <v>13.5</v>
      </c>
      <c r="L314" s="126">
        <f t="shared" si="15"/>
        <v>4.2993630573248405</v>
      </c>
      <c r="M314" s="126"/>
      <c r="N314" s="126"/>
      <c r="O314" s="126">
        <f t="shared" si="16"/>
        <v>5.5462486551881122E-3</v>
      </c>
      <c r="P314" s="131">
        <f>O314*(1+'Key Data'!F$3)</f>
        <v>6.9328108189851403E-3</v>
      </c>
      <c r="Q314" s="392"/>
      <c r="R314" s="392"/>
      <c r="S314" s="389"/>
    </row>
    <row r="315" spans="1:19" s="44" customFormat="1" ht="15" customHeight="1" x14ac:dyDescent="0.3">
      <c r="A315" s="384"/>
      <c r="B315" s="385"/>
      <c r="C315" s="385"/>
      <c r="D315" s="385"/>
      <c r="E315" s="386"/>
      <c r="F315" s="386"/>
      <c r="G315" s="391"/>
      <c r="H315" s="221" t="s">
        <v>357</v>
      </c>
      <c r="I315" s="126"/>
      <c r="J315" s="126"/>
      <c r="K315" s="126">
        <v>20</v>
      </c>
      <c r="L315" s="126">
        <f t="shared" si="15"/>
        <v>6.3694267515923562</v>
      </c>
      <c r="M315" s="126"/>
      <c r="N315" s="126"/>
      <c r="O315" s="126">
        <f t="shared" si="16"/>
        <v>1.2962930336215232E-2</v>
      </c>
      <c r="P315" s="131">
        <f>O315*(1+'Key Data'!F$3)</f>
        <v>1.6203662920269039E-2</v>
      </c>
      <c r="Q315" s="392"/>
      <c r="R315" s="392"/>
      <c r="S315" s="389"/>
    </row>
    <row r="316" spans="1:19" s="44" customFormat="1" ht="15" customHeight="1" x14ac:dyDescent="0.3">
      <c r="A316" s="384"/>
      <c r="B316" s="385"/>
      <c r="C316" s="385"/>
      <c r="D316" s="385"/>
      <c r="E316" s="386"/>
      <c r="F316" s="386"/>
      <c r="G316" s="391"/>
      <c r="H316" s="221" t="s">
        <v>357</v>
      </c>
      <c r="I316" s="126"/>
      <c r="J316" s="126"/>
      <c r="K316" s="126">
        <v>9.4</v>
      </c>
      <c r="L316" s="126">
        <f t="shared" si="15"/>
        <v>2.9936305732484074</v>
      </c>
      <c r="M316" s="126"/>
      <c r="N316" s="126"/>
      <c r="O316" s="126">
        <f t="shared" si="16"/>
        <v>2.5376665800279537E-3</v>
      </c>
      <c r="P316" s="131">
        <f>O316*(1+'Key Data'!F$3)</f>
        <v>3.1720832250349421E-3</v>
      </c>
      <c r="Q316" s="392"/>
      <c r="R316" s="392"/>
      <c r="S316" s="389"/>
    </row>
    <row r="317" spans="1:19" s="44" customFormat="1" ht="15" customHeight="1" x14ac:dyDescent="0.3">
      <c r="A317" s="384"/>
      <c r="B317" s="385"/>
      <c r="C317" s="385"/>
      <c r="D317" s="385"/>
      <c r="E317" s="386"/>
      <c r="F317" s="386"/>
      <c r="G317" s="391"/>
      <c r="H317" s="221" t="s">
        <v>357</v>
      </c>
      <c r="I317" s="126"/>
      <c r="J317" s="126"/>
      <c r="K317" s="126">
        <v>9</v>
      </c>
      <c r="L317" s="126">
        <f t="shared" si="15"/>
        <v>2.8662420382165603</v>
      </c>
      <c r="M317" s="126"/>
      <c r="N317" s="126"/>
      <c r="O317" s="126">
        <f t="shared" si="16"/>
        <v>2.3101608351708469E-3</v>
      </c>
      <c r="P317" s="131">
        <f>O317*(1+'Key Data'!F$3)</f>
        <v>2.8877010439635588E-3</v>
      </c>
      <c r="Q317" s="392"/>
      <c r="R317" s="392"/>
      <c r="S317" s="389"/>
    </row>
    <row r="318" spans="1:19" s="44" customFormat="1" ht="15" customHeight="1" x14ac:dyDescent="0.3">
      <c r="A318" s="384"/>
      <c r="B318" s="385"/>
      <c r="C318" s="385"/>
      <c r="D318" s="385"/>
      <c r="E318" s="386"/>
      <c r="F318" s="386"/>
      <c r="G318" s="391"/>
      <c r="H318" s="221" t="s">
        <v>357</v>
      </c>
      <c r="I318" s="126"/>
      <c r="J318" s="126"/>
      <c r="K318" s="126">
        <v>17.5</v>
      </c>
      <c r="L318" s="126">
        <f t="shared" si="15"/>
        <v>5.5732484076433115</v>
      </c>
      <c r="M318" s="126"/>
      <c r="N318" s="126"/>
      <c r="O318" s="126">
        <f t="shared" si="16"/>
        <v>9.7149502657105594E-3</v>
      </c>
      <c r="P318" s="131">
        <f>O318*(1+'Key Data'!F$3)</f>
        <v>1.2143687832138199E-2</v>
      </c>
      <c r="Q318" s="392"/>
      <c r="R318" s="392"/>
      <c r="S318" s="389"/>
    </row>
    <row r="319" spans="1:19" s="44" customFormat="1" ht="15" customHeight="1" x14ac:dyDescent="0.3">
      <c r="A319" s="384"/>
      <c r="B319" s="385"/>
      <c r="C319" s="385"/>
      <c r="D319" s="385"/>
      <c r="E319" s="386"/>
      <c r="F319" s="386"/>
      <c r="G319" s="391"/>
      <c r="H319" s="221" t="s">
        <v>357</v>
      </c>
      <c r="I319" s="126"/>
      <c r="J319" s="126"/>
      <c r="K319" s="126">
        <v>11.189280584559492</v>
      </c>
      <c r="L319" s="126">
        <f t="shared" si="15"/>
        <v>3.5634651543183096</v>
      </c>
      <c r="M319" s="126"/>
      <c r="N319" s="126"/>
      <c r="O319" s="126">
        <f t="shared" si="16"/>
        <v>3.6973543229792101E-3</v>
      </c>
      <c r="P319" s="131">
        <f>O319*(1+'Key Data'!F$3)</f>
        <v>4.6216929037240125E-3</v>
      </c>
      <c r="Q319" s="392"/>
      <c r="R319" s="392"/>
      <c r="S319" s="389"/>
    </row>
    <row r="320" spans="1:19" s="44" customFormat="1" ht="15" customHeight="1" x14ac:dyDescent="0.3">
      <c r="A320" s="384"/>
      <c r="B320" s="385"/>
      <c r="C320" s="385"/>
      <c r="D320" s="385"/>
      <c r="E320" s="386"/>
      <c r="F320" s="386"/>
      <c r="G320" s="391"/>
      <c r="H320" s="221" t="s">
        <v>357</v>
      </c>
      <c r="I320" s="126"/>
      <c r="J320" s="126"/>
      <c r="K320" s="126">
        <v>29.779355265015393</v>
      </c>
      <c r="L320" s="126">
        <f t="shared" si="15"/>
        <v>9.4838711035080863</v>
      </c>
      <c r="M320" s="126"/>
      <c r="N320" s="126"/>
      <c r="O320" s="126">
        <f t="shared" si="16"/>
        <v>3.062918385451404E-2</v>
      </c>
      <c r="P320" s="131">
        <f>O320*(1+'Key Data'!F$3)</f>
        <v>3.8286479818142552E-2</v>
      </c>
      <c r="Q320" s="392"/>
      <c r="R320" s="392"/>
      <c r="S320" s="389"/>
    </row>
    <row r="321" spans="1:19" s="44" customFormat="1" ht="15" customHeight="1" x14ac:dyDescent="0.3">
      <c r="A321" s="384"/>
      <c r="B321" s="385"/>
      <c r="C321" s="385"/>
      <c r="D321" s="385"/>
      <c r="E321" s="386"/>
      <c r="F321" s="386"/>
      <c r="G321" s="391"/>
      <c r="H321" s="221" t="s">
        <v>357</v>
      </c>
      <c r="I321" s="126"/>
      <c r="J321" s="126"/>
      <c r="K321" s="126">
        <v>26.020376630633155</v>
      </c>
      <c r="L321" s="126">
        <f t="shared" si="15"/>
        <v>8.2867441498831695</v>
      </c>
      <c r="M321" s="126"/>
      <c r="N321" s="126"/>
      <c r="O321" s="126">
        <f t="shared" si="16"/>
        <v>2.2885253417834431E-2</v>
      </c>
      <c r="P321" s="131">
        <f>O321*(1+'Key Data'!F$3)</f>
        <v>2.8606566772293038E-2</v>
      </c>
      <c r="Q321" s="392"/>
      <c r="R321" s="392"/>
      <c r="S321" s="389"/>
    </row>
    <row r="322" spans="1:19" s="44" customFormat="1" ht="15" customHeight="1" x14ac:dyDescent="0.3">
      <c r="A322" s="384"/>
      <c r="B322" s="385"/>
      <c r="C322" s="385"/>
      <c r="D322" s="385"/>
      <c r="E322" s="386"/>
      <c r="F322" s="386"/>
      <c r="G322" s="391"/>
      <c r="H322" s="221" t="s">
        <v>357</v>
      </c>
      <c r="I322" s="126"/>
      <c r="J322" s="126"/>
      <c r="K322" s="126">
        <v>27.8</v>
      </c>
      <c r="L322" s="126">
        <f t="shared" si="15"/>
        <v>8.8535031847133752</v>
      </c>
      <c r="M322" s="126"/>
      <c r="N322" s="126"/>
      <c r="O322" s="126">
        <f t="shared" si="16"/>
        <v>2.6400682586927054E-2</v>
      </c>
      <c r="P322" s="131">
        <f>O322*(1+'Key Data'!F$3)</f>
        <v>3.3000853233658818E-2</v>
      </c>
      <c r="Q322" s="392"/>
      <c r="R322" s="392"/>
      <c r="S322" s="389"/>
    </row>
    <row r="323" spans="1:19" s="44" customFormat="1" ht="15" customHeight="1" x14ac:dyDescent="0.3">
      <c r="A323" s="384"/>
      <c r="B323" s="385"/>
      <c r="C323" s="385"/>
      <c r="D323" s="385"/>
      <c r="E323" s="386"/>
      <c r="F323" s="386"/>
      <c r="G323" s="391"/>
      <c r="H323" s="221" t="s">
        <v>357</v>
      </c>
      <c r="I323" s="126"/>
      <c r="J323" s="126"/>
      <c r="K323" s="126">
        <v>22</v>
      </c>
      <c r="L323" s="126">
        <f t="shared" si="15"/>
        <v>7.0063694267515917</v>
      </c>
      <c r="M323" s="126"/>
      <c r="N323" s="126"/>
      <c r="O323" s="126">
        <f t="shared" si="16"/>
        <v>1.5926171461791962E-2</v>
      </c>
      <c r="P323" s="131">
        <f>O323*(1+'Key Data'!F$3)</f>
        <v>1.990771432723995E-2</v>
      </c>
      <c r="Q323" s="392"/>
      <c r="R323" s="392"/>
      <c r="S323" s="389"/>
    </row>
    <row r="324" spans="1:19" s="44" customFormat="1" ht="15" customHeight="1" x14ac:dyDescent="0.3">
      <c r="A324" s="384"/>
      <c r="B324" s="385"/>
      <c r="C324" s="385"/>
      <c r="D324" s="385"/>
      <c r="E324" s="386"/>
      <c r="F324" s="386"/>
      <c r="G324" s="391"/>
      <c r="H324" s="221" t="s">
        <v>357</v>
      </c>
      <c r="I324" s="126"/>
      <c r="J324" s="126"/>
      <c r="K324" s="126">
        <v>20.6</v>
      </c>
      <c r="L324" s="126">
        <f t="shared" si="15"/>
        <v>6.5605095541401273</v>
      </c>
      <c r="M324" s="126"/>
      <c r="N324" s="126"/>
      <c r="O324" s="126">
        <f t="shared" si="16"/>
        <v>1.3817567425030694E-2</v>
      </c>
      <c r="P324" s="131">
        <f>O324*(1+'Key Data'!F$3)</f>
        <v>1.7271959281288368E-2</v>
      </c>
      <c r="Q324" s="392"/>
      <c r="R324" s="392"/>
      <c r="S324" s="389"/>
    </row>
    <row r="325" spans="1:19" s="44" customFormat="1" ht="15" customHeight="1" x14ac:dyDescent="0.3">
      <c r="A325" s="384"/>
      <c r="B325" s="385"/>
      <c r="C325" s="385"/>
      <c r="D325" s="385"/>
      <c r="E325" s="386"/>
      <c r="F325" s="386"/>
      <c r="G325" s="391"/>
      <c r="H325" s="221" t="s">
        <v>357</v>
      </c>
      <c r="I325" s="126"/>
      <c r="J325" s="126"/>
      <c r="K325" s="126">
        <v>26.5</v>
      </c>
      <c r="L325" s="126">
        <f t="shared" si="15"/>
        <v>8.4394904458598727</v>
      </c>
      <c r="M325" s="126"/>
      <c r="N325" s="126"/>
      <c r="O325" s="126">
        <f t="shared" si="16"/>
        <v>2.3806167456664092E-2</v>
      </c>
      <c r="P325" s="131">
        <f>O325*(1+'Key Data'!F$3)</f>
        <v>2.9757709320830113E-2</v>
      </c>
      <c r="Q325" s="392"/>
      <c r="R325" s="392"/>
      <c r="S325" s="389"/>
    </row>
    <row r="326" spans="1:19" s="44" customFormat="1" ht="15" customHeight="1" x14ac:dyDescent="0.3">
      <c r="A326" s="384"/>
      <c r="B326" s="385"/>
      <c r="C326" s="385"/>
      <c r="D326" s="385"/>
      <c r="E326" s="386"/>
      <c r="F326" s="386"/>
      <c r="G326" s="391"/>
      <c r="H326" s="221" t="s">
        <v>357</v>
      </c>
      <c r="I326" s="126"/>
      <c r="J326" s="126"/>
      <c r="K326" s="126">
        <v>27.064737205448715</v>
      </c>
      <c r="L326" s="126">
        <f t="shared" si="15"/>
        <v>8.6193430590600997</v>
      </c>
      <c r="M326" s="126"/>
      <c r="N326" s="126"/>
      <c r="O326" s="126">
        <f t="shared" si="16"/>
        <v>2.4915559026816168E-2</v>
      </c>
      <c r="P326" s="131">
        <f>O326*(1+'Key Data'!F$3)</f>
        <v>3.1144448783520209E-2</v>
      </c>
      <c r="Q326" s="392"/>
      <c r="R326" s="392"/>
      <c r="S326" s="389"/>
    </row>
    <row r="327" spans="1:19" s="44" customFormat="1" ht="15" customHeight="1" x14ac:dyDescent="0.3">
      <c r="A327" s="384"/>
      <c r="B327" s="385"/>
      <c r="C327" s="385"/>
      <c r="D327" s="385"/>
      <c r="E327" s="386"/>
      <c r="F327" s="386"/>
      <c r="G327" s="391"/>
      <c r="H327" s="221" t="s">
        <v>357</v>
      </c>
      <c r="I327" s="126"/>
      <c r="J327" s="126"/>
      <c r="K327" s="126">
        <v>19.5</v>
      </c>
      <c r="L327" s="126">
        <f t="shared" si="15"/>
        <v>6.2101910828025479</v>
      </c>
      <c r="M327" s="126"/>
      <c r="N327" s="126"/>
      <c r="O327" s="126">
        <f t="shared" si="16"/>
        <v>1.2273068467502273E-2</v>
      </c>
      <c r="P327" s="131">
        <f>O327*(1+'Key Data'!F$3)</f>
        <v>1.5341335584377841E-2</v>
      </c>
      <c r="Q327" s="392"/>
      <c r="R327" s="392"/>
      <c r="S327" s="389"/>
    </row>
    <row r="328" spans="1:19" s="44" customFormat="1" ht="15" customHeight="1" x14ac:dyDescent="0.3">
      <c r="A328" s="384"/>
      <c r="B328" s="385"/>
      <c r="C328" s="385"/>
      <c r="D328" s="385"/>
      <c r="E328" s="386"/>
      <c r="F328" s="386"/>
      <c r="G328" s="391"/>
      <c r="H328" s="221" t="s">
        <v>357</v>
      </c>
      <c r="I328" s="126"/>
      <c r="J328" s="126"/>
      <c r="K328" s="126">
        <v>17.2</v>
      </c>
      <c r="L328" s="126">
        <f t="shared" si="15"/>
        <v>5.4777070063694264</v>
      </c>
      <c r="M328" s="126"/>
      <c r="N328" s="126"/>
      <c r="O328" s="126">
        <f t="shared" si="16"/>
        <v>9.3587930051082843E-3</v>
      </c>
      <c r="P328" s="131">
        <f>O328*(1+'Key Data'!F$3)</f>
        <v>1.1698491256385356E-2</v>
      </c>
      <c r="Q328" s="392"/>
      <c r="R328" s="392"/>
      <c r="S328" s="389"/>
    </row>
    <row r="329" spans="1:19" s="44" customFormat="1" ht="15" customHeight="1" x14ac:dyDescent="0.3">
      <c r="A329" s="384"/>
      <c r="B329" s="385"/>
      <c r="C329" s="385"/>
      <c r="D329" s="385"/>
      <c r="E329" s="386"/>
      <c r="F329" s="386"/>
      <c r="G329" s="391"/>
      <c r="H329" s="221" t="s">
        <v>357</v>
      </c>
      <c r="I329" s="126"/>
      <c r="J329" s="126"/>
      <c r="K329" s="126">
        <v>11.2</v>
      </c>
      <c r="L329" s="126">
        <f t="shared" si="15"/>
        <v>3.5668789808917194</v>
      </c>
      <c r="M329" s="126"/>
      <c r="N329" s="126"/>
      <c r="O329" s="126">
        <f t="shared" si="16"/>
        <v>3.7050094961532422E-3</v>
      </c>
      <c r="P329" s="131">
        <f>O329*(1+'Key Data'!F$3)</f>
        <v>4.6312618701915527E-3</v>
      </c>
      <c r="Q329" s="392"/>
      <c r="R329" s="392"/>
      <c r="S329" s="389"/>
    </row>
    <row r="330" spans="1:19" s="44" customFormat="1" ht="15" customHeight="1" x14ac:dyDescent="0.3">
      <c r="A330" s="384"/>
      <c r="B330" s="385"/>
      <c r="C330" s="385"/>
      <c r="D330" s="385"/>
      <c r="E330" s="386"/>
      <c r="F330" s="386"/>
      <c r="G330" s="391"/>
      <c r="H330" s="221" t="s">
        <v>357</v>
      </c>
      <c r="I330" s="126"/>
      <c r="J330" s="126"/>
      <c r="K330" s="126">
        <v>26.2</v>
      </c>
      <c r="L330" s="126">
        <f t="shared" si="15"/>
        <v>8.3439490445859867</v>
      </c>
      <c r="M330" s="126"/>
      <c r="N330" s="126"/>
      <c r="O330" s="126">
        <f t="shared" si="16"/>
        <v>2.3227859248637621E-2</v>
      </c>
      <c r="P330" s="131">
        <f>O330*(1+'Key Data'!F$3)</f>
        <v>2.9034824060797028E-2</v>
      </c>
      <c r="Q330" s="392"/>
      <c r="R330" s="392"/>
      <c r="S330" s="389"/>
    </row>
    <row r="331" spans="1:19" s="44" customFormat="1" ht="15" customHeight="1" x14ac:dyDescent="0.3">
      <c r="A331" s="384"/>
      <c r="B331" s="385"/>
      <c r="C331" s="385"/>
      <c r="D331" s="385"/>
      <c r="E331" s="386"/>
      <c r="F331" s="386"/>
      <c r="G331" s="391"/>
      <c r="H331" s="221" t="s">
        <v>357</v>
      </c>
      <c r="I331" s="126"/>
      <c r="J331" s="126"/>
      <c r="K331" s="126">
        <v>14.4</v>
      </c>
      <c r="L331" s="126">
        <f t="shared" ref="L331:L362" si="17">K331/3.14</f>
        <v>4.5859872611464967</v>
      </c>
      <c r="M331" s="126"/>
      <c r="N331" s="126"/>
      <c r="O331" s="126">
        <f t="shared" ref="O331:O362" si="18">((0.18*L331^2.16)*1.32)/1000</f>
        <v>6.3758982743323447E-3</v>
      </c>
      <c r="P331" s="131">
        <f>O331*(1+'Key Data'!F$3)</f>
        <v>7.9698728429154313E-3</v>
      </c>
      <c r="Q331" s="392"/>
      <c r="R331" s="392"/>
      <c r="S331" s="389"/>
    </row>
    <row r="332" spans="1:19" s="44" customFormat="1" ht="15" customHeight="1" x14ac:dyDescent="0.3">
      <c r="A332" s="384"/>
      <c r="B332" s="385"/>
      <c r="C332" s="385"/>
      <c r="D332" s="385"/>
      <c r="E332" s="386"/>
      <c r="F332" s="386"/>
      <c r="G332" s="391"/>
      <c r="H332" s="221" t="s">
        <v>357</v>
      </c>
      <c r="I332" s="126"/>
      <c r="J332" s="126"/>
      <c r="K332" s="126">
        <v>20</v>
      </c>
      <c r="L332" s="126">
        <f t="shared" si="17"/>
        <v>6.3694267515923562</v>
      </c>
      <c r="M332" s="126"/>
      <c r="N332" s="126"/>
      <c r="O332" s="126">
        <f t="shared" si="18"/>
        <v>1.2962930336215232E-2</v>
      </c>
      <c r="P332" s="131">
        <f>O332*(1+'Key Data'!F$3)</f>
        <v>1.6203662920269039E-2</v>
      </c>
      <c r="Q332" s="392"/>
      <c r="R332" s="392"/>
      <c r="S332" s="389"/>
    </row>
    <row r="333" spans="1:19" s="44" customFormat="1" ht="15" customHeight="1" x14ac:dyDescent="0.3">
      <c r="A333" s="384"/>
      <c r="B333" s="385"/>
      <c r="C333" s="385"/>
      <c r="D333" s="385"/>
      <c r="E333" s="386"/>
      <c r="F333" s="386"/>
      <c r="G333" s="391"/>
      <c r="H333" s="221" t="s">
        <v>357</v>
      </c>
      <c r="I333" s="126"/>
      <c r="J333" s="126"/>
      <c r="K333" s="126">
        <v>16</v>
      </c>
      <c r="L333" s="126">
        <f t="shared" si="17"/>
        <v>5.0955414012738851</v>
      </c>
      <c r="M333" s="126"/>
      <c r="N333" s="126"/>
      <c r="O333" s="126">
        <f t="shared" si="18"/>
        <v>8.0052990265006858E-3</v>
      </c>
      <c r="P333" s="131">
        <f>O333*(1+'Key Data'!F$3)</f>
        <v>1.0006623783125857E-2</v>
      </c>
      <c r="Q333" s="392"/>
      <c r="R333" s="392"/>
      <c r="S333" s="389"/>
    </row>
    <row r="334" spans="1:19" s="44" customFormat="1" ht="15" customHeight="1" x14ac:dyDescent="0.3">
      <c r="A334" s="384"/>
      <c r="B334" s="385"/>
      <c r="C334" s="385"/>
      <c r="D334" s="385"/>
      <c r="E334" s="386"/>
      <c r="F334" s="386"/>
      <c r="G334" s="391"/>
      <c r="H334" s="221" t="s">
        <v>357</v>
      </c>
      <c r="I334" s="126"/>
      <c r="J334" s="126"/>
      <c r="K334" s="126">
        <v>7.4</v>
      </c>
      <c r="L334" s="126">
        <f t="shared" si="17"/>
        <v>2.3566878980891719</v>
      </c>
      <c r="M334" s="126"/>
      <c r="N334" s="126"/>
      <c r="O334" s="126">
        <f t="shared" si="18"/>
        <v>1.5136271569781269E-3</v>
      </c>
      <c r="P334" s="131">
        <f>O334*(1+'Key Data'!F$3)</f>
        <v>1.8920339462226586E-3</v>
      </c>
      <c r="Q334" s="392"/>
      <c r="R334" s="392"/>
      <c r="S334" s="389"/>
    </row>
    <row r="335" spans="1:19" s="44" customFormat="1" ht="15" customHeight="1" x14ac:dyDescent="0.3">
      <c r="A335" s="384"/>
      <c r="B335" s="385"/>
      <c r="C335" s="385"/>
      <c r="D335" s="385"/>
      <c r="E335" s="386"/>
      <c r="F335" s="386"/>
      <c r="G335" s="391"/>
      <c r="H335" s="221" t="s">
        <v>357</v>
      </c>
      <c r="I335" s="126"/>
      <c r="J335" s="126"/>
      <c r="K335" s="126">
        <v>20.862646045025066</v>
      </c>
      <c r="L335" s="126">
        <f t="shared" si="17"/>
        <v>6.6441547914092567</v>
      </c>
      <c r="M335" s="126"/>
      <c r="N335" s="126"/>
      <c r="O335" s="126">
        <f t="shared" si="18"/>
        <v>1.420091338774156E-2</v>
      </c>
      <c r="P335" s="131">
        <f>O335*(1+'Key Data'!F$3)</f>
        <v>1.7751141734676949E-2</v>
      </c>
      <c r="Q335" s="392"/>
      <c r="R335" s="392"/>
      <c r="S335" s="389"/>
    </row>
    <row r="336" spans="1:19" s="44" customFormat="1" ht="15" customHeight="1" x14ac:dyDescent="0.3">
      <c r="A336" s="384"/>
      <c r="B336" s="385"/>
      <c r="C336" s="385"/>
      <c r="D336" s="385"/>
      <c r="E336" s="386"/>
      <c r="F336" s="386"/>
      <c r="G336" s="391"/>
      <c r="H336" s="221" t="s">
        <v>357</v>
      </c>
      <c r="I336" s="126"/>
      <c r="J336" s="126"/>
      <c r="K336" s="126">
        <v>19.5</v>
      </c>
      <c r="L336" s="126">
        <f t="shared" si="17"/>
        <v>6.2101910828025479</v>
      </c>
      <c r="M336" s="126"/>
      <c r="N336" s="126"/>
      <c r="O336" s="126">
        <f t="shared" si="18"/>
        <v>1.2273068467502273E-2</v>
      </c>
      <c r="P336" s="131">
        <f>O336*(1+'Key Data'!F$3)</f>
        <v>1.5341335584377841E-2</v>
      </c>
      <c r="Q336" s="392"/>
      <c r="R336" s="392"/>
      <c r="S336" s="389"/>
    </row>
    <row r="337" spans="1:19" s="44" customFormat="1" ht="15" customHeight="1" x14ac:dyDescent="0.3">
      <c r="A337" s="384"/>
      <c r="B337" s="385"/>
      <c r="C337" s="385"/>
      <c r="D337" s="385"/>
      <c r="E337" s="386"/>
      <c r="F337" s="386"/>
      <c r="G337" s="391"/>
      <c r="H337" s="221" t="s">
        <v>357</v>
      </c>
      <c r="I337" s="126"/>
      <c r="J337" s="126"/>
      <c r="K337" s="126">
        <v>29.971486449624081</v>
      </c>
      <c r="L337" s="126">
        <f t="shared" si="17"/>
        <v>9.545059378861172</v>
      </c>
      <c r="M337" s="126"/>
      <c r="N337" s="126"/>
      <c r="O337" s="126">
        <f t="shared" si="18"/>
        <v>3.1057628208438427E-2</v>
      </c>
      <c r="P337" s="131">
        <f>O337*(1+'Key Data'!F$3)</f>
        <v>3.8822035260548032E-2</v>
      </c>
      <c r="Q337" s="392"/>
      <c r="R337" s="392"/>
      <c r="S337" s="389"/>
    </row>
    <row r="338" spans="1:19" s="44" customFormat="1" ht="15" customHeight="1" x14ac:dyDescent="0.3">
      <c r="A338" s="384"/>
      <c r="B338" s="385"/>
      <c r="C338" s="385"/>
      <c r="D338" s="385"/>
      <c r="E338" s="386"/>
      <c r="F338" s="386"/>
      <c r="G338" s="391"/>
      <c r="H338" s="221" t="s">
        <v>357</v>
      </c>
      <c r="I338" s="126"/>
      <c r="J338" s="126"/>
      <c r="K338" s="126">
        <v>18</v>
      </c>
      <c r="L338" s="126">
        <f t="shared" si="17"/>
        <v>5.7324840764331206</v>
      </c>
      <c r="M338" s="126"/>
      <c r="N338" s="126"/>
      <c r="O338" s="126">
        <f t="shared" si="18"/>
        <v>1.032445195205826E-2</v>
      </c>
      <c r="P338" s="131">
        <f>O338*(1+'Key Data'!F$3)</f>
        <v>1.2905564940072826E-2</v>
      </c>
      <c r="Q338" s="392"/>
      <c r="R338" s="392"/>
      <c r="S338" s="389"/>
    </row>
    <row r="339" spans="1:19" s="44" customFormat="1" ht="15" customHeight="1" x14ac:dyDescent="0.3">
      <c r="A339" s="384"/>
      <c r="B339" s="385"/>
      <c r="C339" s="385"/>
      <c r="D339" s="385"/>
      <c r="E339" s="386"/>
      <c r="F339" s="386"/>
      <c r="G339" s="391"/>
      <c r="H339" s="221" t="s">
        <v>357</v>
      </c>
      <c r="I339" s="126"/>
      <c r="J339" s="126"/>
      <c r="K339" s="126">
        <v>16.476953601925327</v>
      </c>
      <c r="L339" s="126">
        <f t="shared" si="17"/>
        <v>5.247437452842461</v>
      </c>
      <c r="M339" s="126"/>
      <c r="N339" s="126"/>
      <c r="O339" s="126">
        <f t="shared" si="18"/>
        <v>8.529676121716236E-3</v>
      </c>
      <c r="P339" s="131">
        <f>O339*(1+'Key Data'!F$3)</f>
        <v>1.0662095152145295E-2</v>
      </c>
      <c r="Q339" s="392"/>
      <c r="R339" s="392"/>
      <c r="S339" s="389"/>
    </row>
    <row r="340" spans="1:19" s="44" customFormat="1" ht="15" customHeight="1" x14ac:dyDescent="0.3">
      <c r="A340" s="384"/>
      <c r="B340" s="385"/>
      <c r="C340" s="385"/>
      <c r="D340" s="385"/>
      <c r="E340" s="386"/>
      <c r="F340" s="386"/>
      <c r="G340" s="391"/>
      <c r="H340" s="221" t="s">
        <v>357</v>
      </c>
      <c r="I340" s="126"/>
      <c r="J340" s="126"/>
      <c r="K340" s="126">
        <v>27.13</v>
      </c>
      <c r="L340" s="126">
        <f t="shared" si="17"/>
        <v>8.6401273885350314</v>
      </c>
      <c r="M340" s="126"/>
      <c r="N340" s="126"/>
      <c r="O340" s="126">
        <f t="shared" si="18"/>
        <v>2.5045514115969211E-2</v>
      </c>
      <c r="P340" s="131">
        <f>O340*(1+'Key Data'!F$3)</f>
        <v>3.1306892644961518E-2</v>
      </c>
      <c r="Q340" s="392"/>
      <c r="R340" s="392"/>
      <c r="S340" s="389"/>
    </row>
    <row r="341" spans="1:19" s="44" customFormat="1" ht="15" customHeight="1" x14ac:dyDescent="0.3">
      <c r="A341" s="384"/>
      <c r="B341" s="385"/>
      <c r="C341" s="385"/>
      <c r="D341" s="385"/>
      <c r="E341" s="386"/>
      <c r="F341" s="386"/>
      <c r="G341" s="391"/>
      <c r="H341" s="221" t="s">
        <v>357</v>
      </c>
      <c r="I341" s="126"/>
      <c r="J341" s="126"/>
      <c r="K341" s="126">
        <v>25.5</v>
      </c>
      <c r="L341" s="126">
        <f t="shared" si="17"/>
        <v>8.1210191082802545</v>
      </c>
      <c r="M341" s="126"/>
      <c r="N341" s="126"/>
      <c r="O341" s="126">
        <f t="shared" si="18"/>
        <v>2.1908123790022542E-2</v>
      </c>
      <c r="P341" s="131">
        <f>O341*(1+'Key Data'!F$3)</f>
        <v>2.7385154737528179E-2</v>
      </c>
      <c r="Q341" s="392"/>
      <c r="R341" s="392"/>
      <c r="S341" s="389"/>
    </row>
    <row r="342" spans="1:19" s="44" customFormat="1" ht="15" customHeight="1" x14ac:dyDescent="0.3">
      <c r="A342" s="384"/>
      <c r="B342" s="385"/>
      <c r="C342" s="385"/>
      <c r="D342" s="385"/>
      <c r="E342" s="386"/>
      <c r="F342" s="386"/>
      <c r="G342" s="391"/>
      <c r="H342" s="221" t="s">
        <v>357</v>
      </c>
      <c r="I342" s="126"/>
      <c r="J342" s="126"/>
      <c r="K342" s="126">
        <v>29.3</v>
      </c>
      <c r="L342" s="126">
        <f t="shared" si="17"/>
        <v>9.3312101910828016</v>
      </c>
      <c r="M342" s="126"/>
      <c r="N342" s="126"/>
      <c r="O342" s="126">
        <f t="shared" si="18"/>
        <v>2.9574162608272385E-2</v>
      </c>
      <c r="P342" s="131">
        <f>O342*(1+'Key Data'!F$3)</f>
        <v>3.6967703260340483E-2</v>
      </c>
      <c r="Q342" s="392"/>
      <c r="R342" s="392"/>
      <c r="S342" s="389"/>
    </row>
    <row r="343" spans="1:19" s="44" customFormat="1" ht="15" customHeight="1" x14ac:dyDescent="0.3">
      <c r="A343" s="384"/>
      <c r="B343" s="385"/>
      <c r="C343" s="385"/>
      <c r="D343" s="385"/>
      <c r="E343" s="386"/>
      <c r="F343" s="386"/>
      <c r="G343" s="391"/>
      <c r="H343" s="221" t="s">
        <v>357</v>
      </c>
      <c r="I343" s="126"/>
      <c r="J343" s="126"/>
      <c r="K343" s="126">
        <v>16.3</v>
      </c>
      <c r="L343" s="126">
        <f t="shared" si="17"/>
        <v>5.1910828025477711</v>
      </c>
      <c r="M343" s="126"/>
      <c r="N343" s="126"/>
      <c r="O343" s="126">
        <f t="shared" si="18"/>
        <v>8.3330429830098182E-3</v>
      </c>
      <c r="P343" s="131">
        <f>O343*(1+'Key Data'!F$3)</f>
        <v>1.0416303728762273E-2</v>
      </c>
      <c r="Q343" s="392"/>
      <c r="R343" s="392"/>
      <c r="S343" s="389"/>
    </row>
    <row r="344" spans="1:19" s="44" customFormat="1" ht="15" customHeight="1" x14ac:dyDescent="0.3">
      <c r="A344" s="384"/>
      <c r="B344" s="385"/>
      <c r="C344" s="385"/>
      <c r="D344" s="385"/>
      <c r="E344" s="386"/>
      <c r="F344" s="386"/>
      <c r="G344" s="391"/>
      <c r="H344" s="221" t="s">
        <v>357</v>
      </c>
      <c r="I344" s="126"/>
      <c r="J344" s="126"/>
      <c r="K344" s="126">
        <v>25.809494377069846</v>
      </c>
      <c r="L344" s="126">
        <f t="shared" si="17"/>
        <v>8.2195841965190599</v>
      </c>
      <c r="M344" s="126"/>
      <c r="N344" s="126"/>
      <c r="O344" s="126">
        <f t="shared" si="18"/>
        <v>2.2486512726529274E-2</v>
      </c>
      <c r="P344" s="131">
        <f>O344*(1+'Key Data'!F$3)</f>
        <v>2.8108140908161591E-2</v>
      </c>
      <c r="Q344" s="392"/>
      <c r="R344" s="392"/>
      <c r="S344" s="389"/>
    </row>
    <row r="345" spans="1:19" s="44" customFormat="1" ht="15" customHeight="1" x14ac:dyDescent="0.3">
      <c r="A345" s="384"/>
      <c r="B345" s="385"/>
      <c r="C345" s="385"/>
      <c r="D345" s="385"/>
      <c r="E345" s="386"/>
      <c r="F345" s="386"/>
      <c r="G345" s="391"/>
      <c r="H345" s="221" t="s">
        <v>357</v>
      </c>
      <c r="I345" s="126"/>
      <c r="J345" s="126"/>
      <c r="K345" s="126">
        <v>32.200000000000003</v>
      </c>
      <c r="L345" s="126">
        <f t="shared" si="17"/>
        <v>10.254777070063694</v>
      </c>
      <c r="M345" s="126"/>
      <c r="N345" s="126"/>
      <c r="O345" s="126">
        <f t="shared" si="18"/>
        <v>3.6261609720865354E-2</v>
      </c>
      <c r="P345" s="131">
        <f>O345*(1+'Key Data'!F$3)</f>
        <v>4.5327012151081689E-2</v>
      </c>
      <c r="Q345" s="392"/>
      <c r="R345" s="392"/>
      <c r="S345" s="389"/>
    </row>
    <row r="346" spans="1:19" s="44" customFormat="1" ht="15" customHeight="1" x14ac:dyDescent="0.3">
      <c r="A346" s="384"/>
      <c r="B346" s="385"/>
      <c r="C346" s="385"/>
      <c r="D346" s="385"/>
      <c r="E346" s="386"/>
      <c r="F346" s="386"/>
      <c r="G346" s="391"/>
      <c r="H346" s="221" t="s">
        <v>357</v>
      </c>
      <c r="I346" s="126"/>
      <c r="J346" s="126"/>
      <c r="K346" s="126">
        <v>18.100000000000001</v>
      </c>
      <c r="L346" s="126">
        <f t="shared" si="17"/>
        <v>5.7643312101910826</v>
      </c>
      <c r="M346" s="126"/>
      <c r="N346" s="126"/>
      <c r="O346" s="126">
        <f t="shared" si="18"/>
        <v>1.0448744705772468E-2</v>
      </c>
      <c r="P346" s="131">
        <f>O346*(1+'Key Data'!F$3)</f>
        <v>1.3060930882215584E-2</v>
      </c>
      <c r="Q346" s="392"/>
      <c r="R346" s="392"/>
      <c r="S346" s="389"/>
    </row>
    <row r="347" spans="1:19" s="44" customFormat="1" ht="15" customHeight="1" x14ac:dyDescent="0.3">
      <c r="A347" s="384"/>
      <c r="B347" s="385"/>
      <c r="C347" s="385"/>
      <c r="D347" s="385"/>
      <c r="E347" s="386"/>
      <c r="F347" s="386"/>
      <c r="G347" s="391"/>
      <c r="H347" s="221" t="s">
        <v>357</v>
      </c>
      <c r="I347" s="126"/>
      <c r="J347" s="126"/>
      <c r="K347" s="126">
        <v>16.5</v>
      </c>
      <c r="L347" s="126">
        <f t="shared" si="17"/>
        <v>5.2547770700636942</v>
      </c>
      <c r="M347" s="126"/>
      <c r="N347" s="126"/>
      <c r="O347" s="126">
        <f t="shared" si="18"/>
        <v>8.5554669112145546E-3</v>
      </c>
      <c r="P347" s="131">
        <f>O347*(1+'Key Data'!F$3)</f>
        <v>1.0694333639018193E-2</v>
      </c>
      <c r="Q347" s="392"/>
      <c r="R347" s="392"/>
      <c r="S347" s="389"/>
    </row>
    <row r="348" spans="1:19" s="44" customFormat="1" ht="15" customHeight="1" x14ac:dyDescent="0.3">
      <c r="A348" s="384"/>
      <c r="B348" s="385"/>
      <c r="C348" s="385"/>
      <c r="D348" s="385"/>
      <c r="E348" s="386"/>
      <c r="F348" s="386"/>
      <c r="G348" s="391"/>
      <c r="H348" s="221" t="s">
        <v>357</v>
      </c>
      <c r="I348" s="126"/>
      <c r="J348" s="126"/>
      <c r="K348" s="126">
        <v>14.5</v>
      </c>
      <c r="L348" s="126">
        <f t="shared" si="17"/>
        <v>4.6178343949044587</v>
      </c>
      <c r="M348" s="126"/>
      <c r="N348" s="126"/>
      <c r="O348" s="126">
        <f t="shared" si="18"/>
        <v>6.4719221014311046E-3</v>
      </c>
      <c r="P348" s="131">
        <f>O348*(1+'Key Data'!F$3)</f>
        <v>8.0899026267888807E-3</v>
      </c>
      <c r="Q348" s="392"/>
      <c r="R348" s="392"/>
      <c r="S348" s="389"/>
    </row>
    <row r="349" spans="1:19" s="44" customFormat="1" ht="15" customHeight="1" x14ac:dyDescent="0.3">
      <c r="A349" s="384"/>
      <c r="B349" s="385"/>
      <c r="C349" s="385"/>
      <c r="D349" s="385"/>
      <c r="E349" s="386"/>
      <c r="F349" s="386"/>
      <c r="G349" s="391"/>
      <c r="H349" s="221" t="s">
        <v>357</v>
      </c>
      <c r="I349" s="126"/>
      <c r="J349" s="126"/>
      <c r="K349" s="126">
        <v>22.402008838494819</v>
      </c>
      <c r="L349" s="126">
        <f t="shared" si="17"/>
        <v>7.1343977192658654</v>
      </c>
      <c r="M349" s="126"/>
      <c r="N349" s="126"/>
      <c r="O349" s="126">
        <f t="shared" si="18"/>
        <v>1.6561445479536228E-2</v>
      </c>
      <c r="P349" s="131">
        <f>O349*(1+'Key Data'!F$3)</f>
        <v>2.0701806849420284E-2</v>
      </c>
      <c r="Q349" s="392"/>
      <c r="R349" s="392"/>
      <c r="S349" s="389"/>
    </row>
    <row r="350" spans="1:19" s="44" customFormat="1" ht="15" customHeight="1" x14ac:dyDescent="0.3">
      <c r="A350" s="384"/>
      <c r="B350" s="385"/>
      <c r="C350" s="385"/>
      <c r="D350" s="385"/>
      <c r="E350" s="386"/>
      <c r="F350" s="386"/>
      <c r="G350" s="391"/>
      <c r="H350" s="221" t="s">
        <v>357</v>
      </c>
      <c r="I350" s="126"/>
      <c r="J350" s="126"/>
      <c r="K350" s="126">
        <v>22.279362647975368</v>
      </c>
      <c r="L350" s="126">
        <f t="shared" si="17"/>
        <v>7.0953384229220919</v>
      </c>
      <c r="M350" s="126"/>
      <c r="N350" s="126"/>
      <c r="O350" s="126">
        <f t="shared" si="18"/>
        <v>1.6366219211837722E-2</v>
      </c>
      <c r="P350" s="131">
        <f>O350*(1+'Key Data'!F$3)</f>
        <v>2.0457774014797155E-2</v>
      </c>
      <c r="Q350" s="392"/>
      <c r="R350" s="392"/>
      <c r="S350" s="389"/>
    </row>
    <row r="351" spans="1:19" s="44" customFormat="1" ht="15" customHeight="1" x14ac:dyDescent="0.3">
      <c r="A351" s="387">
        <v>6</v>
      </c>
      <c r="B351" s="388" t="s">
        <v>443</v>
      </c>
      <c r="C351" s="388" t="s">
        <v>444</v>
      </c>
      <c r="D351" s="388" t="s">
        <v>445</v>
      </c>
      <c r="E351" s="382">
        <v>27.197341900000001</v>
      </c>
      <c r="F351" s="382">
        <v>94.462609099999995</v>
      </c>
      <c r="G351" s="383">
        <v>2021</v>
      </c>
      <c r="H351" s="225" t="s">
        <v>357</v>
      </c>
      <c r="I351" s="128"/>
      <c r="J351" s="128"/>
      <c r="K351" s="128">
        <v>18.8</v>
      </c>
      <c r="L351" s="128">
        <f t="shared" si="17"/>
        <v>5.9872611464968148</v>
      </c>
      <c r="M351" s="128"/>
      <c r="N351" s="128"/>
      <c r="O351" s="128">
        <f t="shared" si="18"/>
        <v>1.1341208922323803E-2</v>
      </c>
      <c r="P351" s="138">
        <f>O351*(1+'Key Data'!F$3)</f>
        <v>1.4176511152904754E-2</v>
      </c>
      <c r="Q351" s="390">
        <f>SUM(P351:P379)</f>
        <v>0.55377656508058337</v>
      </c>
      <c r="R351" s="390">
        <f>Q351*10000/900</f>
        <v>6.1530729453398152</v>
      </c>
      <c r="S351" s="389"/>
    </row>
    <row r="352" spans="1:19" s="44" customFormat="1" ht="15" customHeight="1" x14ac:dyDescent="0.3">
      <c r="A352" s="387"/>
      <c r="B352" s="388"/>
      <c r="C352" s="388"/>
      <c r="D352" s="388"/>
      <c r="E352" s="382"/>
      <c r="F352" s="382"/>
      <c r="G352" s="383"/>
      <c r="H352" s="225" t="s">
        <v>357</v>
      </c>
      <c r="I352" s="128"/>
      <c r="J352" s="128"/>
      <c r="K352" s="128">
        <v>12.8</v>
      </c>
      <c r="L352" s="128">
        <f t="shared" si="17"/>
        <v>4.0764331210191083</v>
      </c>
      <c r="M352" s="128"/>
      <c r="N352" s="128"/>
      <c r="O352" s="128">
        <f t="shared" si="18"/>
        <v>4.9436979788941415E-3</v>
      </c>
      <c r="P352" s="138">
        <f>O352*(1+'Key Data'!F$3)</f>
        <v>6.1796224736176773E-3</v>
      </c>
      <c r="Q352" s="390"/>
      <c r="R352" s="390"/>
      <c r="S352" s="389"/>
    </row>
    <row r="353" spans="1:22" s="44" customFormat="1" ht="15" customHeight="1" x14ac:dyDescent="0.3">
      <c r="A353" s="387"/>
      <c r="B353" s="388"/>
      <c r="C353" s="388"/>
      <c r="D353" s="388"/>
      <c r="E353" s="382"/>
      <c r="F353" s="382"/>
      <c r="G353" s="383"/>
      <c r="H353" s="225" t="s">
        <v>357</v>
      </c>
      <c r="I353" s="128"/>
      <c r="J353" s="128"/>
      <c r="K353" s="128">
        <v>26.19694638693602</v>
      </c>
      <c r="L353" s="128">
        <f t="shared" si="17"/>
        <v>8.3429765563490506</v>
      </c>
      <c r="M353" s="128"/>
      <c r="N353" s="128"/>
      <c r="O353" s="128">
        <f t="shared" si="18"/>
        <v>2.3222012070948098E-2</v>
      </c>
      <c r="P353" s="138">
        <f>O353*(1+'Key Data'!F$3)</f>
        <v>2.9027515088685122E-2</v>
      </c>
      <c r="Q353" s="390"/>
      <c r="R353" s="390"/>
      <c r="S353" s="389"/>
    </row>
    <row r="354" spans="1:22" s="44" customFormat="1" ht="15" customHeight="1" x14ac:dyDescent="0.3">
      <c r="A354" s="387"/>
      <c r="B354" s="388"/>
      <c r="C354" s="388"/>
      <c r="D354" s="388"/>
      <c r="E354" s="382"/>
      <c r="F354" s="382"/>
      <c r="G354" s="383"/>
      <c r="H354" s="225" t="s">
        <v>357</v>
      </c>
      <c r="I354" s="128"/>
      <c r="J354" s="128"/>
      <c r="K354" s="128">
        <v>17.5</v>
      </c>
      <c r="L354" s="128">
        <f t="shared" si="17"/>
        <v>5.5732484076433115</v>
      </c>
      <c r="M354" s="128"/>
      <c r="N354" s="128"/>
      <c r="O354" s="128">
        <f t="shared" si="18"/>
        <v>9.7149502657105594E-3</v>
      </c>
      <c r="P354" s="138">
        <f>O354*(1+'Key Data'!F$3)</f>
        <v>1.2143687832138199E-2</v>
      </c>
      <c r="Q354" s="390"/>
      <c r="R354" s="390"/>
      <c r="S354" s="389"/>
    </row>
    <row r="355" spans="1:22" s="44" customFormat="1" ht="15" customHeight="1" x14ac:dyDescent="0.3">
      <c r="A355" s="387"/>
      <c r="B355" s="388"/>
      <c r="C355" s="388"/>
      <c r="D355" s="388"/>
      <c r="E355" s="382"/>
      <c r="F355" s="382"/>
      <c r="G355" s="383"/>
      <c r="H355" s="225" t="s">
        <v>357</v>
      </c>
      <c r="I355" s="128"/>
      <c r="J355" s="128"/>
      <c r="K355" s="128">
        <v>14.5</v>
      </c>
      <c r="L355" s="128">
        <f t="shared" si="17"/>
        <v>4.6178343949044587</v>
      </c>
      <c r="M355" s="128"/>
      <c r="N355" s="128"/>
      <c r="O355" s="128">
        <f t="shared" si="18"/>
        <v>6.4719221014311046E-3</v>
      </c>
      <c r="P355" s="138">
        <f>O355*(1+'Key Data'!F$3)</f>
        <v>8.0899026267888807E-3</v>
      </c>
      <c r="Q355" s="390"/>
      <c r="R355" s="390"/>
      <c r="S355" s="389"/>
    </row>
    <row r="356" spans="1:22" s="44" customFormat="1" ht="15" customHeight="1" x14ac:dyDescent="0.3">
      <c r="A356" s="387"/>
      <c r="B356" s="388"/>
      <c r="C356" s="388"/>
      <c r="D356" s="388"/>
      <c r="E356" s="382"/>
      <c r="F356" s="382"/>
      <c r="G356" s="383"/>
      <c r="H356" s="225" t="s">
        <v>357</v>
      </c>
      <c r="I356" s="128"/>
      <c r="J356" s="128"/>
      <c r="K356" s="128">
        <v>30.862274705536532</v>
      </c>
      <c r="L356" s="128">
        <f t="shared" si="17"/>
        <v>9.8287499062218249</v>
      </c>
      <c r="M356" s="128"/>
      <c r="N356" s="128"/>
      <c r="O356" s="128">
        <f t="shared" si="18"/>
        <v>3.3085883095836925E-2</v>
      </c>
      <c r="P356" s="138">
        <f>O356*(1+'Key Data'!F$3)</f>
        <v>4.1357353869796158E-2</v>
      </c>
      <c r="Q356" s="390"/>
      <c r="R356" s="390"/>
      <c r="S356" s="389"/>
    </row>
    <row r="357" spans="1:22" s="44" customFormat="1" ht="15" customHeight="1" x14ac:dyDescent="0.3">
      <c r="A357" s="387"/>
      <c r="B357" s="388"/>
      <c r="C357" s="388"/>
      <c r="D357" s="388"/>
      <c r="E357" s="382"/>
      <c r="F357" s="382"/>
      <c r="G357" s="383"/>
      <c r="H357" s="225" t="s">
        <v>357</v>
      </c>
      <c r="I357" s="128"/>
      <c r="J357" s="128"/>
      <c r="K357" s="128">
        <v>27.8</v>
      </c>
      <c r="L357" s="128">
        <f t="shared" si="17"/>
        <v>8.8535031847133752</v>
      </c>
      <c r="M357" s="128"/>
      <c r="N357" s="128"/>
      <c r="O357" s="128">
        <f t="shared" si="18"/>
        <v>2.6400682586927054E-2</v>
      </c>
      <c r="P357" s="138">
        <f>O357*(1+'Key Data'!F$3)</f>
        <v>3.3000853233658818E-2</v>
      </c>
      <c r="Q357" s="390"/>
      <c r="R357" s="390"/>
      <c r="S357" s="389"/>
    </row>
    <row r="358" spans="1:22" s="44" customFormat="1" ht="15" customHeight="1" x14ac:dyDescent="0.3">
      <c r="A358" s="387"/>
      <c r="B358" s="388"/>
      <c r="C358" s="388"/>
      <c r="D358" s="388"/>
      <c r="E358" s="382"/>
      <c r="F358" s="382"/>
      <c r="G358" s="383"/>
      <c r="H358" s="225" t="s">
        <v>357</v>
      </c>
      <c r="I358" s="128"/>
      <c r="J358" s="128"/>
      <c r="K358" s="128">
        <v>27</v>
      </c>
      <c r="L358" s="128">
        <f t="shared" si="17"/>
        <v>8.598726114649681</v>
      </c>
      <c r="M358" s="128"/>
      <c r="N358" s="128"/>
      <c r="O358" s="128">
        <f t="shared" si="18"/>
        <v>2.4787009147968091E-2</v>
      </c>
      <c r="P358" s="138">
        <f>O358*(1+'Key Data'!F$3)</f>
        <v>3.0983761434960115E-2</v>
      </c>
      <c r="Q358" s="390"/>
      <c r="R358" s="390"/>
      <c r="S358" s="389"/>
    </row>
    <row r="359" spans="1:22" s="44" customFormat="1" ht="15" customHeight="1" x14ac:dyDescent="0.3">
      <c r="A359" s="387"/>
      <c r="B359" s="388"/>
      <c r="C359" s="388"/>
      <c r="D359" s="388"/>
      <c r="E359" s="382"/>
      <c r="F359" s="382"/>
      <c r="G359" s="383"/>
      <c r="H359" s="225" t="s">
        <v>357</v>
      </c>
      <c r="I359" s="128"/>
      <c r="J359" s="128"/>
      <c r="K359" s="128">
        <v>21.5</v>
      </c>
      <c r="L359" s="128">
        <f t="shared" si="17"/>
        <v>6.8471337579617835</v>
      </c>
      <c r="M359" s="128"/>
      <c r="N359" s="128"/>
      <c r="O359" s="128">
        <f t="shared" si="18"/>
        <v>1.5154634618228368E-2</v>
      </c>
      <c r="P359" s="138">
        <f>O359*(1+'Key Data'!F$3)</f>
        <v>1.8943293272785461E-2</v>
      </c>
      <c r="Q359" s="390"/>
      <c r="R359" s="390"/>
      <c r="S359" s="389"/>
    </row>
    <row r="360" spans="1:22" s="44" customFormat="1" ht="15" customHeight="1" x14ac:dyDescent="0.3">
      <c r="A360" s="387"/>
      <c r="B360" s="388"/>
      <c r="C360" s="388"/>
      <c r="D360" s="388"/>
      <c r="E360" s="382"/>
      <c r="F360" s="382"/>
      <c r="G360" s="383"/>
      <c r="H360" s="225" t="s">
        <v>357</v>
      </c>
      <c r="I360" s="128"/>
      <c r="J360" s="128"/>
      <c r="K360" s="128">
        <v>24.5</v>
      </c>
      <c r="L360" s="128">
        <f t="shared" si="17"/>
        <v>7.8025477707006363</v>
      </c>
      <c r="M360" s="128"/>
      <c r="N360" s="128"/>
      <c r="O360" s="128">
        <f t="shared" si="18"/>
        <v>2.0094496961873858E-2</v>
      </c>
      <c r="P360" s="138">
        <f>O360*(1+'Key Data'!F$3)</f>
        <v>2.5118121202342324E-2</v>
      </c>
      <c r="Q360" s="390"/>
      <c r="R360" s="390"/>
      <c r="S360" s="389"/>
    </row>
    <row r="361" spans="1:22" s="44" customFormat="1" ht="15" customHeight="1" x14ac:dyDescent="0.3">
      <c r="A361" s="387"/>
      <c r="B361" s="388"/>
      <c r="C361" s="388"/>
      <c r="D361" s="388"/>
      <c r="E361" s="382"/>
      <c r="F361" s="382"/>
      <c r="G361" s="383"/>
      <c r="H361" s="225" t="s">
        <v>357</v>
      </c>
      <c r="I361" s="128"/>
      <c r="J361" s="128"/>
      <c r="K361" s="128">
        <v>33.5</v>
      </c>
      <c r="L361" s="128">
        <f t="shared" si="17"/>
        <v>10.668789808917197</v>
      </c>
      <c r="M361" s="128"/>
      <c r="N361" s="128"/>
      <c r="O361" s="128">
        <f t="shared" si="18"/>
        <v>3.9498006747839425E-2</v>
      </c>
      <c r="P361" s="138">
        <f>O361*(1+'Key Data'!F$3)</f>
        <v>4.9372508434799282E-2</v>
      </c>
      <c r="Q361" s="390"/>
      <c r="R361" s="390"/>
      <c r="S361" s="389"/>
    </row>
    <row r="362" spans="1:22" s="44" customFormat="1" ht="15" customHeight="1" x14ac:dyDescent="0.3">
      <c r="A362" s="387"/>
      <c r="B362" s="388"/>
      <c r="C362" s="388"/>
      <c r="D362" s="388"/>
      <c r="E362" s="382"/>
      <c r="F362" s="382"/>
      <c r="G362" s="383"/>
      <c r="H362" s="225" t="s">
        <v>357</v>
      </c>
      <c r="I362" s="128"/>
      <c r="J362" s="128"/>
      <c r="K362" s="128">
        <v>20.5</v>
      </c>
      <c r="L362" s="128">
        <f t="shared" si="17"/>
        <v>6.5286624203821653</v>
      </c>
      <c r="M362" s="128"/>
      <c r="N362" s="128"/>
      <c r="O362" s="128">
        <f t="shared" si="18"/>
        <v>1.3673092011719594E-2</v>
      </c>
      <c r="P362" s="138">
        <f>O362*(1+'Key Data'!F$3)</f>
        <v>1.7091365014649491E-2</v>
      </c>
      <c r="Q362" s="390"/>
      <c r="R362" s="390"/>
      <c r="S362" s="389"/>
    </row>
    <row r="363" spans="1:22" s="44" customFormat="1" ht="15" customHeight="1" x14ac:dyDescent="0.3">
      <c r="A363" s="387"/>
      <c r="B363" s="388"/>
      <c r="C363" s="388"/>
      <c r="D363" s="388"/>
      <c r="E363" s="382"/>
      <c r="F363" s="382"/>
      <c r="G363" s="383"/>
      <c r="H363" s="225" t="s">
        <v>357</v>
      </c>
      <c r="I363" s="128"/>
      <c r="J363" s="128"/>
      <c r="K363" s="128">
        <v>26</v>
      </c>
      <c r="L363" s="128">
        <f t="shared" ref="L363:L379" si="19">K363/3.14</f>
        <v>8.2802547770700627</v>
      </c>
      <c r="M363" s="128"/>
      <c r="N363" s="128"/>
      <c r="O363" s="128">
        <f t="shared" ref="O363:O379" si="20">((0.18*L363^2.16)*1.32)/1000</f>
        <v>2.2846560544759933E-2</v>
      </c>
      <c r="P363" s="138">
        <f>O363*(1+'Key Data'!F$3)</f>
        <v>2.8558200680949917E-2</v>
      </c>
      <c r="Q363" s="390"/>
      <c r="R363" s="390"/>
      <c r="S363" s="389"/>
    </row>
    <row r="364" spans="1:22" s="44" customFormat="1" ht="15" customHeight="1" x14ac:dyDescent="0.3">
      <c r="A364" s="387"/>
      <c r="B364" s="388"/>
      <c r="C364" s="388"/>
      <c r="D364" s="388"/>
      <c r="E364" s="382"/>
      <c r="F364" s="382"/>
      <c r="G364" s="383"/>
      <c r="H364" s="225" t="s">
        <v>357</v>
      </c>
      <c r="I364" s="128"/>
      <c r="J364" s="128"/>
      <c r="K364" s="128">
        <v>20.615528128088304</v>
      </c>
      <c r="L364" s="128">
        <f t="shared" si="19"/>
        <v>6.5654548178625172</v>
      </c>
      <c r="M364" s="128"/>
      <c r="N364" s="128"/>
      <c r="O364" s="128">
        <f t="shared" si="20"/>
        <v>1.3840074915121427E-2</v>
      </c>
      <c r="P364" s="138">
        <f>O364*(1+'Key Data'!F$3)</f>
        <v>1.7300093643901785E-2</v>
      </c>
      <c r="Q364" s="390"/>
      <c r="R364" s="390"/>
      <c r="S364" s="389"/>
    </row>
    <row r="365" spans="1:22" s="44" customFormat="1" ht="15" customHeight="1" x14ac:dyDescent="0.3">
      <c r="A365" s="387"/>
      <c r="B365" s="388"/>
      <c r="C365" s="388"/>
      <c r="D365" s="388"/>
      <c r="E365" s="382"/>
      <c r="F365" s="382"/>
      <c r="G365" s="383"/>
      <c r="H365" s="225" t="s">
        <v>357</v>
      </c>
      <c r="I365" s="128"/>
      <c r="J365" s="128"/>
      <c r="K365" s="128">
        <v>17.5</v>
      </c>
      <c r="L365" s="128">
        <f t="shared" si="19"/>
        <v>5.5732484076433115</v>
      </c>
      <c r="M365" s="128"/>
      <c r="N365" s="128"/>
      <c r="O365" s="128">
        <f t="shared" si="20"/>
        <v>9.7149502657105594E-3</v>
      </c>
      <c r="P365" s="138">
        <f>O365*(1+'Key Data'!F$3)</f>
        <v>1.2143687832138199E-2</v>
      </c>
      <c r="Q365" s="390"/>
      <c r="R365" s="390"/>
      <c r="S365" s="389"/>
    </row>
    <row r="366" spans="1:22" s="44" customFormat="1" ht="15" customHeight="1" x14ac:dyDescent="0.3">
      <c r="A366" s="387"/>
      <c r="B366" s="388"/>
      <c r="C366" s="388"/>
      <c r="D366" s="388"/>
      <c r="E366" s="382"/>
      <c r="F366" s="382"/>
      <c r="G366" s="383"/>
      <c r="H366" s="225" t="s">
        <v>357</v>
      </c>
      <c r="I366" s="128"/>
      <c r="J366" s="128"/>
      <c r="K366" s="128">
        <v>17.029386365926403</v>
      </c>
      <c r="L366" s="128">
        <f t="shared" si="19"/>
        <v>5.4233714541166886</v>
      </c>
      <c r="M366" s="128"/>
      <c r="N366" s="128"/>
      <c r="O366" s="128">
        <f t="shared" si="20"/>
        <v>9.1594254919325057E-3</v>
      </c>
      <c r="P366" s="138">
        <f>O366*(1+'Key Data'!F$3)</f>
        <v>1.1449281864915633E-2</v>
      </c>
      <c r="Q366" s="390"/>
      <c r="R366" s="390"/>
      <c r="S366" s="389"/>
      <c r="T366" s="163"/>
      <c r="U366" s="163"/>
      <c r="V366" s="163"/>
    </row>
    <row r="367" spans="1:22" s="44" customFormat="1" ht="15" customHeight="1" x14ac:dyDescent="0.3">
      <c r="A367" s="387"/>
      <c r="B367" s="388"/>
      <c r="C367" s="388"/>
      <c r="D367" s="388"/>
      <c r="E367" s="382"/>
      <c r="F367" s="382"/>
      <c r="G367" s="383"/>
      <c r="H367" s="225" t="s">
        <v>357</v>
      </c>
      <c r="I367" s="128"/>
      <c r="J367" s="128"/>
      <c r="K367" s="128">
        <v>11.5</v>
      </c>
      <c r="L367" s="128">
        <f t="shared" si="19"/>
        <v>3.6624203821656049</v>
      </c>
      <c r="M367" s="128"/>
      <c r="N367" s="128"/>
      <c r="O367" s="128">
        <f t="shared" si="20"/>
        <v>3.9227057462132616E-3</v>
      </c>
      <c r="P367" s="138">
        <f>O367*(1+'Key Data'!F$3)</f>
        <v>4.9033821827665774E-3</v>
      </c>
      <c r="Q367" s="390"/>
      <c r="R367" s="390"/>
      <c r="S367" s="389"/>
      <c r="T367" s="163"/>
      <c r="U367" s="163"/>
      <c r="V367" s="163"/>
    </row>
    <row r="368" spans="1:22" s="44" customFormat="1" ht="15" customHeight="1" x14ac:dyDescent="0.3">
      <c r="A368" s="387"/>
      <c r="B368" s="388"/>
      <c r="C368" s="388"/>
      <c r="D368" s="388"/>
      <c r="E368" s="382"/>
      <c r="F368" s="382"/>
      <c r="G368" s="383"/>
      <c r="H368" s="225" t="s">
        <v>357</v>
      </c>
      <c r="I368" s="128"/>
      <c r="J368" s="128"/>
      <c r="K368" s="128">
        <v>18.8</v>
      </c>
      <c r="L368" s="128">
        <f t="shared" si="19"/>
        <v>5.9872611464968148</v>
      </c>
      <c r="M368" s="128"/>
      <c r="N368" s="128"/>
      <c r="O368" s="128">
        <f t="shared" si="20"/>
        <v>1.1341208922323803E-2</v>
      </c>
      <c r="P368" s="138">
        <f>O368*(1+'Key Data'!F$3)</f>
        <v>1.4176511152904754E-2</v>
      </c>
      <c r="Q368" s="390"/>
      <c r="R368" s="390"/>
      <c r="S368" s="389"/>
    </row>
    <row r="369" spans="1:19" s="44" customFormat="1" ht="15" customHeight="1" x14ac:dyDescent="0.3">
      <c r="A369" s="387"/>
      <c r="B369" s="388"/>
      <c r="C369" s="388"/>
      <c r="D369" s="388"/>
      <c r="E369" s="382"/>
      <c r="F369" s="382"/>
      <c r="G369" s="383"/>
      <c r="H369" s="225" t="s">
        <v>357</v>
      </c>
      <c r="I369" s="128"/>
      <c r="J369" s="128"/>
      <c r="K369" s="128">
        <v>13.8</v>
      </c>
      <c r="L369" s="128">
        <f t="shared" si="19"/>
        <v>4.3949044585987265</v>
      </c>
      <c r="M369" s="128"/>
      <c r="N369" s="128"/>
      <c r="O369" s="128">
        <f t="shared" si="20"/>
        <v>5.8159039176820353E-3</v>
      </c>
      <c r="P369" s="138">
        <f>O369*(1+'Key Data'!F$3)</f>
        <v>7.2698798971025441E-3</v>
      </c>
      <c r="Q369" s="390"/>
      <c r="R369" s="390"/>
      <c r="S369" s="389"/>
    </row>
    <row r="370" spans="1:19" s="44" customFormat="1" ht="15" customHeight="1" x14ac:dyDescent="0.3">
      <c r="A370" s="387"/>
      <c r="B370" s="388"/>
      <c r="C370" s="388"/>
      <c r="D370" s="388"/>
      <c r="E370" s="382"/>
      <c r="F370" s="382"/>
      <c r="G370" s="383"/>
      <c r="H370" s="225" t="s">
        <v>357</v>
      </c>
      <c r="I370" s="128"/>
      <c r="J370" s="128"/>
      <c r="K370" s="128">
        <v>23.302789532586008</v>
      </c>
      <c r="L370" s="128">
        <f t="shared" si="19"/>
        <v>7.4212705517789832</v>
      </c>
      <c r="M370" s="128"/>
      <c r="N370" s="128"/>
      <c r="O370" s="128">
        <f t="shared" si="20"/>
        <v>1.8033477732150971E-2</v>
      </c>
      <c r="P370" s="138">
        <f>O370*(1+'Key Data'!F$3)</f>
        <v>2.2541847165188714E-2</v>
      </c>
      <c r="Q370" s="390"/>
      <c r="R370" s="390"/>
      <c r="S370" s="389"/>
    </row>
    <row r="371" spans="1:19" s="44" customFormat="1" ht="15" customHeight="1" x14ac:dyDescent="0.3">
      <c r="A371" s="387"/>
      <c r="B371" s="388"/>
      <c r="C371" s="388"/>
      <c r="D371" s="388"/>
      <c r="E371" s="382"/>
      <c r="F371" s="382"/>
      <c r="G371" s="383"/>
      <c r="H371" s="225" t="s">
        <v>357</v>
      </c>
      <c r="I371" s="128"/>
      <c r="J371" s="128"/>
      <c r="K371" s="128">
        <v>26.027677575995906</v>
      </c>
      <c r="L371" s="128">
        <f t="shared" si="19"/>
        <v>8.289069291718441</v>
      </c>
      <c r="M371" s="128"/>
      <c r="N371" s="128"/>
      <c r="O371" s="128">
        <f t="shared" si="20"/>
        <v>2.2899125628302118E-2</v>
      </c>
      <c r="P371" s="138">
        <f>O371*(1+'Key Data'!F$3)</f>
        <v>2.8623907035377649E-2</v>
      </c>
      <c r="Q371" s="390"/>
      <c r="R371" s="390"/>
      <c r="S371" s="389"/>
    </row>
    <row r="372" spans="1:19" s="44" customFormat="1" ht="15" customHeight="1" x14ac:dyDescent="0.3">
      <c r="A372" s="387"/>
      <c r="B372" s="388"/>
      <c r="C372" s="388"/>
      <c r="D372" s="388"/>
      <c r="E372" s="382"/>
      <c r="F372" s="382"/>
      <c r="G372" s="383"/>
      <c r="H372" s="225" t="s">
        <v>357</v>
      </c>
      <c r="I372" s="128"/>
      <c r="J372" s="128"/>
      <c r="K372" s="128">
        <v>21.2602916254693</v>
      </c>
      <c r="L372" s="128">
        <f t="shared" si="19"/>
        <v>6.7707935112959552</v>
      </c>
      <c r="M372" s="128"/>
      <c r="N372" s="128"/>
      <c r="O372" s="128">
        <f t="shared" si="20"/>
        <v>1.4792034329502613E-2</v>
      </c>
      <c r="P372" s="138">
        <f>O372*(1+'Key Data'!F$3)</f>
        <v>1.8490042911878266E-2</v>
      </c>
      <c r="Q372" s="390"/>
      <c r="R372" s="390"/>
      <c r="S372" s="389"/>
    </row>
    <row r="373" spans="1:19" s="44" customFormat="1" ht="15" customHeight="1" x14ac:dyDescent="0.3">
      <c r="A373" s="387"/>
      <c r="B373" s="388"/>
      <c r="C373" s="388"/>
      <c r="D373" s="388"/>
      <c r="E373" s="382"/>
      <c r="F373" s="382"/>
      <c r="G373" s="383"/>
      <c r="H373" s="225" t="s">
        <v>357</v>
      </c>
      <c r="I373" s="128"/>
      <c r="J373" s="128"/>
      <c r="K373" s="128">
        <v>14</v>
      </c>
      <c r="L373" s="128">
        <f t="shared" si="19"/>
        <v>4.4585987261146496</v>
      </c>
      <c r="M373" s="128"/>
      <c r="N373" s="128"/>
      <c r="O373" s="128">
        <f t="shared" si="20"/>
        <v>5.9994985614727925E-3</v>
      </c>
      <c r="P373" s="138">
        <f>O373*(1+'Key Data'!F$3)</f>
        <v>7.4993732018409903E-3</v>
      </c>
      <c r="Q373" s="390"/>
      <c r="R373" s="390"/>
      <c r="S373" s="389"/>
    </row>
    <row r="374" spans="1:19" s="44" customFormat="1" ht="15" customHeight="1" x14ac:dyDescent="0.3">
      <c r="A374" s="387"/>
      <c r="B374" s="388"/>
      <c r="C374" s="388"/>
      <c r="D374" s="388"/>
      <c r="E374" s="382"/>
      <c r="F374" s="382"/>
      <c r="G374" s="383"/>
      <c r="H374" s="225" t="s">
        <v>357</v>
      </c>
      <c r="I374" s="128"/>
      <c r="J374" s="128"/>
      <c r="K374" s="128">
        <v>16.2</v>
      </c>
      <c r="L374" s="128">
        <f t="shared" si="19"/>
        <v>5.1592356687898082</v>
      </c>
      <c r="M374" s="128"/>
      <c r="N374" s="128"/>
      <c r="O374" s="128">
        <f t="shared" si="20"/>
        <v>8.223010179462387E-3</v>
      </c>
      <c r="P374" s="138">
        <f>O374*(1+'Key Data'!F$3)</f>
        <v>1.0278762724327983E-2</v>
      </c>
      <c r="Q374" s="390"/>
      <c r="R374" s="390"/>
      <c r="S374" s="389"/>
    </row>
    <row r="375" spans="1:19" s="44" customFormat="1" ht="15" customHeight="1" x14ac:dyDescent="0.3">
      <c r="A375" s="387"/>
      <c r="B375" s="388"/>
      <c r="C375" s="388"/>
      <c r="D375" s="388"/>
      <c r="E375" s="382"/>
      <c r="F375" s="382"/>
      <c r="G375" s="383"/>
      <c r="H375" s="225" t="s">
        <v>357</v>
      </c>
      <c r="I375" s="128"/>
      <c r="J375" s="128"/>
      <c r="K375" s="128">
        <v>19.96246477767713</v>
      </c>
      <c r="L375" s="128">
        <f t="shared" si="19"/>
        <v>6.3574728591328435</v>
      </c>
      <c r="M375" s="128"/>
      <c r="N375" s="128"/>
      <c r="O375" s="128">
        <f t="shared" si="20"/>
        <v>1.29104383524063E-2</v>
      </c>
      <c r="P375" s="138">
        <f>O375*(1+'Key Data'!F$3)</f>
        <v>1.6138047940507876E-2</v>
      </c>
      <c r="Q375" s="390"/>
      <c r="R375" s="390"/>
      <c r="S375" s="389"/>
    </row>
    <row r="376" spans="1:19" s="44" customFormat="1" ht="15" customHeight="1" x14ac:dyDescent="0.3">
      <c r="A376" s="387"/>
      <c r="B376" s="388"/>
      <c r="C376" s="388"/>
      <c r="D376" s="388"/>
      <c r="E376" s="382"/>
      <c r="F376" s="382"/>
      <c r="G376" s="383"/>
      <c r="H376" s="225" t="s">
        <v>357</v>
      </c>
      <c r="I376" s="128"/>
      <c r="J376" s="128"/>
      <c r="K376" s="128">
        <v>19.474342094150447</v>
      </c>
      <c r="L376" s="128">
        <f t="shared" si="19"/>
        <v>6.2020197752071482</v>
      </c>
      <c r="M376" s="128"/>
      <c r="N376" s="128"/>
      <c r="O376" s="128">
        <f t="shared" si="20"/>
        <v>1.2238213718042196E-2</v>
      </c>
      <c r="P376" s="138">
        <f>O376*(1+'Key Data'!F$3)</f>
        <v>1.5297767147552745E-2</v>
      </c>
      <c r="Q376" s="390"/>
      <c r="R376" s="390"/>
      <c r="S376" s="389"/>
    </row>
    <row r="377" spans="1:19" s="44" customFormat="1" ht="15" customHeight="1" x14ac:dyDescent="0.3">
      <c r="A377" s="387"/>
      <c r="B377" s="388"/>
      <c r="C377" s="388"/>
      <c r="D377" s="388"/>
      <c r="E377" s="382"/>
      <c r="F377" s="382"/>
      <c r="G377" s="383"/>
      <c r="H377" s="225" t="s">
        <v>357</v>
      </c>
      <c r="I377" s="128"/>
      <c r="J377" s="128"/>
      <c r="K377" s="128">
        <v>17</v>
      </c>
      <c r="L377" s="128">
        <f t="shared" si="19"/>
        <v>5.4140127388535033</v>
      </c>
      <c r="M377" s="128"/>
      <c r="N377" s="128"/>
      <c r="O377" s="128">
        <f t="shared" si="20"/>
        <v>9.1253192379756737E-3</v>
      </c>
      <c r="P377" s="138">
        <f>O377*(1+'Key Data'!F$3)</f>
        <v>1.1406649047469592E-2</v>
      </c>
      <c r="Q377" s="390"/>
      <c r="R377" s="390"/>
      <c r="S377" s="389"/>
    </row>
    <row r="378" spans="1:19" s="44" customFormat="1" ht="15" customHeight="1" x14ac:dyDescent="0.3">
      <c r="A378" s="387"/>
      <c r="B378" s="388"/>
      <c r="C378" s="388"/>
      <c r="D378" s="388"/>
      <c r="E378" s="382"/>
      <c r="F378" s="382"/>
      <c r="G378" s="383"/>
      <c r="H378" s="225" t="s">
        <v>357</v>
      </c>
      <c r="I378" s="128"/>
      <c r="J378" s="128"/>
      <c r="K378" s="128">
        <v>22.2</v>
      </c>
      <c r="L378" s="128">
        <f t="shared" si="19"/>
        <v>7.0700636942675157</v>
      </c>
      <c r="M378" s="128"/>
      <c r="N378" s="128"/>
      <c r="O378" s="128">
        <f t="shared" si="20"/>
        <v>1.624055330496291E-2</v>
      </c>
      <c r="P378" s="138">
        <f>O378*(1+'Key Data'!F$3)</f>
        <v>2.0300691631203637E-2</v>
      </c>
      <c r="Q378" s="390"/>
      <c r="R378" s="390"/>
      <c r="S378" s="389"/>
    </row>
    <row r="379" spans="1:19" s="44" customFormat="1" ht="15" customHeight="1" x14ac:dyDescent="0.3">
      <c r="A379" s="387"/>
      <c r="B379" s="388"/>
      <c r="C379" s="388"/>
      <c r="D379" s="388"/>
      <c r="E379" s="382"/>
      <c r="F379" s="382"/>
      <c r="G379" s="383"/>
      <c r="H379" s="225" t="s">
        <v>357</v>
      </c>
      <c r="I379" s="128"/>
      <c r="J379" s="128"/>
      <c r="K379" s="128">
        <v>23</v>
      </c>
      <c r="L379" s="128">
        <f t="shared" si="19"/>
        <v>7.3248407643312099</v>
      </c>
      <c r="M379" s="128"/>
      <c r="N379" s="128"/>
      <c r="O379" s="128">
        <f t="shared" si="20"/>
        <v>1.7531154706744278E-2</v>
      </c>
      <c r="P379" s="138">
        <f>O379*(1+'Key Data'!F$3)</f>
        <v>2.1913943383430348E-2</v>
      </c>
      <c r="Q379" s="390"/>
      <c r="R379" s="390"/>
      <c r="S379" s="389"/>
    </row>
  </sheetData>
  <mergeCells count="47">
    <mergeCell ref="S2:S379"/>
    <mergeCell ref="Q351:Q379"/>
    <mergeCell ref="R351:R379"/>
    <mergeCell ref="G299:G350"/>
    <mergeCell ref="Q299:Q350"/>
    <mergeCell ref="R299:R350"/>
    <mergeCell ref="R151:R263"/>
    <mergeCell ref="Q264:Q298"/>
    <mergeCell ref="R264:R298"/>
    <mergeCell ref="Q151:Q263"/>
    <mergeCell ref="R2:R84"/>
    <mergeCell ref="Q85:Q150"/>
    <mergeCell ref="R85:R150"/>
    <mergeCell ref="Q2:Q84"/>
    <mergeCell ref="F351:F379"/>
    <mergeCell ref="G351:G379"/>
    <mergeCell ref="A299:A350"/>
    <mergeCell ref="B299:B350"/>
    <mergeCell ref="C299:C350"/>
    <mergeCell ref="D299:D350"/>
    <mergeCell ref="E299:E350"/>
    <mergeCell ref="F299:F350"/>
    <mergeCell ref="A351:A379"/>
    <mergeCell ref="B351:B379"/>
    <mergeCell ref="C351:C379"/>
    <mergeCell ref="D351:D379"/>
    <mergeCell ref="E351:E379"/>
    <mergeCell ref="A264:A298"/>
    <mergeCell ref="B264:B298"/>
    <mergeCell ref="C264:C298"/>
    <mergeCell ref="D264:D298"/>
    <mergeCell ref="G264:G298"/>
    <mergeCell ref="A151:A263"/>
    <mergeCell ref="B151:B263"/>
    <mergeCell ref="C151:C263"/>
    <mergeCell ref="D151:D263"/>
    <mergeCell ref="G151:G263"/>
    <mergeCell ref="A85:A150"/>
    <mergeCell ref="B85:B150"/>
    <mergeCell ref="C85:C150"/>
    <mergeCell ref="D85:D150"/>
    <mergeCell ref="G85:G150"/>
    <mergeCell ref="A2:A84"/>
    <mergeCell ref="B2:B84"/>
    <mergeCell ref="C2:C84"/>
    <mergeCell ref="D2:D84"/>
    <mergeCell ref="G2:G8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DA7-103C-4A2B-A13F-0CAED1D1591D}">
  <dimension ref="A1:T153"/>
  <sheetViews>
    <sheetView topLeftCell="B9" zoomScale="55" zoomScaleNormal="55" workbookViewId="0">
      <selection activeCell="Q116" sqref="Q116:Q153"/>
    </sheetView>
  </sheetViews>
  <sheetFormatPr defaultRowHeight="14.4" x14ac:dyDescent="0.3"/>
  <cols>
    <col min="8" max="8" width="12.5546875" customWidth="1"/>
  </cols>
  <sheetData>
    <row r="1" spans="1:20" s="68" customFormat="1" ht="95.4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71" t="s">
        <v>257</v>
      </c>
      <c r="J1" s="71" t="s">
        <v>258</v>
      </c>
      <c r="K1" s="71" t="s">
        <v>251</v>
      </c>
      <c r="L1" s="71" t="s">
        <v>252</v>
      </c>
      <c r="M1" s="71" t="s">
        <v>259</v>
      </c>
      <c r="N1" s="71" t="s">
        <v>368</v>
      </c>
      <c r="O1" s="75" t="s">
        <v>364</v>
      </c>
      <c r="P1" s="75" t="s">
        <v>363</v>
      </c>
      <c r="Q1" s="75" t="s">
        <v>362</v>
      </c>
      <c r="R1" s="75" t="s">
        <v>370</v>
      </c>
      <c r="S1" s="75" t="s">
        <v>361</v>
      </c>
    </row>
    <row r="2" spans="1:20" x14ac:dyDescent="0.3">
      <c r="A2" s="367">
        <v>1</v>
      </c>
      <c r="B2" s="367" t="s">
        <v>315</v>
      </c>
      <c r="C2" s="367" t="s">
        <v>316</v>
      </c>
      <c r="D2" s="367" t="s">
        <v>295</v>
      </c>
      <c r="E2" s="108">
        <v>14.961260599999999</v>
      </c>
      <c r="F2" s="108">
        <v>74.8892223</v>
      </c>
      <c r="G2" s="367">
        <v>2020</v>
      </c>
      <c r="H2" s="94" t="s">
        <v>308</v>
      </c>
      <c r="I2" s="110">
        <v>42</v>
      </c>
      <c r="J2" s="110">
        <f t="shared" ref="J2:J33" si="0">I2/3.14</f>
        <v>13.375796178343949</v>
      </c>
      <c r="K2" s="110"/>
      <c r="L2" s="110"/>
      <c r="M2" s="110">
        <v>3</v>
      </c>
      <c r="N2" s="126">
        <f t="shared" ref="N2:N33" si="1">3.14*J2/2*J2/2</f>
        <v>140.44585987261146</v>
      </c>
      <c r="O2" s="131">
        <f t="shared" ref="O2:O33" si="2">(10^(-0.535+LOG10(N2)))/1000</f>
        <v>4.0974054559697944E-2</v>
      </c>
      <c r="P2" s="131">
        <f>O2*(1+'Key Data'!F$3)</f>
        <v>5.1217568199622428E-2</v>
      </c>
      <c r="Q2" s="366">
        <f>SUM(P2:P33)</f>
        <v>1.6836985796274944</v>
      </c>
      <c r="R2" s="366">
        <f>Q2*10000/900</f>
        <v>18.707761995861048</v>
      </c>
      <c r="S2" s="396">
        <f>AVERAGE(R2:R153)</f>
        <v>12.644145853325591</v>
      </c>
      <c r="T2" s="86"/>
    </row>
    <row r="3" spans="1:20" x14ac:dyDescent="0.3">
      <c r="A3" s="367"/>
      <c r="B3" s="367"/>
      <c r="C3" s="367"/>
      <c r="D3" s="367"/>
      <c r="E3" s="108">
        <v>14.961270900000001</v>
      </c>
      <c r="F3" s="108">
        <v>74.888962100000001</v>
      </c>
      <c r="G3" s="367"/>
      <c r="H3" s="94" t="s">
        <v>308</v>
      </c>
      <c r="I3" s="110">
        <v>44.8</v>
      </c>
      <c r="J3" s="110">
        <f t="shared" si="0"/>
        <v>14.267515923566878</v>
      </c>
      <c r="K3" s="110"/>
      <c r="L3" s="110"/>
      <c r="M3" s="110">
        <v>3.5</v>
      </c>
      <c r="N3" s="126">
        <f t="shared" si="1"/>
        <v>159.79617834394901</v>
      </c>
      <c r="O3" s="131">
        <f>(10^(-0.535+LOG10(N3)))/1000</f>
        <v>4.6619368743478509E-2</v>
      </c>
      <c r="P3" s="131">
        <f>O3*(1+'Key Data'!F$3)</f>
        <v>5.8274210929348133E-2</v>
      </c>
      <c r="Q3" s="366"/>
      <c r="R3" s="366"/>
      <c r="S3" s="397"/>
    </row>
    <row r="4" spans="1:20" x14ac:dyDescent="0.3">
      <c r="A4" s="367"/>
      <c r="B4" s="367"/>
      <c r="C4" s="367"/>
      <c r="D4" s="367"/>
      <c r="E4" s="108">
        <v>14.961516100000001</v>
      </c>
      <c r="F4" s="108">
        <v>74.888962100000001</v>
      </c>
      <c r="G4" s="367"/>
      <c r="H4" s="94" t="s">
        <v>308</v>
      </c>
      <c r="I4" s="110">
        <v>42.5</v>
      </c>
      <c r="J4" s="110">
        <f t="shared" si="0"/>
        <v>13.535031847133757</v>
      </c>
      <c r="K4" s="110"/>
      <c r="L4" s="110"/>
      <c r="M4" s="110">
        <v>3.3</v>
      </c>
      <c r="N4" s="126">
        <f t="shared" si="1"/>
        <v>143.80971337579618</v>
      </c>
      <c r="O4" s="131">
        <f t="shared" si="2"/>
        <v>4.1955434267831278E-2</v>
      </c>
      <c r="P4" s="131">
        <f>O4*(1+'Key Data'!F$3)</f>
        <v>5.2444292834789095E-2</v>
      </c>
      <c r="Q4" s="366"/>
      <c r="R4" s="366"/>
      <c r="S4" s="397"/>
    </row>
    <row r="5" spans="1:20" x14ac:dyDescent="0.3">
      <c r="A5" s="367"/>
      <c r="B5" s="367"/>
      <c r="C5" s="367"/>
      <c r="D5" s="367"/>
      <c r="E5" s="108">
        <v>14.961506699999999</v>
      </c>
      <c r="F5" s="108">
        <v>74.889510000000001</v>
      </c>
      <c r="G5" s="367"/>
      <c r="H5" s="94" t="s">
        <v>308</v>
      </c>
      <c r="I5" s="110">
        <v>43</v>
      </c>
      <c r="J5" s="110">
        <f t="shared" si="0"/>
        <v>13.694267515923567</v>
      </c>
      <c r="K5" s="110"/>
      <c r="L5" s="110"/>
      <c r="M5" s="110">
        <v>3.3</v>
      </c>
      <c r="N5" s="126">
        <f t="shared" si="1"/>
        <v>147.21337579617835</v>
      </c>
      <c r="O5" s="131">
        <f t="shared" si="2"/>
        <v>4.2948427937007649E-2</v>
      </c>
      <c r="P5" s="131">
        <f>O5*(1+'Key Data'!F$3)</f>
        <v>5.3685534921259562E-2</v>
      </c>
      <c r="Q5" s="366"/>
      <c r="R5" s="366"/>
      <c r="S5" s="397"/>
    </row>
    <row r="6" spans="1:20" x14ac:dyDescent="0.3">
      <c r="A6" s="367"/>
      <c r="B6" s="367"/>
      <c r="C6" s="367"/>
      <c r="D6" s="367"/>
      <c r="E6" s="108">
        <v>14.961384900000001</v>
      </c>
      <c r="F6" s="108">
        <v>74.889030500000004</v>
      </c>
      <c r="G6" s="367"/>
      <c r="H6" s="94" t="s">
        <v>308</v>
      </c>
      <c r="I6" s="110">
        <v>37</v>
      </c>
      <c r="J6" s="110">
        <f t="shared" si="0"/>
        <v>11.783439490445859</v>
      </c>
      <c r="K6" s="110"/>
      <c r="L6" s="110"/>
      <c r="M6" s="110">
        <v>2.9</v>
      </c>
      <c r="N6" s="126">
        <f t="shared" si="1"/>
        <v>108.9968152866242</v>
      </c>
      <c r="O6" s="131">
        <f t="shared" si="2"/>
        <v>3.1799025335729286E-2</v>
      </c>
      <c r="P6" s="131">
        <f>O6*(1+'Key Data'!F$3)</f>
        <v>3.9748781669661608E-2</v>
      </c>
      <c r="Q6" s="366"/>
      <c r="R6" s="366"/>
      <c r="S6" s="397"/>
    </row>
    <row r="7" spans="1:20" x14ac:dyDescent="0.3">
      <c r="A7" s="367"/>
      <c r="B7" s="367"/>
      <c r="C7" s="367"/>
      <c r="D7" s="367"/>
      <c r="E7" s="108"/>
      <c r="F7" s="108"/>
      <c r="G7" s="367"/>
      <c r="H7" s="94" t="s">
        <v>308</v>
      </c>
      <c r="I7" s="110">
        <v>46</v>
      </c>
      <c r="J7" s="110">
        <f t="shared" si="0"/>
        <v>14.64968152866242</v>
      </c>
      <c r="K7" s="110"/>
      <c r="L7" s="110"/>
      <c r="M7" s="110">
        <v>3.1</v>
      </c>
      <c r="N7" s="126">
        <f t="shared" si="1"/>
        <v>168.47133757961782</v>
      </c>
      <c r="O7" s="131">
        <f t="shared" si="2"/>
        <v>4.9150283133968707E-2</v>
      </c>
      <c r="P7" s="131">
        <f>O7*(1+'Key Data'!F$3)</f>
        <v>6.1437853917460886E-2</v>
      </c>
      <c r="Q7" s="366"/>
      <c r="R7" s="366"/>
      <c r="S7" s="397"/>
    </row>
    <row r="8" spans="1:20" x14ac:dyDescent="0.3">
      <c r="A8" s="367"/>
      <c r="B8" s="367"/>
      <c r="C8" s="367"/>
      <c r="D8" s="367"/>
      <c r="E8" s="108"/>
      <c r="F8" s="108"/>
      <c r="G8" s="367"/>
      <c r="H8" s="94" t="s">
        <v>308</v>
      </c>
      <c r="I8" s="110">
        <v>37</v>
      </c>
      <c r="J8" s="110">
        <f t="shared" si="0"/>
        <v>11.783439490445859</v>
      </c>
      <c r="K8" s="110"/>
      <c r="L8" s="110"/>
      <c r="M8" s="110">
        <v>3</v>
      </c>
      <c r="N8" s="126">
        <f t="shared" si="1"/>
        <v>108.9968152866242</v>
      </c>
      <c r="O8" s="131">
        <f t="shared" si="2"/>
        <v>3.1799025335729286E-2</v>
      </c>
      <c r="P8" s="131">
        <f>O8*(1+'Key Data'!F$3)</f>
        <v>3.9748781669661608E-2</v>
      </c>
      <c r="Q8" s="366"/>
      <c r="R8" s="366"/>
      <c r="S8" s="397"/>
    </row>
    <row r="9" spans="1:20" x14ac:dyDescent="0.3">
      <c r="A9" s="367"/>
      <c r="B9" s="367"/>
      <c r="C9" s="367"/>
      <c r="D9" s="367"/>
      <c r="E9" s="108"/>
      <c r="F9" s="108"/>
      <c r="G9" s="367"/>
      <c r="H9" s="94" t="s">
        <v>308</v>
      </c>
      <c r="I9" s="110">
        <v>32.799999999999997</v>
      </c>
      <c r="J9" s="110">
        <f t="shared" si="0"/>
        <v>10.445859872611464</v>
      </c>
      <c r="K9" s="110"/>
      <c r="L9" s="110"/>
      <c r="M9" s="110">
        <v>2.9</v>
      </c>
      <c r="N9" s="126">
        <f t="shared" si="1"/>
        <v>85.656050955414003</v>
      </c>
      <c r="O9" s="131">
        <f t="shared" si="2"/>
        <v>2.4989527696998547E-2</v>
      </c>
      <c r="P9" s="131">
        <f>O9*(1+'Key Data'!F$3)</f>
        <v>3.1236909621248185E-2</v>
      </c>
      <c r="Q9" s="366"/>
      <c r="R9" s="366"/>
      <c r="S9" s="397"/>
    </row>
    <row r="10" spans="1:20" x14ac:dyDescent="0.3">
      <c r="A10" s="367"/>
      <c r="B10" s="367"/>
      <c r="C10" s="367"/>
      <c r="D10" s="367"/>
      <c r="E10" s="108"/>
      <c r="F10" s="108"/>
      <c r="G10" s="367"/>
      <c r="H10" s="94" t="s">
        <v>308</v>
      </c>
      <c r="I10" s="110">
        <v>29.8</v>
      </c>
      <c r="J10" s="110">
        <f t="shared" si="0"/>
        <v>9.4904458598726116</v>
      </c>
      <c r="K10" s="110"/>
      <c r="L10" s="110"/>
      <c r="M10" s="110">
        <v>3</v>
      </c>
      <c r="N10" s="126">
        <f t="shared" si="1"/>
        <v>70.703821656050962</v>
      </c>
      <c r="O10" s="131">
        <f t="shared" si="2"/>
        <v>2.0627323929248379E-2</v>
      </c>
      <c r="P10" s="131">
        <f>O10*(1+'Key Data'!F$3)</f>
        <v>2.5784154911560473E-2</v>
      </c>
      <c r="Q10" s="366"/>
      <c r="R10" s="366"/>
      <c r="S10" s="397"/>
    </row>
    <row r="11" spans="1:20" x14ac:dyDescent="0.3">
      <c r="A11" s="367"/>
      <c r="B11" s="367"/>
      <c r="C11" s="367"/>
      <c r="D11" s="367"/>
      <c r="E11" s="108"/>
      <c r="F11" s="108"/>
      <c r="G11" s="367"/>
      <c r="H11" s="94" t="s">
        <v>308</v>
      </c>
      <c r="I11" s="110">
        <v>43.4</v>
      </c>
      <c r="J11" s="110">
        <f t="shared" si="0"/>
        <v>13.821656050955413</v>
      </c>
      <c r="K11" s="110"/>
      <c r="L11" s="110"/>
      <c r="M11" s="110">
        <v>3</v>
      </c>
      <c r="N11" s="126">
        <f t="shared" si="1"/>
        <v>149.96496815286622</v>
      </c>
      <c r="O11" s="131">
        <f t="shared" si="2"/>
        <v>4.3751184924299642E-2</v>
      </c>
      <c r="P11" s="131">
        <f>O11*(1+'Key Data'!F$3)</f>
        <v>5.4688981155374551E-2</v>
      </c>
      <c r="Q11" s="366"/>
      <c r="R11" s="366"/>
      <c r="S11" s="397"/>
    </row>
    <row r="12" spans="1:20" x14ac:dyDescent="0.3">
      <c r="A12" s="367"/>
      <c r="B12" s="367"/>
      <c r="C12" s="367"/>
      <c r="D12" s="367"/>
      <c r="E12" s="108"/>
      <c r="F12" s="108"/>
      <c r="G12" s="367"/>
      <c r="H12" s="94" t="s">
        <v>308</v>
      </c>
      <c r="I12" s="110">
        <v>42</v>
      </c>
      <c r="J12" s="110">
        <f t="shared" si="0"/>
        <v>13.375796178343949</v>
      </c>
      <c r="K12" s="110"/>
      <c r="L12" s="110"/>
      <c r="M12" s="110">
        <v>2.8</v>
      </c>
      <c r="N12" s="126">
        <f t="shared" si="1"/>
        <v>140.44585987261146</v>
      </c>
      <c r="O12" s="131">
        <f t="shared" si="2"/>
        <v>4.0974054559697944E-2</v>
      </c>
      <c r="P12" s="131">
        <f>O12*(1+'Key Data'!F$3)</f>
        <v>5.1217568199622428E-2</v>
      </c>
      <c r="Q12" s="366"/>
      <c r="R12" s="366"/>
      <c r="S12" s="397"/>
    </row>
    <row r="13" spans="1:20" x14ac:dyDescent="0.3">
      <c r="A13" s="367"/>
      <c r="B13" s="367"/>
      <c r="C13" s="367"/>
      <c r="D13" s="367"/>
      <c r="E13" s="108"/>
      <c r="F13" s="108"/>
      <c r="G13" s="367"/>
      <c r="H13" s="94" t="s">
        <v>308</v>
      </c>
      <c r="I13" s="110">
        <v>44.8</v>
      </c>
      <c r="J13" s="110">
        <f t="shared" si="0"/>
        <v>14.267515923566878</v>
      </c>
      <c r="K13" s="110"/>
      <c r="L13" s="110"/>
      <c r="M13" s="110">
        <v>3.2</v>
      </c>
      <c r="N13" s="126">
        <f t="shared" si="1"/>
        <v>159.79617834394901</v>
      </c>
      <c r="O13" s="131">
        <f t="shared" si="2"/>
        <v>4.6619368743478509E-2</v>
      </c>
      <c r="P13" s="131">
        <f>O13*(1+'Key Data'!F$3)</f>
        <v>5.8274210929348133E-2</v>
      </c>
      <c r="Q13" s="366"/>
      <c r="R13" s="366"/>
      <c r="S13" s="397"/>
    </row>
    <row r="14" spans="1:20" x14ac:dyDescent="0.3">
      <c r="A14" s="367"/>
      <c r="B14" s="367"/>
      <c r="C14" s="367"/>
      <c r="D14" s="367"/>
      <c r="E14" s="108"/>
      <c r="F14" s="108"/>
      <c r="G14" s="367"/>
      <c r="H14" s="94" t="s">
        <v>308</v>
      </c>
      <c r="I14" s="110">
        <v>46</v>
      </c>
      <c r="J14" s="110">
        <f t="shared" si="0"/>
        <v>14.64968152866242</v>
      </c>
      <c r="K14" s="110"/>
      <c r="L14" s="110"/>
      <c r="M14" s="110">
        <v>3.3</v>
      </c>
      <c r="N14" s="126">
        <f t="shared" si="1"/>
        <v>168.47133757961782</v>
      </c>
      <c r="O14" s="131">
        <f t="shared" si="2"/>
        <v>4.9150283133968707E-2</v>
      </c>
      <c r="P14" s="131">
        <f>O14*(1+'Key Data'!F$3)</f>
        <v>6.1437853917460886E-2</v>
      </c>
      <c r="Q14" s="366"/>
      <c r="R14" s="366"/>
      <c r="S14" s="397"/>
    </row>
    <row r="15" spans="1:20" x14ac:dyDescent="0.3">
      <c r="A15" s="367"/>
      <c r="B15" s="367"/>
      <c r="C15" s="367"/>
      <c r="D15" s="367"/>
      <c r="E15" s="108"/>
      <c r="F15" s="108"/>
      <c r="G15" s="367"/>
      <c r="H15" s="94" t="s">
        <v>308</v>
      </c>
      <c r="I15" s="110">
        <v>29</v>
      </c>
      <c r="J15" s="110">
        <f t="shared" si="0"/>
        <v>9.2356687898089174</v>
      </c>
      <c r="K15" s="110"/>
      <c r="L15" s="110"/>
      <c r="M15" s="110">
        <v>1.2</v>
      </c>
      <c r="N15" s="126">
        <f t="shared" si="1"/>
        <v>66.958598726114644</v>
      </c>
      <c r="O15" s="131">
        <f t="shared" si="2"/>
        <v>1.9534682474323103E-2</v>
      </c>
      <c r="P15" s="131">
        <f>O15*(1+'Key Data'!F$3)</f>
        <v>2.4418353092903879E-2</v>
      </c>
      <c r="Q15" s="366"/>
      <c r="R15" s="366"/>
      <c r="S15" s="397"/>
    </row>
    <row r="16" spans="1:20" x14ac:dyDescent="0.3">
      <c r="A16" s="367"/>
      <c r="B16" s="367"/>
      <c r="C16" s="367"/>
      <c r="D16" s="367"/>
      <c r="E16" s="108"/>
      <c r="F16" s="108"/>
      <c r="G16" s="367"/>
      <c r="H16" s="94" t="s">
        <v>308</v>
      </c>
      <c r="I16" s="110">
        <f>SQRT(30.5^2+25.5^2+24.5^2)</f>
        <v>46.698501046607483</v>
      </c>
      <c r="J16" s="110">
        <f t="shared" si="0"/>
        <v>14.872134091276267</v>
      </c>
      <c r="K16" s="110"/>
      <c r="L16" s="110"/>
      <c r="M16" s="110">
        <v>3</v>
      </c>
      <c r="N16" s="126">
        <f t="shared" si="1"/>
        <v>173.62659235668789</v>
      </c>
      <c r="O16" s="131">
        <f t="shared" si="2"/>
        <v>5.0654291089036976E-2</v>
      </c>
      <c r="P16" s="131">
        <f>O16*(1+'Key Data'!F$3)</f>
        <v>6.3317863861296217E-2</v>
      </c>
      <c r="Q16" s="366"/>
      <c r="R16" s="366"/>
      <c r="S16" s="397"/>
    </row>
    <row r="17" spans="1:19" x14ac:dyDescent="0.3">
      <c r="A17" s="367"/>
      <c r="B17" s="367"/>
      <c r="C17" s="367"/>
      <c r="D17" s="367"/>
      <c r="E17" s="108"/>
      <c r="F17" s="108"/>
      <c r="G17" s="367"/>
      <c r="H17" s="94" t="s">
        <v>308</v>
      </c>
      <c r="I17" s="110">
        <f>SQRT(36.5^2+39^2)</f>
        <v>53.415821626181135</v>
      </c>
      <c r="J17" s="110">
        <f t="shared" si="0"/>
        <v>17.011408161204184</v>
      </c>
      <c r="K17" s="110"/>
      <c r="L17" s="110"/>
      <c r="M17" s="110">
        <v>3</v>
      </c>
      <c r="N17" s="126">
        <f t="shared" si="1"/>
        <v>227.1695859872612</v>
      </c>
      <c r="O17" s="131">
        <f t="shared" si="2"/>
        <v>6.6275068691869707E-2</v>
      </c>
      <c r="P17" s="131">
        <f>O17*(1+'Key Data'!F$3)</f>
        <v>8.2843835864837137E-2</v>
      </c>
      <c r="Q17" s="366"/>
      <c r="R17" s="366"/>
      <c r="S17" s="397"/>
    </row>
    <row r="18" spans="1:19" x14ac:dyDescent="0.3">
      <c r="A18" s="367"/>
      <c r="B18" s="367"/>
      <c r="C18" s="367"/>
      <c r="D18" s="367"/>
      <c r="E18" s="108"/>
      <c r="F18" s="108"/>
      <c r="G18" s="367"/>
      <c r="H18" s="94" t="s">
        <v>308</v>
      </c>
      <c r="I18" s="110">
        <v>49</v>
      </c>
      <c r="J18" s="110">
        <f t="shared" si="0"/>
        <v>15.605095541401273</v>
      </c>
      <c r="K18" s="110"/>
      <c r="L18" s="110"/>
      <c r="M18" s="110">
        <v>3</v>
      </c>
      <c r="N18" s="126">
        <f t="shared" si="1"/>
        <v>191.16242038216558</v>
      </c>
      <c r="O18" s="131">
        <f t="shared" si="2"/>
        <v>5.5770240928477717E-2</v>
      </c>
      <c r="P18" s="131">
        <f>O18*(1+'Key Data'!F$3)</f>
        <v>6.9712801160597151E-2</v>
      </c>
      <c r="Q18" s="366"/>
      <c r="R18" s="366"/>
      <c r="S18" s="397"/>
    </row>
    <row r="19" spans="1:19" x14ac:dyDescent="0.3">
      <c r="A19" s="367"/>
      <c r="B19" s="367"/>
      <c r="C19" s="367"/>
      <c r="D19" s="367"/>
      <c r="E19" s="108"/>
      <c r="F19" s="108"/>
      <c r="G19" s="367"/>
      <c r="H19" s="94" t="s">
        <v>308</v>
      </c>
      <c r="I19" s="110">
        <v>34.5</v>
      </c>
      <c r="J19" s="110">
        <f t="shared" si="0"/>
        <v>10.987261146496815</v>
      </c>
      <c r="K19" s="110"/>
      <c r="L19" s="110"/>
      <c r="M19" s="110">
        <v>2.6</v>
      </c>
      <c r="N19" s="126">
        <f t="shared" si="1"/>
        <v>94.765127388535035</v>
      </c>
      <c r="O19" s="131">
        <f t="shared" si="2"/>
        <v>2.7647034262857403E-2</v>
      </c>
      <c r="P19" s="131">
        <f>O19*(1+'Key Data'!F$3)</f>
        <v>3.4558792828571758E-2</v>
      </c>
      <c r="Q19" s="366"/>
      <c r="R19" s="366"/>
      <c r="S19" s="397"/>
    </row>
    <row r="20" spans="1:19" x14ac:dyDescent="0.3">
      <c r="A20" s="367"/>
      <c r="B20" s="367"/>
      <c r="C20" s="367"/>
      <c r="D20" s="367"/>
      <c r="E20" s="108"/>
      <c r="F20" s="108"/>
      <c r="G20" s="367"/>
      <c r="H20" s="94" t="s">
        <v>308</v>
      </c>
      <c r="I20" s="110">
        <v>48</v>
      </c>
      <c r="J20" s="110">
        <f t="shared" si="0"/>
        <v>15.286624203821656</v>
      </c>
      <c r="K20" s="110"/>
      <c r="L20" s="110"/>
      <c r="M20" s="110">
        <v>3</v>
      </c>
      <c r="N20" s="126">
        <f t="shared" si="1"/>
        <v>183.43949044585986</v>
      </c>
      <c r="O20" s="131">
        <f t="shared" si="2"/>
        <v>5.351713248613605E-2</v>
      </c>
      <c r="P20" s="131">
        <f>O20*(1+'Key Data'!F$3)</f>
        <v>6.6896415607670068E-2</v>
      </c>
      <c r="Q20" s="366"/>
      <c r="R20" s="366"/>
      <c r="S20" s="397"/>
    </row>
    <row r="21" spans="1:19" x14ac:dyDescent="0.3">
      <c r="A21" s="367"/>
      <c r="B21" s="367"/>
      <c r="C21" s="367"/>
      <c r="D21" s="367"/>
      <c r="E21" s="108"/>
      <c r="F21" s="108"/>
      <c r="G21" s="367"/>
      <c r="H21" s="94" t="s">
        <v>308</v>
      </c>
      <c r="I21" s="110">
        <v>42.8</v>
      </c>
      <c r="J21" s="110">
        <f t="shared" si="0"/>
        <v>13.630573248407641</v>
      </c>
      <c r="K21" s="110"/>
      <c r="L21" s="110"/>
      <c r="M21" s="110">
        <v>3.1</v>
      </c>
      <c r="N21" s="126">
        <f t="shared" si="1"/>
        <v>145.84713375796176</v>
      </c>
      <c r="O21" s="131">
        <f t="shared" si="2"/>
        <v>4.2549836794011919E-2</v>
      </c>
      <c r="P21" s="131">
        <f>O21*(1+'Key Data'!F$3)</f>
        <v>5.3187295992514899E-2</v>
      </c>
      <c r="Q21" s="366"/>
      <c r="R21" s="366"/>
      <c r="S21" s="397"/>
    </row>
    <row r="22" spans="1:19" x14ac:dyDescent="0.3">
      <c r="A22" s="367"/>
      <c r="B22" s="367"/>
      <c r="C22" s="367"/>
      <c r="D22" s="367"/>
      <c r="E22" s="108"/>
      <c r="F22" s="108"/>
      <c r="G22" s="367"/>
      <c r="H22" s="94" t="s">
        <v>308</v>
      </c>
      <c r="I22" s="110">
        <v>35.200000000000003</v>
      </c>
      <c r="J22" s="110">
        <f t="shared" si="0"/>
        <v>11.210191082802549</v>
      </c>
      <c r="K22" s="110"/>
      <c r="L22" s="110"/>
      <c r="M22" s="110">
        <v>2.8</v>
      </c>
      <c r="N22" s="126">
        <f t="shared" si="1"/>
        <v>98.649681528662441</v>
      </c>
      <c r="O22" s="131">
        <f t="shared" si="2"/>
        <v>2.8780324581433186E-2</v>
      </c>
      <c r="P22" s="131">
        <f>O22*(1+'Key Data'!F$3)</f>
        <v>3.5975405726791483E-2</v>
      </c>
      <c r="Q22" s="366"/>
      <c r="R22" s="366"/>
      <c r="S22" s="397"/>
    </row>
    <row r="23" spans="1:19" x14ac:dyDescent="0.3">
      <c r="A23" s="367"/>
      <c r="B23" s="367"/>
      <c r="C23" s="367"/>
      <c r="D23" s="367"/>
      <c r="E23" s="108"/>
      <c r="F23" s="108"/>
      <c r="G23" s="367"/>
      <c r="H23" s="94" t="s">
        <v>308</v>
      </c>
      <c r="I23" s="110">
        <v>44.2</v>
      </c>
      <c r="J23" s="110">
        <f t="shared" si="0"/>
        <v>14.076433121019109</v>
      </c>
      <c r="K23" s="110"/>
      <c r="L23" s="110"/>
      <c r="M23" s="110">
        <v>3.5</v>
      </c>
      <c r="N23" s="126">
        <f t="shared" si="1"/>
        <v>155.54458598726117</v>
      </c>
      <c r="O23" s="131">
        <f t="shared" si="2"/>
        <v>4.5378997704086294E-2</v>
      </c>
      <c r="P23" s="131">
        <f>O23*(1+'Key Data'!F$3)</f>
        <v>5.6723747130107867E-2</v>
      </c>
      <c r="Q23" s="366"/>
      <c r="R23" s="366"/>
      <c r="S23" s="397"/>
    </row>
    <row r="24" spans="1:19" x14ac:dyDescent="0.3">
      <c r="A24" s="367"/>
      <c r="B24" s="367"/>
      <c r="C24" s="367"/>
      <c r="D24" s="367"/>
      <c r="E24" s="108"/>
      <c r="F24" s="108"/>
      <c r="G24" s="367"/>
      <c r="H24" s="94" t="s">
        <v>308</v>
      </c>
      <c r="I24" s="110">
        <v>45.6</v>
      </c>
      <c r="J24" s="110">
        <f t="shared" si="0"/>
        <v>14.522292993630574</v>
      </c>
      <c r="K24" s="110"/>
      <c r="L24" s="110"/>
      <c r="M24" s="110">
        <v>3.5</v>
      </c>
      <c r="N24" s="126">
        <f t="shared" si="1"/>
        <v>165.55414012738854</v>
      </c>
      <c r="O24" s="131">
        <f t="shared" si="2"/>
        <v>4.8299212068737801E-2</v>
      </c>
      <c r="P24" s="131">
        <f>O24*(1+'Key Data'!F$3)</f>
        <v>6.0374015085922252E-2</v>
      </c>
      <c r="Q24" s="366"/>
      <c r="R24" s="366"/>
      <c r="S24" s="397"/>
    </row>
    <row r="25" spans="1:19" x14ac:dyDescent="0.3">
      <c r="A25" s="367"/>
      <c r="B25" s="367"/>
      <c r="C25" s="367"/>
      <c r="D25" s="367"/>
      <c r="E25" s="108"/>
      <c r="F25" s="108"/>
      <c r="G25" s="367"/>
      <c r="H25" s="94" t="s">
        <v>308</v>
      </c>
      <c r="I25" s="110">
        <v>47.4</v>
      </c>
      <c r="J25" s="110">
        <f t="shared" si="0"/>
        <v>15.095541401273884</v>
      </c>
      <c r="K25" s="110"/>
      <c r="L25" s="110"/>
      <c r="M25" s="110">
        <v>3.2</v>
      </c>
      <c r="N25" s="126">
        <f t="shared" si="1"/>
        <v>178.88216560509551</v>
      </c>
      <c r="O25" s="131">
        <f t="shared" si="2"/>
        <v>5.2187566225933603E-2</v>
      </c>
      <c r="P25" s="131">
        <f>O25*(1+'Key Data'!F$3)</f>
        <v>6.5234457782417002E-2</v>
      </c>
      <c r="Q25" s="366"/>
      <c r="R25" s="366"/>
      <c r="S25" s="397"/>
    </row>
    <row r="26" spans="1:19" x14ac:dyDescent="0.3">
      <c r="A26" s="367"/>
      <c r="B26" s="367"/>
      <c r="C26" s="367"/>
      <c r="D26" s="367"/>
      <c r="E26" s="108"/>
      <c r="F26" s="108"/>
      <c r="G26" s="367"/>
      <c r="H26" s="94" t="s">
        <v>308</v>
      </c>
      <c r="I26" s="110">
        <v>34.799999999999997</v>
      </c>
      <c r="J26" s="110">
        <f t="shared" si="0"/>
        <v>11.082802547770699</v>
      </c>
      <c r="K26" s="110"/>
      <c r="L26" s="110"/>
      <c r="M26" s="110">
        <v>2.8</v>
      </c>
      <c r="N26" s="126">
        <f t="shared" si="1"/>
        <v>96.420382165605076</v>
      </c>
      <c r="O26" s="131">
        <f t="shared" si="2"/>
        <v>2.8129942763025269E-2</v>
      </c>
      <c r="P26" s="131">
        <f>O26*(1+'Key Data'!F$3)</f>
        <v>3.5162428453781584E-2</v>
      </c>
      <c r="Q26" s="366"/>
      <c r="R26" s="366"/>
      <c r="S26" s="397"/>
    </row>
    <row r="27" spans="1:19" x14ac:dyDescent="0.3">
      <c r="A27" s="367"/>
      <c r="B27" s="367"/>
      <c r="C27" s="367"/>
      <c r="D27" s="367"/>
      <c r="E27" s="108"/>
      <c r="F27" s="108"/>
      <c r="G27" s="367"/>
      <c r="H27" s="94" t="s">
        <v>308</v>
      </c>
      <c r="I27" s="110">
        <v>44.8</v>
      </c>
      <c r="J27" s="110">
        <f t="shared" si="0"/>
        <v>14.267515923566878</v>
      </c>
      <c r="K27" s="110"/>
      <c r="L27" s="110"/>
      <c r="M27" s="110">
        <v>3.3</v>
      </c>
      <c r="N27" s="126">
        <f t="shared" si="1"/>
        <v>159.79617834394901</v>
      </c>
      <c r="O27" s="131">
        <f t="shared" si="2"/>
        <v>4.6619368743478509E-2</v>
      </c>
      <c r="P27" s="131">
        <f>O27*(1+'Key Data'!F$3)</f>
        <v>5.8274210929348133E-2</v>
      </c>
      <c r="Q27" s="366"/>
      <c r="R27" s="366"/>
      <c r="S27" s="397"/>
    </row>
    <row r="28" spans="1:19" x14ac:dyDescent="0.3">
      <c r="A28" s="367"/>
      <c r="B28" s="367"/>
      <c r="C28" s="367"/>
      <c r="D28" s="367"/>
      <c r="E28" s="108"/>
      <c r="F28" s="108"/>
      <c r="G28" s="367"/>
      <c r="H28" s="94" t="s">
        <v>308</v>
      </c>
      <c r="I28" s="110">
        <v>44</v>
      </c>
      <c r="J28" s="110">
        <f t="shared" si="0"/>
        <v>14.012738853503183</v>
      </c>
      <c r="K28" s="110"/>
      <c r="L28" s="110"/>
      <c r="M28" s="110">
        <v>3.3</v>
      </c>
      <c r="N28" s="126">
        <f t="shared" si="1"/>
        <v>154.14012738853501</v>
      </c>
      <c r="O28" s="131">
        <f t="shared" si="2"/>
        <v>4.4969257158489324E-2</v>
      </c>
      <c r="P28" s="131">
        <f>O28*(1+'Key Data'!F$3)</f>
        <v>5.6211571448111654E-2</v>
      </c>
      <c r="Q28" s="366"/>
      <c r="R28" s="366"/>
      <c r="S28" s="397"/>
    </row>
    <row r="29" spans="1:19" x14ac:dyDescent="0.3">
      <c r="A29" s="367"/>
      <c r="B29" s="367"/>
      <c r="C29" s="367"/>
      <c r="D29" s="367"/>
      <c r="E29" s="108"/>
      <c r="F29" s="108"/>
      <c r="G29" s="367"/>
      <c r="H29" s="94" t="s">
        <v>308</v>
      </c>
      <c r="I29" s="110">
        <f>SQRT(39^2+35^2)</f>
        <v>52.40229002629561</v>
      </c>
      <c r="J29" s="110">
        <f t="shared" si="0"/>
        <v>16.688627396909428</v>
      </c>
      <c r="K29" s="110"/>
      <c r="L29" s="110"/>
      <c r="M29" s="110">
        <v>2.9</v>
      </c>
      <c r="N29" s="126">
        <f t="shared" si="1"/>
        <v>218.63057324840764</v>
      </c>
      <c r="O29" s="131">
        <f t="shared" si="2"/>
        <v>6.3783874048146547E-2</v>
      </c>
      <c r="P29" s="131">
        <f>O29*(1+'Key Data'!F$3)</f>
        <v>7.9729842560183187E-2</v>
      </c>
      <c r="Q29" s="366"/>
      <c r="R29" s="366"/>
      <c r="S29" s="397"/>
    </row>
    <row r="30" spans="1:19" x14ac:dyDescent="0.3">
      <c r="A30" s="367"/>
      <c r="B30" s="367"/>
      <c r="C30" s="367"/>
      <c r="D30" s="367"/>
      <c r="E30" s="108"/>
      <c r="F30" s="108"/>
      <c r="G30" s="367"/>
      <c r="H30" s="94" t="s">
        <v>308</v>
      </c>
      <c r="I30" s="110">
        <f>SQRT(30^2+32^2)</f>
        <v>43.863424398922618</v>
      </c>
      <c r="J30" s="110">
        <f t="shared" si="0"/>
        <v>13.969243439147331</v>
      </c>
      <c r="K30" s="110"/>
      <c r="L30" s="110"/>
      <c r="M30" s="110">
        <v>3.2</v>
      </c>
      <c r="N30" s="126">
        <f t="shared" si="1"/>
        <v>153.18471337579618</v>
      </c>
      <c r="O30" s="131">
        <f t="shared" si="2"/>
        <v>4.4690522093457349E-2</v>
      </c>
      <c r="P30" s="131">
        <f>O30*(1+'Key Data'!F$3)</f>
        <v>5.586315261682169E-2</v>
      </c>
      <c r="Q30" s="366"/>
      <c r="R30" s="366"/>
      <c r="S30" s="397"/>
    </row>
    <row r="31" spans="1:19" x14ac:dyDescent="0.3">
      <c r="A31" s="367"/>
      <c r="B31" s="367"/>
      <c r="C31" s="367"/>
      <c r="D31" s="367"/>
      <c r="E31" s="108"/>
      <c r="F31" s="108"/>
      <c r="G31" s="367"/>
      <c r="H31" s="94" t="s">
        <v>308</v>
      </c>
      <c r="I31" s="110">
        <v>39.799999999999997</v>
      </c>
      <c r="J31" s="110">
        <f t="shared" si="0"/>
        <v>12.675159235668788</v>
      </c>
      <c r="K31" s="110"/>
      <c r="L31" s="110"/>
      <c r="M31" s="110">
        <v>3</v>
      </c>
      <c r="N31" s="126">
        <f t="shared" si="1"/>
        <v>126.11783439490443</v>
      </c>
      <c r="O31" s="131">
        <f t="shared" si="2"/>
        <v>3.6793957701101991E-2</v>
      </c>
      <c r="P31" s="131">
        <f>O31*(1+'Key Data'!F$3)</f>
        <v>4.5992447126377491E-2</v>
      </c>
      <c r="Q31" s="366"/>
      <c r="R31" s="366"/>
      <c r="S31" s="397"/>
    </row>
    <row r="32" spans="1:19" x14ac:dyDescent="0.3">
      <c r="A32" s="367"/>
      <c r="B32" s="367"/>
      <c r="C32" s="367"/>
      <c r="D32" s="367"/>
      <c r="E32" s="108"/>
      <c r="F32" s="108"/>
      <c r="G32" s="367"/>
      <c r="H32" s="94" t="s">
        <v>308</v>
      </c>
      <c r="I32" s="110">
        <v>41</v>
      </c>
      <c r="J32" s="110">
        <f t="shared" si="0"/>
        <v>13.057324840764331</v>
      </c>
      <c r="K32" s="110"/>
      <c r="L32" s="110"/>
      <c r="M32" s="110">
        <v>2.9</v>
      </c>
      <c r="N32" s="126">
        <f t="shared" si="1"/>
        <v>133.83757961783439</v>
      </c>
      <c r="O32" s="131">
        <f t="shared" si="2"/>
        <v>3.9046137026560186E-2</v>
      </c>
      <c r="P32" s="131">
        <f>O32*(1+'Key Data'!F$3)</f>
        <v>4.8807671283200231E-2</v>
      </c>
      <c r="Q32" s="366"/>
      <c r="R32" s="366"/>
      <c r="S32" s="397"/>
    </row>
    <row r="33" spans="1:19" x14ac:dyDescent="0.3">
      <c r="A33" s="367"/>
      <c r="B33" s="367"/>
      <c r="C33" s="367"/>
      <c r="D33" s="367"/>
      <c r="E33" s="108"/>
      <c r="F33" s="108"/>
      <c r="G33" s="367"/>
      <c r="H33" s="94" t="s">
        <v>308</v>
      </c>
      <c r="I33" s="110">
        <v>42</v>
      </c>
      <c r="J33" s="110">
        <f t="shared" si="0"/>
        <v>13.375796178343949</v>
      </c>
      <c r="K33" s="110"/>
      <c r="L33" s="110"/>
      <c r="M33" s="110">
        <v>2.8</v>
      </c>
      <c r="N33" s="126">
        <f t="shared" si="1"/>
        <v>140.44585987261146</v>
      </c>
      <c r="O33" s="131">
        <f t="shared" si="2"/>
        <v>4.0974054559697944E-2</v>
      </c>
      <c r="P33" s="131">
        <f>O33*(1+'Key Data'!F$3)</f>
        <v>5.1217568199622428E-2</v>
      </c>
      <c r="Q33" s="366"/>
      <c r="R33" s="366"/>
      <c r="S33" s="397"/>
    </row>
    <row r="34" spans="1:19" x14ac:dyDescent="0.3">
      <c r="A34" s="395">
        <v>2</v>
      </c>
      <c r="B34" s="395" t="s">
        <v>317</v>
      </c>
      <c r="C34" s="395" t="s">
        <v>318</v>
      </c>
      <c r="D34" s="395" t="s">
        <v>292</v>
      </c>
      <c r="E34" s="136">
        <v>14.530670000000001</v>
      </c>
      <c r="F34" s="136">
        <v>75.237260000000006</v>
      </c>
      <c r="G34" s="395">
        <v>2020</v>
      </c>
      <c r="H34" s="137" t="s">
        <v>351</v>
      </c>
      <c r="I34" s="77">
        <v>42</v>
      </c>
      <c r="J34" s="77">
        <f t="shared" ref="J34:J65" si="3">I34/3.14</f>
        <v>13.375796178343949</v>
      </c>
      <c r="K34" s="77"/>
      <c r="L34" s="77"/>
      <c r="M34" s="77">
        <v>2.2999999999999998</v>
      </c>
      <c r="N34" s="128">
        <f t="shared" ref="N34:N65" si="4">3.14*J34/2*J34/2</f>
        <v>140.44585987261146</v>
      </c>
      <c r="O34" s="138">
        <f t="shared" ref="O34:O65" si="5">(10^(-0.535+LOG10(N34)))/1000</f>
        <v>4.0974054559697944E-2</v>
      </c>
      <c r="P34" s="138">
        <f>O34*(1+'Key Data'!F$3)</f>
        <v>5.1217568199622428E-2</v>
      </c>
      <c r="Q34" s="394">
        <f>SUM(P34:P58)</f>
        <v>1.3370325854079603</v>
      </c>
      <c r="R34" s="394">
        <f>Q34*10000/900</f>
        <v>14.855917615644003</v>
      </c>
      <c r="S34" s="397"/>
    </row>
    <row r="35" spans="1:19" x14ac:dyDescent="0.3">
      <c r="A35" s="395"/>
      <c r="B35" s="395"/>
      <c r="C35" s="395"/>
      <c r="D35" s="395"/>
      <c r="E35" s="136">
        <v>14.530768</v>
      </c>
      <c r="F35" s="136">
        <v>75.237039999999993</v>
      </c>
      <c r="G35" s="395"/>
      <c r="H35" s="137" t="s">
        <v>351</v>
      </c>
      <c r="I35" s="77">
        <v>40.9</v>
      </c>
      <c r="J35" s="77">
        <f t="shared" si="3"/>
        <v>13.025477707006369</v>
      </c>
      <c r="K35" s="77"/>
      <c r="L35" s="77"/>
      <c r="M35" s="77">
        <v>1.9</v>
      </c>
      <c r="N35" s="128">
        <f t="shared" si="4"/>
        <v>133.18550955414011</v>
      </c>
      <c r="O35" s="138">
        <f t="shared" si="5"/>
        <v>3.8855900344675905E-2</v>
      </c>
      <c r="P35" s="138">
        <f>O35*(1+'Key Data'!F$3)</f>
        <v>4.8569875430844879E-2</v>
      </c>
      <c r="Q35" s="394"/>
      <c r="R35" s="394"/>
      <c r="S35" s="397"/>
    </row>
    <row r="36" spans="1:19" x14ac:dyDescent="0.3">
      <c r="A36" s="395"/>
      <c r="B36" s="395"/>
      <c r="C36" s="395"/>
      <c r="D36" s="395"/>
      <c r="E36" s="136">
        <v>14.530894999999999</v>
      </c>
      <c r="F36" s="136">
        <v>75.236990000000006</v>
      </c>
      <c r="G36" s="395"/>
      <c r="H36" s="137" t="s">
        <v>351</v>
      </c>
      <c r="I36" s="77">
        <v>56</v>
      </c>
      <c r="J36" s="77">
        <f t="shared" si="3"/>
        <v>17.834394904458598</v>
      </c>
      <c r="K36" s="77"/>
      <c r="L36" s="77"/>
      <c r="M36" s="77">
        <v>2.4</v>
      </c>
      <c r="N36" s="128">
        <f t="shared" si="4"/>
        <v>249.68152866242036</v>
      </c>
      <c r="O36" s="138">
        <f t="shared" si="5"/>
        <v>7.2842763661685198E-2</v>
      </c>
      <c r="P36" s="138">
        <f>O36*(1+'Key Data'!F$3)</f>
        <v>9.1053454577106493E-2</v>
      </c>
      <c r="Q36" s="394"/>
      <c r="R36" s="394"/>
      <c r="S36" s="397"/>
    </row>
    <row r="37" spans="1:19" x14ac:dyDescent="0.3">
      <c r="A37" s="395"/>
      <c r="B37" s="395"/>
      <c r="C37" s="395"/>
      <c r="D37" s="395"/>
      <c r="E37" s="136">
        <v>14.530692999999999</v>
      </c>
      <c r="F37" s="136">
        <v>75.236969999999999</v>
      </c>
      <c r="G37" s="395"/>
      <c r="H37" s="137" t="s">
        <v>351</v>
      </c>
      <c r="I37" s="77">
        <v>57</v>
      </c>
      <c r="J37" s="77">
        <f t="shared" si="3"/>
        <v>18.152866242038215</v>
      </c>
      <c r="K37" s="77"/>
      <c r="L37" s="77"/>
      <c r="M37" s="77">
        <v>2.6</v>
      </c>
      <c r="N37" s="128">
        <f t="shared" si="4"/>
        <v>258.67834394904457</v>
      </c>
      <c r="O37" s="138">
        <f t="shared" si="5"/>
        <v>7.546751885740284E-2</v>
      </c>
      <c r="P37" s="138">
        <f>O37*(1+'Key Data'!F$3)</f>
        <v>9.4334398571753547E-2</v>
      </c>
      <c r="Q37" s="394"/>
      <c r="R37" s="394"/>
      <c r="S37" s="397"/>
    </row>
    <row r="38" spans="1:19" x14ac:dyDescent="0.3">
      <c r="A38" s="395"/>
      <c r="B38" s="395"/>
      <c r="C38" s="395"/>
      <c r="D38" s="395"/>
      <c r="E38" s="136">
        <v>14.530756999999999</v>
      </c>
      <c r="F38" s="136">
        <v>75.236869999999996</v>
      </c>
      <c r="G38" s="395"/>
      <c r="H38" s="137" t="s">
        <v>351</v>
      </c>
      <c r="I38" s="77">
        <v>39.1</v>
      </c>
      <c r="J38" s="77">
        <f t="shared" si="3"/>
        <v>12.452229299363058</v>
      </c>
      <c r="K38" s="77"/>
      <c r="L38" s="77"/>
      <c r="M38" s="77">
        <v>2.7</v>
      </c>
      <c r="N38" s="128">
        <f t="shared" si="4"/>
        <v>121.72054140127389</v>
      </c>
      <c r="O38" s="138">
        <f t="shared" si="5"/>
        <v>3.5511079564292371E-2</v>
      </c>
      <c r="P38" s="138">
        <f>O38*(1+'Key Data'!F$3)</f>
        <v>4.4388849455365462E-2</v>
      </c>
      <c r="Q38" s="394"/>
      <c r="R38" s="394"/>
      <c r="S38" s="397"/>
    </row>
    <row r="39" spans="1:19" x14ac:dyDescent="0.3">
      <c r="A39" s="395"/>
      <c r="B39" s="395"/>
      <c r="C39" s="395"/>
      <c r="D39" s="395"/>
      <c r="E39" s="113"/>
      <c r="F39" s="113"/>
      <c r="G39" s="395"/>
      <c r="H39" s="137" t="s">
        <v>351</v>
      </c>
      <c r="I39" s="77">
        <v>38.299999999999997</v>
      </c>
      <c r="J39" s="77">
        <f t="shared" si="3"/>
        <v>12.197452229299362</v>
      </c>
      <c r="K39" s="77"/>
      <c r="L39" s="77"/>
      <c r="M39" s="77">
        <v>2</v>
      </c>
      <c r="N39" s="128">
        <f t="shared" si="4"/>
        <v>116.79060509554138</v>
      </c>
      <c r="O39" s="138">
        <f t="shared" si="5"/>
        <v>3.407280662872747E-2</v>
      </c>
      <c r="P39" s="138">
        <f>O39*(1+'Key Data'!F$3)</f>
        <v>4.2591008285909338E-2</v>
      </c>
      <c r="Q39" s="394"/>
      <c r="R39" s="394"/>
      <c r="S39" s="397"/>
    </row>
    <row r="40" spans="1:19" x14ac:dyDescent="0.3">
      <c r="A40" s="395"/>
      <c r="B40" s="395"/>
      <c r="C40" s="395"/>
      <c r="D40" s="395"/>
      <c r="E40" s="113"/>
      <c r="F40" s="113"/>
      <c r="G40" s="395"/>
      <c r="H40" s="137" t="s">
        <v>351</v>
      </c>
      <c r="I40" s="77">
        <v>41.2</v>
      </c>
      <c r="J40" s="77">
        <f t="shared" si="3"/>
        <v>13.121019108280255</v>
      </c>
      <c r="K40" s="77"/>
      <c r="L40" s="77"/>
      <c r="M40" s="77">
        <v>2.5</v>
      </c>
      <c r="N40" s="128">
        <f t="shared" si="4"/>
        <v>135.14649681528664</v>
      </c>
      <c r="O40" s="138">
        <f t="shared" si="5"/>
        <v>3.9428004065653964E-2</v>
      </c>
      <c r="P40" s="138">
        <f>O40*(1+'Key Data'!F$3)</f>
        <v>4.9285005082067457E-2</v>
      </c>
      <c r="Q40" s="394"/>
      <c r="R40" s="394"/>
      <c r="S40" s="397"/>
    </row>
    <row r="41" spans="1:19" x14ac:dyDescent="0.3">
      <c r="A41" s="395"/>
      <c r="B41" s="395"/>
      <c r="C41" s="395"/>
      <c r="D41" s="395"/>
      <c r="E41" s="113"/>
      <c r="F41" s="113"/>
      <c r="G41" s="395"/>
      <c r="H41" s="137" t="s">
        <v>351</v>
      </c>
      <c r="I41" s="77">
        <v>42.8</v>
      </c>
      <c r="J41" s="77">
        <f t="shared" si="3"/>
        <v>13.630573248407641</v>
      </c>
      <c r="K41" s="77"/>
      <c r="L41" s="77"/>
      <c r="M41" s="77">
        <v>2.8</v>
      </c>
      <c r="N41" s="128">
        <f t="shared" si="4"/>
        <v>145.84713375796176</v>
      </c>
      <c r="O41" s="138">
        <f t="shared" si="5"/>
        <v>4.2549836794011919E-2</v>
      </c>
      <c r="P41" s="138">
        <f>O41*(1+'Key Data'!F$3)</f>
        <v>5.3187295992514899E-2</v>
      </c>
      <c r="Q41" s="394"/>
      <c r="R41" s="394"/>
      <c r="S41" s="397"/>
    </row>
    <row r="42" spans="1:19" x14ac:dyDescent="0.3">
      <c r="A42" s="395"/>
      <c r="B42" s="395"/>
      <c r="C42" s="395"/>
      <c r="D42" s="395"/>
      <c r="E42" s="113"/>
      <c r="F42" s="113"/>
      <c r="G42" s="395"/>
      <c r="H42" s="137" t="s">
        <v>351</v>
      </c>
      <c r="I42" s="77">
        <v>41.8</v>
      </c>
      <c r="J42" s="77">
        <f t="shared" si="3"/>
        <v>13.312101910828025</v>
      </c>
      <c r="K42" s="77"/>
      <c r="L42" s="77"/>
      <c r="M42" s="77">
        <v>3</v>
      </c>
      <c r="N42" s="128">
        <f t="shared" si="4"/>
        <v>139.11146496815286</v>
      </c>
      <c r="O42" s="138">
        <f t="shared" si="5"/>
        <v>4.0584754585536627E-2</v>
      </c>
      <c r="P42" s="138">
        <f>O42*(1+'Key Data'!F$3)</f>
        <v>5.0730943231920782E-2</v>
      </c>
      <c r="Q42" s="394"/>
      <c r="R42" s="394"/>
      <c r="S42" s="397"/>
    </row>
    <row r="43" spans="1:19" x14ac:dyDescent="0.3">
      <c r="A43" s="395"/>
      <c r="B43" s="395"/>
      <c r="C43" s="395"/>
      <c r="D43" s="395"/>
      <c r="E43" s="113"/>
      <c r="F43" s="113"/>
      <c r="G43" s="395"/>
      <c r="H43" s="137" t="s">
        <v>351</v>
      </c>
      <c r="I43" s="77">
        <v>34.6</v>
      </c>
      <c r="J43" s="77">
        <f t="shared" si="3"/>
        <v>11.019108280254777</v>
      </c>
      <c r="K43" s="77"/>
      <c r="L43" s="77"/>
      <c r="M43" s="77">
        <v>2.2999999999999998</v>
      </c>
      <c r="N43" s="128">
        <f t="shared" si="4"/>
        <v>95.315286624203821</v>
      </c>
      <c r="O43" s="138">
        <f t="shared" si="5"/>
        <v>2.7807539204471651E-2</v>
      </c>
      <c r="P43" s="138">
        <f>O43*(1+'Key Data'!F$3)</f>
        <v>3.4759424005589561E-2</v>
      </c>
      <c r="Q43" s="394"/>
      <c r="R43" s="394"/>
      <c r="S43" s="397"/>
    </row>
    <row r="44" spans="1:19" x14ac:dyDescent="0.3">
      <c r="A44" s="395"/>
      <c r="B44" s="395"/>
      <c r="C44" s="395"/>
      <c r="D44" s="395"/>
      <c r="E44" s="113"/>
      <c r="F44" s="113"/>
      <c r="G44" s="395"/>
      <c r="H44" s="137" t="s">
        <v>351</v>
      </c>
      <c r="I44" s="77">
        <v>49.2</v>
      </c>
      <c r="J44" s="77">
        <f t="shared" si="3"/>
        <v>15.668789808917198</v>
      </c>
      <c r="K44" s="77"/>
      <c r="L44" s="77"/>
      <c r="M44" s="77">
        <v>2.5</v>
      </c>
      <c r="N44" s="128">
        <f t="shared" si="4"/>
        <v>192.72611464968156</v>
      </c>
      <c r="O44" s="138">
        <f t="shared" si="5"/>
        <v>5.6226437318246711E-2</v>
      </c>
      <c r="P44" s="138">
        <f>O44*(1+'Key Data'!F$3)</f>
        <v>7.0283046647808392E-2</v>
      </c>
      <c r="Q44" s="394"/>
      <c r="R44" s="394"/>
      <c r="S44" s="397"/>
    </row>
    <row r="45" spans="1:19" x14ac:dyDescent="0.3">
      <c r="A45" s="395"/>
      <c r="B45" s="395"/>
      <c r="C45" s="395"/>
      <c r="D45" s="395"/>
      <c r="E45" s="113"/>
      <c r="F45" s="113"/>
      <c r="G45" s="395"/>
      <c r="H45" s="137" t="s">
        <v>351</v>
      </c>
      <c r="I45" s="77">
        <v>51</v>
      </c>
      <c r="J45" s="77">
        <f t="shared" si="3"/>
        <v>16.242038216560509</v>
      </c>
      <c r="K45" s="77"/>
      <c r="L45" s="77"/>
      <c r="M45" s="77">
        <v>2.6</v>
      </c>
      <c r="N45" s="128">
        <f t="shared" si="4"/>
        <v>207.0859872611465</v>
      </c>
      <c r="O45" s="138">
        <f t="shared" si="5"/>
        <v>6.0415825345676993E-2</v>
      </c>
      <c r="P45" s="138">
        <f>O45*(1+'Key Data'!F$3)</f>
        <v>7.5519781682096249E-2</v>
      </c>
      <c r="Q45" s="394"/>
      <c r="R45" s="394"/>
      <c r="S45" s="397"/>
    </row>
    <row r="46" spans="1:19" x14ac:dyDescent="0.3">
      <c r="A46" s="395"/>
      <c r="B46" s="395"/>
      <c r="C46" s="395"/>
      <c r="D46" s="395"/>
      <c r="E46" s="113"/>
      <c r="F46" s="113"/>
      <c r="G46" s="395"/>
      <c r="H46" s="137" t="s">
        <v>351</v>
      </c>
      <c r="I46" s="77">
        <v>55.2</v>
      </c>
      <c r="J46" s="77">
        <f t="shared" si="3"/>
        <v>17.579617834394906</v>
      </c>
      <c r="K46" s="77"/>
      <c r="L46" s="77"/>
      <c r="M46" s="77">
        <v>3</v>
      </c>
      <c r="N46" s="128">
        <f t="shared" si="4"/>
        <v>242.59872611464974</v>
      </c>
      <c r="O46" s="138">
        <f t="shared" si="5"/>
        <v>7.0776407712914949E-2</v>
      </c>
      <c r="P46" s="138">
        <f>O46*(1+'Key Data'!F$3)</f>
        <v>8.8470509641143683E-2</v>
      </c>
      <c r="Q46" s="394"/>
      <c r="R46" s="394"/>
      <c r="S46" s="397"/>
    </row>
    <row r="47" spans="1:19" x14ac:dyDescent="0.3">
      <c r="A47" s="395"/>
      <c r="B47" s="395"/>
      <c r="C47" s="395"/>
      <c r="D47" s="395"/>
      <c r="E47" s="113"/>
      <c r="F47" s="113"/>
      <c r="G47" s="395"/>
      <c r="H47" s="137" t="s">
        <v>351</v>
      </c>
      <c r="I47" s="77">
        <v>35</v>
      </c>
      <c r="J47" s="77">
        <f t="shared" si="3"/>
        <v>11.146496815286623</v>
      </c>
      <c r="K47" s="77"/>
      <c r="L47" s="77"/>
      <c r="M47" s="77">
        <v>2.5</v>
      </c>
      <c r="N47" s="128">
        <f t="shared" si="4"/>
        <v>97.53184713375795</v>
      </c>
      <c r="O47" s="138">
        <f t="shared" si="5"/>
        <v>2.8454204555345777E-2</v>
      </c>
      <c r="P47" s="138">
        <f>O47*(1+'Key Data'!F$3)</f>
        <v>3.5567755694182218E-2</v>
      </c>
      <c r="Q47" s="394"/>
      <c r="R47" s="394"/>
      <c r="S47" s="397"/>
    </row>
    <row r="48" spans="1:19" x14ac:dyDescent="0.3">
      <c r="A48" s="395"/>
      <c r="B48" s="395"/>
      <c r="C48" s="395"/>
      <c r="D48" s="395"/>
      <c r="E48" s="113"/>
      <c r="F48" s="113"/>
      <c r="G48" s="395"/>
      <c r="H48" s="137" t="s">
        <v>351</v>
      </c>
      <c r="I48" s="77">
        <v>35.200000000000003</v>
      </c>
      <c r="J48" s="77">
        <f t="shared" si="3"/>
        <v>11.210191082802549</v>
      </c>
      <c r="K48" s="77"/>
      <c r="L48" s="77"/>
      <c r="M48" s="77">
        <v>2</v>
      </c>
      <c r="N48" s="128">
        <f t="shared" si="4"/>
        <v>98.649681528662441</v>
      </c>
      <c r="O48" s="138">
        <f t="shared" si="5"/>
        <v>2.8780324581433186E-2</v>
      </c>
      <c r="P48" s="138">
        <f>O48*(1+'Key Data'!F$3)</f>
        <v>3.5975405726791483E-2</v>
      </c>
      <c r="Q48" s="394"/>
      <c r="R48" s="394"/>
      <c r="S48" s="397"/>
    </row>
    <row r="49" spans="1:19" x14ac:dyDescent="0.3">
      <c r="A49" s="395"/>
      <c r="B49" s="395"/>
      <c r="C49" s="395"/>
      <c r="D49" s="395"/>
      <c r="E49" s="113"/>
      <c r="F49" s="113"/>
      <c r="G49" s="395"/>
      <c r="H49" s="137" t="s">
        <v>351</v>
      </c>
      <c r="I49" s="77">
        <v>40</v>
      </c>
      <c r="J49" s="77">
        <f t="shared" si="3"/>
        <v>12.738853503184712</v>
      </c>
      <c r="K49" s="77"/>
      <c r="L49" s="77"/>
      <c r="M49" s="77">
        <v>2.4</v>
      </c>
      <c r="N49" s="128">
        <f t="shared" si="4"/>
        <v>127.38853503184713</v>
      </c>
      <c r="O49" s="138">
        <f t="shared" si="5"/>
        <v>3.7164675337594461E-2</v>
      </c>
      <c r="P49" s="138">
        <f>O49*(1+'Key Data'!F$3)</f>
        <v>4.6455844171993076E-2</v>
      </c>
      <c r="Q49" s="394"/>
      <c r="R49" s="394"/>
      <c r="S49" s="397"/>
    </row>
    <row r="50" spans="1:19" x14ac:dyDescent="0.3">
      <c r="A50" s="395"/>
      <c r="B50" s="395"/>
      <c r="C50" s="395"/>
      <c r="D50" s="395"/>
      <c r="E50" s="113"/>
      <c r="F50" s="113"/>
      <c r="G50" s="395"/>
      <c r="H50" s="137" t="s">
        <v>351</v>
      </c>
      <c r="I50" s="77">
        <v>39.799999999999997</v>
      </c>
      <c r="J50" s="77">
        <f t="shared" si="3"/>
        <v>12.675159235668788</v>
      </c>
      <c r="K50" s="77"/>
      <c r="L50" s="77"/>
      <c r="M50" s="77">
        <v>2.5</v>
      </c>
      <c r="N50" s="128">
        <f t="shared" si="4"/>
        <v>126.11783439490443</v>
      </c>
      <c r="O50" s="138">
        <f t="shared" si="5"/>
        <v>3.6793957701101991E-2</v>
      </c>
      <c r="P50" s="138">
        <f>O50*(1+'Key Data'!F$3)</f>
        <v>4.5992447126377491E-2</v>
      </c>
      <c r="Q50" s="394"/>
      <c r="R50" s="394"/>
      <c r="S50" s="397"/>
    </row>
    <row r="51" spans="1:19" x14ac:dyDescent="0.3">
      <c r="A51" s="395"/>
      <c r="B51" s="395"/>
      <c r="C51" s="395"/>
      <c r="D51" s="395"/>
      <c r="E51" s="113"/>
      <c r="F51" s="113"/>
      <c r="G51" s="395"/>
      <c r="H51" s="137" t="s">
        <v>351</v>
      </c>
      <c r="I51" s="77">
        <v>44.4</v>
      </c>
      <c r="J51" s="77">
        <f t="shared" si="3"/>
        <v>14.140127388535031</v>
      </c>
      <c r="K51" s="77"/>
      <c r="L51" s="77"/>
      <c r="M51" s="77">
        <v>2.7</v>
      </c>
      <c r="N51" s="128">
        <f t="shared" si="4"/>
        <v>156.95541401273886</v>
      </c>
      <c r="O51" s="138">
        <f t="shared" si="5"/>
        <v>4.5790596483450172E-2</v>
      </c>
      <c r="P51" s="138">
        <f>O51*(1+'Key Data'!F$3)</f>
        <v>5.7238245604312718E-2</v>
      </c>
      <c r="Q51" s="394"/>
      <c r="R51" s="394"/>
      <c r="S51" s="397"/>
    </row>
    <row r="52" spans="1:19" x14ac:dyDescent="0.3">
      <c r="A52" s="395"/>
      <c r="B52" s="395"/>
      <c r="C52" s="395"/>
      <c r="D52" s="395"/>
      <c r="E52" s="113"/>
      <c r="F52" s="113"/>
      <c r="G52" s="395"/>
      <c r="H52" s="137" t="s">
        <v>351</v>
      </c>
      <c r="I52" s="77">
        <v>28.6</v>
      </c>
      <c r="J52" s="77">
        <f t="shared" si="3"/>
        <v>9.1082802547770694</v>
      </c>
      <c r="K52" s="77"/>
      <c r="L52" s="77"/>
      <c r="M52" s="77">
        <v>1.9</v>
      </c>
      <c r="N52" s="128">
        <f t="shared" si="4"/>
        <v>65.124203821656039</v>
      </c>
      <c r="O52" s="138">
        <f t="shared" si="5"/>
        <v>1.8999511149461745E-2</v>
      </c>
      <c r="P52" s="138">
        <f>O52*(1+'Key Data'!F$3)</f>
        <v>2.3749388936827182E-2</v>
      </c>
      <c r="Q52" s="394"/>
      <c r="R52" s="394"/>
      <c r="S52" s="397"/>
    </row>
    <row r="53" spans="1:19" x14ac:dyDescent="0.3">
      <c r="A53" s="395"/>
      <c r="B53" s="395"/>
      <c r="C53" s="395"/>
      <c r="D53" s="395"/>
      <c r="E53" s="113"/>
      <c r="F53" s="113"/>
      <c r="G53" s="395"/>
      <c r="H53" s="137" t="s">
        <v>351</v>
      </c>
      <c r="I53" s="77">
        <v>50.8</v>
      </c>
      <c r="J53" s="77">
        <f t="shared" si="3"/>
        <v>16.178343949044585</v>
      </c>
      <c r="K53" s="77"/>
      <c r="L53" s="77"/>
      <c r="M53" s="77">
        <v>3</v>
      </c>
      <c r="N53" s="128">
        <f t="shared" si="4"/>
        <v>205.46496815286622</v>
      </c>
      <c r="O53" s="138">
        <f t="shared" si="5"/>
        <v>5.9942904852006144E-2</v>
      </c>
      <c r="P53" s="138">
        <f>O53*(1+'Key Data'!F$3)</f>
        <v>7.4928631065007675E-2</v>
      </c>
      <c r="Q53" s="394"/>
      <c r="R53" s="394"/>
      <c r="S53" s="397"/>
    </row>
    <row r="54" spans="1:19" x14ac:dyDescent="0.3">
      <c r="A54" s="395"/>
      <c r="B54" s="395"/>
      <c r="C54" s="395"/>
      <c r="D54" s="395"/>
      <c r="E54" s="113"/>
      <c r="F54" s="113"/>
      <c r="G54" s="395"/>
      <c r="H54" s="137" t="s">
        <v>351</v>
      </c>
      <c r="I54" s="77">
        <v>44.6</v>
      </c>
      <c r="J54" s="77">
        <f t="shared" si="3"/>
        <v>14.203821656050955</v>
      </c>
      <c r="K54" s="77"/>
      <c r="L54" s="77"/>
      <c r="M54" s="77">
        <v>3.3</v>
      </c>
      <c r="N54" s="128">
        <f t="shared" si="4"/>
        <v>158.37261146496814</v>
      </c>
      <c r="O54" s="138">
        <f t="shared" si="5"/>
        <v>4.620405349658091E-2</v>
      </c>
      <c r="P54" s="138">
        <f>O54*(1+'Key Data'!F$3)</f>
        <v>5.7755066870726138E-2</v>
      </c>
      <c r="Q54" s="394"/>
      <c r="R54" s="394"/>
      <c r="S54" s="397"/>
    </row>
    <row r="55" spans="1:19" x14ac:dyDescent="0.3">
      <c r="A55" s="395"/>
      <c r="B55" s="395"/>
      <c r="C55" s="395"/>
      <c r="D55" s="395"/>
      <c r="E55" s="113"/>
      <c r="F55" s="113"/>
      <c r="G55" s="395"/>
      <c r="H55" s="137" t="s">
        <v>351</v>
      </c>
      <c r="I55" s="77">
        <v>34.200000000000003</v>
      </c>
      <c r="J55" s="77">
        <f t="shared" si="3"/>
        <v>10.891719745222931</v>
      </c>
      <c r="K55" s="77"/>
      <c r="L55" s="77"/>
      <c r="M55" s="77">
        <v>2</v>
      </c>
      <c r="N55" s="128">
        <f t="shared" si="4"/>
        <v>93.124203821656067</v>
      </c>
      <c r="O55" s="138">
        <f t="shared" si="5"/>
        <v>2.7168306788665022E-2</v>
      </c>
      <c r="P55" s="138">
        <f>O55*(1+'Key Data'!F$3)</f>
        <v>3.3960383485831275E-2</v>
      </c>
      <c r="Q55" s="394"/>
      <c r="R55" s="394"/>
      <c r="S55" s="397"/>
    </row>
    <row r="56" spans="1:19" x14ac:dyDescent="0.3">
      <c r="A56" s="395"/>
      <c r="B56" s="395"/>
      <c r="C56" s="395"/>
      <c r="D56" s="395"/>
      <c r="E56" s="113"/>
      <c r="F56" s="113"/>
      <c r="G56" s="395"/>
      <c r="H56" s="137" t="s">
        <v>351</v>
      </c>
      <c r="I56" s="77">
        <v>47</v>
      </c>
      <c r="J56" s="77">
        <f t="shared" si="3"/>
        <v>14.968152866242038</v>
      </c>
      <c r="K56" s="77"/>
      <c r="L56" s="77"/>
      <c r="M56" s="77">
        <v>2.9</v>
      </c>
      <c r="N56" s="128">
        <f t="shared" si="4"/>
        <v>175.87579617834393</v>
      </c>
      <c r="O56" s="138">
        <f t="shared" si="5"/>
        <v>5.1310479887966401E-2</v>
      </c>
      <c r="P56" s="138">
        <f>O56*(1+'Key Data'!F$3)</f>
        <v>6.4138099859957998E-2</v>
      </c>
      <c r="Q56" s="394"/>
      <c r="R56" s="394"/>
      <c r="S56" s="397"/>
    </row>
    <row r="57" spans="1:19" x14ac:dyDescent="0.3">
      <c r="A57" s="395"/>
      <c r="B57" s="395"/>
      <c r="C57" s="395"/>
      <c r="D57" s="395"/>
      <c r="E57" s="113"/>
      <c r="F57" s="113"/>
      <c r="G57" s="395"/>
      <c r="H57" s="137" t="s">
        <v>351</v>
      </c>
      <c r="I57" s="77">
        <v>46.2</v>
      </c>
      <c r="J57" s="77">
        <f t="shared" si="3"/>
        <v>14.713375796178344</v>
      </c>
      <c r="K57" s="77"/>
      <c r="L57" s="77"/>
      <c r="M57" s="77">
        <v>3.4</v>
      </c>
      <c r="N57" s="128">
        <f t="shared" si="4"/>
        <v>169.93949044585989</v>
      </c>
      <c r="O57" s="138">
        <f t="shared" si="5"/>
        <v>4.9578606017234475E-2</v>
      </c>
      <c r="P57" s="138">
        <f>O57*(1+'Key Data'!F$3)</f>
        <v>6.197325752154309E-2</v>
      </c>
      <c r="Q57" s="394"/>
      <c r="R57" s="394"/>
      <c r="S57" s="397"/>
    </row>
    <row r="58" spans="1:19" x14ac:dyDescent="0.3">
      <c r="A58" s="395"/>
      <c r="B58" s="395"/>
      <c r="C58" s="395"/>
      <c r="D58" s="395"/>
      <c r="E58" s="113"/>
      <c r="F58" s="113"/>
      <c r="G58" s="395"/>
      <c r="H58" s="137" t="s">
        <v>351</v>
      </c>
      <c r="I58" s="77">
        <v>13</v>
      </c>
      <c r="J58" s="77">
        <f t="shared" si="3"/>
        <v>4.1401273885350314</v>
      </c>
      <c r="K58" s="77"/>
      <c r="L58" s="77"/>
      <c r="M58" s="77">
        <v>1.4</v>
      </c>
      <c r="N58" s="128">
        <f t="shared" si="4"/>
        <v>13.455414012738849</v>
      </c>
      <c r="O58" s="138">
        <f t="shared" si="5"/>
        <v>3.9255188325334166E-3</v>
      </c>
      <c r="P58" s="138">
        <f>O58*(1+'Key Data'!F$3)</f>
        <v>4.9068985406667707E-3</v>
      </c>
      <c r="Q58" s="394"/>
      <c r="R58" s="394"/>
      <c r="S58" s="397"/>
    </row>
    <row r="59" spans="1:19" x14ac:dyDescent="0.3">
      <c r="A59" s="367">
        <v>3</v>
      </c>
      <c r="B59" s="367" t="s">
        <v>319</v>
      </c>
      <c r="C59" s="367" t="s">
        <v>320</v>
      </c>
      <c r="D59" s="367" t="s">
        <v>292</v>
      </c>
      <c r="E59" s="132">
        <v>14.546476</v>
      </c>
      <c r="F59" s="132">
        <v>75.255690000000001</v>
      </c>
      <c r="G59" s="367">
        <v>2020</v>
      </c>
      <c r="H59" s="94" t="s">
        <v>351</v>
      </c>
      <c r="I59" s="133">
        <v>28</v>
      </c>
      <c r="J59" s="110">
        <f t="shared" si="3"/>
        <v>8.9171974522292992</v>
      </c>
      <c r="K59" s="110"/>
      <c r="L59" s="110"/>
      <c r="M59" s="133">
        <v>2</v>
      </c>
      <c r="N59" s="134">
        <f t="shared" si="4"/>
        <v>62.420382165605091</v>
      </c>
      <c r="O59" s="131">
        <f t="shared" si="5"/>
        <v>1.8210690915421299E-2</v>
      </c>
      <c r="P59" s="131">
        <f>O59*(1+'Key Data'!F$3)</f>
        <v>2.2763363644276623E-2</v>
      </c>
      <c r="Q59" s="366">
        <f>SUM(P59:P115)</f>
        <v>0.84112457864466361</v>
      </c>
      <c r="R59" s="366">
        <f>Q59*10000/900</f>
        <v>9.3458286516073734</v>
      </c>
      <c r="S59" s="397"/>
    </row>
    <row r="60" spans="1:19" x14ac:dyDescent="0.3">
      <c r="A60" s="367"/>
      <c r="B60" s="367"/>
      <c r="C60" s="367"/>
      <c r="D60" s="367"/>
      <c r="E60" s="132">
        <v>14.556469</v>
      </c>
      <c r="F60" s="132">
        <v>75.255939999999995</v>
      </c>
      <c r="G60" s="367"/>
      <c r="H60" s="94" t="s">
        <v>351</v>
      </c>
      <c r="I60" s="133">
        <v>25.6</v>
      </c>
      <c r="J60" s="110">
        <f t="shared" si="3"/>
        <v>8.1528662420382165</v>
      </c>
      <c r="K60" s="110"/>
      <c r="L60" s="110"/>
      <c r="M60" s="133">
        <v>1.8</v>
      </c>
      <c r="N60" s="134">
        <f t="shared" si="4"/>
        <v>52.178343949044589</v>
      </c>
      <c r="O60" s="131">
        <f t="shared" si="5"/>
        <v>1.5222651018278698E-2</v>
      </c>
      <c r="P60" s="131">
        <f>O60*(1+'Key Data'!F$3)</f>
        <v>1.9028313772848374E-2</v>
      </c>
      <c r="Q60" s="366"/>
      <c r="R60" s="366"/>
      <c r="S60" s="397"/>
    </row>
    <row r="61" spans="1:19" x14ac:dyDescent="0.3">
      <c r="A61" s="367"/>
      <c r="B61" s="367"/>
      <c r="C61" s="367"/>
      <c r="D61" s="367"/>
      <c r="E61" s="132">
        <v>14.546719</v>
      </c>
      <c r="F61" s="132">
        <v>75.255949999999999</v>
      </c>
      <c r="G61" s="367"/>
      <c r="H61" s="94" t="s">
        <v>351</v>
      </c>
      <c r="I61" s="133">
        <v>20.8</v>
      </c>
      <c r="J61" s="110">
        <f t="shared" si="3"/>
        <v>6.6242038216560513</v>
      </c>
      <c r="K61" s="110"/>
      <c r="L61" s="110"/>
      <c r="M61" s="133">
        <v>2</v>
      </c>
      <c r="N61" s="134">
        <f t="shared" si="4"/>
        <v>34.445859872611464</v>
      </c>
      <c r="O61" s="131">
        <f t="shared" si="5"/>
        <v>1.0049328211285544E-2</v>
      </c>
      <c r="P61" s="131">
        <f>O61*(1+'Key Data'!F$3)</f>
        <v>1.256166026410693E-2</v>
      </c>
      <c r="Q61" s="366"/>
      <c r="R61" s="366"/>
      <c r="S61" s="397"/>
    </row>
    <row r="62" spans="1:19" x14ac:dyDescent="0.3">
      <c r="A62" s="367"/>
      <c r="B62" s="367"/>
      <c r="C62" s="367"/>
      <c r="D62" s="367"/>
      <c r="E62" s="132">
        <v>14.564499</v>
      </c>
      <c r="F62" s="132">
        <v>75.255690000000001</v>
      </c>
      <c r="G62" s="367"/>
      <c r="H62" s="94" t="s">
        <v>351</v>
      </c>
      <c r="I62" s="133">
        <v>26.8</v>
      </c>
      <c r="J62" s="110">
        <f t="shared" si="3"/>
        <v>8.5350318471337587</v>
      </c>
      <c r="K62" s="110"/>
      <c r="L62" s="110"/>
      <c r="M62" s="133">
        <v>2</v>
      </c>
      <c r="N62" s="134">
        <f t="shared" si="4"/>
        <v>57.184713375796193</v>
      </c>
      <c r="O62" s="131">
        <f t="shared" si="5"/>
        <v>1.6683222759046171E-2</v>
      </c>
      <c r="P62" s="131">
        <f>O62*(1+'Key Data'!F$3)</f>
        <v>2.0854028448807713E-2</v>
      </c>
      <c r="Q62" s="366"/>
      <c r="R62" s="366"/>
      <c r="S62" s="397"/>
    </row>
    <row r="63" spans="1:19" x14ac:dyDescent="0.3">
      <c r="A63" s="367"/>
      <c r="B63" s="367"/>
      <c r="C63" s="367"/>
      <c r="D63" s="367"/>
      <c r="E63" s="132">
        <v>14.546595999999999</v>
      </c>
      <c r="F63" s="132">
        <v>75.255809999999997</v>
      </c>
      <c r="G63" s="367"/>
      <c r="H63" s="94" t="s">
        <v>351</v>
      </c>
      <c r="I63" s="133">
        <v>21.2</v>
      </c>
      <c r="J63" s="110">
        <f t="shared" si="3"/>
        <v>6.7515923566878975</v>
      </c>
      <c r="K63" s="110"/>
      <c r="L63" s="110"/>
      <c r="M63" s="133">
        <v>1.8</v>
      </c>
      <c r="N63" s="134">
        <f t="shared" si="4"/>
        <v>35.783439490445858</v>
      </c>
      <c r="O63" s="131">
        <f t="shared" si="5"/>
        <v>1.0439557302330291E-2</v>
      </c>
      <c r="P63" s="131">
        <f>O63*(1+'Key Data'!F$3)</f>
        <v>1.3049446627912863E-2</v>
      </c>
      <c r="Q63" s="366"/>
      <c r="R63" s="366"/>
      <c r="S63" s="397"/>
    </row>
    <row r="64" spans="1:19" x14ac:dyDescent="0.3">
      <c r="A64" s="367"/>
      <c r="B64" s="367"/>
      <c r="C64" s="367"/>
      <c r="D64" s="367"/>
      <c r="E64" s="108"/>
      <c r="F64" s="108"/>
      <c r="G64" s="367"/>
      <c r="H64" s="94" t="s">
        <v>351</v>
      </c>
      <c r="I64" s="133">
        <v>21.4</v>
      </c>
      <c r="J64" s="110">
        <f t="shared" si="3"/>
        <v>6.8152866242038206</v>
      </c>
      <c r="K64" s="110"/>
      <c r="L64" s="110"/>
      <c r="M64" s="133">
        <v>2</v>
      </c>
      <c r="N64" s="134">
        <f t="shared" si="4"/>
        <v>36.461783439490439</v>
      </c>
      <c r="O64" s="131">
        <f t="shared" si="5"/>
        <v>1.0637459198502978E-2</v>
      </c>
      <c r="P64" s="131">
        <f>O64*(1+'Key Data'!F$3)</f>
        <v>1.3296823998128723E-2</v>
      </c>
      <c r="Q64" s="366"/>
      <c r="R64" s="366"/>
      <c r="S64" s="397"/>
    </row>
    <row r="65" spans="1:19" x14ac:dyDescent="0.3">
      <c r="A65" s="367"/>
      <c r="B65" s="367"/>
      <c r="C65" s="367"/>
      <c r="D65" s="367"/>
      <c r="E65" s="108"/>
      <c r="F65" s="108"/>
      <c r="G65" s="367"/>
      <c r="H65" s="94" t="s">
        <v>351</v>
      </c>
      <c r="I65" s="133">
        <v>23</v>
      </c>
      <c r="J65" s="110">
        <f t="shared" si="3"/>
        <v>7.3248407643312099</v>
      </c>
      <c r="K65" s="110"/>
      <c r="L65" s="110"/>
      <c r="M65" s="133">
        <v>1.8</v>
      </c>
      <c r="N65" s="134">
        <f t="shared" si="4"/>
        <v>42.117834394904456</v>
      </c>
      <c r="O65" s="131">
        <f t="shared" si="5"/>
        <v>1.2287570783492173E-2</v>
      </c>
      <c r="P65" s="131">
        <f>O65*(1+'Key Data'!F$3)</f>
        <v>1.5359463479365216E-2</v>
      </c>
      <c r="Q65" s="366"/>
      <c r="R65" s="366"/>
      <c r="S65" s="397"/>
    </row>
    <row r="66" spans="1:19" x14ac:dyDescent="0.3">
      <c r="A66" s="367"/>
      <c r="B66" s="367"/>
      <c r="C66" s="367"/>
      <c r="D66" s="367"/>
      <c r="E66" s="108"/>
      <c r="F66" s="108"/>
      <c r="G66" s="367"/>
      <c r="H66" s="94" t="s">
        <v>351</v>
      </c>
      <c r="I66" s="133">
        <v>18.2</v>
      </c>
      <c r="J66" s="110">
        <f t="shared" ref="J66:J97" si="6">I66/3.14</f>
        <v>5.7961783439490437</v>
      </c>
      <c r="K66" s="110"/>
      <c r="L66" s="110"/>
      <c r="M66" s="133">
        <v>1.7</v>
      </c>
      <c r="N66" s="134">
        <f t="shared" ref="N66:N97" si="7">3.14*J66/2*J66/2</f>
        <v>26.372611464968148</v>
      </c>
      <c r="O66" s="131">
        <f t="shared" ref="O66:O97" si="8">(10^(-0.535+LOG10(N66)))/1000</f>
        <v>7.694016911765497E-3</v>
      </c>
      <c r="P66" s="131">
        <f>O66*(1+'Key Data'!F$3)</f>
        <v>9.6175211397068715E-3</v>
      </c>
      <c r="Q66" s="366"/>
      <c r="R66" s="366"/>
      <c r="S66" s="397"/>
    </row>
    <row r="67" spans="1:19" x14ac:dyDescent="0.3">
      <c r="A67" s="367"/>
      <c r="B67" s="367"/>
      <c r="C67" s="367"/>
      <c r="D67" s="367"/>
      <c r="E67" s="108"/>
      <c r="F67" s="108"/>
      <c r="G67" s="367"/>
      <c r="H67" s="94" t="s">
        <v>351</v>
      </c>
      <c r="I67" s="133">
        <v>22</v>
      </c>
      <c r="J67" s="110">
        <f t="shared" si="6"/>
        <v>7.0063694267515917</v>
      </c>
      <c r="K67" s="110"/>
      <c r="L67" s="110"/>
      <c r="M67" s="133">
        <v>1.5</v>
      </c>
      <c r="N67" s="134">
        <f t="shared" si="7"/>
        <v>38.535031847133752</v>
      </c>
      <c r="O67" s="131">
        <f t="shared" si="8"/>
        <v>1.1242314289622324E-2</v>
      </c>
      <c r="P67" s="131">
        <f>O67*(1+'Key Data'!F$3)</f>
        <v>1.4052892862027905E-2</v>
      </c>
      <c r="Q67" s="366"/>
      <c r="R67" s="366"/>
      <c r="S67" s="397"/>
    </row>
    <row r="68" spans="1:19" x14ac:dyDescent="0.3">
      <c r="A68" s="367"/>
      <c r="B68" s="367"/>
      <c r="C68" s="367"/>
      <c r="D68" s="367"/>
      <c r="E68" s="108"/>
      <c r="F68" s="108"/>
      <c r="G68" s="367"/>
      <c r="H68" s="94" t="s">
        <v>351</v>
      </c>
      <c r="I68" s="133">
        <v>22.3</v>
      </c>
      <c r="J68" s="110">
        <f t="shared" si="6"/>
        <v>7.1019108280254777</v>
      </c>
      <c r="K68" s="110"/>
      <c r="L68" s="110"/>
      <c r="M68" s="133">
        <v>2</v>
      </c>
      <c r="N68" s="134">
        <f t="shared" si="7"/>
        <v>39.593152866242036</v>
      </c>
      <c r="O68" s="131">
        <f t="shared" si="8"/>
        <v>1.1551013374145221E-2</v>
      </c>
      <c r="P68" s="131">
        <f>O68*(1+'Key Data'!F$3)</f>
        <v>1.4438766717681526E-2</v>
      </c>
      <c r="Q68" s="366"/>
      <c r="R68" s="366"/>
      <c r="S68" s="397"/>
    </row>
    <row r="69" spans="1:19" x14ac:dyDescent="0.3">
      <c r="A69" s="367"/>
      <c r="B69" s="367"/>
      <c r="C69" s="367"/>
      <c r="D69" s="367"/>
      <c r="E69" s="108"/>
      <c r="F69" s="108"/>
      <c r="G69" s="367"/>
      <c r="H69" s="94" t="s">
        <v>351</v>
      </c>
      <c r="I69" s="133">
        <v>29.4</v>
      </c>
      <c r="J69" s="110">
        <f t="shared" si="6"/>
        <v>9.3630573248407636</v>
      </c>
      <c r="K69" s="110"/>
      <c r="L69" s="110"/>
      <c r="M69" s="133">
        <v>2.2999999999999998</v>
      </c>
      <c r="N69" s="134">
        <f t="shared" si="7"/>
        <v>68.818471337579609</v>
      </c>
      <c r="O69" s="131">
        <f t="shared" si="8"/>
        <v>2.0077286734251978E-2</v>
      </c>
      <c r="P69" s="131">
        <f>O69*(1+'Key Data'!F$3)</f>
        <v>2.5096608417814973E-2</v>
      </c>
      <c r="Q69" s="366"/>
      <c r="R69" s="366"/>
      <c r="S69" s="397"/>
    </row>
    <row r="70" spans="1:19" x14ac:dyDescent="0.3">
      <c r="A70" s="367"/>
      <c r="B70" s="367"/>
      <c r="C70" s="367"/>
      <c r="D70" s="367"/>
      <c r="E70" s="108"/>
      <c r="F70" s="108"/>
      <c r="G70" s="367"/>
      <c r="H70" s="94" t="s">
        <v>351</v>
      </c>
      <c r="I70" s="133">
        <v>26.2</v>
      </c>
      <c r="J70" s="110">
        <f t="shared" si="6"/>
        <v>8.3439490445859867</v>
      </c>
      <c r="K70" s="110"/>
      <c r="L70" s="110"/>
      <c r="M70" s="133">
        <v>2.1</v>
      </c>
      <c r="N70" s="134">
        <f t="shared" si="7"/>
        <v>54.652866242038215</v>
      </c>
      <c r="O70" s="131">
        <f t="shared" si="8"/>
        <v>1.594457483671147E-2</v>
      </c>
      <c r="P70" s="131">
        <f>O70*(1+'Key Data'!F$3)</f>
        <v>1.9930718545889337E-2</v>
      </c>
      <c r="Q70" s="366"/>
      <c r="R70" s="366"/>
      <c r="S70" s="397"/>
    </row>
    <row r="71" spans="1:19" x14ac:dyDescent="0.3">
      <c r="A71" s="367"/>
      <c r="B71" s="367"/>
      <c r="C71" s="367"/>
      <c r="D71" s="367"/>
      <c r="E71" s="108"/>
      <c r="F71" s="108"/>
      <c r="G71" s="367"/>
      <c r="H71" s="94" t="s">
        <v>351</v>
      </c>
      <c r="I71" s="133">
        <v>27.3</v>
      </c>
      <c r="J71" s="110">
        <f t="shared" si="6"/>
        <v>8.6942675159235669</v>
      </c>
      <c r="K71" s="110"/>
      <c r="L71" s="110"/>
      <c r="M71" s="133">
        <v>2.2999999999999998</v>
      </c>
      <c r="N71" s="134">
        <f t="shared" si="7"/>
        <v>59.338375796178347</v>
      </c>
      <c r="O71" s="131">
        <f t="shared" si="8"/>
        <v>1.7311538051472369E-2</v>
      </c>
      <c r="P71" s="131">
        <f>O71*(1+'Key Data'!F$3)</f>
        <v>2.1639422564340462E-2</v>
      </c>
      <c r="Q71" s="366"/>
      <c r="R71" s="366"/>
      <c r="S71" s="397"/>
    </row>
    <row r="72" spans="1:19" x14ac:dyDescent="0.3">
      <c r="A72" s="367"/>
      <c r="B72" s="367"/>
      <c r="C72" s="367"/>
      <c r="D72" s="367"/>
      <c r="E72" s="108"/>
      <c r="F72" s="108"/>
      <c r="G72" s="367"/>
      <c r="H72" s="94" t="s">
        <v>351</v>
      </c>
      <c r="I72" s="133">
        <v>25</v>
      </c>
      <c r="J72" s="110">
        <f t="shared" si="6"/>
        <v>7.9617834394904454</v>
      </c>
      <c r="K72" s="110"/>
      <c r="L72" s="110"/>
      <c r="M72" s="133">
        <v>1.6</v>
      </c>
      <c r="N72" s="134">
        <f t="shared" si="7"/>
        <v>49.761146496815286</v>
      </c>
      <c r="O72" s="131">
        <f t="shared" si="8"/>
        <v>1.4517451303747849E-2</v>
      </c>
      <c r="P72" s="131">
        <f>O72*(1+'Key Data'!F$3)</f>
        <v>1.8146814129684812E-2</v>
      </c>
      <c r="Q72" s="366"/>
      <c r="R72" s="366"/>
      <c r="S72" s="397"/>
    </row>
    <row r="73" spans="1:19" x14ac:dyDescent="0.3">
      <c r="A73" s="367"/>
      <c r="B73" s="367"/>
      <c r="C73" s="367"/>
      <c r="D73" s="367"/>
      <c r="E73" s="108"/>
      <c r="F73" s="108"/>
      <c r="G73" s="367"/>
      <c r="H73" s="94" t="s">
        <v>351</v>
      </c>
      <c r="I73" s="133">
        <v>25.4</v>
      </c>
      <c r="J73" s="110">
        <f t="shared" si="6"/>
        <v>8.0891719745222925</v>
      </c>
      <c r="K73" s="110"/>
      <c r="L73" s="110"/>
      <c r="M73" s="133">
        <v>1.9</v>
      </c>
      <c r="N73" s="134">
        <f t="shared" si="7"/>
        <v>51.366242038216555</v>
      </c>
      <c r="O73" s="131">
        <f t="shared" si="8"/>
        <v>1.4985726213001534E-2</v>
      </c>
      <c r="P73" s="131">
        <f>O73*(1+'Key Data'!F$3)</f>
        <v>1.8732157766251919E-2</v>
      </c>
      <c r="Q73" s="366"/>
      <c r="R73" s="366"/>
      <c r="S73" s="397"/>
    </row>
    <row r="74" spans="1:19" x14ac:dyDescent="0.3">
      <c r="A74" s="367"/>
      <c r="B74" s="367"/>
      <c r="C74" s="367"/>
      <c r="D74" s="367"/>
      <c r="E74" s="108"/>
      <c r="F74" s="108"/>
      <c r="G74" s="367"/>
      <c r="H74" s="94" t="s">
        <v>351</v>
      </c>
      <c r="I74" s="133">
        <v>21.3</v>
      </c>
      <c r="J74" s="110">
        <f t="shared" si="6"/>
        <v>6.7834394904458595</v>
      </c>
      <c r="K74" s="110"/>
      <c r="L74" s="110"/>
      <c r="M74" s="133">
        <v>2</v>
      </c>
      <c r="N74" s="134">
        <f t="shared" si="7"/>
        <v>36.121815286624205</v>
      </c>
      <c r="O74" s="131">
        <f t="shared" si="8"/>
        <v>1.0538275971195782E-2</v>
      </c>
      <c r="P74" s="131">
        <f>O74*(1+'Key Data'!F$3)</f>
        <v>1.3172844963994727E-2</v>
      </c>
      <c r="Q74" s="366"/>
      <c r="R74" s="366"/>
      <c r="S74" s="397"/>
    </row>
    <row r="75" spans="1:19" x14ac:dyDescent="0.3">
      <c r="A75" s="367"/>
      <c r="B75" s="367"/>
      <c r="C75" s="367"/>
      <c r="D75" s="367"/>
      <c r="E75" s="108"/>
      <c r="F75" s="108"/>
      <c r="G75" s="367"/>
      <c r="H75" s="94" t="s">
        <v>351</v>
      </c>
      <c r="I75" s="133">
        <v>19.399999999999999</v>
      </c>
      <c r="J75" s="110">
        <f t="shared" si="6"/>
        <v>6.1783439490445851</v>
      </c>
      <c r="K75" s="110"/>
      <c r="L75" s="110"/>
      <c r="M75" s="133">
        <v>2</v>
      </c>
      <c r="N75" s="134">
        <f t="shared" si="7"/>
        <v>29.964968152866234</v>
      </c>
      <c r="O75" s="131">
        <f t="shared" si="8"/>
        <v>8.742060756285662E-3</v>
      </c>
      <c r="P75" s="131">
        <f>O75*(1+'Key Data'!F$3)</f>
        <v>1.0927575945357077E-2</v>
      </c>
      <c r="Q75" s="366"/>
      <c r="R75" s="366"/>
      <c r="S75" s="397"/>
    </row>
    <row r="76" spans="1:19" x14ac:dyDescent="0.3">
      <c r="A76" s="367"/>
      <c r="B76" s="367"/>
      <c r="C76" s="367"/>
      <c r="D76" s="367"/>
      <c r="E76" s="108"/>
      <c r="F76" s="108"/>
      <c r="G76" s="367"/>
      <c r="H76" s="94" t="s">
        <v>351</v>
      </c>
      <c r="I76" s="133">
        <v>22</v>
      </c>
      <c r="J76" s="110">
        <f t="shared" si="6"/>
        <v>7.0063694267515917</v>
      </c>
      <c r="K76" s="110"/>
      <c r="L76" s="110"/>
      <c r="M76" s="133">
        <v>1.8</v>
      </c>
      <c r="N76" s="134">
        <f t="shared" si="7"/>
        <v>38.535031847133752</v>
      </c>
      <c r="O76" s="131">
        <f t="shared" si="8"/>
        <v>1.1242314289622324E-2</v>
      </c>
      <c r="P76" s="131">
        <f>O76*(1+'Key Data'!F$3)</f>
        <v>1.4052892862027905E-2</v>
      </c>
      <c r="Q76" s="366"/>
      <c r="R76" s="366"/>
      <c r="S76" s="397"/>
    </row>
    <row r="77" spans="1:19" x14ac:dyDescent="0.3">
      <c r="A77" s="367"/>
      <c r="B77" s="367"/>
      <c r="C77" s="367"/>
      <c r="D77" s="367"/>
      <c r="E77" s="108"/>
      <c r="F77" s="108"/>
      <c r="G77" s="367"/>
      <c r="H77" s="94" t="s">
        <v>351</v>
      </c>
      <c r="I77" s="133">
        <v>27</v>
      </c>
      <c r="J77" s="110">
        <f t="shared" si="6"/>
        <v>8.598726114649681</v>
      </c>
      <c r="K77" s="110"/>
      <c r="L77" s="110"/>
      <c r="M77" s="133">
        <v>2</v>
      </c>
      <c r="N77" s="134">
        <f t="shared" si="7"/>
        <v>58.041401273885349</v>
      </c>
      <c r="O77" s="131">
        <f t="shared" si="8"/>
        <v>1.6933155200691483E-2</v>
      </c>
      <c r="P77" s="131">
        <f>O77*(1+'Key Data'!F$3)</f>
        <v>2.1166444000864353E-2</v>
      </c>
      <c r="Q77" s="366"/>
      <c r="R77" s="366"/>
      <c r="S77" s="397"/>
    </row>
    <row r="78" spans="1:19" x14ac:dyDescent="0.3">
      <c r="A78" s="367"/>
      <c r="B78" s="367"/>
      <c r="C78" s="367"/>
      <c r="D78" s="367"/>
      <c r="E78" s="108"/>
      <c r="F78" s="108"/>
      <c r="G78" s="367"/>
      <c r="H78" s="94" t="s">
        <v>351</v>
      </c>
      <c r="I78" s="133">
        <v>21</v>
      </c>
      <c r="J78" s="110">
        <f t="shared" si="6"/>
        <v>6.6878980891719744</v>
      </c>
      <c r="K78" s="110"/>
      <c r="L78" s="110"/>
      <c r="M78" s="133">
        <v>2</v>
      </c>
      <c r="N78" s="134">
        <f t="shared" si="7"/>
        <v>35.111464968152866</v>
      </c>
      <c r="O78" s="131">
        <f t="shared" si="8"/>
        <v>1.0243513639924477E-2</v>
      </c>
      <c r="P78" s="131">
        <f>O78*(1+'Key Data'!F$3)</f>
        <v>1.2804392049905597E-2</v>
      </c>
      <c r="Q78" s="366"/>
      <c r="R78" s="366"/>
      <c r="S78" s="397"/>
    </row>
    <row r="79" spans="1:19" x14ac:dyDescent="0.3">
      <c r="A79" s="367"/>
      <c r="B79" s="367"/>
      <c r="C79" s="367"/>
      <c r="D79" s="367"/>
      <c r="E79" s="108"/>
      <c r="F79" s="108"/>
      <c r="G79" s="367"/>
      <c r="H79" s="94" t="s">
        <v>351</v>
      </c>
      <c r="I79" s="133">
        <v>22.3</v>
      </c>
      <c r="J79" s="110">
        <f t="shared" si="6"/>
        <v>7.1019108280254777</v>
      </c>
      <c r="K79" s="110"/>
      <c r="L79" s="110"/>
      <c r="M79" s="133">
        <v>3</v>
      </c>
      <c r="N79" s="134">
        <f t="shared" si="7"/>
        <v>39.593152866242036</v>
      </c>
      <c r="O79" s="131">
        <f t="shared" si="8"/>
        <v>1.1551013374145221E-2</v>
      </c>
      <c r="P79" s="131">
        <f>O79*(1+'Key Data'!F$3)</f>
        <v>1.4438766717681526E-2</v>
      </c>
      <c r="Q79" s="366"/>
      <c r="R79" s="366"/>
      <c r="S79" s="397"/>
    </row>
    <row r="80" spans="1:19" x14ac:dyDescent="0.3">
      <c r="A80" s="367"/>
      <c r="B80" s="367"/>
      <c r="C80" s="367"/>
      <c r="D80" s="367"/>
      <c r="E80" s="108"/>
      <c r="F80" s="108"/>
      <c r="G80" s="367"/>
      <c r="H80" s="94" t="s">
        <v>351</v>
      </c>
      <c r="I80" s="133">
        <v>24</v>
      </c>
      <c r="J80" s="110">
        <f t="shared" si="6"/>
        <v>7.6433121019108281</v>
      </c>
      <c r="K80" s="110"/>
      <c r="L80" s="110"/>
      <c r="M80" s="133">
        <v>2</v>
      </c>
      <c r="N80" s="134">
        <f t="shared" si="7"/>
        <v>45.859872611464965</v>
      </c>
      <c r="O80" s="131">
        <f t="shared" si="8"/>
        <v>1.3379283121534021E-2</v>
      </c>
      <c r="P80" s="131">
        <f>O80*(1+'Key Data'!F$3)</f>
        <v>1.6724103901917527E-2</v>
      </c>
      <c r="Q80" s="366"/>
      <c r="R80" s="366"/>
      <c r="S80" s="397"/>
    </row>
    <row r="81" spans="1:19" x14ac:dyDescent="0.3">
      <c r="A81" s="367"/>
      <c r="B81" s="367"/>
      <c r="C81" s="367"/>
      <c r="D81" s="367"/>
      <c r="E81" s="108"/>
      <c r="F81" s="108"/>
      <c r="G81" s="367"/>
      <c r="H81" s="94" t="s">
        <v>351</v>
      </c>
      <c r="I81" s="133">
        <v>25.4</v>
      </c>
      <c r="J81" s="110">
        <f t="shared" si="6"/>
        <v>8.0891719745222925</v>
      </c>
      <c r="K81" s="110"/>
      <c r="L81" s="110"/>
      <c r="M81" s="133">
        <v>1.9</v>
      </c>
      <c r="N81" s="134">
        <f t="shared" si="7"/>
        <v>51.366242038216555</v>
      </c>
      <c r="O81" s="131">
        <f t="shared" si="8"/>
        <v>1.4985726213001534E-2</v>
      </c>
      <c r="P81" s="131">
        <f>O81*(1+'Key Data'!F$3)</f>
        <v>1.8732157766251919E-2</v>
      </c>
      <c r="Q81" s="366"/>
      <c r="R81" s="366"/>
      <c r="S81" s="397"/>
    </row>
    <row r="82" spans="1:19" x14ac:dyDescent="0.3">
      <c r="A82" s="367"/>
      <c r="B82" s="367"/>
      <c r="C82" s="367"/>
      <c r="D82" s="367"/>
      <c r="E82" s="108"/>
      <c r="F82" s="108"/>
      <c r="G82" s="367"/>
      <c r="H82" s="94" t="s">
        <v>351</v>
      </c>
      <c r="I82" s="133">
        <v>18.8</v>
      </c>
      <c r="J82" s="110">
        <f t="shared" si="6"/>
        <v>5.9872611464968148</v>
      </c>
      <c r="K82" s="110"/>
      <c r="L82" s="110"/>
      <c r="M82" s="133">
        <v>1.9</v>
      </c>
      <c r="N82" s="134">
        <f t="shared" si="7"/>
        <v>28.140127388535031</v>
      </c>
      <c r="O82" s="131">
        <f t="shared" si="8"/>
        <v>8.2096767820746194E-3</v>
      </c>
      <c r="P82" s="131">
        <f>O82*(1+'Key Data'!F$3)</f>
        <v>1.0262095977593274E-2</v>
      </c>
      <c r="Q82" s="366"/>
      <c r="R82" s="366"/>
      <c r="S82" s="397"/>
    </row>
    <row r="83" spans="1:19" x14ac:dyDescent="0.3">
      <c r="A83" s="367"/>
      <c r="B83" s="367"/>
      <c r="C83" s="367"/>
      <c r="D83" s="367"/>
      <c r="E83" s="108"/>
      <c r="F83" s="108"/>
      <c r="G83" s="367"/>
      <c r="H83" s="94" t="s">
        <v>351</v>
      </c>
      <c r="I83" s="133">
        <v>19.8</v>
      </c>
      <c r="J83" s="110">
        <f t="shared" si="6"/>
        <v>6.3057324840764331</v>
      </c>
      <c r="K83" s="110"/>
      <c r="L83" s="110"/>
      <c r="M83" s="133">
        <v>2.4</v>
      </c>
      <c r="N83" s="134">
        <f t="shared" si="7"/>
        <v>31.213375796178344</v>
      </c>
      <c r="O83" s="131">
        <f t="shared" si="8"/>
        <v>9.1062745745940903E-3</v>
      </c>
      <c r="P83" s="131">
        <f>O83*(1+'Key Data'!F$3)</f>
        <v>1.1382843218242613E-2</v>
      </c>
      <c r="Q83" s="366"/>
      <c r="R83" s="366"/>
      <c r="S83" s="397"/>
    </row>
    <row r="84" spans="1:19" x14ac:dyDescent="0.3">
      <c r="A84" s="367"/>
      <c r="B84" s="367"/>
      <c r="C84" s="367"/>
      <c r="D84" s="367"/>
      <c r="E84" s="108"/>
      <c r="F84" s="108"/>
      <c r="G84" s="367"/>
      <c r="H84" s="94" t="s">
        <v>351</v>
      </c>
      <c r="I84" s="133">
        <v>24.6</v>
      </c>
      <c r="J84" s="110">
        <f t="shared" si="6"/>
        <v>7.8343949044585992</v>
      </c>
      <c r="K84" s="110"/>
      <c r="L84" s="110"/>
      <c r="M84" s="133">
        <v>2.1</v>
      </c>
      <c r="N84" s="134">
        <f t="shared" si="7"/>
        <v>48.181528662420391</v>
      </c>
      <c r="O84" s="131">
        <f t="shared" si="8"/>
        <v>1.4056609329561681E-2</v>
      </c>
      <c r="P84" s="131">
        <f>O84*(1+'Key Data'!F$3)</f>
        <v>1.7570761661952101E-2</v>
      </c>
      <c r="Q84" s="366"/>
      <c r="R84" s="366"/>
      <c r="S84" s="397"/>
    </row>
    <row r="85" spans="1:19" x14ac:dyDescent="0.3">
      <c r="A85" s="367"/>
      <c r="B85" s="367"/>
      <c r="C85" s="367"/>
      <c r="D85" s="367"/>
      <c r="E85" s="108"/>
      <c r="F85" s="108"/>
      <c r="G85" s="367"/>
      <c r="H85" s="94" t="s">
        <v>351</v>
      </c>
      <c r="I85" s="133">
        <v>25.8</v>
      </c>
      <c r="J85" s="110">
        <f t="shared" si="6"/>
        <v>8.2165605095541405</v>
      </c>
      <c r="K85" s="110"/>
      <c r="L85" s="110"/>
      <c r="M85" s="133">
        <v>2</v>
      </c>
      <c r="N85" s="134">
        <f t="shared" si="7"/>
        <v>52.996815286624205</v>
      </c>
      <c r="O85" s="131">
        <f t="shared" si="8"/>
        <v>1.5461434057322754E-2</v>
      </c>
      <c r="P85" s="131">
        <f>O85*(1+'Key Data'!F$3)</f>
        <v>1.9326792571653442E-2</v>
      </c>
      <c r="Q85" s="366"/>
      <c r="R85" s="366"/>
      <c r="S85" s="397"/>
    </row>
    <row r="86" spans="1:19" x14ac:dyDescent="0.3">
      <c r="A86" s="367"/>
      <c r="B86" s="367"/>
      <c r="C86" s="367"/>
      <c r="D86" s="367"/>
      <c r="E86" s="108"/>
      <c r="F86" s="108"/>
      <c r="G86" s="367"/>
      <c r="H86" s="94" t="s">
        <v>351</v>
      </c>
      <c r="I86" s="133">
        <v>25</v>
      </c>
      <c r="J86" s="110">
        <f t="shared" si="6"/>
        <v>7.9617834394904454</v>
      </c>
      <c r="K86" s="110"/>
      <c r="L86" s="110"/>
      <c r="M86" s="133">
        <v>2.8</v>
      </c>
      <c r="N86" s="134">
        <f t="shared" si="7"/>
        <v>49.761146496815286</v>
      </c>
      <c r="O86" s="131">
        <f t="shared" si="8"/>
        <v>1.4517451303747849E-2</v>
      </c>
      <c r="P86" s="131">
        <f>O86*(1+'Key Data'!F$3)</f>
        <v>1.8146814129684812E-2</v>
      </c>
      <c r="Q86" s="366"/>
      <c r="R86" s="366"/>
      <c r="S86" s="397"/>
    </row>
    <row r="87" spans="1:19" x14ac:dyDescent="0.3">
      <c r="A87" s="367"/>
      <c r="B87" s="367"/>
      <c r="C87" s="367"/>
      <c r="D87" s="367"/>
      <c r="E87" s="108"/>
      <c r="F87" s="108"/>
      <c r="G87" s="367"/>
      <c r="H87" s="94" t="s">
        <v>351</v>
      </c>
      <c r="I87" s="133">
        <v>18.2</v>
      </c>
      <c r="J87" s="110">
        <f t="shared" si="6"/>
        <v>5.7961783439490437</v>
      </c>
      <c r="K87" s="110"/>
      <c r="L87" s="110"/>
      <c r="M87" s="133">
        <v>1.8</v>
      </c>
      <c r="N87" s="134">
        <f t="shared" si="7"/>
        <v>26.372611464968148</v>
      </c>
      <c r="O87" s="131">
        <f t="shared" si="8"/>
        <v>7.694016911765497E-3</v>
      </c>
      <c r="P87" s="131">
        <f>O87*(1+'Key Data'!F$3)</f>
        <v>9.6175211397068715E-3</v>
      </c>
      <c r="Q87" s="366"/>
      <c r="R87" s="366"/>
      <c r="S87" s="397"/>
    </row>
    <row r="88" spans="1:19" x14ac:dyDescent="0.3">
      <c r="A88" s="367"/>
      <c r="B88" s="367"/>
      <c r="C88" s="367"/>
      <c r="D88" s="367"/>
      <c r="E88" s="108"/>
      <c r="F88" s="108"/>
      <c r="G88" s="367"/>
      <c r="H88" s="94" t="s">
        <v>351</v>
      </c>
      <c r="I88" s="133">
        <v>19.600000000000001</v>
      </c>
      <c r="J88" s="110">
        <f t="shared" si="6"/>
        <v>6.2420382165605099</v>
      </c>
      <c r="K88" s="110"/>
      <c r="L88" s="110"/>
      <c r="M88" s="133">
        <v>1</v>
      </c>
      <c r="N88" s="134">
        <f t="shared" si="7"/>
        <v>30.585987261146499</v>
      </c>
      <c r="O88" s="131">
        <f t="shared" si="8"/>
        <v>8.9232385485564347E-3</v>
      </c>
      <c r="P88" s="131">
        <f>O88*(1+'Key Data'!F$3)</f>
        <v>1.1154048185695544E-2</v>
      </c>
      <c r="Q88" s="366"/>
      <c r="R88" s="366"/>
      <c r="S88" s="397"/>
    </row>
    <row r="89" spans="1:19" x14ac:dyDescent="0.3">
      <c r="A89" s="367"/>
      <c r="B89" s="367"/>
      <c r="C89" s="367"/>
      <c r="D89" s="367"/>
      <c r="E89" s="108"/>
      <c r="F89" s="108"/>
      <c r="G89" s="367"/>
      <c r="H89" s="94" t="s">
        <v>351</v>
      </c>
      <c r="I89" s="133">
        <v>17</v>
      </c>
      <c r="J89" s="110">
        <f t="shared" si="6"/>
        <v>5.4140127388535033</v>
      </c>
      <c r="K89" s="110"/>
      <c r="L89" s="110"/>
      <c r="M89" s="133">
        <v>0.8</v>
      </c>
      <c r="N89" s="134">
        <f t="shared" si="7"/>
        <v>23.009554140127388</v>
      </c>
      <c r="O89" s="131">
        <f t="shared" si="8"/>
        <v>6.7128694828530022E-3</v>
      </c>
      <c r="P89" s="131">
        <f>O89*(1+'Key Data'!F$3)</f>
        <v>8.3910868535662531E-3</v>
      </c>
      <c r="Q89" s="366"/>
      <c r="R89" s="366"/>
      <c r="S89" s="397"/>
    </row>
    <row r="90" spans="1:19" x14ac:dyDescent="0.3">
      <c r="A90" s="367"/>
      <c r="B90" s="367"/>
      <c r="C90" s="367"/>
      <c r="D90" s="367"/>
      <c r="E90" s="108"/>
      <c r="F90" s="108"/>
      <c r="G90" s="367"/>
      <c r="H90" s="94" t="s">
        <v>351</v>
      </c>
      <c r="I90" s="133">
        <v>25</v>
      </c>
      <c r="J90" s="110">
        <f t="shared" si="6"/>
        <v>7.9617834394904454</v>
      </c>
      <c r="K90" s="110"/>
      <c r="L90" s="110"/>
      <c r="M90" s="133">
        <v>1.3</v>
      </c>
      <c r="N90" s="134">
        <f t="shared" si="7"/>
        <v>49.761146496815286</v>
      </c>
      <c r="O90" s="131">
        <f t="shared" si="8"/>
        <v>1.4517451303747849E-2</v>
      </c>
      <c r="P90" s="131">
        <f>O90*(1+'Key Data'!F$3)</f>
        <v>1.8146814129684812E-2</v>
      </c>
      <c r="Q90" s="366"/>
      <c r="R90" s="366"/>
      <c r="S90" s="397"/>
    </row>
    <row r="91" spans="1:19" x14ac:dyDescent="0.3">
      <c r="A91" s="367"/>
      <c r="B91" s="367"/>
      <c r="C91" s="367"/>
      <c r="D91" s="367"/>
      <c r="E91" s="108"/>
      <c r="F91" s="108"/>
      <c r="G91" s="367"/>
      <c r="H91" s="94" t="s">
        <v>351</v>
      </c>
      <c r="I91" s="133">
        <v>17.8</v>
      </c>
      <c r="J91" s="110">
        <f t="shared" si="6"/>
        <v>5.6687898089171975</v>
      </c>
      <c r="K91" s="110"/>
      <c r="L91" s="110"/>
      <c r="M91" s="133">
        <v>1.3</v>
      </c>
      <c r="N91" s="134">
        <f t="shared" si="7"/>
        <v>25.226114649681531</v>
      </c>
      <c r="O91" s="131">
        <f t="shared" si="8"/>
        <v>7.3595348337271499E-3</v>
      </c>
      <c r="P91" s="131">
        <f>O91*(1+'Key Data'!F$3)</f>
        <v>9.1994185421589367E-3</v>
      </c>
      <c r="Q91" s="366"/>
      <c r="R91" s="366"/>
      <c r="S91" s="397"/>
    </row>
    <row r="92" spans="1:19" x14ac:dyDescent="0.3">
      <c r="A92" s="367"/>
      <c r="B92" s="367"/>
      <c r="C92" s="367"/>
      <c r="D92" s="367"/>
      <c r="E92" s="108"/>
      <c r="F92" s="108"/>
      <c r="G92" s="367"/>
      <c r="H92" s="94" t="s">
        <v>351</v>
      </c>
      <c r="I92" s="133">
        <v>30</v>
      </c>
      <c r="J92" s="110">
        <f t="shared" si="6"/>
        <v>9.5541401273885338</v>
      </c>
      <c r="K92" s="110"/>
      <c r="L92" s="110"/>
      <c r="M92" s="133">
        <v>1.7</v>
      </c>
      <c r="N92" s="134">
        <f t="shared" si="7"/>
        <v>71.656050955413988</v>
      </c>
      <c r="O92" s="131">
        <f t="shared" si="8"/>
        <v>2.0905129877396889E-2</v>
      </c>
      <c r="P92" s="131">
        <f>O92*(1+'Key Data'!F$3)</f>
        <v>2.6131412346746111E-2</v>
      </c>
      <c r="Q92" s="366"/>
      <c r="R92" s="366"/>
      <c r="S92" s="397"/>
    </row>
    <row r="93" spans="1:19" x14ac:dyDescent="0.3">
      <c r="A93" s="367"/>
      <c r="B93" s="367"/>
      <c r="C93" s="367"/>
      <c r="D93" s="367"/>
      <c r="E93" s="108"/>
      <c r="F93" s="108"/>
      <c r="G93" s="367"/>
      <c r="H93" s="94" t="s">
        <v>351</v>
      </c>
      <c r="I93" s="133">
        <v>23.7</v>
      </c>
      <c r="J93" s="110">
        <f t="shared" si="6"/>
        <v>7.5477707006369421</v>
      </c>
      <c r="K93" s="110"/>
      <c r="L93" s="110"/>
      <c r="M93" s="133">
        <v>2.2000000000000002</v>
      </c>
      <c r="N93" s="134">
        <f t="shared" si="7"/>
        <v>44.720541401273877</v>
      </c>
      <c r="O93" s="131">
        <f t="shared" si="8"/>
        <v>1.3046891556483409E-2</v>
      </c>
      <c r="P93" s="131">
        <f>O93*(1+'Key Data'!F$3)</f>
        <v>1.6308614445604261E-2</v>
      </c>
      <c r="Q93" s="366"/>
      <c r="R93" s="366"/>
      <c r="S93" s="397"/>
    </row>
    <row r="94" spans="1:19" x14ac:dyDescent="0.3">
      <c r="A94" s="367"/>
      <c r="B94" s="367"/>
      <c r="C94" s="367"/>
      <c r="D94" s="367"/>
      <c r="E94" s="108"/>
      <c r="F94" s="108"/>
      <c r="G94" s="367"/>
      <c r="H94" s="94" t="s">
        <v>351</v>
      </c>
      <c r="I94" s="133">
        <v>22</v>
      </c>
      <c r="J94" s="110">
        <f t="shared" si="6"/>
        <v>7.0063694267515917</v>
      </c>
      <c r="K94" s="110"/>
      <c r="L94" s="110"/>
      <c r="M94" s="133">
        <v>2</v>
      </c>
      <c r="N94" s="134">
        <f t="shared" si="7"/>
        <v>38.535031847133752</v>
      </c>
      <c r="O94" s="131">
        <f t="shared" si="8"/>
        <v>1.1242314289622324E-2</v>
      </c>
      <c r="P94" s="131">
        <f>O94*(1+'Key Data'!F$3)</f>
        <v>1.4052892862027905E-2</v>
      </c>
      <c r="Q94" s="366"/>
      <c r="R94" s="366"/>
      <c r="S94" s="397"/>
    </row>
    <row r="95" spans="1:19" x14ac:dyDescent="0.3">
      <c r="A95" s="367"/>
      <c r="B95" s="367"/>
      <c r="C95" s="367"/>
      <c r="D95" s="367"/>
      <c r="E95" s="108"/>
      <c r="F95" s="108"/>
      <c r="G95" s="367"/>
      <c r="H95" s="94" t="s">
        <v>351</v>
      </c>
      <c r="I95" s="133">
        <v>18.399999999999999</v>
      </c>
      <c r="J95" s="110">
        <f t="shared" si="6"/>
        <v>5.8598726114649677</v>
      </c>
      <c r="K95" s="110"/>
      <c r="L95" s="110"/>
      <c r="M95" s="133">
        <v>1.6</v>
      </c>
      <c r="N95" s="134">
        <f t="shared" si="7"/>
        <v>26.955414012738849</v>
      </c>
      <c r="O95" s="131">
        <f t="shared" si="8"/>
        <v>7.8640453014349951E-3</v>
      </c>
      <c r="P95" s="131">
        <f>O95*(1+'Key Data'!F$3)</f>
        <v>9.8300566267937439E-3</v>
      </c>
      <c r="Q95" s="366"/>
      <c r="R95" s="366"/>
      <c r="S95" s="397"/>
    </row>
    <row r="96" spans="1:19" x14ac:dyDescent="0.3">
      <c r="A96" s="367"/>
      <c r="B96" s="367"/>
      <c r="C96" s="367"/>
      <c r="D96" s="367"/>
      <c r="E96" s="108"/>
      <c r="F96" s="108"/>
      <c r="G96" s="367"/>
      <c r="H96" s="94" t="s">
        <v>351</v>
      </c>
      <c r="I96" s="133">
        <v>21</v>
      </c>
      <c r="J96" s="110">
        <f t="shared" si="6"/>
        <v>6.6878980891719744</v>
      </c>
      <c r="K96" s="110"/>
      <c r="L96" s="110"/>
      <c r="M96" s="133">
        <v>1</v>
      </c>
      <c r="N96" s="134">
        <f t="shared" si="7"/>
        <v>35.111464968152866</v>
      </c>
      <c r="O96" s="131">
        <f t="shared" si="8"/>
        <v>1.0243513639924477E-2</v>
      </c>
      <c r="P96" s="131">
        <f>O96*(1+'Key Data'!F$3)</f>
        <v>1.2804392049905597E-2</v>
      </c>
      <c r="Q96" s="366"/>
      <c r="R96" s="366"/>
      <c r="S96" s="397"/>
    </row>
    <row r="97" spans="1:19" x14ac:dyDescent="0.3">
      <c r="A97" s="367"/>
      <c r="B97" s="367"/>
      <c r="C97" s="367"/>
      <c r="D97" s="367"/>
      <c r="E97" s="108"/>
      <c r="F97" s="108"/>
      <c r="G97" s="367"/>
      <c r="H97" s="94" t="s">
        <v>351</v>
      </c>
      <c r="I97" s="133">
        <v>16.8</v>
      </c>
      <c r="J97" s="110">
        <f t="shared" si="6"/>
        <v>5.3503184713375793</v>
      </c>
      <c r="K97" s="110"/>
      <c r="L97" s="110"/>
      <c r="M97" s="133">
        <v>1.2</v>
      </c>
      <c r="N97" s="134">
        <f t="shared" si="7"/>
        <v>22.471337579617835</v>
      </c>
      <c r="O97" s="131">
        <f t="shared" si="8"/>
        <v>6.555848729551666E-3</v>
      </c>
      <c r="P97" s="131">
        <f>O97*(1+'Key Data'!F$3)</f>
        <v>8.1948109119395832E-3</v>
      </c>
      <c r="Q97" s="366"/>
      <c r="R97" s="366"/>
      <c r="S97" s="397"/>
    </row>
    <row r="98" spans="1:19" x14ac:dyDescent="0.3">
      <c r="A98" s="367"/>
      <c r="B98" s="367"/>
      <c r="C98" s="367"/>
      <c r="D98" s="367"/>
      <c r="E98" s="108"/>
      <c r="F98" s="108"/>
      <c r="G98" s="367"/>
      <c r="H98" s="94" t="s">
        <v>351</v>
      </c>
      <c r="I98" s="133">
        <v>17.399999999999999</v>
      </c>
      <c r="J98" s="110">
        <f t="shared" ref="J98:J115" si="9">I98/3.14</f>
        <v>5.5414012738853495</v>
      </c>
      <c r="K98" s="110"/>
      <c r="L98" s="110"/>
      <c r="M98" s="133">
        <v>1</v>
      </c>
      <c r="N98" s="134">
        <f t="shared" ref="N98:N115" si="10">3.14*J98/2*J98/2</f>
        <v>24.105095541401269</v>
      </c>
      <c r="O98" s="131">
        <f t="shared" ref="O98:O115" si="11">(10^(-0.535+LOG10(N98)))/1000</f>
        <v>7.0324856907563165E-3</v>
      </c>
      <c r="P98" s="131">
        <f>O98*(1+'Key Data'!F$3)</f>
        <v>8.7906071134453961E-3</v>
      </c>
      <c r="Q98" s="366"/>
      <c r="R98" s="366"/>
      <c r="S98" s="397"/>
    </row>
    <row r="99" spans="1:19" x14ac:dyDescent="0.3">
      <c r="A99" s="367"/>
      <c r="B99" s="367"/>
      <c r="C99" s="367"/>
      <c r="D99" s="367"/>
      <c r="E99" s="108"/>
      <c r="F99" s="108"/>
      <c r="G99" s="367"/>
      <c r="H99" s="94" t="s">
        <v>351</v>
      </c>
      <c r="I99" s="133">
        <v>22</v>
      </c>
      <c r="J99" s="110">
        <f t="shared" si="9"/>
        <v>7.0063694267515917</v>
      </c>
      <c r="K99" s="110"/>
      <c r="L99" s="110"/>
      <c r="M99" s="133">
        <v>1.6</v>
      </c>
      <c r="N99" s="134">
        <f t="shared" si="10"/>
        <v>38.535031847133752</v>
      </c>
      <c r="O99" s="131">
        <f t="shared" si="11"/>
        <v>1.1242314289622324E-2</v>
      </c>
      <c r="P99" s="131">
        <f>O99*(1+'Key Data'!F$3)</f>
        <v>1.4052892862027905E-2</v>
      </c>
      <c r="Q99" s="366"/>
      <c r="R99" s="366"/>
      <c r="S99" s="397"/>
    </row>
    <row r="100" spans="1:19" x14ac:dyDescent="0.3">
      <c r="A100" s="367"/>
      <c r="B100" s="367"/>
      <c r="C100" s="367"/>
      <c r="D100" s="367"/>
      <c r="E100" s="108"/>
      <c r="F100" s="108"/>
      <c r="G100" s="367"/>
      <c r="H100" s="94" t="s">
        <v>351</v>
      </c>
      <c r="I100" s="133">
        <v>20</v>
      </c>
      <c r="J100" s="110">
        <f t="shared" si="9"/>
        <v>6.3694267515923562</v>
      </c>
      <c r="K100" s="110"/>
      <c r="L100" s="110"/>
      <c r="M100" s="133">
        <v>1.2</v>
      </c>
      <c r="N100" s="134">
        <f t="shared" si="10"/>
        <v>31.847133757961782</v>
      </c>
      <c r="O100" s="131">
        <f t="shared" si="11"/>
        <v>9.2911688343986203E-3</v>
      </c>
      <c r="P100" s="131">
        <f>O100*(1+'Key Data'!F$3)</f>
        <v>1.1613961042998276E-2</v>
      </c>
      <c r="Q100" s="366"/>
      <c r="R100" s="366"/>
      <c r="S100" s="397"/>
    </row>
    <row r="101" spans="1:19" x14ac:dyDescent="0.3">
      <c r="A101" s="367"/>
      <c r="B101" s="367"/>
      <c r="C101" s="367"/>
      <c r="D101" s="367"/>
      <c r="E101" s="108"/>
      <c r="F101" s="108"/>
      <c r="G101" s="367"/>
      <c r="H101" s="94" t="s">
        <v>351</v>
      </c>
      <c r="I101" s="133">
        <v>20.2</v>
      </c>
      <c r="J101" s="110">
        <f t="shared" si="9"/>
        <v>6.4331210191082802</v>
      </c>
      <c r="K101" s="110"/>
      <c r="L101" s="110"/>
      <c r="M101" s="133">
        <v>1</v>
      </c>
      <c r="N101" s="134">
        <f t="shared" si="10"/>
        <v>32.487261146496813</v>
      </c>
      <c r="O101" s="131">
        <f t="shared" si="11"/>
        <v>9.4779213279700333E-3</v>
      </c>
      <c r="P101" s="131">
        <f>O101*(1+'Key Data'!F$3)</f>
        <v>1.1847401659962542E-2</v>
      </c>
      <c r="Q101" s="366"/>
      <c r="R101" s="366"/>
      <c r="S101" s="397"/>
    </row>
    <row r="102" spans="1:19" x14ac:dyDescent="0.3">
      <c r="A102" s="367"/>
      <c r="B102" s="367"/>
      <c r="C102" s="367"/>
      <c r="D102" s="367"/>
      <c r="E102" s="108"/>
      <c r="F102" s="108"/>
      <c r="G102" s="367"/>
      <c r="H102" s="94" t="s">
        <v>351</v>
      </c>
      <c r="I102" s="133">
        <v>18.399999999999999</v>
      </c>
      <c r="J102" s="110">
        <f t="shared" si="9"/>
        <v>5.8598726114649677</v>
      </c>
      <c r="K102" s="110"/>
      <c r="L102" s="110"/>
      <c r="M102" s="133">
        <v>1.3</v>
      </c>
      <c r="N102" s="134">
        <f t="shared" si="10"/>
        <v>26.955414012738849</v>
      </c>
      <c r="O102" s="131">
        <f t="shared" si="11"/>
        <v>7.8640453014349951E-3</v>
      </c>
      <c r="P102" s="131">
        <f>O102*(1+'Key Data'!F$3)</f>
        <v>9.8300566267937439E-3</v>
      </c>
      <c r="Q102" s="366"/>
      <c r="R102" s="366"/>
      <c r="S102" s="397"/>
    </row>
    <row r="103" spans="1:19" x14ac:dyDescent="0.3">
      <c r="A103" s="367"/>
      <c r="B103" s="367"/>
      <c r="C103" s="367"/>
      <c r="D103" s="367"/>
      <c r="E103" s="108"/>
      <c r="F103" s="108"/>
      <c r="G103" s="367"/>
      <c r="H103" s="94" t="s">
        <v>351</v>
      </c>
      <c r="I103" s="133">
        <v>16</v>
      </c>
      <c r="J103" s="110">
        <f t="shared" si="9"/>
        <v>5.0955414012738851</v>
      </c>
      <c r="K103" s="110"/>
      <c r="L103" s="110"/>
      <c r="M103" s="133">
        <v>1</v>
      </c>
      <c r="N103" s="134">
        <f t="shared" si="10"/>
        <v>20.38216560509554</v>
      </c>
      <c r="O103" s="131">
        <f t="shared" si="11"/>
        <v>5.9463480540151185E-3</v>
      </c>
      <c r="P103" s="131">
        <f>O103*(1+'Key Data'!F$3)</f>
        <v>7.4329350675188983E-3</v>
      </c>
      <c r="Q103" s="366"/>
      <c r="R103" s="366"/>
      <c r="S103" s="397"/>
    </row>
    <row r="104" spans="1:19" x14ac:dyDescent="0.3">
      <c r="A104" s="367"/>
      <c r="B104" s="367"/>
      <c r="C104" s="367"/>
      <c r="D104" s="367"/>
      <c r="E104" s="108"/>
      <c r="F104" s="108"/>
      <c r="G104" s="367"/>
      <c r="H104" s="94" t="s">
        <v>351</v>
      </c>
      <c r="I104" s="133">
        <v>23.3</v>
      </c>
      <c r="J104" s="110">
        <f t="shared" si="9"/>
        <v>7.4203821656050959</v>
      </c>
      <c r="K104" s="110"/>
      <c r="L104" s="110"/>
      <c r="M104" s="133">
        <v>2.2999999999999998</v>
      </c>
      <c r="N104" s="134">
        <f t="shared" si="10"/>
        <v>43.223726114649686</v>
      </c>
      <c r="O104" s="131">
        <f t="shared" si="11"/>
        <v>1.2610206621266674E-2</v>
      </c>
      <c r="P104" s="131">
        <f>O104*(1+'Key Data'!F$3)</f>
        <v>1.5762758276583341E-2</v>
      </c>
      <c r="Q104" s="366"/>
      <c r="R104" s="366"/>
      <c r="S104" s="397"/>
    </row>
    <row r="105" spans="1:19" x14ac:dyDescent="0.3">
      <c r="A105" s="367"/>
      <c r="B105" s="367"/>
      <c r="C105" s="367"/>
      <c r="D105" s="367"/>
      <c r="E105" s="108"/>
      <c r="F105" s="108"/>
      <c r="G105" s="367"/>
      <c r="H105" s="94" t="s">
        <v>351</v>
      </c>
      <c r="I105" s="133">
        <v>23.4</v>
      </c>
      <c r="J105" s="110">
        <f t="shared" si="9"/>
        <v>7.452229299363057</v>
      </c>
      <c r="K105" s="110"/>
      <c r="L105" s="110"/>
      <c r="M105" s="133">
        <v>1.6</v>
      </c>
      <c r="N105" s="134">
        <f t="shared" si="10"/>
        <v>43.595541401273884</v>
      </c>
      <c r="O105" s="131">
        <f t="shared" si="11"/>
        <v>1.2718681017408277E-2</v>
      </c>
      <c r="P105" s="131">
        <f>O105*(1+'Key Data'!F$3)</f>
        <v>1.5898351271760345E-2</v>
      </c>
      <c r="Q105" s="366"/>
      <c r="R105" s="366"/>
      <c r="S105" s="397"/>
    </row>
    <row r="106" spans="1:19" x14ac:dyDescent="0.3">
      <c r="A106" s="367"/>
      <c r="B106" s="367"/>
      <c r="C106" s="367"/>
      <c r="D106" s="367"/>
      <c r="E106" s="108"/>
      <c r="F106" s="108"/>
      <c r="G106" s="367"/>
      <c r="H106" s="94" t="s">
        <v>351</v>
      </c>
      <c r="I106" s="133">
        <v>22</v>
      </c>
      <c r="J106" s="110">
        <f t="shared" si="9"/>
        <v>7.0063694267515917</v>
      </c>
      <c r="K106" s="110"/>
      <c r="L106" s="110"/>
      <c r="M106" s="133">
        <v>1.6</v>
      </c>
      <c r="N106" s="134">
        <f t="shared" si="10"/>
        <v>38.535031847133752</v>
      </c>
      <c r="O106" s="131">
        <f t="shared" si="11"/>
        <v>1.1242314289622324E-2</v>
      </c>
      <c r="P106" s="131">
        <f>O106*(1+'Key Data'!F$3)</f>
        <v>1.4052892862027905E-2</v>
      </c>
      <c r="Q106" s="366"/>
      <c r="R106" s="366"/>
      <c r="S106" s="397"/>
    </row>
    <row r="107" spans="1:19" x14ac:dyDescent="0.3">
      <c r="A107" s="367"/>
      <c r="B107" s="367"/>
      <c r="C107" s="367"/>
      <c r="D107" s="367"/>
      <c r="E107" s="108"/>
      <c r="F107" s="108"/>
      <c r="G107" s="367"/>
      <c r="H107" s="94" t="s">
        <v>351</v>
      </c>
      <c r="I107" s="133">
        <v>19</v>
      </c>
      <c r="J107" s="110">
        <f t="shared" si="9"/>
        <v>6.0509554140127388</v>
      </c>
      <c r="K107" s="110"/>
      <c r="L107" s="110"/>
      <c r="M107" s="133">
        <v>2</v>
      </c>
      <c r="N107" s="134">
        <f t="shared" si="10"/>
        <v>28.742038216560509</v>
      </c>
      <c r="O107" s="131">
        <f t="shared" si="11"/>
        <v>8.3852798730447587E-3</v>
      </c>
      <c r="P107" s="131">
        <f>O107*(1+'Key Data'!F$3)</f>
        <v>1.0481599841305948E-2</v>
      </c>
      <c r="Q107" s="366"/>
      <c r="R107" s="366"/>
      <c r="S107" s="397"/>
    </row>
    <row r="108" spans="1:19" x14ac:dyDescent="0.3">
      <c r="A108" s="367"/>
      <c r="B108" s="367"/>
      <c r="C108" s="367"/>
      <c r="D108" s="367"/>
      <c r="E108" s="108"/>
      <c r="F108" s="108"/>
      <c r="G108" s="367"/>
      <c r="H108" s="94" t="s">
        <v>351</v>
      </c>
      <c r="I108" s="133">
        <v>29.3</v>
      </c>
      <c r="J108" s="110">
        <f t="shared" si="9"/>
        <v>9.3312101910828016</v>
      </c>
      <c r="K108" s="110"/>
      <c r="L108" s="110"/>
      <c r="M108" s="133">
        <v>1</v>
      </c>
      <c r="N108" s="134">
        <f t="shared" si="10"/>
        <v>68.35111464968152</v>
      </c>
      <c r="O108" s="131">
        <f t="shared" si="11"/>
        <v>1.9940938831607191E-2</v>
      </c>
      <c r="P108" s="131">
        <f>O108*(1+'Key Data'!F$3)</f>
        <v>2.4926173539508989E-2</v>
      </c>
      <c r="Q108" s="366"/>
      <c r="R108" s="366"/>
      <c r="S108" s="397"/>
    </row>
    <row r="109" spans="1:19" x14ac:dyDescent="0.3">
      <c r="A109" s="367"/>
      <c r="B109" s="367"/>
      <c r="C109" s="367"/>
      <c r="D109" s="367"/>
      <c r="E109" s="108"/>
      <c r="F109" s="108"/>
      <c r="G109" s="367"/>
      <c r="H109" s="94" t="s">
        <v>351</v>
      </c>
      <c r="I109" s="133">
        <v>22.2</v>
      </c>
      <c r="J109" s="110">
        <f t="shared" si="9"/>
        <v>7.0700636942675157</v>
      </c>
      <c r="K109" s="110"/>
      <c r="L109" s="110"/>
      <c r="M109" s="133">
        <v>1.8</v>
      </c>
      <c r="N109" s="134">
        <f t="shared" si="10"/>
        <v>39.238853503184714</v>
      </c>
      <c r="O109" s="131">
        <f t="shared" si="11"/>
        <v>1.1447649120862541E-2</v>
      </c>
      <c r="P109" s="131">
        <f>O109*(1+'Key Data'!F$3)</f>
        <v>1.4309561401078176E-2</v>
      </c>
      <c r="Q109" s="366"/>
      <c r="R109" s="366"/>
      <c r="S109" s="397"/>
    </row>
    <row r="110" spans="1:19" x14ac:dyDescent="0.3">
      <c r="A110" s="367"/>
      <c r="B110" s="367"/>
      <c r="C110" s="367"/>
      <c r="D110" s="367"/>
      <c r="E110" s="108"/>
      <c r="F110" s="108"/>
      <c r="G110" s="367"/>
      <c r="H110" s="94" t="s">
        <v>351</v>
      </c>
      <c r="I110" s="133">
        <v>23.6</v>
      </c>
      <c r="J110" s="110">
        <f t="shared" si="9"/>
        <v>7.515923566878981</v>
      </c>
      <c r="K110" s="110"/>
      <c r="L110" s="110"/>
      <c r="M110" s="133">
        <v>2</v>
      </c>
      <c r="N110" s="134">
        <f t="shared" si="10"/>
        <v>44.34394904458599</v>
      </c>
      <c r="O110" s="131">
        <f t="shared" si="11"/>
        <v>1.2937023485016649E-2</v>
      </c>
      <c r="P110" s="131">
        <f>O110*(1+'Key Data'!F$3)</f>
        <v>1.6171279356270812E-2</v>
      </c>
      <c r="Q110" s="366"/>
      <c r="R110" s="366"/>
      <c r="S110" s="397"/>
    </row>
    <row r="111" spans="1:19" x14ac:dyDescent="0.3">
      <c r="A111" s="367"/>
      <c r="B111" s="367"/>
      <c r="C111" s="367"/>
      <c r="D111" s="367"/>
      <c r="E111" s="108"/>
      <c r="F111" s="108"/>
      <c r="G111" s="367"/>
      <c r="H111" s="94" t="s">
        <v>351</v>
      </c>
      <c r="I111" s="133">
        <v>19.8</v>
      </c>
      <c r="J111" s="110">
        <f t="shared" si="9"/>
        <v>6.3057324840764331</v>
      </c>
      <c r="K111" s="110"/>
      <c r="L111" s="110"/>
      <c r="M111" s="133">
        <v>2.2999999999999998</v>
      </c>
      <c r="N111" s="134">
        <f t="shared" si="10"/>
        <v>31.213375796178344</v>
      </c>
      <c r="O111" s="131">
        <f t="shared" si="11"/>
        <v>9.1062745745940903E-3</v>
      </c>
      <c r="P111" s="131">
        <f>O111*(1+'Key Data'!F$3)</f>
        <v>1.1382843218242613E-2</v>
      </c>
      <c r="Q111" s="366"/>
      <c r="R111" s="366"/>
      <c r="S111" s="397"/>
    </row>
    <row r="112" spans="1:19" x14ac:dyDescent="0.3">
      <c r="A112" s="367"/>
      <c r="B112" s="367"/>
      <c r="C112" s="367"/>
      <c r="D112" s="367"/>
      <c r="E112" s="108"/>
      <c r="F112" s="108"/>
      <c r="G112" s="367"/>
      <c r="H112" s="94" t="s">
        <v>351</v>
      </c>
      <c r="I112" s="133">
        <v>22.4</v>
      </c>
      <c r="J112" s="110">
        <f t="shared" si="9"/>
        <v>7.1337579617834388</v>
      </c>
      <c r="K112" s="110"/>
      <c r="L112" s="110"/>
      <c r="M112" s="133">
        <v>1.8</v>
      </c>
      <c r="N112" s="134">
        <f t="shared" si="10"/>
        <v>39.949044585987252</v>
      </c>
      <c r="O112" s="131">
        <f t="shared" si="11"/>
        <v>1.1654842185869626E-2</v>
      </c>
      <c r="P112" s="131">
        <f>O112*(1+'Key Data'!F$3)</f>
        <v>1.4568552732337032E-2</v>
      </c>
      <c r="Q112" s="366"/>
      <c r="R112" s="366"/>
      <c r="S112" s="397"/>
    </row>
    <row r="113" spans="1:19" x14ac:dyDescent="0.3">
      <c r="A113" s="367"/>
      <c r="B113" s="367"/>
      <c r="C113" s="367"/>
      <c r="D113" s="367"/>
      <c r="E113" s="108"/>
      <c r="F113" s="108"/>
      <c r="G113" s="367"/>
      <c r="H113" s="94" t="s">
        <v>351</v>
      </c>
      <c r="I113" s="133">
        <v>20</v>
      </c>
      <c r="J113" s="110">
        <f t="shared" si="9"/>
        <v>6.3694267515923562</v>
      </c>
      <c r="K113" s="110"/>
      <c r="L113" s="110"/>
      <c r="M113" s="133">
        <v>1.6</v>
      </c>
      <c r="N113" s="134">
        <f t="shared" si="10"/>
        <v>31.847133757961782</v>
      </c>
      <c r="O113" s="131">
        <f t="shared" si="11"/>
        <v>9.2911688343986203E-3</v>
      </c>
      <c r="P113" s="131">
        <f>O113*(1+'Key Data'!F$3)</f>
        <v>1.1613961042998276E-2</v>
      </c>
      <c r="Q113" s="366"/>
      <c r="R113" s="366"/>
      <c r="S113" s="397"/>
    </row>
    <row r="114" spans="1:19" x14ac:dyDescent="0.3">
      <c r="A114" s="367"/>
      <c r="B114" s="367"/>
      <c r="C114" s="367"/>
      <c r="D114" s="367"/>
      <c r="E114" s="108"/>
      <c r="F114" s="108"/>
      <c r="G114" s="367"/>
      <c r="H114" s="94" t="s">
        <v>351</v>
      </c>
      <c r="I114" s="133">
        <v>23.4</v>
      </c>
      <c r="J114" s="110">
        <f t="shared" si="9"/>
        <v>7.452229299363057</v>
      </c>
      <c r="K114" s="110"/>
      <c r="L114" s="110"/>
      <c r="M114" s="133">
        <v>2.2000000000000002</v>
      </c>
      <c r="N114" s="134">
        <f t="shared" si="10"/>
        <v>43.595541401273884</v>
      </c>
      <c r="O114" s="131">
        <f t="shared" si="11"/>
        <v>1.2718681017408277E-2</v>
      </c>
      <c r="P114" s="131">
        <f>O114*(1+'Key Data'!F$3)</f>
        <v>1.5898351271760345E-2</v>
      </c>
      <c r="Q114" s="366"/>
      <c r="R114" s="366"/>
      <c r="S114" s="397"/>
    </row>
    <row r="115" spans="1:19" x14ac:dyDescent="0.3">
      <c r="A115" s="367"/>
      <c r="B115" s="367"/>
      <c r="C115" s="367"/>
      <c r="D115" s="367"/>
      <c r="E115" s="108"/>
      <c r="F115" s="108"/>
      <c r="G115" s="367"/>
      <c r="H115" s="94" t="s">
        <v>351</v>
      </c>
      <c r="I115" s="133">
        <v>19.8</v>
      </c>
      <c r="J115" s="110">
        <f t="shared" si="9"/>
        <v>6.3057324840764331</v>
      </c>
      <c r="K115" s="110"/>
      <c r="L115" s="110"/>
      <c r="M115" s="133">
        <v>1</v>
      </c>
      <c r="N115" s="134">
        <f t="shared" si="10"/>
        <v>31.213375796178344</v>
      </c>
      <c r="O115" s="131">
        <f t="shared" si="11"/>
        <v>9.1062745745940903E-3</v>
      </c>
      <c r="P115" s="131">
        <f>O115*(1+'Key Data'!F$3)</f>
        <v>1.1382843218242613E-2</v>
      </c>
      <c r="Q115" s="366"/>
      <c r="R115" s="366"/>
      <c r="S115" s="397"/>
    </row>
    <row r="116" spans="1:19" ht="15" x14ac:dyDescent="0.35">
      <c r="A116" s="398">
        <v>4</v>
      </c>
      <c r="B116" s="400" t="s">
        <v>353</v>
      </c>
      <c r="C116" s="400" t="s">
        <v>354</v>
      </c>
      <c r="D116" s="400" t="s">
        <v>452</v>
      </c>
      <c r="E116" s="402">
        <v>27.196487999999999</v>
      </c>
      <c r="F116" s="402">
        <v>94.456001000000001</v>
      </c>
      <c r="G116" s="403">
        <v>2020</v>
      </c>
      <c r="H116" s="72" t="s">
        <v>357</v>
      </c>
      <c r="I116" s="226"/>
      <c r="J116" s="226"/>
      <c r="K116" s="227">
        <v>23.8</v>
      </c>
      <c r="L116" s="227">
        <f t="shared" ref="L116:L153" si="12">K116/3.14</f>
        <v>7.5796178343949041</v>
      </c>
      <c r="M116" s="226"/>
      <c r="N116" s="184"/>
      <c r="O116" s="228">
        <f t="shared" ref="O116:O153" si="13">((0.18*L116^2.16)*1.32)/1000</f>
        <v>1.8874898449129582E-2</v>
      </c>
      <c r="P116" s="138">
        <f>O116*(1+'Key Data'!F$3)</f>
        <v>2.3593623061411977E-2</v>
      </c>
      <c r="Q116" s="404">
        <f>SUM(P116:P153)</f>
        <v>0.69003676351709442</v>
      </c>
      <c r="R116" s="404">
        <f>Q116*10000/900</f>
        <v>7.6670751501899383</v>
      </c>
      <c r="S116" s="397"/>
    </row>
    <row r="117" spans="1:19" ht="15" x14ac:dyDescent="0.35">
      <c r="A117" s="398"/>
      <c r="B117" s="400"/>
      <c r="C117" s="400"/>
      <c r="D117" s="400"/>
      <c r="E117" s="402"/>
      <c r="F117" s="402"/>
      <c r="G117" s="403"/>
      <c r="H117" s="72" t="s">
        <v>357</v>
      </c>
      <c r="I117" s="226"/>
      <c r="J117" s="226"/>
      <c r="K117" s="227">
        <v>21.92</v>
      </c>
      <c r="L117" s="227">
        <f t="shared" si="12"/>
        <v>6.9808917197452232</v>
      </c>
      <c r="M117" s="226"/>
      <c r="N117" s="184"/>
      <c r="O117" s="228">
        <f t="shared" si="13"/>
        <v>1.580134240508857E-2</v>
      </c>
      <c r="P117" s="138">
        <f>O117*(1+'Key Data'!F$3)</f>
        <v>1.9751678006360712E-2</v>
      </c>
      <c r="Q117" s="404"/>
      <c r="R117" s="404"/>
      <c r="S117" s="397"/>
    </row>
    <row r="118" spans="1:19" ht="15" x14ac:dyDescent="0.35">
      <c r="A118" s="398"/>
      <c r="B118" s="400"/>
      <c r="C118" s="400"/>
      <c r="D118" s="400"/>
      <c r="E118" s="402"/>
      <c r="F118" s="402"/>
      <c r="G118" s="403"/>
      <c r="H118" s="72" t="s">
        <v>357</v>
      </c>
      <c r="I118" s="226"/>
      <c r="J118" s="226"/>
      <c r="K118" s="227">
        <v>12.3</v>
      </c>
      <c r="L118" s="227">
        <f t="shared" si="12"/>
        <v>3.9171974522292996</v>
      </c>
      <c r="M118" s="226"/>
      <c r="N118" s="184"/>
      <c r="O118" s="228">
        <f t="shared" si="13"/>
        <v>4.5360040868953639E-3</v>
      </c>
      <c r="P118" s="138">
        <f>O118*(1+'Key Data'!F$3)</f>
        <v>5.6700051086192044E-3</v>
      </c>
      <c r="Q118" s="404"/>
      <c r="R118" s="404"/>
      <c r="S118" s="397"/>
    </row>
    <row r="119" spans="1:19" ht="15" x14ac:dyDescent="0.35">
      <c r="A119" s="398"/>
      <c r="B119" s="400"/>
      <c r="C119" s="400"/>
      <c r="D119" s="400"/>
      <c r="E119" s="402"/>
      <c r="F119" s="402"/>
      <c r="G119" s="403"/>
      <c r="H119" s="72" t="s">
        <v>357</v>
      </c>
      <c r="I119" s="226"/>
      <c r="J119" s="226"/>
      <c r="K119" s="227">
        <v>12.8</v>
      </c>
      <c r="L119" s="227">
        <f t="shared" si="12"/>
        <v>4.0764331210191083</v>
      </c>
      <c r="M119" s="226"/>
      <c r="N119" s="184"/>
      <c r="O119" s="228">
        <f t="shared" si="13"/>
        <v>4.9436979788941415E-3</v>
      </c>
      <c r="P119" s="138">
        <f>O119*(1+'Key Data'!F$3)</f>
        <v>6.1796224736176773E-3</v>
      </c>
      <c r="Q119" s="404"/>
      <c r="R119" s="404"/>
      <c r="S119" s="397"/>
    </row>
    <row r="120" spans="1:19" ht="15" x14ac:dyDescent="0.35">
      <c r="A120" s="398"/>
      <c r="B120" s="400"/>
      <c r="C120" s="400"/>
      <c r="D120" s="400"/>
      <c r="E120" s="402"/>
      <c r="F120" s="402"/>
      <c r="G120" s="403"/>
      <c r="H120" s="72" t="s">
        <v>357</v>
      </c>
      <c r="I120" s="226"/>
      <c r="J120" s="226"/>
      <c r="K120" s="227">
        <v>18.2</v>
      </c>
      <c r="L120" s="227">
        <f t="shared" si="12"/>
        <v>5.7961783439490437</v>
      </c>
      <c r="M120" s="226"/>
      <c r="N120" s="184"/>
      <c r="O120" s="228">
        <f t="shared" si="13"/>
        <v>1.057383659155787E-2</v>
      </c>
      <c r="P120" s="138">
        <f>O120*(1+'Key Data'!F$3)</f>
        <v>1.3217295739447337E-2</v>
      </c>
      <c r="Q120" s="404"/>
      <c r="R120" s="404"/>
      <c r="S120" s="397"/>
    </row>
    <row r="121" spans="1:19" ht="15" x14ac:dyDescent="0.35">
      <c r="A121" s="398"/>
      <c r="B121" s="400"/>
      <c r="C121" s="400"/>
      <c r="D121" s="400"/>
      <c r="E121" s="402"/>
      <c r="F121" s="402"/>
      <c r="G121" s="403"/>
      <c r="H121" s="72" t="s">
        <v>357</v>
      </c>
      <c r="I121" s="226"/>
      <c r="J121" s="226"/>
      <c r="K121" s="227">
        <v>22.3</v>
      </c>
      <c r="L121" s="227">
        <f t="shared" si="12"/>
        <v>7.1019108280254777</v>
      </c>
      <c r="M121" s="226"/>
      <c r="N121" s="184"/>
      <c r="O121" s="228">
        <f t="shared" si="13"/>
        <v>1.639898243346969E-2</v>
      </c>
      <c r="P121" s="138">
        <f>O121*(1+'Key Data'!F$3)</f>
        <v>2.0498728041837111E-2</v>
      </c>
      <c r="Q121" s="404"/>
      <c r="R121" s="404"/>
      <c r="S121" s="397"/>
    </row>
    <row r="122" spans="1:19" ht="15" x14ac:dyDescent="0.35">
      <c r="A122" s="398"/>
      <c r="B122" s="400"/>
      <c r="C122" s="400"/>
      <c r="D122" s="400"/>
      <c r="E122" s="402"/>
      <c r="F122" s="402"/>
      <c r="G122" s="403"/>
      <c r="H122" s="72" t="s">
        <v>357</v>
      </c>
      <c r="I122" s="226"/>
      <c r="J122" s="226"/>
      <c r="K122" s="227">
        <v>17</v>
      </c>
      <c r="L122" s="227">
        <f t="shared" si="12"/>
        <v>5.4140127388535033</v>
      </c>
      <c r="M122" s="226"/>
      <c r="N122" s="184"/>
      <c r="O122" s="228">
        <f t="shared" si="13"/>
        <v>9.1253192379756737E-3</v>
      </c>
      <c r="P122" s="138">
        <f>O122*(1+'Key Data'!F$3)</f>
        <v>1.1406649047469592E-2</v>
      </c>
      <c r="Q122" s="404"/>
      <c r="R122" s="404"/>
      <c r="S122" s="397"/>
    </row>
    <row r="123" spans="1:19" ht="15" x14ac:dyDescent="0.35">
      <c r="A123" s="398"/>
      <c r="B123" s="400"/>
      <c r="C123" s="400"/>
      <c r="D123" s="400"/>
      <c r="E123" s="402"/>
      <c r="F123" s="402"/>
      <c r="G123" s="403"/>
      <c r="H123" s="72" t="s">
        <v>357</v>
      </c>
      <c r="I123" s="226"/>
      <c r="J123" s="226"/>
      <c r="K123" s="227">
        <v>14.9</v>
      </c>
      <c r="L123" s="227">
        <f t="shared" si="12"/>
        <v>4.7452229299363058</v>
      </c>
      <c r="M123" s="226"/>
      <c r="N123" s="184"/>
      <c r="O123" s="228">
        <f t="shared" si="13"/>
        <v>6.8637386133427267E-3</v>
      </c>
      <c r="P123" s="138">
        <f>O123*(1+'Key Data'!F$3)</f>
        <v>8.579673266678408E-3</v>
      </c>
      <c r="Q123" s="404"/>
      <c r="R123" s="404"/>
      <c r="S123" s="397"/>
    </row>
    <row r="124" spans="1:19" ht="15" x14ac:dyDescent="0.35">
      <c r="A124" s="398"/>
      <c r="B124" s="400"/>
      <c r="C124" s="400"/>
      <c r="D124" s="400"/>
      <c r="E124" s="402"/>
      <c r="F124" s="402"/>
      <c r="G124" s="403"/>
      <c r="H124" s="72" t="s">
        <v>357</v>
      </c>
      <c r="I124" s="226"/>
      <c r="J124" s="226"/>
      <c r="K124" s="227">
        <v>19.2</v>
      </c>
      <c r="L124" s="227">
        <f t="shared" si="12"/>
        <v>6.114649681528662</v>
      </c>
      <c r="M124" s="226"/>
      <c r="N124" s="184"/>
      <c r="O124" s="228">
        <f t="shared" si="13"/>
        <v>1.1868861184753859E-2</v>
      </c>
      <c r="P124" s="138">
        <f>O124*(1+'Key Data'!F$3)</f>
        <v>1.4836076480942324E-2</v>
      </c>
      <c r="Q124" s="404"/>
      <c r="R124" s="404"/>
      <c r="S124" s="397"/>
    </row>
    <row r="125" spans="1:19" ht="15" x14ac:dyDescent="0.35">
      <c r="A125" s="398"/>
      <c r="B125" s="400"/>
      <c r="C125" s="400"/>
      <c r="D125" s="400"/>
      <c r="E125" s="402"/>
      <c r="F125" s="402"/>
      <c r="G125" s="403"/>
      <c r="H125" s="72" t="s">
        <v>357</v>
      </c>
      <c r="I125" s="226"/>
      <c r="J125" s="226"/>
      <c r="K125" s="227">
        <v>22.5</v>
      </c>
      <c r="L125" s="227">
        <f t="shared" si="12"/>
        <v>7.1656050955414008</v>
      </c>
      <c r="M125" s="226"/>
      <c r="N125" s="184"/>
      <c r="O125" s="228">
        <f t="shared" si="13"/>
        <v>1.671832007412662E-2</v>
      </c>
      <c r="P125" s="138">
        <f>O125*(1+'Key Data'!F$3)</f>
        <v>2.0897900092658274E-2</v>
      </c>
      <c r="Q125" s="404"/>
      <c r="R125" s="404"/>
      <c r="S125" s="397"/>
    </row>
    <row r="126" spans="1:19" ht="15" x14ac:dyDescent="0.35">
      <c r="A126" s="398"/>
      <c r="B126" s="400"/>
      <c r="C126" s="400"/>
      <c r="D126" s="400"/>
      <c r="E126" s="402"/>
      <c r="F126" s="402"/>
      <c r="G126" s="403"/>
      <c r="H126" s="72" t="s">
        <v>357</v>
      </c>
      <c r="I126" s="226"/>
      <c r="J126" s="226"/>
      <c r="K126" s="227">
        <v>15</v>
      </c>
      <c r="L126" s="227">
        <f t="shared" si="12"/>
        <v>4.7770700636942669</v>
      </c>
      <c r="M126" s="226"/>
      <c r="N126" s="184"/>
      <c r="O126" s="228">
        <f t="shared" si="13"/>
        <v>6.9636272490180874E-3</v>
      </c>
      <c r="P126" s="138">
        <f>O126*(1+'Key Data'!F$3)</f>
        <v>8.7045340612726084E-3</v>
      </c>
      <c r="Q126" s="404"/>
      <c r="R126" s="404"/>
      <c r="S126" s="397"/>
    </row>
    <row r="127" spans="1:19" ht="15" x14ac:dyDescent="0.35">
      <c r="A127" s="398"/>
      <c r="B127" s="400"/>
      <c r="C127" s="400"/>
      <c r="D127" s="400"/>
      <c r="E127" s="402"/>
      <c r="F127" s="402"/>
      <c r="G127" s="403"/>
      <c r="H127" s="72" t="s">
        <v>357</v>
      </c>
      <c r="I127" s="226"/>
      <c r="J127" s="226"/>
      <c r="K127" s="227">
        <v>12.3</v>
      </c>
      <c r="L127" s="227">
        <f t="shared" si="12"/>
        <v>3.9171974522292996</v>
      </c>
      <c r="M127" s="226"/>
      <c r="N127" s="184"/>
      <c r="O127" s="228">
        <f t="shared" si="13"/>
        <v>4.5360040868953639E-3</v>
      </c>
      <c r="P127" s="138">
        <f>O127*(1+'Key Data'!F$3)</f>
        <v>5.6700051086192044E-3</v>
      </c>
      <c r="Q127" s="404"/>
      <c r="R127" s="404"/>
      <c r="S127" s="397"/>
    </row>
    <row r="128" spans="1:19" ht="15" x14ac:dyDescent="0.35">
      <c r="A128" s="398"/>
      <c r="B128" s="400"/>
      <c r="C128" s="400"/>
      <c r="D128" s="400"/>
      <c r="E128" s="402"/>
      <c r="F128" s="402"/>
      <c r="G128" s="403"/>
      <c r="H128" s="72" t="s">
        <v>357</v>
      </c>
      <c r="I128" s="226"/>
      <c r="J128" s="226"/>
      <c r="K128" s="227">
        <v>22.5</v>
      </c>
      <c r="L128" s="227">
        <f t="shared" si="12"/>
        <v>7.1656050955414008</v>
      </c>
      <c r="M128" s="226"/>
      <c r="N128" s="184"/>
      <c r="O128" s="228">
        <f t="shared" si="13"/>
        <v>1.671832007412662E-2</v>
      </c>
      <c r="P128" s="138">
        <f>O128*(1+'Key Data'!F$3)</f>
        <v>2.0897900092658274E-2</v>
      </c>
      <c r="Q128" s="404"/>
      <c r="R128" s="404"/>
      <c r="S128" s="397"/>
    </row>
    <row r="129" spans="1:19" ht="15" x14ac:dyDescent="0.35">
      <c r="A129" s="398"/>
      <c r="B129" s="400"/>
      <c r="C129" s="400"/>
      <c r="D129" s="400"/>
      <c r="E129" s="402"/>
      <c r="F129" s="402"/>
      <c r="G129" s="403"/>
      <c r="H129" s="72" t="s">
        <v>357</v>
      </c>
      <c r="I129" s="226"/>
      <c r="J129" s="226"/>
      <c r="K129" s="227">
        <v>18.8</v>
      </c>
      <c r="L129" s="227">
        <f t="shared" si="12"/>
        <v>5.9872611464968148</v>
      </c>
      <c r="M129" s="226"/>
      <c r="N129" s="184"/>
      <c r="O129" s="228">
        <f t="shared" si="13"/>
        <v>1.1341208922323803E-2</v>
      </c>
      <c r="P129" s="138">
        <f>O129*(1+'Key Data'!F$3)</f>
        <v>1.4176511152904754E-2</v>
      </c>
      <c r="Q129" s="404"/>
      <c r="R129" s="404"/>
      <c r="S129" s="397"/>
    </row>
    <row r="130" spans="1:19" ht="15" x14ac:dyDescent="0.35">
      <c r="A130" s="398"/>
      <c r="B130" s="400"/>
      <c r="C130" s="400"/>
      <c r="D130" s="400"/>
      <c r="E130" s="402"/>
      <c r="F130" s="402"/>
      <c r="G130" s="403"/>
      <c r="H130" s="72" t="s">
        <v>357</v>
      </c>
      <c r="I130" s="226"/>
      <c r="J130" s="226"/>
      <c r="K130" s="227">
        <v>10.3</v>
      </c>
      <c r="L130" s="227">
        <f t="shared" si="12"/>
        <v>3.2802547770700636</v>
      </c>
      <c r="M130" s="226"/>
      <c r="N130" s="184"/>
      <c r="O130" s="228">
        <f t="shared" si="13"/>
        <v>3.0917673161600322E-3</v>
      </c>
      <c r="P130" s="138">
        <f>O130*(1+'Key Data'!F$3)</f>
        <v>3.8647091452000404E-3</v>
      </c>
      <c r="Q130" s="404"/>
      <c r="R130" s="404"/>
      <c r="S130" s="397"/>
    </row>
    <row r="131" spans="1:19" ht="15" x14ac:dyDescent="0.35">
      <c r="A131" s="398"/>
      <c r="B131" s="400"/>
      <c r="C131" s="400"/>
      <c r="D131" s="400"/>
      <c r="E131" s="402"/>
      <c r="F131" s="402"/>
      <c r="G131" s="403"/>
      <c r="H131" s="72" t="s">
        <v>357</v>
      </c>
      <c r="I131" s="226"/>
      <c r="J131" s="226"/>
      <c r="K131" s="227">
        <v>16.8</v>
      </c>
      <c r="L131" s="227">
        <f t="shared" si="12"/>
        <v>5.3503184713375793</v>
      </c>
      <c r="M131" s="226"/>
      <c r="N131" s="184"/>
      <c r="O131" s="228">
        <f t="shared" si="13"/>
        <v>8.8950100887583532E-3</v>
      </c>
      <c r="P131" s="138">
        <f>O131*(1+'Key Data'!F$3)</f>
        <v>1.1118762610947942E-2</v>
      </c>
      <c r="Q131" s="404"/>
      <c r="R131" s="404"/>
      <c r="S131" s="397"/>
    </row>
    <row r="132" spans="1:19" ht="15" x14ac:dyDescent="0.35">
      <c r="A132" s="398"/>
      <c r="B132" s="400"/>
      <c r="C132" s="400"/>
      <c r="D132" s="400"/>
      <c r="E132" s="402"/>
      <c r="F132" s="402"/>
      <c r="G132" s="403"/>
      <c r="H132" s="72" t="s">
        <v>357</v>
      </c>
      <c r="I132" s="226"/>
      <c r="J132" s="226"/>
      <c r="K132" s="227">
        <v>18.3</v>
      </c>
      <c r="L132" s="227">
        <f t="shared" si="12"/>
        <v>5.8280254777070066</v>
      </c>
      <c r="M132" s="226"/>
      <c r="N132" s="184"/>
      <c r="O132" s="228">
        <f t="shared" si="13"/>
        <v>1.0699728314198895E-2</v>
      </c>
      <c r="P132" s="138">
        <f>O132*(1+'Key Data'!F$3)</f>
        <v>1.3374660392748618E-2</v>
      </c>
      <c r="Q132" s="404"/>
      <c r="R132" s="404"/>
      <c r="S132" s="397"/>
    </row>
    <row r="133" spans="1:19" ht="15" x14ac:dyDescent="0.35">
      <c r="A133" s="398"/>
      <c r="B133" s="400"/>
      <c r="C133" s="400"/>
      <c r="D133" s="400"/>
      <c r="E133" s="402"/>
      <c r="F133" s="402"/>
      <c r="G133" s="403"/>
      <c r="H133" s="72" t="s">
        <v>357</v>
      </c>
      <c r="I133" s="226"/>
      <c r="J133" s="226"/>
      <c r="K133" s="227">
        <v>17.399999999999999</v>
      </c>
      <c r="L133" s="227">
        <f t="shared" si="12"/>
        <v>5.5414012738853495</v>
      </c>
      <c r="M133" s="226"/>
      <c r="N133" s="184"/>
      <c r="O133" s="228">
        <f t="shared" si="13"/>
        <v>9.5954373179740777E-3</v>
      </c>
      <c r="P133" s="138">
        <f>O133*(1+'Key Data'!F$3)</f>
        <v>1.1994296647467597E-2</v>
      </c>
      <c r="Q133" s="404"/>
      <c r="R133" s="404"/>
      <c r="S133" s="397"/>
    </row>
    <row r="134" spans="1:19" ht="15" x14ac:dyDescent="0.35">
      <c r="A134" s="398"/>
      <c r="B134" s="400"/>
      <c r="C134" s="400"/>
      <c r="D134" s="400"/>
      <c r="E134" s="402"/>
      <c r="F134" s="402"/>
      <c r="G134" s="403"/>
      <c r="H134" s="72" t="s">
        <v>357</v>
      </c>
      <c r="I134" s="226"/>
      <c r="J134" s="226"/>
      <c r="K134" s="227">
        <v>29.9</v>
      </c>
      <c r="L134" s="227">
        <f t="shared" si="12"/>
        <v>9.5222929936305718</v>
      </c>
      <c r="M134" s="226"/>
      <c r="N134" s="184"/>
      <c r="O134" s="228">
        <f t="shared" si="13"/>
        <v>3.0897843083227353E-2</v>
      </c>
      <c r="P134" s="138">
        <f>O134*(1+'Key Data'!F$3)</f>
        <v>3.8622303854034194E-2</v>
      </c>
      <c r="Q134" s="404"/>
      <c r="R134" s="404"/>
      <c r="S134" s="397"/>
    </row>
    <row r="135" spans="1:19" ht="15" x14ac:dyDescent="0.35">
      <c r="A135" s="398"/>
      <c r="B135" s="400"/>
      <c r="C135" s="400"/>
      <c r="D135" s="400"/>
      <c r="E135" s="402"/>
      <c r="F135" s="402"/>
      <c r="G135" s="403"/>
      <c r="H135" s="72" t="s">
        <v>357</v>
      </c>
      <c r="I135" s="226"/>
      <c r="J135" s="226"/>
      <c r="K135" s="227">
        <v>19.399999999999999</v>
      </c>
      <c r="L135" s="227">
        <f t="shared" si="12"/>
        <v>6.1783439490445851</v>
      </c>
      <c r="M135" s="226"/>
      <c r="N135" s="184"/>
      <c r="O135" s="228">
        <f t="shared" si="13"/>
        <v>1.2137524879121127E-2</v>
      </c>
      <c r="P135" s="138">
        <f>O135*(1+'Key Data'!F$3)</f>
        <v>1.5171906098901409E-2</v>
      </c>
      <c r="Q135" s="404"/>
      <c r="R135" s="404"/>
      <c r="S135" s="397"/>
    </row>
    <row r="136" spans="1:19" ht="15" x14ac:dyDescent="0.35">
      <c r="A136" s="398"/>
      <c r="B136" s="400"/>
      <c r="C136" s="400"/>
      <c r="D136" s="400"/>
      <c r="E136" s="402"/>
      <c r="F136" s="402"/>
      <c r="G136" s="403"/>
      <c r="H136" s="72" t="s">
        <v>357</v>
      </c>
      <c r="I136" s="226"/>
      <c r="J136" s="226"/>
      <c r="K136" s="227">
        <v>24.2</v>
      </c>
      <c r="L136" s="227">
        <f t="shared" si="12"/>
        <v>7.7070063694267512</v>
      </c>
      <c r="M136" s="226"/>
      <c r="N136" s="184"/>
      <c r="O136" s="228">
        <f t="shared" si="13"/>
        <v>1.9566790135543726E-2</v>
      </c>
      <c r="P136" s="138">
        <f>O136*(1+'Key Data'!F$3)</f>
        <v>2.4458487669429659E-2</v>
      </c>
      <c r="Q136" s="404"/>
      <c r="R136" s="404"/>
      <c r="S136" s="397"/>
    </row>
    <row r="137" spans="1:19" ht="15" x14ac:dyDescent="0.35">
      <c r="A137" s="398"/>
      <c r="B137" s="400"/>
      <c r="C137" s="400"/>
      <c r="D137" s="400"/>
      <c r="E137" s="402"/>
      <c r="F137" s="402"/>
      <c r="G137" s="403"/>
      <c r="H137" s="72" t="s">
        <v>357</v>
      </c>
      <c r="I137" s="226"/>
      <c r="J137" s="226"/>
      <c r="K137" s="227">
        <v>16.5</v>
      </c>
      <c r="L137" s="227">
        <f t="shared" si="12"/>
        <v>5.2547770700636942</v>
      </c>
      <c r="M137" s="226"/>
      <c r="N137" s="184"/>
      <c r="O137" s="228">
        <f t="shared" si="13"/>
        <v>8.5554669112145546E-3</v>
      </c>
      <c r="P137" s="138">
        <f>O137*(1+'Key Data'!F$3)</f>
        <v>1.0694333639018193E-2</v>
      </c>
      <c r="Q137" s="404"/>
      <c r="R137" s="404"/>
      <c r="S137" s="397"/>
    </row>
    <row r="138" spans="1:19" ht="15" x14ac:dyDescent="0.35">
      <c r="A138" s="398"/>
      <c r="B138" s="400"/>
      <c r="C138" s="400"/>
      <c r="D138" s="400"/>
      <c r="E138" s="402"/>
      <c r="F138" s="402"/>
      <c r="G138" s="403"/>
      <c r="H138" s="72" t="s">
        <v>357</v>
      </c>
      <c r="I138" s="226"/>
      <c r="J138" s="226"/>
      <c r="K138" s="227">
        <v>19.5</v>
      </c>
      <c r="L138" s="227">
        <f t="shared" si="12"/>
        <v>6.2101910828025479</v>
      </c>
      <c r="M138" s="226"/>
      <c r="N138" s="184"/>
      <c r="O138" s="228">
        <f t="shared" si="13"/>
        <v>1.2273068467502273E-2</v>
      </c>
      <c r="P138" s="138">
        <f>O138*(1+'Key Data'!F$3)</f>
        <v>1.5341335584377841E-2</v>
      </c>
      <c r="Q138" s="404"/>
      <c r="R138" s="404"/>
      <c r="S138" s="397"/>
    </row>
    <row r="139" spans="1:19" ht="15" x14ac:dyDescent="0.35">
      <c r="A139" s="398"/>
      <c r="B139" s="400"/>
      <c r="C139" s="400"/>
      <c r="D139" s="400"/>
      <c r="E139" s="402"/>
      <c r="F139" s="402"/>
      <c r="G139" s="403"/>
      <c r="H139" s="72" t="s">
        <v>357</v>
      </c>
      <c r="I139" s="226"/>
      <c r="J139" s="226"/>
      <c r="K139" s="227">
        <v>24</v>
      </c>
      <c r="L139" s="227">
        <f t="shared" si="12"/>
        <v>7.6433121019108281</v>
      </c>
      <c r="M139" s="226"/>
      <c r="N139" s="184"/>
      <c r="O139" s="228">
        <f t="shared" si="13"/>
        <v>1.9219172225653537E-2</v>
      </c>
      <c r="P139" s="138">
        <f>O139*(1+'Key Data'!F$3)</f>
        <v>2.402396528206692E-2</v>
      </c>
      <c r="Q139" s="404"/>
      <c r="R139" s="404"/>
      <c r="S139" s="397"/>
    </row>
    <row r="140" spans="1:19" ht="15" x14ac:dyDescent="0.35">
      <c r="A140" s="398"/>
      <c r="B140" s="400"/>
      <c r="C140" s="400"/>
      <c r="D140" s="400"/>
      <c r="E140" s="402"/>
      <c r="F140" s="402"/>
      <c r="G140" s="403"/>
      <c r="H140" s="72" t="s">
        <v>357</v>
      </c>
      <c r="I140" s="226"/>
      <c r="J140" s="226"/>
      <c r="K140" s="227">
        <v>28.9</v>
      </c>
      <c r="L140" s="227">
        <f t="shared" si="12"/>
        <v>9.2038216560509554</v>
      </c>
      <c r="M140" s="226"/>
      <c r="N140" s="184"/>
      <c r="O140" s="228">
        <f t="shared" si="13"/>
        <v>2.870897828674485E-2</v>
      </c>
      <c r="P140" s="138">
        <f>O140*(1+'Key Data'!F$3)</f>
        <v>3.5886222858431065E-2</v>
      </c>
      <c r="Q140" s="404"/>
      <c r="R140" s="404"/>
      <c r="S140" s="397"/>
    </row>
    <row r="141" spans="1:19" ht="15" x14ac:dyDescent="0.35">
      <c r="A141" s="398"/>
      <c r="B141" s="400"/>
      <c r="C141" s="400"/>
      <c r="D141" s="400"/>
      <c r="E141" s="402"/>
      <c r="F141" s="402"/>
      <c r="G141" s="403"/>
      <c r="H141" s="72" t="s">
        <v>357</v>
      </c>
      <c r="I141" s="226"/>
      <c r="J141" s="226"/>
      <c r="K141" s="227">
        <v>18.8</v>
      </c>
      <c r="L141" s="227">
        <f t="shared" si="12"/>
        <v>5.9872611464968148</v>
      </c>
      <c r="M141" s="226"/>
      <c r="N141" s="184"/>
      <c r="O141" s="228">
        <f t="shared" si="13"/>
        <v>1.1341208922323803E-2</v>
      </c>
      <c r="P141" s="138">
        <f>O141*(1+'Key Data'!F$3)</f>
        <v>1.4176511152904754E-2</v>
      </c>
      <c r="Q141" s="404"/>
      <c r="R141" s="404"/>
      <c r="S141" s="397"/>
    </row>
    <row r="142" spans="1:19" ht="15" x14ac:dyDescent="0.35">
      <c r="A142" s="398"/>
      <c r="B142" s="400"/>
      <c r="C142" s="400"/>
      <c r="D142" s="400"/>
      <c r="E142" s="402"/>
      <c r="F142" s="402"/>
      <c r="G142" s="403"/>
      <c r="H142" s="72" t="s">
        <v>357</v>
      </c>
      <c r="I142" s="226"/>
      <c r="J142" s="226"/>
      <c r="K142" s="227">
        <v>16</v>
      </c>
      <c r="L142" s="227">
        <f t="shared" si="12"/>
        <v>5.0955414012738851</v>
      </c>
      <c r="M142" s="226"/>
      <c r="N142" s="184"/>
      <c r="O142" s="228">
        <f t="shared" si="13"/>
        <v>8.0052990265006858E-3</v>
      </c>
      <c r="P142" s="138">
        <f>O142*(1+'Key Data'!F$3)</f>
        <v>1.0006623783125857E-2</v>
      </c>
      <c r="Q142" s="404"/>
      <c r="R142" s="404"/>
      <c r="S142" s="397"/>
    </row>
    <row r="143" spans="1:19" ht="15" x14ac:dyDescent="0.35">
      <c r="A143" s="398"/>
      <c r="B143" s="400"/>
      <c r="C143" s="400"/>
      <c r="D143" s="400"/>
      <c r="E143" s="402"/>
      <c r="F143" s="402"/>
      <c r="G143" s="403"/>
      <c r="H143" s="72" t="s">
        <v>357</v>
      </c>
      <c r="I143" s="226"/>
      <c r="J143" s="226"/>
      <c r="K143" s="227">
        <v>23.91</v>
      </c>
      <c r="L143" s="227">
        <f t="shared" si="12"/>
        <v>7.614649681528662</v>
      </c>
      <c r="M143" s="226"/>
      <c r="N143" s="184"/>
      <c r="O143" s="228">
        <f t="shared" si="13"/>
        <v>1.9063835456620271E-2</v>
      </c>
      <c r="P143" s="138">
        <f>O143*(1+'Key Data'!F$3)</f>
        <v>2.3829794320775338E-2</v>
      </c>
      <c r="Q143" s="404"/>
      <c r="R143" s="404"/>
      <c r="S143" s="397"/>
    </row>
    <row r="144" spans="1:19" ht="15" x14ac:dyDescent="0.35">
      <c r="A144" s="398"/>
      <c r="B144" s="400"/>
      <c r="C144" s="400"/>
      <c r="D144" s="400"/>
      <c r="E144" s="402"/>
      <c r="F144" s="402"/>
      <c r="G144" s="403"/>
      <c r="H144" s="72" t="s">
        <v>357</v>
      </c>
      <c r="I144" s="226"/>
      <c r="J144" s="226"/>
      <c r="K144" s="227">
        <v>27.39</v>
      </c>
      <c r="L144" s="227">
        <f t="shared" si="12"/>
        <v>8.7229299363057322</v>
      </c>
      <c r="M144" s="226"/>
      <c r="N144" s="184"/>
      <c r="O144" s="228">
        <f t="shared" si="13"/>
        <v>2.5566847803247205E-2</v>
      </c>
      <c r="P144" s="138">
        <f>O144*(1+'Key Data'!F$3)</f>
        <v>3.1958559754059007E-2</v>
      </c>
      <c r="Q144" s="404"/>
      <c r="R144" s="404"/>
      <c r="S144" s="397"/>
    </row>
    <row r="145" spans="1:19" ht="15" x14ac:dyDescent="0.35">
      <c r="A145" s="398"/>
      <c r="B145" s="400"/>
      <c r="C145" s="400"/>
      <c r="D145" s="400"/>
      <c r="E145" s="402"/>
      <c r="F145" s="402"/>
      <c r="G145" s="403"/>
      <c r="H145" s="72" t="s">
        <v>357</v>
      </c>
      <c r="I145" s="226"/>
      <c r="J145" s="226"/>
      <c r="K145" s="227">
        <v>20.5</v>
      </c>
      <c r="L145" s="227">
        <f t="shared" si="12"/>
        <v>6.5286624203821653</v>
      </c>
      <c r="M145" s="226"/>
      <c r="N145" s="184"/>
      <c r="O145" s="228">
        <f t="shared" si="13"/>
        <v>1.3673092011719594E-2</v>
      </c>
      <c r="P145" s="138">
        <f>O145*(1+'Key Data'!F$3)</f>
        <v>1.7091365014649491E-2</v>
      </c>
      <c r="Q145" s="404"/>
      <c r="R145" s="404"/>
      <c r="S145" s="397"/>
    </row>
    <row r="146" spans="1:19" ht="15" x14ac:dyDescent="0.35">
      <c r="A146" s="398"/>
      <c r="B146" s="400"/>
      <c r="C146" s="400"/>
      <c r="D146" s="400"/>
      <c r="E146" s="402"/>
      <c r="F146" s="402"/>
      <c r="G146" s="403"/>
      <c r="H146" s="72" t="s">
        <v>357</v>
      </c>
      <c r="I146" s="226"/>
      <c r="J146" s="226"/>
      <c r="K146" s="227">
        <v>13.3</v>
      </c>
      <c r="L146" s="227">
        <f t="shared" si="12"/>
        <v>4.2356687898089174</v>
      </c>
      <c r="M146" s="226"/>
      <c r="N146" s="184"/>
      <c r="O146" s="228">
        <f t="shared" si="13"/>
        <v>5.3702925024678265E-3</v>
      </c>
      <c r="P146" s="138">
        <f>O146*(1+'Key Data'!F$3)</f>
        <v>6.7128656280847831E-3</v>
      </c>
      <c r="Q146" s="404"/>
      <c r="R146" s="404"/>
      <c r="S146" s="397"/>
    </row>
    <row r="147" spans="1:19" ht="15" x14ac:dyDescent="0.35">
      <c r="A147" s="398"/>
      <c r="B147" s="400"/>
      <c r="C147" s="400"/>
      <c r="D147" s="400"/>
      <c r="E147" s="402"/>
      <c r="F147" s="402"/>
      <c r="G147" s="403"/>
      <c r="H147" s="72" t="s">
        <v>357</v>
      </c>
      <c r="I147" s="226"/>
      <c r="J147" s="226"/>
      <c r="K147" s="227">
        <v>17.8</v>
      </c>
      <c r="L147" s="227">
        <f t="shared" si="12"/>
        <v>5.6687898089171975</v>
      </c>
      <c r="M147" s="226"/>
      <c r="N147" s="184"/>
      <c r="O147" s="228">
        <f t="shared" si="13"/>
        <v>1.007826100527975E-2</v>
      </c>
      <c r="P147" s="138">
        <f>O147*(1+'Key Data'!F$3)</f>
        <v>1.2597826256599689E-2</v>
      </c>
      <c r="Q147" s="404"/>
      <c r="R147" s="404"/>
      <c r="S147" s="397"/>
    </row>
    <row r="148" spans="1:19" ht="15" x14ac:dyDescent="0.35">
      <c r="A148" s="398"/>
      <c r="B148" s="400"/>
      <c r="C148" s="400"/>
      <c r="D148" s="400"/>
      <c r="E148" s="402"/>
      <c r="F148" s="402"/>
      <c r="G148" s="403"/>
      <c r="H148" s="72" t="s">
        <v>357</v>
      </c>
      <c r="I148" s="226"/>
      <c r="J148" s="226"/>
      <c r="K148" s="227">
        <v>29</v>
      </c>
      <c r="L148" s="227">
        <f t="shared" si="12"/>
        <v>9.2356687898089174</v>
      </c>
      <c r="M148" s="226"/>
      <c r="N148" s="184"/>
      <c r="O148" s="228">
        <f t="shared" si="13"/>
        <v>2.8923981290137214E-2</v>
      </c>
      <c r="P148" s="138">
        <f>O148*(1+'Key Data'!F$3)</f>
        <v>3.6154976612671516E-2</v>
      </c>
      <c r="Q148" s="404"/>
      <c r="R148" s="404"/>
      <c r="S148" s="397"/>
    </row>
    <row r="149" spans="1:19" ht="15" x14ac:dyDescent="0.35">
      <c r="A149" s="398"/>
      <c r="B149" s="400"/>
      <c r="C149" s="400"/>
      <c r="D149" s="400"/>
      <c r="E149" s="402"/>
      <c r="F149" s="402"/>
      <c r="G149" s="403"/>
      <c r="H149" s="72" t="s">
        <v>357</v>
      </c>
      <c r="I149" s="226"/>
      <c r="J149" s="226"/>
      <c r="K149" s="227">
        <v>35.799999999999997</v>
      </c>
      <c r="L149" s="227">
        <f t="shared" si="12"/>
        <v>11.401273885350317</v>
      </c>
      <c r="M149" s="226"/>
      <c r="N149" s="184"/>
      <c r="O149" s="228">
        <f t="shared" si="13"/>
        <v>4.5589594989896211E-2</v>
      </c>
      <c r="P149" s="138">
        <f>O149*(1+'Key Data'!F$3)</f>
        <v>5.6986993737370262E-2</v>
      </c>
      <c r="Q149" s="404"/>
      <c r="R149" s="404"/>
      <c r="S149" s="397"/>
    </row>
    <row r="150" spans="1:19" ht="15" x14ac:dyDescent="0.35">
      <c r="A150" s="398"/>
      <c r="B150" s="400"/>
      <c r="C150" s="400"/>
      <c r="D150" s="400"/>
      <c r="E150" s="402"/>
      <c r="F150" s="402"/>
      <c r="G150" s="403"/>
      <c r="H150" s="72" t="s">
        <v>357</v>
      </c>
      <c r="I150" s="226"/>
      <c r="J150" s="226"/>
      <c r="K150" s="227">
        <v>25</v>
      </c>
      <c r="L150" s="227">
        <f t="shared" si="12"/>
        <v>7.9617834394904454</v>
      </c>
      <c r="M150" s="226"/>
      <c r="N150" s="184"/>
      <c r="O150" s="228">
        <f t="shared" si="13"/>
        <v>2.0990791517630874E-2</v>
      </c>
      <c r="P150" s="138">
        <f>O150*(1+'Key Data'!F$3)</f>
        <v>2.6238489397038593E-2</v>
      </c>
      <c r="Q150" s="404"/>
      <c r="R150" s="404"/>
      <c r="S150" s="397"/>
    </row>
    <row r="151" spans="1:19" ht="15" x14ac:dyDescent="0.35">
      <c r="A151" s="398"/>
      <c r="B151" s="400"/>
      <c r="C151" s="400"/>
      <c r="D151" s="400"/>
      <c r="E151" s="402"/>
      <c r="F151" s="402"/>
      <c r="G151" s="403"/>
      <c r="H151" s="72" t="s">
        <v>357</v>
      </c>
      <c r="I151" s="226"/>
      <c r="J151" s="226"/>
      <c r="K151" s="227">
        <v>24.5</v>
      </c>
      <c r="L151" s="227">
        <f t="shared" si="12"/>
        <v>7.8025477707006363</v>
      </c>
      <c r="M151" s="226"/>
      <c r="N151" s="184"/>
      <c r="O151" s="228">
        <f t="shared" si="13"/>
        <v>2.0094496961873858E-2</v>
      </c>
      <c r="P151" s="138">
        <f>O151*(1+'Key Data'!F$3)</f>
        <v>2.5118121202342324E-2</v>
      </c>
      <c r="Q151" s="404"/>
      <c r="R151" s="404"/>
      <c r="S151" s="397"/>
    </row>
    <row r="152" spans="1:19" ht="15" x14ac:dyDescent="0.35">
      <c r="A152" s="398"/>
      <c r="B152" s="400"/>
      <c r="C152" s="400"/>
      <c r="D152" s="400"/>
      <c r="E152" s="402"/>
      <c r="F152" s="402"/>
      <c r="G152" s="403"/>
      <c r="H152" s="72" t="s">
        <v>357</v>
      </c>
      <c r="I152" s="226"/>
      <c r="J152" s="226"/>
      <c r="K152" s="227">
        <v>19.899999999999999</v>
      </c>
      <c r="L152" s="227">
        <f t="shared" si="12"/>
        <v>6.3375796178343942</v>
      </c>
      <c r="M152" s="226"/>
      <c r="N152" s="184"/>
      <c r="O152" s="228">
        <f t="shared" si="13"/>
        <v>1.2823336579181955E-2</v>
      </c>
      <c r="P152" s="138">
        <f>O152*(1+'Key Data'!F$3)</f>
        <v>1.6029170723977443E-2</v>
      </c>
      <c r="Q152" s="404"/>
      <c r="R152" s="404"/>
      <c r="S152" s="397"/>
    </row>
    <row r="153" spans="1:19" ht="15" x14ac:dyDescent="0.35">
      <c r="A153" s="399"/>
      <c r="B153" s="401"/>
      <c r="C153" s="400"/>
      <c r="D153" s="400"/>
      <c r="E153" s="402"/>
      <c r="F153" s="402"/>
      <c r="G153" s="403"/>
      <c r="H153" s="72" t="s">
        <v>357</v>
      </c>
      <c r="I153" s="226"/>
      <c r="J153" s="226"/>
      <c r="K153" s="227">
        <v>19</v>
      </c>
      <c r="L153" s="227">
        <f t="shared" si="12"/>
        <v>6.0509554140127388</v>
      </c>
      <c r="M153" s="226"/>
      <c r="N153" s="184"/>
      <c r="O153" s="228">
        <f t="shared" si="13"/>
        <v>1.1603424333099601E-2</v>
      </c>
      <c r="P153" s="138">
        <f>O153*(1+'Key Data'!F$3)</f>
        <v>1.4504280416374502E-2</v>
      </c>
      <c r="Q153" s="404"/>
      <c r="R153" s="404"/>
      <c r="S153" s="397"/>
    </row>
  </sheetData>
  <mergeCells count="31">
    <mergeCell ref="S2:S153"/>
    <mergeCell ref="R59:R115"/>
    <mergeCell ref="A116:A153"/>
    <mergeCell ref="B116:B153"/>
    <mergeCell ref="C116:C153"/>
    <mergeCell ref="D116:D153"/>
    <mergeCell ref="E116:E153"/>
    <mergeCell ref="F116:F153"/>
    <mergeCell ref="G116:G153"/>
    <mergeCell ref="Q116:Q153"/>
    <mergeCell ref="R116:R153"/>
    <mergeCell ref="A59:A115"/>
    <mergeCell ref="B59:B115"/>
    <mergeCell ref="C59:C115"/>
    <mergeCell ref="D59:D115"/>
    <mergeCell ref="G59:G115"/>
    <mergeCell ref="Q59:Q115"/>
    <mergeCell ref="R2:R33"/>
    <mergeCell ref="A34:A58"/>
    <mergeCell ref="B34:B58"/>
    <mergeCell ref="C34:C58"/>
    <mergeCell ref="D34:D58"/>
    <mergeCell ref="G34:G58"/>
    <mergeCell ref="Q34:Q58"/>
    <mergeCell ref="R34:R58"/>
    <mergeCell ref="A2:A33"/>
    <mergeCell ref="B2:B33"/>
    <mergeCell ref="C2:C33"/>
    <mergeCell ref="D2:D33"/>
    <mergeCell ref="G2:G33"/>
    <mergeCell ref="Q2:Q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A18F-F93D-4A76-928C-4D391C7D8630}">
  <dimension ref="A1:S211"/>
  <sheetViews>
    <sheetView showGridLines="0" topLeftCell="E1" zoomScale="78" zoomScaleNormal="70" workbookViewId="0">
      <pane ySplit="1" topLeftCell="A120" activePane="bottomLeft" state="frozen"/>
      <selection pane="bottomLeft" activeCell="O125" sqref="O125:O128"/>
    </sheetView>
  </sheetViews>
  <sheetFormatPr defaultColWidth="9.109375" defaultRowHeight="13.8" x14ac:dyDescent="0.3"/>
  <cols>
    <col min="1" max="1" width="9.33203125" style="120" bestFit="1" customWidth="1"/>
    <col min="2" max="4" width="9.109375" style="120"/>
    <col min="5" max="5" width="9.5546875" style="120" bestFit="1" customWidth="1"/>
    <col min="6" max="6" width="9.6640625" style="120" bestFit="1" customWidth="1"/>
    <col min="7" max="7" width="9.33203125" style="120" bestFit="1" customWidth="1"/>
    <col min="8" max="8" width="19.88671875" style="120" customWidth="1"/>
    <col min="9" max="13" width="9.33203125" style="156" bestFit="1" customWidth="1"/>
    <col min="14" max="14" width="9.109375" style="156"/>
    <col min="15" max="15" width="9.109375" style="156" customWidth="1"/>
    <col min="16" max="16" width="9.33203125" style="156" bestFit="1" customWidth="1"/>
    <col min="17" max="17" width="9.109375" style="120" customWidth="1"/>
    <col min="18" max="19" width="9.33203125" style="120" bestFit="1" customWidth="1"/>
    <col min="20" max="16384" width="9.109375" style="120"/>
  </cols>
  <sheetData>
    <row r="1" spans="1:19" s="119" customFormat="1" ht="84" x14ac:dyDescent="0.3">
      <c r="A1" s="116" t="s">
        <v>254</v>
      </c>
      <c r="B1" s="116" t="s">
        <v>255</v>
      </c>
      <c r="C1" s="116" t="s">
        <v>256</v>
      </c>
      <c r="D1" s="116" t="s">
        <v>369</v>
      </c>
      <c r="E1" s="116" t="s">
        <v>249</v>
      </c>
      <c r="F1" s="116" t="s">
        <v>250</v>
      </c>
      <c r="G1" s="116" t="s">
        <v>253</v>
      </c>
      <c r="H1" s="116" t="s">
        <v>2</v>
      </c>
      <c r="I1" s="117" t="s">
        <v>257</v>
      </c>
      <c r="J1" s="117" t="s">
        <v>258</v>
      </c>
      <c r="K1" s="117" t="s">
        <v>251</v>
      </c>
      <c r="L1" s="117" t="s">
        <v>252</v>
      </c>
      <c r="M1" s="117" t="s">
        <v>259</v>
      </c>
      <c r="N1" s="118" t="s">
        <v>541</v>
      </c>
      <c r="O1" s="118" t="s">
        <v>364</v>
      </c>
      <c r="P1" s="118" t="s">
        <v>363</v>
      </c>
      <c r="Q1" s="118" t="s">
        <v>542</v>
      </c>
      <c r="R1" s="118" t="s">
        <v>370</v>
      </c>
      <c r="S1" s="118" t="s">
        <v>361</v>
      </c>
    </row>
    <row r="2" spans="1:19" s="229" customFormat="1" x14ac:dyDescent="0.3">
      <c r="A2" s="408">
        <v>1</v>
      </c>
      <c r="B2" s="408" t="s">
        <v>311</v>
      </c>
      <c r="C2" s="408" t="s">
        <v>312</v>
      </c>
      <c r="D2" s="408" t="s">
        <v>313</v>
      </c>
      <c r="E2" s="121">
        <v>15.06264</v>
      </c>
      <c r="F2" s="121">
        <v>74.95496</v>
      </c>
      <c r="G2" s="409">
        <v>2019</v>
      </c>
      <c r="H2" s="122" t="s">
        <v>314</v>
      </c>
      <c r="I2" s="125">
        <v>57.2</v>
      </c>
      <c r="J2" s="125">
        <f t="shared" ref="J2:J33" si="0">I2/3.14</f>
        <v>18.216560509554139</v>
      </c>
      <c r="K2" s="125">
        <v>52.4</v>
      </c>
      <c r="L2" s="125">
        <f t="shared" ref="L2:L33" si="1">K2/3.14</f>
        <v>16.687898089171973</v>
      </c>
      <c r="M2" s="125">
        <v>11.6</v>
      </c>
      <c r="N2" s="125"/>
      <c r="O2" s="124">
        <f>EXP(LN(-1.853+0.728*LN(L2^2*M2)))/1000</f>
        <v>4.0295113117141193E-3</v>
      </c>
      <c r="P2" s="123">
        <f>O2*(1+'Key Data'!F$3)</f>
        <v>5.0368891396426491E-3</v>
      </c>
      <c r="Q2" s="405">
        <f>SUM(P2:P124)</f>
        <v>0.55731642934444192</v>
      </c>
      <c r="R2" s="405">
        <f>Q2*10000/900</f>
        <v>6.1924047704937992</v>
      </c>
      <c r="S2" s="139">
        <f>AVERAGE(R2:R205)</f>
        <v>15.024406834908806</v>
      </c>
    </row>
    <row r="3" spans="1:19" s="229" customFormat="1" x14ac:dyDescent="0.3">
      <c r="A3" s="408"/>
      <c r="B3" s="408"/>
      <c r="C3" s="408"/>
      <c r="D3" s="408"/>
      <c r="E3" s="121">
        <v>15.062620000000001</v>
      </c>
      <c r="F3" s="121">
        <v>74.954669999999993</v>
      </c>
      <c r="G3" s="409"/>
      <c r="H3" s="122" t="s">
        <v>314</v>
      </c>
      <c r="I3" s="125">
        <v>71.8</v>
      </c>
      <c r="J3" s="125">
        <f t="shared" si="0"/>
        <v>22.866242038216559</v>
      </c>
      <c r="K3" s="125">
        <v>52.2</v>
      </c>
      <c r="L3" s="125">
        <f t="shared" si="1"/>
        <v>16.624203821656049</v>
      </c>
      <c r="M3" s="125">
        <v>11.4</v>
      </c>
      <c r="N3" s="125"/>
      <c r="O3" s="124">
        <f>EXP(LN(-1.853+0.728*LN(L3^2*M3)))/1000</f>
        <v>4.011282238605563E-3</v>
      </c>
      <c r="P3" s="123">
        <f>O3*(1+'Key Data'!F$3)</f>
        <v>5.0141027982569539E-3</v>
      </c>
      <c r="Q3" s="405"/>
      <c r="R3" s="405"/>
      <c r="S3" s="139"/>
    </row>
    <row r="4" spans="1:19" s="229" customFormat="1" x14ac:dyDescent="0.3">
      <c r="A4" s="408"/>
      <c r="B4" s="408"/>
      <c r="C4" s="408"/>
      <c r="D4" s="408"/>
      <c r="E4" s="121">
        <v>15.062340000000001</v>
      </c>
      <c r="F4" s="121">
        <v>74.954669999999993</v>
      </c>
      <c r="G4" s="409"/>
      <c r="H4" s="122" t="s">
        <v>314</v>
      </c>
      <c r="I4" s="125">
        <v>56.5</v>
      </c>
      <c r="J4" s="125">
        <f t="shared" si="0"/>
        <v>17.993630573248407</v>
      </c>
      <c r="K4" s="125">
        <v>48</v>
      </c>
      <c r="L4" s="125">
        <f t="shared" si="1"/>
        <v>15.286624203821656</v>
      </c>
      <c r="M4" s="125">
        <v>8</v>
      </c>
      <c r="N4" s="125"/>
      <c r="O4" s="124">
        <f t="shared" ref="O4:O66" si="2">EXP(LN(-1.853+0.728*LN(L4^2*M4)))/1000</f>
        <v>3.6313137175410545E-3</v>
      </c>
      <c r="P4" s="123">
        <f>O4*(1+'Key Data'!F$3)</f>
        <v>4.5391421469263178E-3</v>
      </c>
      <c r="Q4" s="405"/>
      <c r="R4" s="405"/>
      <c r="S4" s="139"/>
    </row>
    <row r="5" spans="1:19" s="229" customFormat="1" x14ac:dyDescent="0.3">
      <c r="A5" s="408"/>
      <c r="B5" s="408"/>
      <c r="C5" s="408"/>
      <c r="D5" s="408"/>
      <c r="E5" s="121">
        <v>15.062379999999999</v>
      </c>
      <c r="F5" s="121">
        <v>74.954939999999993</v>
      </c>
      <c r="G5" s="409"/>
      <c r="H5" s="122" t="s">
        <v>314</v>
      </c>
      <c r="I5" s="125">
        <v>72.5</v>
      </c>
      <c r="J5" s="125">
        <f t="shared" si="0"/>
        <v>23.089171974522291</v>
      </c>
      <c r="K5" s="125">
        <v>58.8</v>
      </c>
      <c r="L5" s="125">
        <f t="shared" si="1"/>
        <v>18.726114649681527</v>
      </c>
      <c r="M5" s="125">
        <v>7</v>
      </c>
      <c r="N5" s="125"/>
      <c r="O5" s="124">
        <f t="shared" si="2"/>
        <v>3.8295847325695823E-3</v>
      </c>
      <c r="P5" s="123">
        <f>O5*(1+'Key Data'!F$3)</f>
        <v>4.7869809157119782E-3</v>
      </c>
      <c r="Q5" s="405"/>
      <c r="R5" s="405"/>
      <c r="S5" s="140"/>
    </row>
    <row r="6" spans="1:19" s="229" customFormat="1" x14ac:dyDescent="0.3">
      <c r="A6" s="408"/>
      <c r="B6" s="408"/>
      <c r="C6" s="408"/>
      <c r="D6" s="408"/>
      <c r="E6" s="121">
        <v>15.062519999999999</v>
      </c>
      <c r="F6" s="121">
        <v>74.954809999999995</v>
      </c>
      <c r="G6" s="409"/>
      <c r="H6" s="122" t="s">
        <v>314</v>
      </c>
      <c r="I6" s="125">
        <v>84</v>
      </c>
      <c r="J6" s="125">
        <f t="shared" si="0"/>
        <v>26.751592356687897</v>
      </c>
      <c r="K6" s="125">
        <v>62.4</v>
      </c>
      <c r="L6" s="125">
        <f t="shared" si="1"/>
        <v>19.872611464968152</v>
      </c>
      <c r="M6" s="125">
        <v>7</v>
      </c>
      <c r="N6" s="125"/>
      <c r="O6" s="124">
        <f t="shared" si="2"/>
        <v>3.9161052327750688E-3</v>
      </c>
      <c r="P6" s="123">
        <f>O6*(1+'Key Data'!F$3)</f>
        <v>4.8951315409688362E-3</v>
      </c>
      <c r="Q6" s="405"/>
      <c r="R6" s="405"/>
      <c r="S6" s="139"/>
    </row>
    <row r="7" spans="1:19" s="229" customFormat="1" x14ac:dyDescent="0.3">
      <c r="A7" s="408"/>
      <c r="B7" s="408"/>
      <c r="C7" s="408"/>
      <c r="D7" s="408"/>
      <c r="E7" s="121"/>
      <c r="F7" s="121"/>
      <c r="G7" s="409"/>
      <c r="H7" s="122" t="s">
        <v>314</v>
      </c>
      <c r="I7" s="125">
        <v>55.6</v>
      </c>
      <c r="J7" s="125">
        <f t="shared" si="0"/>
        <v>17.70700636942675</v>
      </c>
      <c r="K7" s="125">
        <v>40.799999999999997</v>
      </c>
      <c r="L7" s="125">
        <f t="shared" si="1"/>
        <v>12.993630573248407</v>
      </c>
      <c r="M7" s="125">
        <v>5</v>
      </c>
      <c r="N7" s="125"/>
      <c r="O7" s="124">
        <f t="shared" si="2"/>
        <v>3.0525235141013979E-3</v>
      </c>
      <c r="P7" s="123">
        <f>O7*(1+'Key Data'!F$3)</f>
        <v>3.8156543926267474E-3</v>
      </c>
      <c r="Q7" s="405"/>
      <c r="R7" s="405"/>
      <c r="S7" s="139"/>
    </row>
    <row r="8" spans="1:19" s="229" customFormat="1" x14ac:dyDescent="0.3">
      <c r="A8" s="408"/>
      <c r="B8" s="408"/>
      <c r="C8" s="408"/>
      <c r="D8" s="408"/>
      <c r="E8" s="121"/>
      <c r="F8" s="121"/>
      <c r="G8" s="409"/>
      <c r="H8" s="122" t="s">
        <v>314</v>
      </c>
      <c r="I8" s="125">
        <v>58.8</v>
      </c>
      <c r="J8" s="125">
        <f t="shared" si="0"/>
        <v>18.726114649681527</v>
      </c>
      <c r="K8" s="125">
        <v>53.8</v>
      </c>
      <c r="L8" s="125">
        <f t="shared" si="1"/>
        <v>17.133757961783438</v>
      </c>
      <c r="M8" s="125">
        <v>7.2</v>
      </c>
      <c r="N8" s="125"/>
      <c r="O8" s="124">
        <f t="shared" si="2"/>
        <v>3.7207007584564951E-3</v>
      </c>
      <c r="P8" s="123">
        <f>O8*(1+'Key Data'!F$3)</f>
        <v>4.650875948070619E-3</v>
      </c>
      <c r="Q8" s="405"/>
      <c r="R8" s="405"/>
      <c r="S8" s="139"/>
    </row>
    <row r="9" spans="1:19" s="229" customFormat="1" x14ac:dyDescent="0.3">
      <c r="A9" s="408"/>
      <c r="B9" s="408"/>
      <c r="C9" s="408"/>
      <c r="D9" s="408"/>
      <c r="E9" s="121"/>
      <c r="F9" s="121"/>
      <c r="G9" s="409"/>
      <c r="H9" s="122" t="s">
        <v>314</v>
      </c>
      <c r="I9" s="125">
        <v>77</v>
      </c>
      <c r="J9" s="125">
        <f t="shared" si="0"/>
        <v>24.522292993630572</v>
      </c>
      <c r="K9" s="125">
        <v>58.8</v>
      </c>
      <c r="L9" s="125">
        <f t="shared" si="1"/>
        <v>18.726114649681527</v>
      </c>
      <c r="M9" s="125">
        <v>7</v>
      </c>
      <c r="N9" s="125"/>
      <c r="O9" s="124">
        <f t="shared" si="2"/>
        <v>3.8295847325695823E-3</v>
      </c>
      <c r="P9" s="123">
        <f>O9*(1+'Key Data'!F$3)</f>
        <v>4.7869809157119782E-3</v>
      </c>
      <c r="Q9" s="405"/>
      <c r="R9" s="405"/>
      <c r="S9" s="139"/>
    </row>
    <row r="10" spans="1:19" s="229" customFormat="1" x14ac:dyDescent="0.3">
      <c r="A10" s="408"/>
      <c r="B10" s="408"/>
      <c r="C10" s="408"/>
      <c r="D10" s="408"/>
      <c r="E10" s="121"/>
      <c r="F10" s="121"/>
      <c r="G10" s="409"/>
      <c r="H10" s="122" t="s">
        <v>314</v>
      </c>
      <c r="I10" s="125">
        <v>68.400000000000006</v>
      </c>
      <c r="J10" s="125">
        <f t="shared" si="0"/>
        <v>21.783439490445861</v>
      </c>
      <c r="K10" s="125">
        <v>58</v>
      </c>
      <c r="L10" s="125">
        <f t="shared" si="1"/>
        <v>18.471337579617835</v>
      </c>
      <c r="M10" s="125">
        <v>7</v>
      </c>
      <c r="N10" s="125"/>
      <c r="O10" s="124">
        <f t="shared" si="2"/>
        <v>3.8096392151840994E-3</v>
      </c>
      <c r="P10" s="123">
        <f>O10*(1+'Key Data'!F$3)</f>
        <v>4.7620490189801239E-3</v>
      </c>
      <c r="Q10" s="405"/>
      <c r="R10" s="405"/>
      <c r="S10" s="139"/>
    </row>
    <row r="11" spans="1:19" s="229" customFormat="1" x14ac:dyDescent="0.3">
      <c r="A11" s="408"/>
      <c r="B11" s="408"/>
      <c r="C11" s="408"/>
      <c r="D11" s="408"/>
      <c r="E11" s="121"/>
      <c r="F11" s="121"/>
      <c r="G11" s="409"/>
      <c r="H11" s="122" t="s">
        <v>314</v>
      </c>
      <c r="I11" s="125">
        <v>72</v>
      </c>
      <c r="J11" s="125">
        <f t="shared" si="0"/>
        <v>22.929936305732483</v>
      </c>
      <c r="K11" s="125">
        <v>70</v>
      </c>
      <c r="L11" s="125">
        <f t="shared" si="1"/>
        <v>22.292993630573246</v>
      </c>
      <c r="M11" s="125">
        <v>7</v>
      </c>
      <c r="N11" s="125"/>
      <c r="O11" s="124">
        <f t="shared" si="2"/>
        <v>4.0834432642523786E-3</v>
      </c>
      <c r="P11" s="123">
        <f>O11*(1+'Key Data'!F$3)</f>
        <v>5.1043040803154735E-3</v>
      </c>
      <c r="Q11" s="405"/>
      <c r="R11" s="405"/>
      <c r="S11" s="139"/>
    </row>
    <row r="12" spans="1:19" s="229" customFormat="1" x14ac:dyDescent="0.3">
      <c r="A12" s="408"/>
      <c r="B12" s="408"/>
      <c r="C12" s="408"/>
      <c r="D12" s="408"/>
      <c r="E12" s="121"/>
      <c r="F12" s="121"/>
      <c r="G12" s="409"/>
      <c r="H12" s="122" t="s">
        <v>314</v>
      </c>
      <c r="I12" s="125">
        <v>73</v>
      </c>
      <c r="J12" s="125">
        <f t="shared" si="0"/>
        <v>23.248407643312103</v>
      </c>
      <c r="K12" s="125">
        <v>57.6</v>
      </c>
      <c r="L12" s="125">
        <f t="shared" si="1"/>
        <v>18.343949044585987</v>
      </c>
      <c r="M12" s="125">
        <v>7.5</v>
      </c>
      <c r="N12" s="125"/>
      <c r="O12" s="124">
        <f t="shared" si="2"/>
        <v>3.8497898608448999E-3</v>
      </c>
      <c r="P12" s="123">
        <f>O12*(1+'Key Data'!F$3)</f>
        <v>4.8122373260561253E-3</v>
      </c>
      <c r="Q12" s="405"/>
      <c r="R12" s="405"/>
      <c r="S12" s="139"/>
    </row>
    <row r="13" spans="1:19" s="229" customFormat="1" x14ac:dyDescent="0.3">
      <c r="A13" s="408"/>
      <c r="B13" s="408"/>
      <c r="C13" s="408"/>
      <c r="D13" s="408"/>
      <c r="E13" s="121"/>
      <c r="F13" s="121"/>
      <c r="G13" s="409"/>
      <c r="H13" s="122" t="s">
        <v>314</v>
      </c>
      <c r="I13" s="125">
        <v>68</v>
      </c>
      <c r="J13" s="125">
        <f t="shared" si="0"/>
        <v>21.656050955414013</v>
      </c>
      <c r="K13" s="125">
        <v>58.5</v>
      </c>
      <c r="L13" s="125">
        <f t="shared" si="1"/>
        <v>18.630573248407643</v>
      </c>
      <c r="M13" s="125">
        <v>8</v>
      </c>
      <c r="N13" s="125"/>
      <c r="O13" s="124">
        <f t="shared" si="2"/>
        <v>3.9193479998294173E-3</v>
      </c>
      <c r="P13" s="123">
        <f>O13*(1+'Key Data'!F$3)</f>
        <v>4.8991849997867716E-3</v>
      </c>
      <c r="Q13" s="405"/>
      <c r="R13" s="405"/>
      <c r="S13" s="139"/>
    </row>
    <row r="14" spans="1:19" s="229" customFormat="1" x14ac:dyDescent="0.3">
      <c r="A14" s="408"/>
      <c r="B14" s="408"/>
      <c r="C14" s="408"/>
      <c r="D14" s="408"/>
      <c r="E14" s="121"/>
      <c r="F14" s="121"/>
      <c r="G14" s="409"/>
      <c r="H14" s="122" t="s">
        <v>314</v>
      </c>
      <c r="I14" s="125">
        <v>81</v>
      </c>
      <c r="J14" s="125">
        <f t="shared" si="0"/>
        <v>25.796178343949045</v>
      </c>
      <c r="K14" s="125">
        <v>59.5</v>
      </c>
      <c r="L14" s="125">
        <f t="shared" si="1"/>
        <v>18.949044585987259</v>
      </c>
      <c r="M14" s="125">
        <v>8</v>
      </c>
      <c r="N14" s="125"/>
      <c r="O14" s="124">
        <f t="shared" si="2"/>
        <v>3.9440265567342713E-3</v>
      </c>
      <c r="P14" s="123">
        <f>O14*(1+'Key Data'!F$3)</f>
        <v>4.9300331959178396E-3</v>
      </c>
      <c r="Q14" s="405"/>
      <c r="R14" s="405"/>
      <c r="S14" s="139"/>
    </row>
    <row r="15" spans="1:19" s="229" customFormat="1" x14ac:dyDescent="0.3">
      <c r="A15" s="408"/>
      <c r="B15" s="408"/>
      <c r="C15" s="408"/>
      <c r="D15" s="408"/>
      <c r="E15" s="121"/>
      <c r="F15" s="121"/>
      <c r="G15" s="409"/>
      <c r="H15" s="122" t="s">
        <v>314</v>
      </c>
      <c r="I15" s="125">
        <v>51.5</v>
      </c>
      <c r="J15" s="125">
        <f t="shared" si="0"/>
        <v>16.401273885350317</v>
      </c>
      <c r="K15" s="125">
        <v>47.5</v>
      </c>
      <c r="L15" s="125">
        <f t="shared" si="1"/>
        <v>15.127388535031846</v>
      </c>
      <c r="M15" s="125">
        <v>8</v>
      </c>
      <c r="N15" s="125"/>
      <c r="O15" s="124">
        <f t="shared" si="2"/>
        <v>3.6160675049342716E-3</v>
      </c>
      <c r="P15" s="123">
        <f>O15*(1+'Key Data'!F$3)</f>
        <v>4.5200843811678392E-3</v>
      </c>
      <c r="Q15" s="405"/>
      <c r="R15" s="405"/>
      <c r="S15" s="139"/>
    </row>
    <row r="16" spans="1:19" s="229" customFormat="1" x14ac:dyDescent="0.3">
      <c r="A16" s="408"/>
      <c r="B16" s="408"/>
      <c r="C16" s="408"/>
      <c r="D16" s="408"/>
      <c r="E16" s="121"/>
      <c r="F16" s="121"/>
      <c r="G16" s="409"/>
      <c r="H16" s="122" t="s">
        <v>314</v>
      </c>
      <c r="I16" s="125">
        <v>63.5</v>
      </c>
      <c r="J16" s="125">
        <f t="shared" si="0"/>
        <v>20.222929936305732</v>
      </c>
      <c r="K16" s="125">
        <v>59.5</v>
      </c>
      <c r="L16" s="125">
        <f t="shared" si="1"/>
        <v>18.949044585987259</v>
      </c>
      <c r="M16" s="125">
        <v>6</v>
      </c>
      <c r="N16" s="125"/>
      <c r="O16" s="124">
        <f t="shared" si="2"/>
        <v>3.7345940079893734E-3</v>
      </c>
      <c r="P16" s="123">
        <f>O16*(1+'Key Data'!F$3)</f>
        <v>4.6682425099867165E-3</v>
      </c>
      <c r="Q16" s="405"/>
      <c r="R16" s="405"/>
      <c r="S16" s="139"/>
    </row>
    <row r="17" spans="1:19" s="229" customFormat="1" x14ac:dyDescent="0.3">
      <c r="A17" s="408"/>
      <c r="B17" s="408"/>
      <c r="C17" s="408"/>
      <c r="D17" s="408"/>
      <c r="E17" s="121"/>
      <c r="F17" s="121"/>
      <c r="G17" s="409"/>
      <c r="H17" s="122" t="s">
        <v>314</v>
      </c>
      <c r="I17" s="125">
        <v>63</v>
      </c>
      <c r="J17" s="125">
        <f t="shared" si="0"/>
        <v>20.063694267515924</v>
      </c>
      <c r="K17" s="125">
        <v>54.5</v>
      </c>
      <c r="L17" s="125">
        <f t="shared" si="1"/>
        <v>17.35668789808917</v>
      </c>
      <c r="M17" s="125">
        <v>7</v>
      </c>
      <c r="N17" s="125"/>
      <c r="O17" s="124">
        <f t="shared" si="2"/>
        <v>3.7190144134588653E-3</v>
      </c>
      <c r="P17" s="123">
        <f>O17*(1+'Key Data'!F$3)</f>
        <v>4.6487680168235818E-3</v>
      </c>
      <c r="Q17" s="405"/>
      <c r="R17" s="405"/>
      <c r="S17" s="139"/>
    </row>
    <row r="18" spans="1:19" s="229" customFormat="1" x14ac:dyDescent="0.3">
      <c r="A18" s="408"/>
      <c r="B18" s="408"/>
      <c r="C18" s="408"/>
      <c r="D18" s="408"/>
      <c r="E18" s="121"/>
      <c r="F18" s="121"/>
      <c r="G18" s="409"/>
      <c r="H18" s="122" t="s">
        <v>314</v>
      </c>
      <c r="I18" s="125">
        <v>57</v>
      </c>
      <c r="J18" s="125">
        <f t="shared" si="0"/>
        <v>18.152866242038215</v>
      </c>
      <c r="K18" s="125">
        <v>52</v>
      </c>
      <c r="L18" s="125">
        <f t="shared" si="1"/>
        <v>16.560509554140125</v>
      </c>
      <c r="M18" s="125">
        <v>7</v>
      </c>
      <c r="N18" s="125"/>
      <c r="O18" s="124">
        <f t="shared" si="2"/>
        <v>3.6506450460830702E-3</v>
      </c>
      <c r="P18" s="123">
        <f>O18*(1+'Key Data'!F$3)</f>
        <v>4.5633063076038378E-3</v>
      </c>
      <c r="Q18" s="405"/>
      <c r="R18" s="405"/>
      <c r="S18" s="139"/>
    </row>
    <row r="19" spans="1:19" s="229" customFormat="1" x14ac:dyDescent="0.3">
      <c r="A19" s="408"/>
      <c r="B19" s="408"/>
      <c r="C19" s="408"/>
      <c r="D19" s="408"/>
      <c r="E19" s="121"/>
      <c r="F19" s="121"/>
      <c r="G19" s="409"/>
      <c r="H19" s="122" t="s">
        <v>314</v>
      </c>
      <c r="I19" s="125">
        <v>63</v>
      </c>
      <c r="J19" s="125">
        <f t="shared" si="0"/>
        <v>20.063694267515924</v>
      </c>
      <c r="K19" s="125">
        <v>49</v>
      </c>
      <c r="L19" s="125">
        <f t="shared" si="1"/>
        <v>15.605095541401273</v>
      </c>
      <c r="M19" s="125">
        <v>7.2</v>
      </c>
      <c r="N19" s="125"/>
      <c r="O19" s="124">
        <f t="shared" si="2"/>
        <v>3.5846329443093394E-3</v>
      </c>
      <c r="P19" s="123">
        <f>O19*(1+'Key Data'!F$3)</f>
        <v>4.4807911803866739E-3</v>
      </c>
      <c r="Q19" s="405"/>
      <c r="R19" s="405"/>
      <c r="S19" s="139"/>
    </row>
    <row r="20" spans="1:19" s="229" customFormat="1" x14ac:dyDescent="0.3">
      <c r="A20" s="408"/>
      <c r="B20" s="408"/>
      <c r="C20" s="408"/>
      <c r="D20" s="408"/>
      <c r="E20" s="121"/>
      <c r="F20" s="121"/>
      <c r="G20" s="409"/>
      <c r="H20" s="122" t="s">
        <v>314</v>
      </c>
      <c r="I20" s="125">
        <v>58</v>
      </c>
      <c r="J20" s="125">
        <f t="shared" si="0"/>
        <v>18.471337579617835</v>
      </c>
      <c r="K20" s="125">
        <v>55.5</v>
      </c>
      <c r="L20" s="125">
        <f t="shared" si="1"/>
        <v>17.67515923566879</v>
      </c>
      <c r="M20" s="125">
        <v>7</v>
      </c>
      <c r="N20" s="125"/>
      <c r="O20" s="124">
        <f t="shared" si="2"/>
        <v>3.7454878700439909E-3</v>
      </c>
      <c r="P20" s="123">
        <f>O20*(1+'Key Data'!F$3)</f>
        <v>4.6818598375549889E-3</v>
      </c>
      <c r="Q20" s="405"/>
      <c r="R20" s="405"/>
      <c r="S20" s="139"/>
    </row>
    <row r="21" spans="1:19" s="229" customFormat="1" x14ac:dyDescent="0.3">
      <c r="A21" s="408"/>
      <c r="B21" s="408"/>
      <c r="C21" s="408"/>
      <c r="D21" s="408"/>
      <c r="E21" s="121"/>
      <c r="F21" s="121"/>
      <c r="G21" s="409"/>
      <c r="H21" s="122" t="s">
        <v>314</v>
      </c>
      <c r="I21" s="125">
        <v>79</v>
      </c>
      <c r="J21" s="125">
        <f t="shared" si="0"/>
        <v>25.159235668789808</v>
      </c>
      <c r="K21" s="125">
        <v>71</v>
      </c>
      <c r="L21" s="125">
        <f t="shared" si="1"/>
        <v>22.611464968152866</v>
      </c>
      <c r="M21" s="125">
        <v>7</v>
      </c>
      <c r="N21" s="125"/>
      <c r="O21" s="124">
        <f t="shared" si="2"/>
        <v>4.104096092800668E-3</v>
      </c>
      <c r="P21" s="123">
        <f>O21*(1+'Key Data'!F$3)</f>
        <v>5.130120116000835E-3</v>
      </c>
      <c r="Q21" s="405"/>
      <c r="R21" s="405"/>
      <c r="S21" s="139"/>
    </row>
    <row r="22" spans="1:19" s="229" customFormat="1" x14ac:dyDescent="0.3">
      <c r="A22" s="408"/>
      <c r="B22" s="408"/>
      <c r="C22" s="408"/>
      <c r="D22" s="408"/>
      <c r="E22" s="121"/>
      <c r="F22" s="121"/>
      <c r="G22" s="409"/>
      <c r="H22" s="122" t="s">
        <v>314</v>
      </c>
      <c r="I22" s="125">
        <v>58</v>
      </c>
      <c r="J22" s="125">
        <f t="shared" si="0"/>
        <v>18.471337579617835</v>
      </c>
      <c r="K22" s="125">
        <v>50.5</v>
      </c>
      <c r="L22" s="125">
        <f t="shared" si="1"/>
        <v>16.082802547770701</v>
      </c>
      <c r="M22" s="125">
        <v>7.5</v>
      </c>
      <c r="N22" s="125"/>
      <c r="O22" s="124">
        <f t="shared" si="2"/>
        <v>3.6582541798966064E-3</v>
      </c>
      <c r="P22" s="123">
        <f>O22*(1+'Key Data'!F$3)</f>
        <v>4.5728177248707579E-3</v>
      </c>
      <c r="Q22" s="405"/>
      <c r="R22" s="405"/>
      <c r="S22" s="139"/>
    </row>
    <row r="23" spans="1:19" s="229" customFormat="1" x14ac:dyDescent="0.3">
      <c r="A23" s="408"/>
      <c r="B23" s="408"/>
      <c r="C23" s="408"/>
      <c r="D23" s="408"/>
      <c r="E23" s="121"/>
      <c r="F23" s="121"/>
      <c r="G23" s="409"/>
      <c r="H23" s="122" t="s">
        <v>314</v>
      </c>
      <c r="I23" s="125">
        <v>64</v>
      </c>
      <c r="J23" s="125">
        <f t="shared" si="0"/>
        <v>20.38216560509554</v>
      </c>
      <c r="K23" s="125">
        <v>62.5</v>
      </c>
      <c r="L23" s="125">
        <f t="shared" si="1"/>
        <v>19.904458598726112</v>
      </c>
      <c r="M23" s="125">
        <v>6.2</v>
      </c>
      <c r="N23" s="125"/>
      <c r="O23" s="124">
        <f t="shared" si="2"/>
        <v>3.8300859945462765E-3</v>
      </c>
      <c r="P23" s="123">
        <f>O23*(1+'Key Data'!F$3)</f>
        <v>4.7876074931828454E-3</v>
      </c>
      <c r="Q23" s="405"/>
      <c r="R23" s="405"/>
      <c r="S23" s="139"/>
    </row>
    <row r="24" spans="1:19" s="229" customFormat="1" x14ac:dyDescent="0.3">
      <c r="A24" s="408"/>
      <c r="B24" s="408"/>
      <c r="C24" s="408"/>
      <c r="D24" s="408"/>
      <c r="E24" s="121"/>
      <c r="F24" s="121"/>
      <c r="G24" s="409"/>
      <c r="H24" s="122" t="s">
        <v>314</v>
      </c>
      <c r="I24" s="125">
        <v>60</v>
      </c>
      <c r="J24" s="125">
        <f t="shared" si="0"/>
        <v>19.108280254777068</v>
      </c>
      <c r="K24" s="125">
        <v>51.2</v>
      </c>
      <c r="L24" s="125">
        <f t="shared" si="1"/>
        <v>16.305732484076433</v>
      </c>
      <c r="M24" s="125">
        <v>6.2</v>
      </c>
      <c r="N24" s="125"/>
      <c r="O24" s="124">
        <f t="shared" si="2"/>
        <v>3.5397202465875981E-3</v>
      </c>
      <c r="P24" s="123">
        <f>O24*(1+'Key Data'!F$3)</f>
        <v>4.4246503082344974E-3</v>
      </c>
      <c r="Q24" s="405"/>
      <c r="R24" s="405"/>
      <c r="S24" s="139"/>
    </row>
    <row r="25" spans="1:19" s="229" customFormat="1" x14ac:dyDescent="0.3">
      <c r="A25" s="408"/>
      <c r="B25" s="408"/>
      <c r="C25" s="408"/>
      <c r="D25" s="408"/>
      <c r="E25" s="121"/>
      <c r="F25" s="121"/>
      <c r="G25" s="409"/>
      <c r="H25" s="122" t="s">
        <v>314</v>
      </c>
      <c r="I25" s="125">
        <v>55</v>
      </c>
      <c r="J25" s="125">
        <f t="shared" si="0"/>
        <v>17.515923566878982</v>
      </c>
      <c r="K25" s="125">
        <v>52.5</v>
      </c>
      <c r="L25" s="125">
        <f t="shared" si="1"/>
        <v>16.719745222929937</v>
      </c>
      <c r="M25" s="125">
        <v>6</v>
      </c>
      <c r="N25" s="125"/>
      <c r="O25" s="124">
        <f t="shared" si="2"/>
        <v>3.5523564718483425E-3</v>
      </c>
      <c r="P25" s="123">
        <f>O25*(1+'Key Data'!F$3)</f>
        <v>4.4404455898104283E-3</v>
      </c>
      <c r="Q25" s="405"/>
      <c r="R25" s="405"/>
      <c r="S25" s="139"/>
    </row>
    <row r="26" spans="1:19" s="229" customFormat="1" x14ac:dyDescent="0.3">
      <c r="A26" s="408"/>
      <c r="B26" s="408"/>
      <c r="C26" s="408"/>
      <c r="D26" s="408"/>
      <c r="E26" s="121"/>
      <c r="F26" s="121"/>
      <c r="G26" s="409"/>
      <c r="H26" s="122" t="s">
        <v>314</v>
      </c>
      <c r="I26" s="125">
        <v>57</v>
      </c>
      <c r="J26" s="125">
        <f t="shared" si="0"/>
        <v>18.152866242038215</v>
      </c>
      <c r="K26" s="125">
        <v>49.8</v>
      </c>
      <c r="L26" s="125">
        <f t="shared" si="1"/>
        <v>15.859872611464967</v>
      </c>
      <c r="M26" s="125">
        <v>6</v>
      </c>
      <c r="N26" s="125"/>
      <c r="O26" s="124">
        <f t="shared" si="2"/>
        <v>3.475482313662832E-3</v>
      </c>
      <c r="P26" s="123">
        <f>O26*(1+'Key Data'!F$3)</f>
        <v>4.3443528920785405E-3</v>
      </c>
      <c r="Q26" s="405"/>
      <c r="R26" s="405"/>
      <c r="S26" s="139"/>
    </row>
    <row r="27" spans="1:19" s="229" customFormat="1" x14ac:dyDescent="0.3">
      <c r="A27" s="408"/>
      <c r="B27" s="408"/>
      <c r="C27" s="408"/>
      <c r="D27" s="408"/>
      <c r="E27" s="121"/>
      <c r="F27" s="121"/>
      <c r="G27" s="409"/>
      <c r="H27" s="122" t="s">
        <v>314</v>
      </c>
      <c r="I27" s="125">
        <v>56</v>
      </c>
      <c r="J27" s="125">
        <f t="shared" si="0"/>
        <v>17.834394904458598</v>
      </c>
      <c r="K27" s="125">
        <v>54</v>
      </c>
      <c r="L27" s="125">
        <f t="shared" si="1"/>
        <v>17.197452229299362</v>
      </c>
      <c r="M27" s="125">
        <v>6</v>
      </c>
      <c r="N27" s="125"/>
      <c r="O27" s="124">
        <f t="shared" si="2"/>
        <v>3.5933732687118513E-3</v>
      </c>
      <c r="P27" s="123">
        <f>O27*(1+'Key Data'!F$3)</f>
        <v>4.4917165858898139E-3</v>
      </c>
      <c r="Q27" s="405"/>
      <c r="R27" s="405"/>
      <c r="S27" s="139"/>
    </row>
    <row r="28" spans="1:19" s="229" customFormat="1" x14ac:dyDescent="0.3">
      <c r="A28" s="408"/>
      <c r="B28" s="408"/>
      <c r="C28" s="408"/>
      <c r="D28" s="408"/>
      <c r="E28" s="121"/>
      <c r="F28" s="121"/>
      <c r="G28" s="409"/>
      <c r="H28" s="122" t="s">
        <v>314</v>
      </c>
      <c r="I28" s="125">
        <v>60</v>
      </c>
      <c r="J28" s="125">
        <f t="shared" si="0"/>
        <v>19.108280254777068</v>
      </c>
      <c r="K28" s="125">
        <v>54</v>
      </c>
      <c r="L28" s="125">
        <f t="shared" si="1"/>
        <v>17.197452229299362</v>
      </c>
      <c r="M28" s="125">
        <v>6</v>
      </c>
      <c r="N28" s="125"/>
      <c r="O28" s="124">
        <f t="shared" si="2"/>
        <v>3.5933732687118513E-3</v>
      </c>
      <c r="P28" s="123">
        <f>O28*(1+'Key Data'!F$3)</f>
        <v>4.4917165858898139E-3</v>
      </c>
      <c r="Q28" s="405"/>
      <c r="R28" s="405"/>
      <c r="S28" s="139"/>
    </row>
    <row r="29" spans="1:19" s="229" customFormat="1" x14ac:dyDescent="0.3">
      <c r="A29" s="408"/>
      <c r="B29" s="408"/>
      <c r="C29" s="408"/>
      <c r="D29" s="408"/>
      <c r="E29" s="121"/>
      <c r="F29" s="121"/>
      <c r="G29" s="409"/>
      <c r="H29" s="122" t="s">
        <v>314</v>
      </c>
      <c r="I29" s="125">
        <v>62.4</v>
      </c>
      <c r="J29" s="125">
        <f t="shared" si="0"/>
        <v>19.872611464968152</v>
      </c>
      <c r="K29" s="125">
        <v>53</v>
      </c>
      <c r="L29" s="125">
        <f t="shared" si="1"/>
        <v>16.878980891719745</v>
      </c>
      <c r="M29" s="125">
        <v>5.8</v>
      </c>
      <c r="N29" s="125"/>
      <c r="O29" s="124">
        <f t="shared" si="2"/>
        <v>3.5414771934262615E-3</v>
      </c>
      <c r="P29" s="123">
        <f>O29*(1+'Key Data'!F$3)</f>
        <v>4.426846491782827E-3</v>
      </c>
      <c r="Q29" s="405"/>
      <c r="R29" s="405"/>
      <c r="S29" s="139"/>
    </row>
    <row r="30" spans="1:19" s="229" customFormat="1" x14ac:dyDescent="0.3">
      <c r="A30" s="408"/>
      <c r="B30" s="408"/>
      <c r="C30" s="408"/>
      <c r="D30" s="408"/>
      <c r="E30" s="121"/>
      <c r="F30" s="121"/>
      <c r="G30" s="409"/>
      <c r="H30" s="122" t="s">
        <v>314</v>
      </c>
      <c r="I30" s="125">
        <v>58</v>
      </c>
      <c r="J30" s="125">
        <f t="shared" si="0"/>
        <v>18.471337579617835</v>
      </c>
      <c r="K30" s="125">
        <v>56.4</v>
      </c>
      <c r="L30" s="125">
        <f t="shared" si="1"/>
        <v>17.961783439490446</v>
      </c>
      <c r="M30" s="125">
        <v>5.8</v>
      </c>
      <c r="N30" s="125"/>
      <c r="O30" s="124">
        <f t="shared" si="2"/>
        <v>3.6320072620762154E-3</v>
      </c>
      <c r="P30" s="123">
        <f>O30*(1+'Key Data'!F$3)</f>
        <v>4.540009077595269E-3</v>
      </c>
      <c r="Q30" s="405"/>
      <c r="R30" s="405"/>
      <c r="S30" s="139"/>
    </row>
    <row r="31" spans="1:19" s="229" customFormat="1" x14ac:dyDescent="0.3">
      <c r="A31" s="408"/>
      <c r="B31" s="408"/>
      <c r="C31" s="408"/>
      <c r="D31" s="408"/>
      <c r="E31" s="121"/>
      <c r="F31" s="121"/>
      <c r="G31" s="409"/>
      <c r="H31" s="122" t="s">
        <v>314</v>
      </c>
      <c r="I31" s="125">
        <v>59.5</v>
      </c>
      <c r="J31" s="125">
        <f t="shared" si="0"/>
        <v>18.949044585987259</v>
      </c>
      <c r="K31" s="125">
        <v>54.8</v>
      </c>
      <c r="L31" s="125">
        <f t="shared" si="1"/>
        <v>17.452229299363054</v>
      </c>
      <c r="M31" s="125">
        <v>7</v>
      </c>
      <c r="N31" s="125"/>
      <c r="O31" s="124">
        <f t="shared" si="2"/>
        <v>3.7270071142254924E-3</v>
      </c>
      <c r="P31" s="123">
        <f>O31*(1+'Key Data'!F$3)</f>
        <v>4.6587588927818656E-3</v>
      </c>
      <c r="Q31" s="405"/>
      <c r="R31" s="405"/>
      <c r="S31" s="139"/>
    </row>
    <row r="32" spans="1:19" s="229" customFormat="1" x14ac:dyDescent="0.3">
      <c r="A32" s="408"/>
      <c r="B32" s="408"/>
      <c r="C32" s="408"/>
      <c r="D32" s="408"/>
      <c r="E32" s="121"/>
      <c r="F32" s="121"/>
      <c r="G32" s="409"/>
      <c r="H32" s="122" t="s">
        <v>314</v>
      </c>
      <c r="I32" s="125">
        <v>60</v>
      </c>
      <c r="J32" s="125">
        <f t="shared" si="0"/>
        <v>19.108280254777068</v>
      </c>
      <c r="K32" s="125">
        <v>57.2</v>
      </c>
      <c r="L32" s="125">
        <f t="shared" si="1"/>
        <v>18.216560509554139</v>
      </c>
      <c r="M32" s="125">
        <v>6.3</v>
      </c>
      <c r="N32" s="125"/>
      <c r="O32" s="124">
        <f t="shared" si="2"/>
        <v>3.7127142124792701E-3</v>
      </c>
      <c r="P32" s="123">
        <f>O32*(1+'Key Data'!F$3)</f>
        <v>4.6408927655990874E-3</v>
      </c>
      <c r="Q32" s="405"/>
      <c r="R32" s="405"/>
      <c r="S32" s="139"/>
    </row>
    <row r="33" spans="1:19" s="229" customFormat="1" x14ac:dyDescent="0.3">
      <c r="A33" s="408"/>
      <c r="B33" s="408"/>
      <c r="C33" s="408"/>
      <c r="D33" s="408"/>
      <c r="E33" s="121"/>
      <c r="F33" s="121"/>
      <c r="G33" s="409"/>
      <c r="H33" s="122" t="s">
        <v>314</v>
      </c>
      <c r="I33" s="125">
        <v>49.5</v>
      </c>
      <c r="J33" s="125">
        <f t="shared" si="0"/>
        <v>15.764331210191083</v>
      </c>
      <c r="K33" s="125">
        <v>47</v>
      </c>
      <c r="L33" s="125">
        <f t="shared" si="1"/>
        <v>14.968152866242038</v>
      </c>
      <c r="M33" s="125">
        <v>6.2</v>
      </c>
      <c r="N33" s="125"/>
      <c r="O33" s="124">
        <f t="shared" si="2"/>
        <v>3.41509839601925E-3</v>
      </c>
      <c r="P33" s="123">
        <f>O33*(1+'Key Data'!F$3)</f>
        <v>4.2688729950240622E-3</v>
      </c>
      <c r="Q33" s="405"/>
      <c r="R33" s="405"/>
      <c r="S33" s="139"/>
    </row>
    <row r="34" spans="1:19" s="229" customFormat="1" x14ac:dyDescent="0.3">
      <c r="A34" s="408"/>
      <c r="B34" s="408"/>
      <c r="C34" s="408"/>
      <c r="D34" s="408"/>
      <c r="E34" s="121"/>
      <c r="F34" s="121"/>
      <c r="G34" s="409"/>
      <c r="H34" s="122" t="s">
        <v>314</v>
      </c>
      <c r="I34" s="125">
        <v>66.5</v>
      </c>
      <c r="J34" s="125">
        <f t="shared" ref="J34:J65" si="3">I34/3.14</f>
        <v>21.178343949044585</v>
      </c>
      <c r="K34" s="125">
        <v>51</v>
      </c>
      <c r="L34" s="125">
        <f t="shared" ref="L34:L65" si="4">K34/3.14</f>
        <v>16.242038216560509</v>
      </c>
      <c r="M34" s="125">
        <v>6</v>
      </c>
      <c r="N34" s="125"/>
      <c r="O34" s="124">
        <f t="shared" si="2"/>
        <v>3.5101506181608863E-3</v>
      </c>
      <c r="P34" s="123">
        <f>O34*(1+'Key Data'!F$3)</f>
        <v>4.3876882727011081E-3</v>
      </c>
      <c r="Q34" s="405"/>
      <c r="R34" s="405"/>
      <c r="S34" s="139"/>
    </row>
    <row r="35" spans="1:19" s="229" customFormat="1" x14ac:dyDescent="0.3">
      <c r="A35" s="408"/>
      <c r="B35" s="408"/>
      <c r="C35" s="408"/>
      <c r="D35" s="408"/>
      <c r="E35" s="121"/>
      <c r="F35" s="121"/>
      <c r="G35" s="409"/>
      <c r="H35" s="122" t="s">
        <v>314</v>
      </c>
      <c r="I35" s="125">
        <v>67</v>
      </c>
      <c r="J35" s="125">
        <f t="shared" si="3"/>
        <v>21.337579617834393</v>
      </c>
      <c r="K35" s="125">
        <v>42</v>
      </c>
      <c r="L35" s="125">
        <f t="shared" si="4"/>
        <v>13.375796178343949</v>
      </c>
      <c r="M35" s="125">
        <v>6</v>
      </c>
      <c r="N35" s="125"/>
      <c r="O35" s="124">
        <f t="shared" si="2"/>
        <v>3.2274594611348532E-3</v>
      </c>
      <c r="P35" s="123">
        <f>O35*(1+'Key Data'!F$3)</f>
        <v>4.0343243264185664E-3</v>
      </c>
      <c r="Q35" s="405"/>
      <c r="R35" s="405"/>
      <c r="S35" s="139"/>
    </row>
    <row r="36" spans="1:19" s="229" customFormat="1" x14ac:dyDescent="0.3">
      <c r="A36" s="408"/>
      <c r="B36" s="408"/>
      <c r="C36" s="408"/>
      <c r="D36" s="408"/>
      <c r="E36" s="121"/>
      <c r="F36" s="121"/>
      <c r="G36" s="409"/>
      <c r="H36" s="122" t="s">
        <v>314</v>
      </c>
      <c r="I36" s="125">
        <v>90</v>
      </c>
      <c r="J36" s="125">
        <f t="shared" si="3"/>
        <v>28.662420382165603</v>
      </c>
      <c r="K36" s="125">
        <v>60.5</v>
      </c>
      <c r="L36" s="125">
        <f t="shared" si="4"/>
        <v>19.267515923566879</v>
      </c>
      <c r="M36" s="125">
        <v>6</v>
      </c>
      <c r="N36" s="125"/>
      <c r="O36" s="124">
        <f t="shared" si="2"/>
        <v>3.758861236407843E-3</v>
      </c>
      <c r="P36" s="123">
        <f>O36*(1+'Key Data'!F$3)</f>
        <v>4.6985765455098034E-3</v>
      </c>
      <c r="Q36" s="405"/>
      <c r="R36" s="405"/>
      <c r="S36" s="139"/>
    </row>
    <row r="37" spans="1:19" s="229" customFormat="1" x14ac:dyDescent="0.3">
      <c r="A37" s="408"/>
      <c r="B37" s="408"/>
      <c r="C37" s="408"/>
      <c r="D37" s="408"/>
      <c r="E37" s="121"/>
      <c r="F37" s="121"/>
      <c r="G37" s="409"/>
      <c r="H37" s="122" t="s">
        <v>314</v>
      </c>
      <c r="I37" s="125">
        <v>78.5</v>
      </c>
      <c r="J37" s="125">
        <f t="shared" si="3"/>
        <v>25</v>
      </c>
      <c r="K37" s="125">
        <v>57</v>
      </c>
      <c r="L37" s="125">
        <f t="shared" si="4"/>
        <v>18.152866242038215</v>
      </c>
      <c r="M37" s="125">
        <v>6</v>
      </c>
      <c r="N37" s="125"/>
      <c r="O37" s="124">
        <f t="shared" si="2"/>
        <v>3.6720951428813736E-3</v>
      </c>
      <c r="P37" s="123">
        <f>O37*(1+'Key Data'!F$3)</f>
        <v>4.590118928601717E-3</v>
      </c>
      <c r="Q37" s="405"/>
      <c r="R37" s="405"/>
      <c r="S37" s="139"/>
    </row>
    <row r="38" spans="1:19" s="229" customFormat="1" x14ac:dyDescent="0.3">
      <c r="A38" s="408"/>
      <c r="B38" s="408"/>
      <c r="C38" s="408"/>
      <c r="D38" s="408"/>
      <c r="E38" s="121"/>
      <c r="F38" s="121"/>
      <c r="G38" s="409"/>
      <c r="H38" s="122" t="s">
        <v>314</v>
      </c>
      <c r="I38" s="125">
        <v>65</v>
      </c>
      <c r="J38" s="125">
        <f t="shared" si="3"/>
        <v>20.700636942675157</v>
      </c>
      <c r="K38" s="125">
        <v>47.5</v>
      </c>
      <c r="L38" s="125">
        <f t="shared" si="4"/>
        <v>15.127388535031846</v>
      </c>
      <c r="M38" s="125">
        <v>5.8</v>
      </c>
      <c r="N38" s="125"/>
      <c r="O38" s="124">
        <f t="shared" si="2"/>
        <v>3.381954626569479E-3</v>
      </c>
      <c r="P38" s="123">
        <f>O38*(1+'Key Data'!F$3)</f>
        <v>4.2274432832118489E-3</v>
      </c>
      <c r="Q38" s="405"/>
      <c r="R38" s="405"/>
      <c r="S38" s="139"/>
    </row>
    <row r="39" spans="1:19" s="229" customFormat="1" x14ac:dyDescent="0.3">
      <c r="A39" s="408"/>
      <c r="B39" s="408"/>
      <c r="C39" s="408"/>
      <c r="D39" s="408"/>
      <c r="E39" s="121"/>
      <c r="F39" s="121"/>
      <c r="G39" s="409"/>
      <c r="H39" s="122" t="s">
        <v>314</v>
      </c>
      <c r="I39" s="125">
        <v>56.5</v>
      </c>
      <c r="J39" s="125">
        <f t="shared" si="3"/>
        <v>17.993630573248407</v>
      </c>
      <c r="K39" s="125">
        <v>42</v>
      </c>
      <c r="L39" s="125">
        <f t="shared" si="4"/>
        <v>13.375796178343949</v>
      </c>
      <c r="M39" s="125">
        <v>5.8</v>
      </c>
      <c r="N39" s="125"/>
      <c r="O39" s="124">
        <f t="shared" si="2"/>
        <v>3.2027791315149571E-3</v>
      </c>
      <c r="P39" s="123">
        <f>O39*(1+'Key Data'!F$3)</f>
        <v>4.0034739143936966E-3</v>
      </c>
      <c r="Q39" s="405"/>
      <c r="R39" s="405"/>
      <c r="S39" s="139"/>
    </row>
    <row r="40" spans="1:19" s="229" customFormat="1" x14ac:dyDescent="0.3">
      <c r="A40" s="408"/>
      <c r="B40" s="408"/>
      <c r="C40" s="408"/>
      <c r="D40" s="408"/>
      <c r="E40" s="121"/>
      <c r="F40" s="121"/>
      <c r="G40" s="409"/>
      <c r="H40" s="122" t="s">
        <v>314</v>
      </c>
      <c r="I40" s="125">
        <v>67.5</v>
      </c>
      <c r="J40" s="125">
        <f t="shared" si="3"/>
        <v>21.496815286624201</v>
      </c>
      <c r="K40" s="125">
        <v>58.5</v>
      </c>
      <c r="L40" s="125">
        <f t="shared" si="4"/>
        <v>18.630573248407643</v>
      </c>
      <c r="M40" s="125">
        <v>5.8</v>
      </c>
      <c r="N40" s="125"/>
      <c r="O40" s="124">
        <f t="shared" si="2"/>
        <v>3.6852351214646246E-3</v>
      </c>
      <c r="P40" s="123">
        <f>O40*(1+'Key Data'!F$3)</f>
        <v>4.6065439018307805E-3</v>
      </c>
      <c r="Q40" s="405"/>
      <c r="R40" s="405"/>
      <c r="S40" s="139"/>
    </row>
    <row r="41" spans="1:19" s="229" customFormat="1" x14ac:dyDescent="0.3">
      <c r="A41" s="408"/>
      <c r="B41" s="408"/>
      <c r="C41" s="408"/>
      <c r="D41" s="408"/>
      <c r="E41" s="121"/>
      <c r="F41" s="121"/>
      <c r="G41" s="409"/>
      <c r="H41" s="122" t="s">
        <v>314</v>
      </c>
      <c r="I41" s="125">
        <v>62</v>
      </c>
      <c r="J41" s="125">
        <f t="shared" si="3"/>
        <v>19.745222929936304</v>
      </c>
      <c r="K41" s="125">
        <v>42.5</v>
      </c>
      <c r="L41" s="125">
        <f t="shared" si="4"/>
        <v>13.535031847133757</v>
      </c>
      <c r="M41" s="125">
        <v>4.2</v>
      </c>
      <c r="N41" s="125"/>
      <c r="O41" s="124">
        <f t="shared" si="2"/>
        <v>2.9850310722814911E-3</v>
      </c>
      <c r="P41" s="123">
        <f>O41*(1+'Key Data'!F$3)</f>
        <v>3.7312888403518638E-3</v>
      </c>
      <c r="Q41" s="405"/>
      <c r="R41" s="405"/>
      <c r="S41" s="139"/>
    </row>
    <row r="42" spans="1:19" s="229" customFormat="1" x14ac:dyDescent="0.3">
      <c r="A42" s="408"/>
      <c r="B42" s="408"/>
      <c r="C42" s="408"/>
      <c r="D42" s="408"/>
      <c r="E42" s="121"/>
      <c r="F42" s="121"/>
      <c r="G42" s="409"/>
      <c r="H42" s="122" t="s">
        <v>314</v>
      </c>
      <c r="I42" s="125">
        <v>52</v>
      </c>
      <c r="J42" s="125">
        <f t="shared" si="3"/>
        <v>16.560509554140125</v>
      </c>
      <c r="K42" s="125">
        <v>40.799999999999997</v>
      </c>
      <c r="L42" s="125">
        <f t="shared" si="4"/>
        <v>12.993630573248407</v>
      </c>
      <c r="M42" s="125">
        <v>6.4</v>
      </c>
      <c r="N42" s="125"/>
      <c r="O42" s="124">
        <f t="shared" si="2"/>
        <v>3.232237650835548E-3</v>
      </c>
      <c r="P42" s="123">
        <f>O42*(1+'Key Data'!F$3)</f>
        <v>4.0402970635444353E-3</v>
      </c>
      <c r="Q42" s="405"/>
      <c r="R42" s="405"/>
      <c r="S42" s="139"/>
    </row>
    <row r="43" spans="1:19" s="229" customFormat="1" x14ac:dyDescent="0.3">
      <c r="A43" s="408"/>
      <c r="B43" s="408"/>
      <c r="C43" s="408"/>
      <c r="D43" s="408"/>
      <c r="E43" s="121"/>
      <c r="F43" s="121"/>
      <c r="G43" s="409"/>
      <c r="H43" s="122" t="s">
        <v>314</v>
      </c>
      <c r="I43" s="125">
        <v>52</v>
      </c>
      <c r="J43" s="125">
        <f t="shared" si="3"/>
        <v>16.560509554140125</v>
      </c>
      <c r="K43" s="125">
        <v>47</v>
      </c>
      <c r="L43" s="125">
        <f t="shared" si="4"/>
        <v>14.968152866242038</v>
      </c>
      <c r="M43" s="125">
        <v>6.2</v>
      </c>
      <c r="N43" s="125"/>
      <c r="O43" s="124">
        <f t="shared" si="2"/>
        <v>3.41509839601925E-3</v>
      </c>
      <c r="P43" s="123">
        <f>O43*(1+'Key Data'!F$3)</f>
        <v>4.2688729950240622E-3</v>
      </c>
      <c r="Q43" s="405"/>
      <c r="R43" s="405"/>
      <c r="S43" s="139"/>
    </row>
    <row r="44" spans="1:19" s="229" customFormat="1" x14ac:dyDescent="0.3">
      <c r="A44" s="408"/>
      <c r="B44" s="408"/>
      <c r="C44" s="408"/>
      <c r="D44" s="408"/>
      <c r="E44" s="121"/>
      <c r="F44" s="121"/>
      <c r="G44" s="409"/>
      <c r="H44" s="122" t="s">
        <v>314</v>
      </c>
      <c r="I44" s="125">
        <v>68</v>
      </c>
      <c r="J44" s="125">
        <f t="shared" si="3"/>
        <v>21.656050955414013</v>
      </c>
      <c r="K44" s="125">
        <v>61</v>
      </c>
      <c r="L44" s="125">
        <f t="shared" si="4"/>
        <v>19.426751592356688</v>
      </c>
      <c r="M44" s="125">
        <v>5.8</v>
      </c>
      <c r="N44" s="125"/>
      <c r="O44" s="124">
        <f t="shared" si="2"/>
        <v>3.7461645135307134E-3</v>
      </c>
      <c r="P44" s="123">
        <f>O44*(1+'Key Data'!F$3)</f>
        <v>4.6827056419133919E-3</v>
      </c>
      <c r="Q44" s="405"/>
      <c r="R44" s="405"/>
      <c r="S44" s="139"/>
    </row>
    <row r="45" spans="1:19" s="229" customFormat="1" x14ac:dyDescent="0.3">
      <c r="A45" s="408"/>
      <c r="B45" s="408"/>
      <c r="C45" s="408"/>
      <c r="D45" s="408"/>
      <c r="E45" s="121"/>
      <c r="F45" s="121"/>
      <c r="G45" s="409"/>
      <c r="H45" s="122" t="s">
        <v>314</v>
      </c>
      <c r="I45" s="125">
        <v>63</v>
      </c>
      <c r="J45" s="125">
        <f t="shared" si="3"/>
        <v>20.063694267515924</v>
      </c>
      <c r="K45" s="125">
        <v>52.8</v>
      </c>
      <c r="L45" s="125">
        <f t="shared" si="4"/>
        <v>16.815286624203821</v>
      </c>
      <c r="M45" s="125">
        <v>5.8</v>
      </c>
      <c r="N45" s="125"/>
      <c r="O45" s="124">
        <f t="shared" si="2"/>
        <v>3.5359724609713588E-3</v>
      </c>
      <c r="P45" s="123">
        <f>O45*(1+'Key Data'!F$3)</f>
        <v>4.4199655762141984E-3</v>
      </c>
      <c r="Q45" s="405"/>
      <c r="R45" s="405"/>
      <c r="S45" s="139"/>
    </row>
    <row r="46" spans="1:19" s="229" customFormat="1" x14ac:dyDescent="0.3">
      <c r="A46" s="408"/>
      <c r="B46" s="408"/>
      <c r="C46" s="408"/>
      <c r="D46" s="408"/>
      <c r="E46" s="121"/>
      <c r="F46" s="121"/>
      <c r="G46" s="409"/>
      <c r="H46" s="122" t="s">
        <v>314</v>
      </c>
      <c r="I46" s="125">
        <v>54</v>
      </c>
      <c r="J46" s="125">
        <f t="shared" si="3"/>
        <v>17.197452229299362</v>
      </c>
      <c r="K46" s="125">
        <v>45</v>
      </c>
      <c r="L46" s="125">
        <f t="shared" si="4"/>
        <v>14.331210191082802</v>
      </c>
      <c r="M46" s="125">
        <v>5.8</v>
      </c>
      <c r="N46" s="125"/>
      <c r="O46" s="124">
        <f t="shared" si="2"/>
        <v>3.303232752399958E-3</v>
      </c>
      <c r="P46" s="123">
        <f>O46*(1+'Key Data'!F$3)</f>
        <v>4.1290409404999475E-3</v>
      </c>
      <c r="Q46" s="405"/>
      <c r="R46" s="405"/>
      <c r="S46" s="139"/>
    </row>
    <row r="47" spans="1:19" s="229" customFormat="1" x14ac:dyDescent="0.3">
      <c r="A47" s="408"/>
      <c r="B47" s="408"/>
      <c r="C47" s="408"/>
      <c r="D47" s="408"/>
      <c r="E47" s="121"/>
      <c r="F47" s="121"/>
      <c r="G47" s="409"/>
      <c r="H47" s="122" t="s">
        <v>314</v>
      </c>
      <c r="I47" s="125">
        <v>77</v>
      </c>
      <c r="J47" s="125">
        <f t="shared" si="3"/>
        <v>24.522292993630572</v>
      </c>
      <c r="K47" s="125">
        <v>46</v>
      </c>
      <c r="L47" s="125">
        <f t="shared" si="4"/>
        <v>14.64968152866242</v>
      </c>
      <c r="M47" s="125">
        <v>5.8</v>
      </c>
      <c r="N47" s="125"/>
      <c r="O47" s="124">
        <f t="shared" si="2"/>
        <v>3.3352340405824947E-3</v>
      </c>
      <c r="P47" s="123">
        <f>O47*(1+'Key Data'!F$3)</f>
        <v>4.169042550728118E-3</v>
      </c>
      <c r="Q47" s="405"/>
      <c r="R47" s="405"/>
      <c r="S47" s="139"/>
    </row>
    <row r="48" spans="1:19" s="229" customFormat="1" x14ac:dyDescent="0.3">
      <c r="A48" s="408"/>
      <c r="B48" s="408"/>
      <c r="C48" s="408"/>
      <c r="D48" s="408"/>
      <c r="E48" s="121"/>
      <c r="F48" s="121"/>
      <c r="G48" s="409"/>
      <c r="H48" s="122" t="s">
        <v>314</v>
      </c>
      <c r="I48" s="125">
        <v>55</v>
      </c>
      <c r="J48" s="125">
        <f t="shared" si="3"/>
        <v>17.515923566878982</v>
      </c>
      <c r="K48" s="125">
        <v>45.8</v>
      </c>
      <c r="L48" s="125">
        <f t="shared" si="4"/>
        <v>14.585987261146496</v>
      </c>
      <c r="M48" s="125">
        <v>5.8</v>
      </c>
      <c r="N48" s="125"/>
      <c r="O48" s="124">
        <f t="shared" si="2"/>
        <v>3.3288898039652948E-3</v>
      </c>
      <c r="P48" s="123">
        <f>O48*(1+'Key Data'!F$3)</f>
        <v>4.1611122549566181E-3</v>
      </c>
      <c r="Q48" s="405"/>
      <c r="R48" s="405"/>
      <c r="S48" s="139"/>
    </row>
    <row r="49" spans="1:19" s="229" customFormat="1" x14ac:dyDescent="0.3">
      <c r="A49" s="408"/>
      <c r="B49" s="408"/>
      <c r="C49" s="408"/>
      <c r="D49" s="408"/>
      <c r="E49" s="121"/>
      <c r="F49" s="121"/>
      <c r="G49" s="409"/>
      <c r="H49" s="122" t="s">
        <v>314</v>
      </c>
      <c r="I49" s="125">
        <v>59</v>
      </c>
      <c r="J49" s="125">
        <f t="shared" si="3"/>
        <v>18.789808917197451</v>
      </c>
      <c r="K49" s="125">
        <v>54.4</v>
      </c>
      <c r="L49" s="125">
        <f t="shared" si="4"/>
        <v>17.32484076433121</v>
      </c>
      <c r="M49" s="125">
        <v>5.6</v>
      </c>
      <c r="N49" s="125"/>
      <c r="O49" s="124">
        <f t="shared" si="2"/>
        <v>3.5538918944946897E-3</v>
      </c>
      <c r="P49" s="123">
        <f>O49*(1+'Key Data'!F$3)</f>
        <v>4.4423648681183618E-3</v>
      </c>
      <c r="Q49" s="405"/>
      <c r="R49" s="405"/>
      <c r="S49" s="139"/>
    </row>
    <row r="50" spans="1:19" s="229" customFormat="1" x14ac:dyDescent="0.3">
      <c r="A50" s="408"/>
      <c r="B50" s="408"/>
      <c r="C50" s="408"/>
      <c r="D50" s="408"/>
      <c r="E50" s="121"/>
      <c r="F50" s="121"/>
      <c r="G50" s="409"/>
      <c r="H50" s="122" t="s">
        <v>314</v>
      </c>
      <c r="I50" s="125">
        <v>57</v>
      </c>
      <c r="J50" s="125">
        <f t="shared" si="3"/>
        <v>18.152866242038215</v>
      </c>
      <c r="K50" s="125">
        <v>54.4</v>
      </c>
      <c r="L50" s="125">
        <f t="shared" si="4"/>
        <v>17.32484076433121</v>
      </c>
      <c r="M50" s="125">
        <v>5.6</v>
      </c>
      <c r="N50" s="125"/>
      <c r="O50" s="124">
        <f t="shared" si="2"/>
        <v>3.5538918944946897E-3</v>
      </c>
      <c r="P50" s="123">
        <f>O50*(1+'Key Data'!F$3)</f>
        <v>4.4423648681183618E-3</v>
      </c>
      <c r="Q50" s="405"/>
      <c r="R50" s="405"/>
      <c r="S50" s="139"/>
    </row>
    <row r="51" spans="1:19" s="229" customFormat="1" x14ac:dyDescent="0.3">
      <c r="A51" s="408"/>
      <c r="B51" s="408"/>
      <c r="C51" s="408"/>
      <c r="D51" s="408"/>
      <c r="E51" s="121"/>
      <c r="F51" s="121"/>
      <c r="G51" s="409"/>
      <c r="H51" s="122" t="s">
        <v>314</v>
      </c>
      <c r="I51" s="125">
        <v>61</v>
      </c>
      <c r="J51" s="125">
        <f t="shared" si="3"/>
        <v>19.426751592356688</v>
      </c>
      <c r="K51" s="125">
        <v>50</v>
      </c>
      <c r="L51" s="125">
        <f t="shared" si="4"/>
        <v>15.923566878980891</v>
      </c>
      <c r="M51" s="125">
        <v>6.2</v>
      </c>
      <c r="N51" s="125"/>
      <c r="O51" s="124">
        <f t="shared" si="2"/>
        <v>3.5051889838327863E-3</v>
      </c>
      <c r="P51" s="123">
        <f>O51*(1+'Key Data'!F$3)</f>
        <v>4.3814862297909827E-3</v>
      </c>
      <c r="Q51" s="405"/>
      <c r="R51" s="405"/>
      <c r="S51" s="139"/>
    </row>
    <row r="52" spans="1:19" s="229" customFormat="1" x14ac:dyDescent="0.3">
      <c r="A52" s="408"/>
      <c r="B52" s="408"/>
      <c r="C52" s="408"/>
      <c r="D52" s="408"/>
      <c r="E52" s="121"/>
      <c r="F52" s="121"/>
      <c r="G52" s="409"/>
      <c r="H52" s="122" t="s">
        <v>314</v>
      </c>
      <c r="I52" s="125">
        <v>64.5</v>
      </c>
      <c r="J52" s="125">
        <f t="shared" si="3"/>
        <v>20.541401273885349</v>
      </c>
      <c r="K52" s="125">
        <v>36.5</v>
      </c>
      <c r="L52" s="125">
        <f t="shared" si="4"/>
        <v>11.624203821656051</v>
      </c>
      <c r="M52" s="125">
        <v>6.6</v>
      </c>
      <c r="N52" s="125"/>
      <c r="O52" s="124">
        <f t="shared" si="2"/>
        <v>3.0924849592285936E-3</v>
      </c>
      <c r="P52" s="123">
        <f>O52*(1+'Key Data'!F$3)</f>
        <v>3.865606199035742E-3</v>
      </c>
      <c r="Q52" s="405"/>
      <c r="R52" s="405"/>
      <c r="S52" s="139"/>
    </row>
    <row r="53" spans="1:19" s="229" customFormat="1" x14ac:dyDescent="0.3">
      <c r="A53" s="408"/>
      <c r="B53" s="408"/>
      <c r="C53" s="408"/>
      <c r="D53" s="408"/>
      <c r="E53" s="121"/>
      <c r="F53" s="121"/>
      <c r="G53" s="409"/>
      <c r="H53" s="122" t="s">
        <v>314</v>
      </c>
      <c r="I53" s="125">
        <v>60.5</v>
      </c>
      <c r="J53" s="125">
        <f t="shared" si="3"/>
        <v>19.267515923566879</v>
      </c>
      <c r="K53" s="125">
        <v>54.5</v>
      </c>
      <c r="L53" s="125">
        <f t="shared" si="4"/>
        <v>17.35668789808917</v>
      </c>
      <c r="M53" s="125">
        <v>6</v>
      </c>
      <c r="N53" s="125"/>
      <c r="O53" s="124">
        <f t="shared" si="2"/>
        <v>3.606792718544622E-3</v>
      </c>
      <c r="P53" s="123">
        <f>O53*(1+'Key Data'!F$3)</f>
        <v>4.5084908981807776E-3</v>
      </c>
      <c r="Q53" s="405"/>
      <c r="R53" s="405"/>
      <c r="S53" s="139"/>
    </row>
    <row r="54" spans="1:19" s="229" customFormat="1" x14ac:dyDescent="0.3">
      <c r="A54" s="408"/>
      <c r="B54" s="408"/>
      <c r="C54" s="408"/>
      <c r="D54" s="408"/>
      <c r="E54" s="121"/>
      <c r="F54" s="121"/>
      <c r="G54" s="409"/>
      <c r="H54" s="122" t="s">
        <v>314</v>
      </c>
      <c r="I54" s="125">
        <v>68</v>
      </c>
      <c r="J54" s="125">
        <f t="shared" si="3"/>
        <v>21.656050955414013</v>
      </c>
      <c r="K54" s="125">
        <v>56.5</v>
      </c>
      <c r="L54" s="125">
        <f t="shared" si="4"/>
        <v>17.993630573248407</v>
      </c>
      <c r="M54" s="125">
        <v>6.4</v>
      </c>
      <c r="N54" s="125"/>
      <c r="O54" s="124">
        <f t="shared" si="2"/>
        <v>3.7062509094523085E-3</v>
      </c>
      <c r="P54" s="123">
        <f>O54*(1+'Key Data'!F$3)</f>
        <v>4.6328136368153855E-3</v>
      </c>
      <c r="Q54" s="405"/>
      <c r="R54" s="405"/>
      <c r="S54" s="139"/>
    </row>
    <row r="55" spans="1:19" s="229" customFormat="1" x14ac:dyDescent="0.3">
      <c r="A55" s="408"/>
      <c r="B55" s="408"/>
      <c r="C55" s="408"/>
      <c r="D55" s="408"/>
      <c r="E55" s="121"/>
      <c r="F55" s="121"/>
      <c r="G55" s="409"/>
      <c r="H55" s="122" t="s">
        <v>314</v>
      </c>
      <c r="I55" s="125">
        <v>67</v>
      </c>
      <c r="J55" s="125">
        <f t="shared" si="3"/>
        <v>21.337579617834393</v>
      </c>
      <c r="K55" s="125">
        <v>51</v>
      </c>
      <c r="L55" s="125">
        <f t="shared" si="4"/>
        <v>16.242038216560509</v>
      </c>
      <c r="M55" s="125">
        <v>6.4</v>
      </c>
      <c r="N55" s="125"/>
      <c r="O55" s="124">
        <f t="shared" si="2"/>
        <v>3.5571346615490386E-3</v>
      </c>
      <c r="P55" s="123">
        <f>O55*(1+'Key Data'!F$3)</f>
        <v>4.4464183269362981E-3</v>
      </c>
      <c r="Q55" s="405"/>
      <c r="R55" s="405"/>
      <c r="S55" s="139"/>
    </row>
    <row r="56" spans="1:19" s="229" customFormat="1" x14ac:dyDescent="0.3">
      <c r="A56" s="408"/>
      <c r="B56" s="408"/>
      <c r="C56" s="408"/>
      <c r="D56" s="408"/>
      <c r="E56" s="121"/>
      <c r="F56" s="121"/>
      <c r="G56" s="409"/>
      <c r="H56" s="122" t="s">
        <v>314</v>
      </c>
      <c r="I56" s="125">
        <v>68.5</v>
      </c>
      <c r="J56" s="125">
        <f t="shared" si="3"/>
        <v>21.815286624203821</v>
      </c>
      <c r="K56" s="125">
        <v>51.5</v>
      </c>
      <c r="L56" s="125">
        <f t="shared" si="4"/>
        <v>16.401273885350317</v>
      </c>
      <c r="M56" s="125">
        <v>6</v>
      </c>
      <c r="N56" s="125"/>
      <c r="O56" s="124">
        <f t="shared" si="2"/>
        <v>3.5243556088813371E-3</v>
      </c>
      <c r="P56" s="123">
        <f>O56*(1+'Key Data'!F$3)</f>
        <v>4.4054445111016711E-3</v>
      </c>
      <c r="Q56" s="405"/>
      <c r="R56" s="405"/>
      <c r="S56" s="139"/>
    </row>
    <row r="57" spans="1:19" s="229" customFormat="1" x14ac:dyDescent="0.3">
      <c r="A57" s="408"/>
      <c r="B57" s="408"/>
      <c r="C57" s="408"/>
      <c r="D57" s="408"/>
      <c r="E57" s="121"/>
      <c r="F57" s="121"/>
      <c r="G57" s="409"/>
      <c r="H57" s="122" t="s">
        <v>314</v>
      </c>
      <c r="I57" s="125">
        <v>69</v>
      </c>
      <c r="J57" s="125">
        <f t="shared" si="3"/>
        <v>21.97452229299363</v>
      </c>
      <c r="K57" s="125">
        <v>52.5</v>
      </c>
      <c r="L57" s="125">
        <f t="shared" si="4"/>
        <v>16.719745222929937</v>
      </c>
      <c r="M57" s="125">
        <v>6</v>
      </c>
      <c r="N57" s="125"/>
      <c r="O57" s="124">
        <f t="shared" si="2"/>
        <v>3.5523564718483425E-3</v>
      </c>
      <c r="P57" s="123">
        <f>O57*(1+'Key Data'!F$3)</f>
        <v>4.4404455898104283E-3</v>
      </c>
      <c r="Q57" s="405"/>
      <c r="R57" s="405"/>
      <c r="S57" s="139"/>
    </row>
    <row r="58" spans="1:19" s="229" customFormat="1" x14ac:dyDescent="0.3">
      <c r="A58" s="408"/>
      <c r="B58" s="408"/>
      <c r="C58" s="408"/>
      <c r="D58" s="408"/>
      <c r="E58" s="121"/>
      <c r="F58" s="121"/>
      <c r="G58" s="409"/>
      <c r="H58" s="122" t="s">
        <v>314</v>
      </c>
      <c r="I58" s="125">
        <v>82.5</v>
      </c>
      <c r="J58" s="125">
        <f t="shared" si="3"/>
        <v>26.273885350318469</v>
      </c>
      <c r="K58" s="125">
        <v>62.5</v>
      </c>
      <c r="L58" s="125">
        <f t="shared" si="4"/>
        <v>19.904458598726112</v>
      </c>
      <c r="M58" s="125">
        <v>5.4</v>
      </c>
      <c r="N58" s="125"/>
      <c r="O58" s="124">
        <f t="shared" si="2"/>
        <v>3.7295125481322405E-3</v>
      </c>
      <c r="P58" s="123">
        <f>O58*(1+'Key Data'!F$3)</f>
        <v>4.6618906851653005E-3</v>
      </c>
      <c r="Q58" s="405"/>
      <c r="R58" s="405"/>
      <c r="S58" s="139"/>
    </row>
    <row r="59" spans="1:19" s="229" customFormat="1" x14ac:dyDescent="0.3">
      <c r="A59" s="408"/>
      <c r="B59" s="408"/>
      <c r="C59" s="408"/>
      <c r="D59" s="408"/>
      <c r="E59" s="121"/>
      <c r="F59" s="121"/>
      <c r="G59" s="409"/>
      <c r="H59" s="122" t="s">
        <v>314</v>
      </c>
      <c r="I59" s="125">
        <v>61</v>
      </c>
      <c r="J59" s="125">
        <f t="shared" si="3"/>
        <v>19.426751592356688</v>
      </c>
      <c r="K59" s="125">
        <v>53.8</v>
      </c>
      <c r="L59" s="125">
        <f t="shared" si="4"/>
        <v>17.133757961783438</v>
      </c>
      <c r="M59" s="125">
        <v>5.4</v>
      </c>
      <c r="N59" s="125"/>
      <c r="O59" s="124">
        <f t="shared" si="2"/>
        <v>3.5112682097115985E-3</v>
      </c>
      <c r="P59" s="123">
        <f>O59*(1+'Key Data'!F$3)</f>
        <v>4.3890852621394985E-3</v>
      </c>
      <c r="Q59" s="405"/>
      <c r="R59" s="405"/>
      <c r="S59" s="139"/>
    </row>
    <row r="60" spans="1:19" s="229" customFormat="1" x14ac:dyDescent="0.3">
      <c r="A60" s="408"/>
      <c r="B60" s="408"/>
      <c r="C60" s="408"/>
      <c r="D60" s="408"/>
      <c r="E60" s="121"/>
      <c r="F60" s="121"/>
      <c r="G60" s="409"/>
      <c r="H60" s="122" t="s">
        <v>314</v>
      </c>
      <c r="I60" s="125">
        <v>73.5</v>
      </c>
      <c r="J60" s="125">
        <f t="shared" si="3"/>
        <v>23.407643312101911</v>
      </c>
      <c r="K60" s="125">
        <v>54.5</v>
      </c>
      <c r="L60" s="125">
        <f t="shared" si="4"/>
        <v>17.35668789808917</v>
      </c>
      <c r="M60" s="125">
        <v>5.6</v>
      </c>
      <c r="N60" s="125"/>
      <c r="O60" s="124">
        <f t="shared" si="2"/>
        <v>3.5565659081021211E-3</v>
      </c>
      <c r="P60" s="123">
        <f>O60*(1+'Key Data'!F$3)</f>
        <v>4.4457073851276513E-3</v>
      </c>
      <c r="Q60" s="405"/>
      <c r="R60" s="405"/>
      <c r="S60" s="139"/>
    </row>
    <row r="61" spans="1:19" s="229" customFormat="1" x14ac:dyDescent="0.3">
      <c r="A61" s="408"/>
      <c r="B61" s="408"/>
      <c r="C61" s="408"/>
      <c r="D61" s="408"/>
      <c r="E61" s="121"/>
      <c r="F61" s="121"/>
      <c r="G61" s="409"/>
      <c r="H61" s="122" t="s">
        <v>314</v>
      </c>
      <c r="I61" s="125">
        <v>59.8</v>
      </c>
      <c r="J61" s="125">
        <f t="shared" si="3"/>
        <v>19.044585987261144</v>
      </c>
      <c r="K61" s="125">
        <v>59.4</v>
      </c>
      <c r="L61" s="125">
        <f t="shared" si="4"/>
        <v>18.917197452229299</v>
      </c>
      <c r="M61" s="125">
        <v>8.3000000000000007</v>
      </c>
      <c r="N61" s="125"/>
      <c r="O61" s="124">
        <f t="shared" si="2"/>
        <v>3.968378011685183E-3</v>
      </c>
      <c r="P61" s="123">
        <f>O61*(1+'Key Data'!F$3)</f>
        <v>4.9604725146064786E-3</v>
      </c>
      <c r="Q61" s="405"/>
      <c r="R61" s="405"/>
      <c r="S61" s="139"/>
    </row>
    <row r="62" spans="1:19" s="229" customFormat="1" x14ac:dyDescent="0.3">
      <c r="A62" s="408"/>
      <c r="B62" s="408"/>
      <c r="C62" s="408"/>
      <c r="D62" s="408"/>
      <c r="E62" s="121"/>
      <c r="F62" s="121"/>
      <c r="G62" s="409"/>
      <c r="H62" s="122" t="s">
        <v>314</v>
      </c>
      <c r="I62" s="125">
        <v>70.8</v>
      </c>
      <c r="J62" s="125">
        <f t="shared" si="3"/>
        <v>22.547770700636942</v>
      </c>
      <c r="K62" s="125">
        <v>60</v>
      </c>
      <c r="L62" s="125">
        <f t="shared" si="4"/>
        <v>19.108280254777068</v>
      </c>
      <c r="M62" s="125">
        <v>8.6999999999999993</v>
      </c>
      <c r="N62" s="125"/>
      <c r="O62" s="124">
        <f t="shared" si="2"/>
        <v>4.0172764485924949E-3</v>
      </c>
      <c r="P62" s="123">
        <f>O62*(1+'Key Data'!F$3)</f>
        <v>5.0215955607406191E-3</v>
      </c>
      <c r="Q62" s="405"/>
      <c r="R62" s="405"/>
      <c r="S62" s="139"/>
    </row>
    <row r="63" spans="1:19" s="229" customFormat="1" x14ac:dyDescent="0.3">
      <c r="A63" s="408"/>
      <c r="B63" s="408"/>
      <c r="C63" s="408"/>
      <c r="D63" s="408"/>
      <c r="E63" s="121"/>
      <c r="F63" s="121"/>
      <c r="G63" s="409"/>
      <c r="H63" s="122" t="s">
        <v>314</v>
      </c>
      <c r="I63" s="125">
        <v>57</v>
      </c>
      <c r="J63" s="125">
        <f t="shared" si="3"/>
        <v>18.152866242038215</v>
      </c>
      <c r="K63" s="125">
        <v>45.2</v>
      </c>
      <c r="L63" s="125">
        <f t="shared" si="4"/>
        <v>14.394904458598726</v>
      </c>
      <c r="M63" s="125">
        <v>4.5</v>
      </c>
      <c r="N63" s="125"/>
      <c r="O63" s="124">
        <f t="shared" si="2"/>
        <v>3.1249373066057689E-3</v>
      </c>
      <c r="P63" s="123">
        <f>O63*(1+'Key Data'!F$3)</f>
        <v>3.9061716332572114E-3</v>
      </c>
      <c r="Q63" s="405"/>
      <c r="R63" s="405"/>
      <c r="S63" s="139"/>
    </row>
    <row r="64" spans="1:19" s="229" customFormat="1" x14ac:dyDescent="0.3">
      <c r="A64" s="408"/>
      <c r="B64" s="408"/>
      <c r="C64" s="408"/>
      <c r="D64" s="408"/>
      <c r="E64" s="121"/>
      <c r="F64" s="121"/>
      <c r="G64" s="409"/>
      <c r="H64" s="122" t="s">
        <v>314</v>
      </c>
      <c r="I64" s="125">
        <v>69</v>
      </c>
      <c r="J64" s="125">
        <f t="shared" si="3"/>
        <v>21.97452229299363</v>
      </c>
      <c r="K64" s="125">
        <v>57.2</v>
      </c>
      <c r="L64" s="125">
        <f t="shared" si="4"/>
        <v>18.216560509554139</v>
      </c>
      <c r="M64" s="125">
        <v>7.8</v>
      </c>
      <c r="N64" s="125"/>
      <c r="O64" s="124">
        <f t="shared" si="2"/>
        <v>3.868196157496256E-3</v>
      </c>
      <c r="P64" s="123">
        <f>O64*(1+'Key Data'!F$3)</f>
        <v>4.8352451968703197E-3</v>
      </c>
      <c r="Q64" s="405"/>
      <c r="R64" s="405"/>
      <c r="S64" s="139"/>
    </row>
    <row r="65" spans="1:19" s="229" customFormat="1" x14ac:dyDescent="0.3">
      <c r="A65" s="408"/>
      <c r="B65" s="408"/>
      <c r="C65" s="408"/>
      <c r="D65" s="408"/>
      <c r="E65" s="121"/>
      <c r="F65" s="121"/>
      <c r="G65" s="409"/>
      <c r="H65" s="122" t="s">
        <v>314</v>
      </c>
      <c r="I65" s="125">
        <v>51</v>
      </c>
      <c r="J65" s="125">
        <f t="shared" si="3"/>
        <v>16.242038216560509</v>
      </c>
      <c r="K65" s="125">
        <v>47.2</v>
      </c>
      <c r="L65" s="125">
        <f t="shared" si="4"/>
        <v>15.031847133757962</v>
      </c>
      <c r="M65" s="125">
        <v>6.6</v>
      </c>
      <c r="N65" s="125"/>
      <c r="O65" s="124">
        <f t="shared" si="2"/>
        <v>3.4667958154250542E-3</v>
      </c>
      <c r="P65" s="123">
        <f>O65*(1+'Key Data'!F$3)</f>
        <v>4.3334947692813177E-3</v>
      </c>
      <c r="Q65" s="405"/>
      <c r="R65" s="405"/>
      <c r="S65" s="139"/>
    </row>
    <row r="66" spans="1:19" s="229" customFormat="1" x14ac:dyDescent="0.3">
      <c r="A66" s="408"/>
      <c r="B66" s="408"/>
      <c r="C66" s="408"/>
      <c r="D66" s="408"/>
      <c r="E66" s="121"/>
      <c r="F66" s="121"/>
      <c r="G66" s="409"/>
      <c r="H66" s="122" t="s">
        <v>314</v>
      </c>
      <c r="I66" s="125">
        <v>57.3</v>
      </c>
      <c r="J66" s="125">
        <f t="shared" ref="J66:J97" si="5">I66/3.14</f>
        <v>18.248407643312099</v>
      </c>
      <c r="K66" s="125">
        <v>48.4</v>
      </c>
      <c r="L66" s="125">
        <f t="shared" ref="L66:L97" si="6">K66/3.14</f>
        <v>15.414012738853502</v>
      </c>
      <c r="M66" s="125">
        <v>6.5</v>
      </c>
      <c r="N66" s="125"/>
      <c r="O66" s="124">
        <f t="shared" si="2"/>
        <v>3.4922353168806877E-3</v>
      </c>
      <c r="P66" s="123">
        <f>O66*(1+'Key Data'!F$3)</f>
        <v>4.3652941461008593E-3</v>
      </c>
      <c r="Q66" s="405"/>
      <c r="R66" s="405"/>
      <c r="S66" s="139"/>
    </row>
    <row r="67" spans="1:19" s="229" customFormat="1" x14ac:dyDescent="0.3">
      <c r="A67" s="408"/>
      <c r="B67" s="408"/>
      <c r="C67" s="408"/>
      <c r="D67" s="408"/>
      <c r="E67" s="121"/>
      <c r="F67" s="121"/>
      <c r="G67" s="409"/>
      <c r="H67" s="122" t="s">
        <v>314</v>
      </c>
      <c r="I67" s="125">
        <v>64</v>
      </c>
      <c r="J67" s="125">
        <f t="shared" si="5"/>
        <v>20.38216560509554</v>
      </c>
      <c r="K67" s="125">
        <v>48.8</v>
      </c>
      <c r="L67" s="125">
        <f t="shared" si="6"/>
        <v>15.541401273885349</v>
      </c>
      <c r="M67" s="125">
        <v>6.4</v>
      </c>
      <c r="N67" s="125"/>
      <c r="O67" s="124">
        <f t="shared" ref="O67:O124" si="7">EXP(LN(-1.853+0.728*LN(L67^2*M67)))/1000</f>
        <v>3.4929318758252724E-3</v>
      </c>
      <c r="P67" s="123">
        <f>O67*(1+'Key Data'!F$3)</f>
        <v>4.3661648447815907E-3</v>
      </c>
      <c r="Q67" s="405"/>
      <c r="R67" s="405"/>
      <c r="S67" s="139"/>
    </row>
    <row r="68" spans="1:19" s="229" customFormat="1" x14ac:dyDescent="0.3">
      <c r="A68" s="408"/>
      <c r="B68" s="408"/>
      <c r="C68" s="408"/>
      <c r="D68" s="408"/>
      <c r="E68" s="121"/>
      <c r="F68" s="121"/>
      <c r="G68" s="409"/>
      <c r="H68" s="122" t="s">
        <v>314</v>
      </c>
      <c r="I68" s="125">
        <v>70.3</v>
      </c>
      <c r="J68" s="125">
        <f t="shared" si="5"/>
        <v>22.38853503184713</v>
      </c>
      <c r="K68" s="125">
        <v>59</v>
      </c>
      <c r="L68" s="125">
        <f t="shared" si="6"/>
        <v>18.789808917197451</v>
      </c>
      <c r="M68" s="125">
        <v>6.5</v>
      </c>
      <c r="N68" s="125"/>
      <c r="O68" s="124">
        <f t="shared" si="7"/>
        <v>3.7805781064273302E-3</v>
      </c>
      <c r="P68" s="123">
        <f>O68*(1+'Key Data'!F$3)</f>
        <v>4.7257226330341632E-3</v>
      </c>
      <c r="Q68" s="405"/>
      <c r="R68" s="405"/>
      <c r="S68" s="139"/>
    </row>
    <row r="69" spans="1:19" s="229" customFormat="1" x14ac:dyDescent="0.3">
      <c r="A69" s="408"/>
      <c r="B69" s="408"/>
      <c r="C69" s="408"/>
      <c r="D69" s="408"/>
      <c r="E69" s="121"/>
      <c r="F69" s="121"/>
      <c r="G69" s="409"/>
      <c r="H69" s="122" t="s">
        <v>314</v>
      </c>
      <c r="I69" s="125">
        <v>70.8</v>
      </c>
      <c r="J69" s="125">
        <f t="shared" si="5"/>
        <v>22.547770700636942</v>
      </c>
      <c r="K69" s="125">
        <v>54.4</v>
      </c>
      <c r="L69" s="125">
        <f t="shared" si="6"/>
        <v>17.32484076433121</v>
      </c>
      <c r="M69" s="125">
        <v>4.5</v>
      </c>
      <c r="N69" s="125"/>
      <c r="O69" s="124">
        <f t="shared" si="7"/>
        <v>3.3946861561922935E-3</v>
      </c>
      <c r="P69" s="123">
        <f>O69*(1+'Key Data'!F$3)</f>
        <v>4.2433576952403667E-3</v>
      </c>
      <c r="Q69" s="405"/>
      <c r="R69" s="405"/>
      <c r="S69" s="139"/>
    </row>
    <row r="70" spans="1:19" s="229" customFormat="1" x14ac:dyDescent="0.3">
      <c r="A70" s="408"/>
      <c r="B70" s="408"/>
      <c r="C70" s="408"/>
      <c r="D70" s="408"/>
      <c r="E70" s="121"/>
      <c r="F70" s="121"/>
      <c r="G70" s="409"/>
      <c r="H70" s="122" t="s">
        <v>314</v>
      </c>
      <c r="I70" s="125">
        <v>59.4</v>
      </c>
      <c r="J70" s="125">
        <f t="shared" si="5"/>
        <v>18.917197452229299</v>
      </c>
      <c r="K70" s="125">
        <v>53.4</v>
      </c>
      <c r="L70" s="125">
        <f t="shared" si="6"/>
        <v>17.00636942675159</v>
      </c>
      <c r="M70" s="125">
        <v>4.2</v>
      </c>
      <c r="N70" s="125"/>
      <c r="O70" s="124">
        <f t="shared" si="7"/>
        <v>3.317445583853584E-3</v>
      </c>
      <c r="P70" s="123">
        <f>O70*(1+'Key Data'!F$3)</f>
        <v>4.1468069798169804E-3</v>
      </c>
      <c r="Q70" s="405"/>
      <c r="R70" s="405"/>
      <c r="S70" s="139"/>
    </row>
    <row r="71" spans="1:19" s="229" customFormat="1" x14ac:dyDescent="0.3">
      <c r="A71" s="408"/>
      <c r="B71" s="408"/>
      <c r="C71" s="408"/>
      <c r="D71" s="408"/>
      <c r="E71" s="121"/>
      <c r="F71" s="121"/>
      <c r="G71" s="409"/>
      <c r="H71" s="122" t="s">
        <v>314</v>
      </c>
      <c r="I71" s="125">
        <v>52</v>
      </c>
      <c r="J71" s="125">
        <f t="shared" si="5"/>
        <v>16.560509554140125</v>
      </c>
      <c r="K71" s="125">
        <v>48.4</v>
      </c>
      <c r="L71" s="125">
        <f t="shared" si="6"/>
        <v>15.414012738853502</v>
      </c>
      <c r="M71" s="125">
        <v>8.1</v>
      </c>
      <c r="N71" s="125"/>
      <c r="O71" s="124">
        <f t="shared" si="7"/>
        <v>3.6524403689981995E-3</v>
      </c>
      <c r="P71" s="123">
        <f>O71*(1+'Key Data'!F$3)</f>
        <v>4.565550461247749E-3</v>
      </c>
      <c r="Q71" s="405"/>
      <c r="R71" s="405"/>
      <c r="S71" s="139"/>
    </row>
    <row r="72" spans="1:19" s="229" customFormat="1" x14ac:dyDescent="0.3">
      <c r="A72" s="408"/>
      <c r="B72" s="408"/>
      <c r="C72" s="408"/>
      <c r="D72" s="408"/>
      <c r="E72" s="121"/>
      <c r="F72" s="121"/>
      <c r="G72" s="409"/>
      <c r="H72" s="122" t="s">
        <v>314</v>
      </c>
      <c r="I72" s="125">
        <v>55.5</v>
      </c>
      <c r="J72" s="125">
        <f t="shared" si="5"/>
        <v>17.67515923566879</v>
      </c>
      <c r="K72" s="125">
        <v>51.5</v>
      </c>
      <c r="L72" s="125">
        <f t="shared" si="6"/>
        <v>16.401273885350317</v>
      </c>
      <c r="M72" s="125">
        <v>8.4</v>
      </c>
      <c r="N72" s="125"/>
      <c r="O72" s="124">
        <f t="shared" si="7"/>
        <v>3.76930739714158E-3</v>
      </c>
      <c r="P72" s="123">
        <f>O72*(1+'Key Data'!F$3)</f>
        <v>4.7116342464269753E-3</v>
      </c>
      <c r="Q72" s="405"/>
      <c r="R72" s="405"/>
      <c r="S72" s="139"/>
    </row>
    <row r="73" spans="1:19" s="229" customFormat="1" x14ac:dyDescent="0.3">
      <c r="A73" s="408"/>
      <c r="B73" s="408"/>
      <c r="C73" s="408"/>
      <c r="D73" s="408"/>
      <c r="E73" s="121"/>
      <c r="F73" s="121"/>
      <c r="G73" s="409"/>
      <c r="H73" s="122" t="s">
        <v>314</v>
      </c>
      <c r="I73" s="125">
        <v>103</v>
      </c>
      <c r="J73" s="125">
        <f t="shared" si="5"/>
        <v>32.802547770700635</v>
      </c>
      <c r="K73" s="125">
        <v>62.5</v>
      </c>
      <c r="L73" s="125">
        <f t="shared" si="6"/>
        <v>19.904458598726112</v>
      </c>
      <c r="M73" s="125">
        <v>8.6</v>
      </c>
      <c r="N73" s="125"/>
      <c r="O73" s="124">
        <f t="shared" si="7"/>
        <v>4.0682969939060034E-3</v>
      </c>
      <c r="P73" s="123">
        <f>O73*(1+'Key Data'!F$3)</f>
        <v>5.0853712423825047E-3</v>
      </c>
      <c r="Q73" s="405"/>
      <c r="R73" s="405"/>
      <c r="S73" s="139"/>
    </row>
    <row r="74" spans="1:19" s="229" customFormat="1" x14ac:dyDescent="0.3">
      <c r="A74" s="408"/>
      <c r="B74" s="408"/>
      <c r="C74" s="408"/>
      <c r="D74" s="408"/>
      <c r="E74" s="121"/>
      <c r="F74" s="121"/>
      <c r="G74" s="409"/>
      <c r="H74" s="122" t="s">
        <v>314</v>
      </c>
      <c r="I74" s="125">
        <v>72</v>
      </c>
      <c r="J74" s="125">
        <f t="shared" si="5"/>
        <v>22.929936305732483</v>
      </c>
      <c r="K74" s="125">
        <v>51.5</v>
      </c>
      <c r="L74" s="125">
        <f t="shared" si="6"/>
        <v>16.401273885350317</v>
      </c>
      <c r="M74" s="125">
        <v>8.1999999999999993</v>
      </c>
      <c r="N74" s="125"/>
      <c r="O74" s="124">
        <f t="shared" si="7"/>
        <v>3.7517643795920239E-3</v>
      </c>
      <c r="P74" s="123">
        <f>O74*(1+'Key Data'!F$3)</f>
        <v>4.6897054744900295E-3</v>
      </c>
      <c r="Q74" s="405"/>
      <c r="R74" s="405"/>
      <c r="S74" s="139"/>
    </row>
    <row r="75" spans="1:19" s="229" customFormat="1" x14ac:dyDescent="0.3">
      <c r="A75" s="408"/>
      <c r="B75" s="408"/>
      <c r="C75" s="408"/>
      <c r="D75" s="408"/>
      <c r="E75" s="121"/>
      <c r="F75" s="121"/>
      <c r="G75" s="409"/>
      <c r="H75" s="122" t="s">
        <v>314</v>
      </c>
      <c r="I75" s="125">
        <v>73.5</v>
      </c>
      <c r="J75" s="125">
        <f t="shared" si="5"/>
        <v>23.407643312101911</v>
      </c>
      <c r="K75" s="125">
        <v>42.5</v>
      </c>
      <c r="L75" s="125">
        <f t="shared" si="6"/>
        <v>13.535031847133757</v>
      </c>
      <c r="M75" s="125">
        <v>8.6</v>
      </c>
      <c r="N75" s="125"/>
      <c r="O75" s="124">
        <f t="shared" si="7"/>
        <v>3.5067724218437535E-3</v>
      </c>
      <c r="P75" s="123">
        <f>O75*(1+'Key Data'!F$3)</f>
        <v>4.3834655273046917E-3</v>
      </c>
      <c r="Q75" s="405"/>
      <c r="R75" s="405"/>
      <c r="S75" s="139"/>
    </row>
    <row r="76" spans="1:19" s="229" customFormat="1" x14ac:dyDescent="0.3">
      <c r="A76" s="408"/>
      <c r="B76" s="408"/>
      <c r="C76" s="408"/>
      <c r="D76" s="408"/>
      <c r="E76" s="121"/>
      <c r="F76" s="121"/>
      <c r="G76" s="409"/>
      <c r="H76" s="122" t="s">
        <v>314</v>
      </c>
      <c r="I76" s="125">
        <v>63</v>
      </c>
      <c r="J76" s="125">
        <f t="shared" si="5"/>
        <v>20.063694267515924</v>
      </c>
      <c r="K76" s="125">
        <v>42.5</v>
      </c>
      <c r="L76" s="125">
        <f t="shared" si="6"/>
        <v>13.535031847133757</v>
      </c>
      <c r="M76" s="125">
        <v>6</v>
      </c>
      <c r="N76" s="125"/>
      <c r="O76" s="124">
        <f t="shared" si="7"/>
        <v>3.244690431468889E-3</v>
      </c>
      <c r="P76" s="123">
        <f>O76*(1+'Key Data'!F$3)</f>
        <v>4.0558630393361115E-3</v>
      </c>
      <c r="Q76" s="405"/>
      <c r="R76" s="405"/>
      <c r="S76" s="139"/>
    </row>
    <row r="77" spans="1:19" s="229" customFormat="1" x14ac:dyDescent="0.3">
      <c r="A77" s="408"/>
      <c r="B77" s="408"/>
      <c r="C77" s="408"/>
      <c r="D77" s="408"/>
      <c r="E77" s="121"/>
      <c r="F77" s="121"/>
      <c r="G77" s="409"/>
      <c r="H77" s="122" t="s">
        <v>314</v>
      </c>
      <c r="I77" s="125">
        <v>69</v>
      </c>
      <c r="J77" s="125">
        <f t="shared" si="5"/>
        <v>21.97452229299363</v>
      </c>
      <c r="K77" s="125">
        <v>63</v>
      </c>
      <c r="L77" s="125">
        <f t="shared" si="6"/>
        <v>20.063694267515924</v>
      </c>
      <c r="M77" s="125">
        <v>6.5</v>
      </c>
      <c r="N77" s="125"/>
      <c r="O77" s="124">
        <f t="shared" si="7"/>
        <v>3.8760877497266743E-3</v>
      </c>
      <c r="P77" s="123">
        <f>O77*(1+'Key Data'!F$3)</f>
        <v>4.8451096871583426E-3</v>
      </c>
      <c r="Q77" s="405"/>
      <c r="R77" s="405"/>
      <c r="S77" s="139"/>
    </row>
    <row r="78" spans="1:19" s="229" customFormat="1" x14ac:dyDescent="0.3">
      <c r="A78" s="408"/>
      <c r="B78" s="408"/>
      <c r="C78" s="408"/>
      <c r="D78" s="408"/>
      <c r="E78" s="121"/>
      <c r="F78" s="121"/>
      <c r="G78" s="409"/>
      <c r="H78" s="122" t="s">
        <v>314</v>
      </c>
      <c r="I78" s="125">
        <v>67</v>
      </c>
      <c r="J78" s="125">
        <f t="shared" si="5"/>
        <v>21.337579617834393</v>
      </c>
      <c r="K78" s="125">
        <v>43.5</v>
      </c>
      <c r="L78" s="125">
        <f t="shared" si="6"/>
        <v>13.853503184713375</v>
      </c>
      <c r="M78" s="125">
        <v>6.5</v>
      </c>
      <c r="N78" s="125"/>
      <c r="O78" s="124">
        <f t="shared" si="7"/>
        <v>3.3368235139663964E-3</v>
      </c>
      <c r="P78" s="123">
        <f>O78*(1+'Key Data'!F$3)</f>
        <v>4.1710293924579955E-3</v>
      </c>
      <c r="Q78" s="405"/>
      <c r="R78" s="405"/>
      <c r="S78" s="139"/>
    </row>
    <row r="79" spans="1:19" s="229" customFormat="1" x14ac:dyDescent="0.3">
      <c r="A79" s="408"/>
      <c r="B79" s="408"/>
      <c r="C79" s="408"/>
      <c r="D79" s="408"/>
      <c r="E79" s="121"/>
      <c r="F79" s="121"/>
      <c r="G79" s="409"/>
      <c r="H79" s="122" t="s">
        <v>314</v>
      </c>
      <c r="I79" s="125">
        <v>53</v>
      </c>
      <c r="J79" s="125">
        <f t="shared" si="5"/>
        <v>16.878980891719745</v>
      </c>
      <c r="K79" s="125">
        <v>29</v>
      </c>
      <c r="L79" s="125">
        <f t="shared" si="6"/>
        <v>9.2356687898089174</v>
      </c>
      <c r="M79" s="125">
        <v>6.5</v>
      </c>
      <c r="N79" s="125"/>
      <c r="O79" s="124">
        <f t="shared" si="7"/>
        <v>2.7464663165609089E-3</v>
      </c>
      <c r="P79" s="123">
        <f>O79*(1+'Key Data'!F$3)</f>
        <v>3.4330828957011362E-3</v>
      </c>
      <c r="Q79" s="405"/>
      <c r="R79" s="405"/>
      <c r="S79" s="139"/>
    </row>
    <row r="80" spans="1:19" s="229" customFormat="1" x14ac:dyDescent="0.3">
      <c r="A80" s="408"/>
      <c r="B80" s="408"/>
      <c r="C80" s="408"/>
      <c r="D80" s="408"/>
      <c r="E80" s="121"/>
      <c r="F80" s="121"/>
      <c r="G80" s="409"/>
      <c r="H80" s="122" t="s">
        <v>314</v>
      </c>
      <c r="I80" s="125">
        <v>63</v>
      </c>
      <c r="J80" s="125">
        <f t="shared" si="5"/>
        <v>20.063694267515924</v>
      </c>
      <c r="K80" s="125">
        <v>49.5</v>
      </c>
      <c r="L80" s="125">
        <f t="shared" si="6"/>
        <v>15.764331210191083</v>
      </c>
      <c r="M80" s="125">
        <v>6</v>
      </c>
      <c r="N80" s="125"/>
      <c r="O80" s="124">
        <f t="shared" si="7"/>
        <v>3.4666847038149502E-3</v>
      </c>
      <c r="P80" s="123">
        <f>O80*(1+'Key Data'!F$3)</f>
        <v>4.3333558797686873E-3</v>
      </c>
      <c r="Q80" s="405"/>
      <c r="R80" s="405"/>
      <c r="S80" s="139"/>
    </row>
    <row r="81" spans="1:19" s="229" customFormat="1" x14ac:dyDescent="0.3">
      <c r="A81" s="408"/>
      <c r="B81" s="408"/>
      <c r="C81" s="408"/>
      <c r="D81" s="408"/>
      <c r="E81" s="121"/>
      <c r="F81" s="121"/>
      <c r="G81" s="409"/>
      <c r="H81" s="122" t="s">
        <v>314</v>
      </c>
      <c r="I81" s="125">
        <v>67</v>
      </c>
      <c r="J81" s="125">
        <f t="shared" si="5"/>
        <v>21.337579617834393</v>
      </c>
      <c r="K81" s="125">
        <v>44.5</v>
      </c>
      <c r="L81" s="125">
        <f t="shared" si="6"/>
        <v>14.171974522292993</v>
      </c>
      <c r="M81" s="125">
        <v>2.2999999999999998</v>
      </c>
      <c r="N81" s="125"/>
      <c r="O81" s="124">
        <f t="shared" si="7"/>
        <v>2.6136017042477154E-3</v>
      </c>
      <c r="P81" s="123">
        <f>O81*(1+'Key Data'!F$3)</f>
        <v>3.2670021303096443E-3</v>
      </c>
      <c r="Q81" s="405"/>
      <c r="R81" s="405"/>
      <c r="S81" s="139"/>
    </row>
    <row r="82" spans="1:19" s="229" customFormat="1" x14ac:dyDescent="0.3">
      <c r="A82" s="408"/>
      <c r="B82" s="408"/>
      <c r="C82" s="408"/>
      <c r="D82" s="408"/>
      <c r="E82" s="121"/>
      <c r="F82" s="121"/>
      <c r="G82" s="409"/>
      <c r="H82" s="122" t="s">
        <v>314</v>
      </c>
      <c r="I82" s="125">
        <v>58.5</v>
      </c>
      <c r="J82" s="125">
        <f t="shared" si="5"/>
        <v>18.630573248407643</v>
      </c>
      <c r="K82" s="125">
        <v>49</v>
      </c>
      <c r="L82" s="125">
        <f t="shared" si="6"/>
        <v>15.605095541401273</v>
      </c>
      <c r="M82" s="125">
        <v>8</v>
      </c>
      <c r="N82" s="125"/>
      <c r="O82" s="124">
        <f t="shared" si="7"/>
        <v>3.6613353997082365E-3</v>
      </c>
      <c r="P82" s="123">
        <f>O82*(1+'Key Data'!F$3)</f>
        <v>4.5766692496352953E-3</v>
      </c>
      <c r="Q82" s="405"/>
      <c r="R82" s="405"/>
      <c r="S82" s="139"/>
    </row>
    <row r="83" spans="1:19" s="229" customFormat="1" x14ac:dyDescent="0.3">
      <c r="A83" s="408"/>
      <c r="B83" s="408"/>
      <c r="C83" s="408"/>
      <c r="D83" s="408"/>
      <c r="E83" s="121"/>
      <c r="F83" s="121"/>
      <c r="G83" s="409"/>
      <c r="H83" s="122" t="s">
        <v>314</v>
      </c>
      <c r="I83" s="125">
        <v>84</v>
      </c>
      <c r="J83" s="125">
        <f t="shared" si="5"/>
        <v>26.751592356687897</v>
      </c>
      <c r="K83" s="125">
        <v>64</v>
      </c>
      <c r="L83" s="125">
        <f t="shared" si="6"/>
        <v>20.38216560509554</v>
      </c>
      <c r="M83" s="125">
        <v>6.2</v>
      </c>
      <c r="N83" s="125"/>
      <c r="O83" s="124">
        <f t="shared" si="7"/>
        <v>3.8646172573010879E-3</v>
      </c>
      <c r="P83" s="123">
        <f>O83*(1+'Key Data'!F$3)</f>
        <v>4.8307715716263602E-3</v>
      </c>
      <c r="Q83" s="405"/>
      <c r="R83" s="405"/>
      <c r="S83" s="139"/>
    </row>
    <row r="84" spans="1:19" s="229" customFormat="1" x14ac:dyDescent="0.3">
      <c r="A84" s="408"/>
      <c r="B84" s="408"/>
      <c r="C84" s="408"/>
      <c r="D84" s="408"/>
      <c r="E84" s="121"/>
      <c r="F84" s="121"/>
      <c r="G84" s="409"/>
      <c r="H84" s="122" t="s">
        <v>314</v>
      </c>
      <c r="I84" s="125">
        <v>59</v>
      </c>
      <c r="J84" s="125">
        <f t="shared" si="5"/>
        <v>18.789808917197451</v>
      </c>
      <c r="K84" s="125">
        <v>48.8</v>
      </c>
      <c r="L84" s="125">
        <f t="shared" si="6"/>
        <v>15.541401273885349</v>
      </c>
      <c r="M84" s="125">
        <v>7.2</v>
      </c>
      <c r="N84" s="125"/>
      <c r="O84" s="124">
        <f t="shared" si="7"/>
        <v>3.5786779257831183E-3</v>
      </c>
      <c r="P84" s="123">
        <f>O84*(1+'Key Data'!F$3)</f>
        <v>4.4733474072288981E-3</v>
      </c>
      <c r="Q84" s="405"/>
      <c r="R84" s="405"/>
      <c r="S84" s="139"/>
    </row>
    <row r="85" spans="1:19" s="229" customFormat="1" x14ac:dyDescent="0.3">
      <c r="A85" s="408"/>
      <c r="B85" s="408"/>
      <c r="C85" s="408"/>
      <c r="D85" s="408"/>
      <c r="E85" s="121"/>
      <c r="F85" s="121"/>
      <c r="G85" s="409"/>
      <c r="H85" s="122" t="s">
        <v>314</v>
      </c>
      <c r="I85" s="125">
        <v>63</v>
      </c>
      <c r="J85" s="125">
        <f t="shared" si="5"/>
        <v>20.063694267515924</v>
      </c>
      <c r="K85" s="125">
        <v>55.8</v>
      </c>
      <c r="L85" s="125">
        <f t="shared" si="6"/>
        <v>17.770700636942674</v>
      </c>
      <c r="M85" s="125">
        <v>8.4</v>
      </c>
      <c r="N85" s="125"/>
      <c r="O85" s="124">
        <f t="shared" si="7"/>
        <v>3.8860670390023695E-3</v>
      </c>
      <c r="P85" s="123">
        <f>O85*(1+'Key Data'!F$3)</f>
        <v>4.8575837987529617E-3</v>
      </c>
      <c r="Q85" s="405"/>
      <c r="R85" s="405"/>
      <c r="S85" s="139"/>
    </row>
    <row r="86" spans="1:19" s="229" customFormat="1" x14ac:dyDescent="0.3">
      <c r="A86" s="408"/>
      <c r="B86" s="408"/>
      <c r="C86" s="408"/>
      <c r="D86" s="408"/>
      <c r="E86" s="121"/>
      <c r="F86" s="121"/>
      <c r="G86" s="409"/>
      <c r="H86" s="122" t="s">
        <v>314</v>
      </c>
      <c r="I86" s="125">
        <v>71.599999999999994</v>
      </c>
      <c r="J86" s="125">
        <f t="shared" si="5"/>
        <v>22.802547770700635</v>
      </c>
      <c r="K86" s="125">
        <v>56</v>
      </c>
      <c r="L86" s="125">
        <f t="shared" si="6"/>
        <v>17.834394904458598</v>
      </c>
      <c r="M86" s="125">
        <v>6.4</v>
      </c>
      <c r="N86" s="125"/>
      <c r="O86" s="124">
        <f t="shared" si="7"/>
        <v>3.693308602012797E-3</v>
      </c>
      <c r="P86" s="123">
        <f>O86*(1+'Key Data'!F$3)</f>
        <v>4.6166357525159966E-3</v>
      </c>
      <c r="Q86" s="405"/>
      <c r="R86" s="405"/>
      <c r="S86" s="139"/>
    </row>
    <row r="87" spans="1:19" s="229" customFormat="1" x14ac:dyDescent="0.3">
      <c r="A87" s="408"/>
      <c r="B87" s="408"/>
      <c r="C87" s="408"/>
      <c r="D87" s="408"/>
      <c r="E87" s="121"/>
      <c r="F87" s="121"/>
      <c r="G87" s="409"/>
      <c r="H87" s="122" t="s">
        <v>314</v>
      </c>
      <c r="I87" s="125">
        <v>61.8</v>
      </c>
      <c r="J87" s="125">
        <f t="shared" si="5"/>
        <v>19.68152866242038</v>
      </c>
      <c r="K87" s="125">
        <v>53.8</v>
      </c>
      <c r="L87" s="125">
        <f t="shared" si="6"/>
        <v>17.133757961783438</v>
      </c>
      <c r="M87" s="125">
        <v>6.2</v>
      </c>
      <c r="N87" s="125"/>
      <c r="O87" s="124">
        <f t="shared" si="7"/>
        <v>3.6118416561256332E-3</v>
      </c>
      <c r="P87" s="123">
        <f>O87*(1+'Key Data'!F$3)</f>
        <v>4.5148020701570417E-3</v>
      </c>
      <c r="Q87" s="405"/>
      <c r="R87" s="405"/>
      <c r="S87" s="139"/>
    </row>
    <row r="88" spans="1:19" s="229" customFormat="1" x14ac:dyDescent="0.3">
      <c r="A88" s="408"/>
      <c r="B88" s="408"/>
      <c r="C88" s="408"/>
      <c r="D88" s="408"/>
      <c r="E88" s="121"/>
      <c r="F88" s="121"/>
      <c r="G88" s="409"/>
      <c r="H88" s="122" t="s">
        <v>314</v>
      </c>
      <c r="I88" s="125">
        <v>55</v>
      </c>
      <c r="J88" s="125">
        <f t="shared" si="5"/>
        <v>17.515923566878982</v>
      </c>
      <c r="K88" s="125">
        <v>40.799999999999997</v>
      </c>
      <c r="L88" s="125">
        <f t="shared" si="6"/>
        <v>12.993630573248407</v>
      </c>
      <c r="M88" s="125">
        <v>6.8</v>
      </c>
      <c r="N88" s="125"/>
      <c r="O88" s="124">
        <f t="shared" si="7"/>
        <v>3.2763723755179137E-3</v>
      </c>
      <c r="P88" s="123">
        <f>O88*(1+'Key Data'!F$3)</f>
        <v>4.095465469397392E-3</v>
      </c>
      <c r="Q88" s="405"/>
      <c r="R88" s="405"/>
      <c r="S88" s="139"/>
    </row>
    <row r="89" spans="1:19" s="229" customFormat="1" x14ac:dyDescent="0.3">
      <c r="A89" s="408"/>
      <c r="B89" s="408"/>
      <c r="C89" s="408"/>
      <c r="D89" s="408"/>
      <c r="E89" s="121"/>
      <c r="F89" s="121"/>
      <c r="G89" s="409"/>
      <c r="H89" s="122" t="s">
        <v>314</v>
      </c>
      <c r="I89" s="125">
        <v>50</v>
      </c>
      <c r="J89" s="125">
        <f t="shared" si="5"/>
        <v>15.923566878980891</v>
      </c>
      <c r="K89" s="125">
        <v>30</v>
      </c>
      <c r="L89" s="125">
        <f t="shared" si="6"/>
        <v>9.5541401273885338</v>
      </c>
      <c r="M89" s="125">
        <v>6.8</v>
      </c>
      <c r="N89" s="125"/>
      <c r="O89" s="124">
        <f t="shared" si="7"/>
        <v>2.828674652684882E-3</v>
      </c>
      <c r="P89" s="123">
        <f>O89*(1+'Key Data'!F$3)</f>
        <v>3.5358433158561024E-3</v>
      </c>
      <c r="Q89" s="405"/>
      <c r="R89" s="405"/>
      <c r="S89" s="139"/>
    </row>
    <row r="90" spans="1:19" s="229" customFormat="1" x14ac:dyDescent="0.3">
      <c r="A90" s="408"/>
      <c r="B90" s="408"/>
      <c r="C90" s="408"/>
      <c r="D90" s="408"/>
      <c r="E90" s="121"/>
      <c r="F90" s="121"/>
      <c r="G90" s="409"/>
      <c r="H90" s="122" t="s">
        <v>314</v>
      </c>
      <c r="I90" s="125">
        <v>63</v>
      </c>
      <c r="J90" s="125">
        <f t="shared" si="5"/>
        <v>20.063694267515924</v>
      </c>
      <c r="K90" s="125">
        <v>49.2</v>
      </c>
      <c r="L90" s="125">
        <f t="shared" si="6"/>
        <v>15.668789808917198</v>
      </c>
      <c r="M90" s="125">
        <v>5.2</v>
      </c>
      <c r="N90" s="125"/>
      <c r="O90" s="124">
        <f t="shared" si="7"/>
        <v>3.3536561985573277E-3</v>
      </c>
      <c r="P90" s="123">
        <f>O90*(1+'Key Data'!F$3)</f>
        <v>4.1920702481966594E-3</v>
      </c>
      <c r="Q90" s="405"/>
      <c r="R90" s="405"/>
      <c r="S90" s="139"/>
    </row>
    <row r="91" spans="1:19" s="229" customFormat="1" x14ac:dyDescent="0.3">
      <c r="A91" s="408"/>
      <c r="B91" s="408"/>
      <c r="C91" s="408"/>
      <c r="D91" s="408"/>
      <c r="E91" s="121"/>
      <c r="F91" s="121"/>
      <c r="G91" s="409"/>
      <c r="H91" s="122" t="s">
        <v>314</v>
      </c>
      <c r="I91" s="125">
        <v>62</v>
      </c>
      <c r="J91" s="125">
        <f t="shared" si="5"/>
        <v>19.745222929936304</v>
      </c>
      <c r="K91" s="125">
        <v>52</v>
      </c>
      <c r="L91" s="125">
        <f t="shared" si="6"/>
        <v>16.560509554140125</v>
      </c>
      <c r="M91" s="125">
        <v>8</v>
      </c>
      <c r="N91" s="125"/>
      <c r="O91" s="124">
        <f t="shared" si="7"/>
        <v>3.7478558999137221E-3</v>
      </c>
      <c r="P91" s="123">
        <f>O91*(1+'Key Data'!F$3)</f>
        <v>4.6848198748921524E-3</v>
      </c>
      <c r="Q91" s="405"/>
      <c r="R91" s="405"/>
      <c r="S91" s="139"/>
    </row>
    <row r="92" spans="1:19" s="229" customFormat="1" x14ac:dyDescent="0.3">
      <c r="A92" s="408"/>
      <c r="B92" s="408"/>
      <c r="C92" s="408"/>
      <c r="D92" s="408"/>
      <c r="E92" s="121"/>
      <c r="F92" s="121"/>
      <c r="G92" s="409"/>
      <c r="H92" s="122" t="s">
        <v>314</v>
      </c>
      <c r="I92" s="125">
        <v>59.4</v>
      </c>
      <c r="J92" s="125">
        <f t="shared" si="5"/>
        <v>18.917197452229299</v>
      </c>
      <c r="K92" s="125">
        <v>57.8</v>
      </c>
      <c r="L92" s="125">
        <f t="shared" si="6"/>
        <v>18.407643312101911</v>
      </c>
      <c r="M92" s="125">
        <v>8</v>
      </c>
      <c r="N92" s="125"/>
      <c r="O92" s="124">
        <f t="shared" si="7"/>
        <v>3.9018207030468159E-3</v>
      </c>
      <c r="P92" s="123">
        <f>O92*(1+'Key Data'!F$3)</f>
        <v>4.8772758788085202E-3</v>
      </c>
      <c r="Q92" s="405"/>
      <c r="R92" s="405"/>
      <c r="S92" s="139"/>
    </row>
    <row r="93" spans="1:19" s="229" customFormat="1" x14ac:dyDescent="0.3">
      <c r="A93" s="408"/>
      <c r="B93" s="408"/>
      <c r="C93" s="408"/>
      <c r="D93" s="408"/>
      <c r="E93" s="121"/>
      <c r="F93" s="121"/>
      <c r="G93" s="409"/>
      <c r="H93" s="122" t="s">
        <v>314</v>
      </c>
      <c r="I93" s="125">
        <v>61.5</v>
      </c>
      <c r="J93" s="125">
        <f t="shared" si="5"/>
        <v>19.585987261146496</v>
      </c>
      <c r="K93" s="125">
        <v>56</v>
      </c>
      <c r="L93" s="125">
        <f t="shared" si="6"/>
        <v>17.834394904458598</v>
      </c>
      <c r="M93" s="125">
        <v>7.2</v>
      </c>
      <c r="N93" s="125"/>
      <c r="O93" s="124">
        <f t="shared" si="7"/>
        <v>3.779054651970645E-3</v>
      </c>
      <c r="P93" s="123">
        <f>O93*(1+'Key Data'!F$3)</f>
        <v>4.7238183149633066E-3</v>
      </c>
      <c r="Q93" s="405"/>
      <c r="R93" s="405"/>
      <c r="S93" s="139"/>
    </row>
    <row r="94" spans="1:19" s="229" customFormat="1" x14ac:dyDescent="0.3">
      <c r="A94" s="408"/>
      <c r="B94" s="408"/>
      <c r="C94" s="408"/>
      <c r="D94" s="408"/>
      <c r="E94" s="121"/>
      <c r="F94" s="121"/>
      <c r="G94" s="409"/>
      <c r="H94" s="122" t="s">
        <v>314</v>
      </c>
      <c r="I94" s="125">
        <v>65</v>
      </c>
      <c r="J94" s="125">
        <f t="shared" si="5"/>
        <v>20.700636942675157</v>
      </c>
      <c r="K94" s="125">
        <v>54</v>
      </c>
      <c r="L94" s="125">
        <f t="shared" si="6"/>
        <v>17.197452229299362</v>
      </c>
      <c r="M94" s="125">
        <v>6.2</v>
      </c>
      <c r="N94" s="125"/>
      <c r="O94" s="124">
        <f t="shared" si="7"/>
        <v>3.617244259726989E-3</v>
      </c>
      <c r="P94" s="123">
        <f>O94*(1+'Key Data'!F$3)</f>
        <v>4.5215553246587365E-3</v>
      </c>
      <c r="Q94" s="405"/>
      <c r="R94" s="405"/>
      <c r="S94" s="139"/>
    </row>
    <row r="95" spans="1:19" s="229" customFormat="1" x14ac:dyDescent="0.3">
      <c r="A95" s="408"/>
      <c r="B95" s="408"/>
      <c r="C95" s="408"/>
      <c r="D95" s="408"/>
      <c r="E95" s="121"/>
      <c r="F95" s="121"/>
      <c r="G95" s="409"/>
      <c r="H95" s="122" t="s">
        <v>314</v>
      </c>
      <c r="I95" s="125">
        <v>67</v>
      </c>
      <c r="J95" s="125">
        <f t="shared" si="5"/>
        <v>21.337579617834393</v>
      </c>
      <c r="K95" s="125">
        <v>58.5</v>
      </c>
      <c r="L95" s="125">
        <f t="shared" si="6"/>
        <v>18.630573248407643</v>
      </c>
      <c r="M95" s="125">
        <v>8.9</v>
      </c>
      <c r="N95" s="125"/>
      <c r="O95" s="124">
        <f t="shared" si="7"/>
        <v>3.9969598869518293E-3</v>
      </c>
      <c r="P95" s="123">
        <f>O95*(1+'Key Data'!F$3)</f>
        <v>4.9961998586897866E-3</v>
      </c>
      <c r="Q95" s="405"/>
      <c r="R95" s="405"/>
      <c r="S95" s="139"/>
    </row>
    <row r="96" spans="1:19" s="229" customFormat="1" x14ac:dyDescent="0.3">
      <c r="A96" s="408"/>
      <c r="B96" s="408"/>
      <c r="C96" s="408"/>
      <c r="D96" s="408"/>
      <c r="E96" s="121"/>
      <c r="F96" s="121"/>
      <c r="G96" s="409"/>
      <c r="H96" s="122" t="s">
        <v>314</v>
      </c>
      <c r="I96" s="125">
        <v>64</v>
      </c>
      <c r="J96" s="125">
        <f t="shared" si="5"/>
        <v>20.38216560509554</v>
      </c>
      <c r="K96" s="125">
        <v>51.5</v>
      </c>
      <c r="L96" s="125">
        <f t="shared" si="6"/>
        <v>16.401273885350317</v>
      </c>
      <c r="M96" s="125">
        <v>8.8000000000000007</v>
      </c>
      <c r="N96" s="125"/>
      <c r="O96" s="124">
        <f t="shared" si="7"/>
        <v>3.8031739685237815E-3</v>
      </c>
      <c r="P96" s="123">
        <f>O96*(1+'Key Data'!F$3)</f>
        <v>4.7539674606547266E-3</v>
      </c>
      <c r="Q96" s="405"/>
      <c r="R96" s="405"/>
      <c r="S96" s="139"/>
    </row>
    <row r="97" spans="1:19" s="229" customFormat="1" x14ac:dyDescent="0.3">
      <c r="A97" s="408"/>
      <c r="B97" s="408"/>
      <c r="C97" s="408"/>
      <c r="D97" s="408"/>
      <c r="E97" s="121"/>
      <c r="F97" s="121"/>
      <c r="G97" s="409"/>
      <c r="H97" s="122" t="s">
        <v>314</v>
      </c>
      <c r="I97" s="125">
        <v>80</v>
      </c>
      <c r="J97" s="125">
        <f t="shared" si="5"/>
        <v>25.477707006369425</v>
      </c>
      <c r="K97" s="125">
        <v>64.5</v>
      </c>
      <c r="L97" s="125">
        <f t="shared" si="6"/>
        <v>20.541401273885349</v>
      </c>
      <c r="M97" s="125">
        <v>7.8</v>
      </c>
      <c r="N97" s="125"/>
      <c r="O97" s="124">
        <f t="shared" si="7"/>
        <v>4.0430782473019162E-3</v>
      </c>
      <c r="P97" s="123">
        <f>O97*(1+'Key Data'!F$3)</f>
        <v>5.0538478091273955E-3</v>
      </c>
      <c r="Q97" s="405"/>
      <c r="R97" s="405"/>
      <c r="S97" s="139"/>
    </row>
    <row r="98" spans="1:19" s="229" customFormat="1" x14ac:dyDescent="0.3">
      <c r="A98" s="408"/>
      <c r="B98" s="408"/>
      <c r="C98" s="408"/>
      <c r="D98" s="408"/>
      <c r="E98" s="121"/>
      <c r="F98" s="121"/>
      <c r="G98" s="409"/>
      <c r="H98" s="122" t="s">
        <v>314</v>
      </c>
      <c r="I98" s="125">
        <v>71.5</v>
      </c>
      <c r="J98" s="125">
        <f t="shared" ref="J98:J124" si="8">I98/3.14</f>
        <v>22.770700636942674</v>
      </c>
      <c r="K98" s="125">
        <v>54.5</v>
      </c>
      <c r="L98" s="125">
        <f t="shared" ref="L98:L128" si="9">K98/3.14</f>
        <v>17.35668789808917</v>
      </c>
      <c r="M98" s="125">
        <v>5.2</v>
      </c>
      <c r="N98" s="125"/>
      <c r="O98" s="124">
        <f t="shared" si="7"/>
        <v>3.5026153043742109E-3</v>
      </c>
      <c r="P98" s="123">
        <f>O98*(1+'Key Data'!F$3)</f>
        <v>4.3782691304677639E-3</v>
      </c>
      <c r="Q98" s="405"/>
      <c r="R98" s="405"/>
      <c r="S98" s="139"/>
    </row>
    <row r="99" spans="1:19" s="229" customFormat="1" x14ac:dyDescent="0.3">
      <c r="A99" s="408"/>
      <c r="B99" s="408"/>
      <c r="C99" s="408"/>
      <c r="D99" s="408"/>
      <c r="E99" s="121"/>
      <c r="F99" s="121"/>
      <c r="G99" s="409"/>
      <c r="H99" s="122" t="s">
        <v>314</v>
      </c>
      <c r="I99" s="125">
        <v>68.5</v>
      </c>
      <c r="J99" s="125">
        <f t="shared" si="8"/>
        <v>21.815286624203821</v>
      </c>
      <c r="K99" s="125">
        <v>60</v>
      </c>
      <c r="L99" s="125">
        <f t="shared" si="9"/>
        <v>19.108280254777068</v>
      </c>
      <c r="M99" s="125">
        <v>7</v>
      </c>
      <c r="N99" s="125"/>
      <c r="O99" s="124">
        <f t="shared" si="7"/>
        <v>3.8589998744238915E-3</v>
      </c>
      <c r="P99" s="123">
        <f>O99*(1+'Key Data'!F$3)</f>
        <v>4.8237498430298642E-3</v>
      </c>
      <c r="Q99" s="405"/>
      <c r="R99" s="405"/>
      <c r="S99" s="139"/>
    </row>
    <row r="100" spans="1:19" s="229" customFormat="1" x14ac:dyDescent="0.3">
      <c r="A100" s="408"/>
      <c r="B100" s="408"/>
      <c r="C100" s="408"/>
      <c r="D100" s="408"/>
      <c r="E100" s="121"/>
      <c r="F100" s="121"/>
      <c r="G100" s="409"/>
      <c r="H100" s="122" t="s">
        <v>314</v>
      </c>
      <c r="I100" s="125">
        <v>67.5</v>
      </c>
      <c r="J100" s="125">
        <f t="shared" si="8"/>
        <v>21.496815286624201</v>
      </c>
      <c r="K100" s="125">
        <v>49</v>
      </c>
      <c r="L100" s="125">
        <f t="shared" si="9"/>
        <v>15.605095541401273</v>
      </c>
      <c r="M100" s="125">
        <v>7.1</v>
      </c>
      <c r="N100" s="125"/>
      <c r="O100" s="124">
        <f t="shared" si="7"/>
        <v>3.5744509601517288E-3</v>
      </c>
      <c r="P100" s="123">
        <f>O100*(1+'Key Data'!F$3)</f>
        <v>4.468063700189661E-3</v>
      </c>
      <c r="Q100" s="405"/>
      <c r="R100" s="405"/>
      <c r="S100" s="139"/>
    </row>
    <row r="101" spans="1:19" s="229" customFormat="1" x14ac:dyDescent="0.3">
      <c r="A101" s="408"/>
      <c r="B101" s="408"/>
      <c r="C101" s="408"/>
      <c r="D101" s="408"/>
      <c r="E101" s="121"/>
      <c r="F101" s="121"/>
      <c r="G101" s="409"/>
      <c r="H101" s="122" t="s">
        <v>314</v>
      </c>
      <c r="I101" s="125">
        <v>101</v>
      </c>
      <c r="J101" s="125">
        <f t="shared" si="8"/>
        <v>32.165605095541402</v>
      </c>
      <c r="K101" s="125">
        <v>66.5</v>
      </c>
      <c r="L101" s="125">
        <f t="shared" si="9"/>
        <v>21.178343949044585</v>
      </c>
      <c r="M101" s="125">
        <v>5.8</v>
      </c>
      <c r="N101" s="125"/>
      <c r="O101" s="124">
        <f t="shared" si="7"/>
        <v>3.8718582030899643E-3</v>
      </c>
      <c r="P101" s="123">
        <f>O101*(1+'Key Data'!F$3)</f>
        <v>4.8398227538624557E-3</v>
      </c>
      <c r="Q101" s="405"/>
      <c r="R101" s="405"/>
      <c r="S101" s="139"/>
    </row>
    <row r="102" spans="1:19" s="229" customFormat="1" x14ac:dyDescent="0.3">
      <c r="A102" s="408"/>
      <c r="B102" s="408"/>
      <c r="C102" s="408"/>
      <c r="D102" s="408"/>
      <c r="E102" s="121"/>
      <c r="F102" s="121"/>
      <c r="G102" s="409"/>
      <c r="H102" s="122" t="s">
        <v>314</v>
      </c>
      <c r="I102" s="125">
        <v>73.5</v>
      </c>
      <c r="J102" s="125">
        <f t="shared" si="8"/>
        <v>23.407643312101911</v>
      </c>
      <c r="K102" s="125">
        <v>63.5</v>
      </c>
      <c r="L102" s="125">
        <f t="shared" si="9"/>
        <v>20.222929936305732</v>
      </c>
      <c r="M102" s="125">
        <v>8.8000000000000007</v>
      </c>
      <c r="N102" s="125"/>
      <c r="O102" s="124">
        <f t="shared" si="7"/>
        <v>4.1081449595451415E-3</v>
      </c>
      <c r="P102" s="123">
        <f>O102*(1+'Key Data'!F$3)</f>
        <v>5.135181199431427E-3</v>
      </c>
      <c r="Q102" s="405"/>
      <c r="R102" s="405"/>
      <c r="S102" s="139"/>
    </row>
    <row r="103" spans="1:19" s="229" customFormat="1" x14ac:dyDescent="0.3">
      <c r="A103" s="408"/>
      <c r="B103" s="408"/>
      <c r="C103" s="408"/>
      <c r="D103" s="408"/>
      <c r="E103" s="121"/>
      <c r="F103" s="121"/>
      <c r="G103" s="409"/>
      <c r="H103" s="122" t="s">
        <v>314</v>
      </c>
      <c r="I103" s="125">
        <v>74</v>
      </c>
      <c r="J103" s="125">
        <f t="shared" si="8"/>
        <v>23.566878980891719</v>
      </c>
      <c r="K103" s="125">
        <v>60</v>
      </c>
      <c r="L103" s="125">
        <f t="shared" si="9"/>
        <v>19.108280254777068</v>
      </c>
      <c r="M103" s="125">
        <v>6.5</v>
      </c>
      <c r="N103" s="125"/>
      <c r="O103" s="124">
        <f t="shared" si="7"/>
        <v>3.8050492706959813E-3</v>
      </c>
      <c r="P103" s="123">
        <f>O103*(1+'Key Data'!F$3)</f>
        <v>4.7563115883699769E-3</v>
      </c>
      <c r="Q103" s="405"/>
      <c r="R103" s="405"/>
      <c r="S103" s="139"/>
    </row>
    <row r="104" spans="1:19" s="229" customFormat="1" x14ac:dyDescent="0.3">
      <c r="A104" s="408"/>
      <c r="B104" s="408"/>
      <c r="C104" s="408"/>
      <c r="D104" s="408"/>
      <c r="E104" s="121"/>
      <c r="F104" s="121"/>
      <c r="G104" s="409"/>
      <c r="H104" s="122" t="s">
        <v>314</v>
      </c>
      <c r="I104" s="125">
        <v>40.799999999999997</v>
      </c>
      <c r="J104" s="125">
        <f t="shared" si="8"/>
        <v>12.993630573248407</v>
      </c>
      <c r="K104" s="125">
        <v>38.799999999999997</v>
      </c>
      <c r="L104" s="125">
        <f t="shared" si="9"/>
        <v>12.35668789808917</v>
      </c>
      <c r="M104" s="125">
        <v>6.4</v>
      </c>
      <c r="N104" s="125"/>
      <c r="O104" s="124">
        <f t="shared" si="7"/>
        <v>3.1590564193945754E-3</v>
      </c>
      <c r="P104" s="123">
        <f>O104*(1+'Key Data'!F$3)</f>
        <v>3.9488205242432196E-3</v>
      </c>
      <c r="Q104" s="405"/>
      <c r="R104" s="405"/>
      <c r="S104" s="139"/>
    </row>
    <row r="105" spans="1:19" s="229" customFormat="1" x14ac:dyDescent="0.3">
      <c r="A105" s="408"/>
      <c r="B105" s="408"/>
      <c r="C105" s="408"/>
      <c r="D105" s="408"/>
      <c r="E105" s="121"/>
      <c r="F105" s="121"/>
      <c r="G105" s="409"/>
      <c r="H105" s="122" t="s">
        <v>314</v>
      </c>
      <c r="I105" s="125">
        <v>58.8</v>
      </c>
      <c r="J105" s="125">
        <f t="shared" si="8"/>
        <v>18.726114649681527</v>
      </c>
      <c r="K105" s="125">
        <v>49</v>
      </c>
      <c r="L105" s="125">
        <f t="shared" si="9"/>
        <v>15.605095541401273</v>
      </c>
      <c r="M105" s="125">
        <v>6.4</v>
      </c>
      <c r="N105" s="125"/>
      <c r="O105" s="124">
        <f t="shared" si="7"/>
        <v>3.4988868943514923E-3</v>
      </c>
      <c r="P105" s="123">
        <f>O105*(1+'Key Data'!F$3)</f>
        <v>4.3736086179393657E-3</v>
      </c>
      <c r="Q105" s="405"/>
      <c r="R105" s="405"/>
      <c r="S105" s="139"/>
    </row>
    <row r="106" spans="1:19" s="229" customFormat="1" x14ac:dyDescent="0.3">
      <c r="A106" s="408"/>
      <c r="B106" s="408"/>
      <c r="C106" s="408"/>
      <c r="D106" s="408"/>
      <c r="E106" s="121"/>
      <c r="F106" s="121"/>
      <c r="G106" s="409"/>
      <c r="H106" s="122" t="s">
        <v>314</v>
      </c>
      <c r="I106" s="125">
        <v>62</v>
      </c>
      <c r="J106" s="125">
        <f t="shared" si="8"/>
        <v>19.745222929936304</v>
      </c>
      <c r="K106" s="125">
        <v>59</v>
      </c>
      <c r="L106" s="125">
        <f t="shared" si="9"/>
        <v>18.789808917197451</v>
      </c>
      <c r="M106" s="125">
        <v>5.8</v>
      </c>
      <c r="N106" s="125"/>
      <c r="O106" s="124">
        <f t="shared" si="7"/>
        <v>3.6976266856211006E-3</v>
      </c>
      <c r="P106" s="123">
        <f>O106*(1+'Key Data'!F$3)</f>
        <v>4.6220333570263757E-3</v>
      </c>
      <c r="Q106" s="405"/>
      <c r="R106" s="405"/>
      <c r="S106" s="139"/>
    </row>
    <row r="107" spans="1:19" s="229" customFormat="1" x14ac:dyDescent="0.3">
      <c r="A107" s="408"/>
      <c r="B107" s="408"/>
      <c r="C107" s="408"/>
      <c r="D107" s="408"/>
      <c r="E107" s="121"/>
      <c r="F107" s="121"/>
      <c r="G107" s="409"/>
      <c r="H107" s="122" t="s">
        <v>314</v>
      </c>
      <c r="I107" s="125">
        <v>70</v>
      </c>
      <c r="J107" s="125">
        <f t="shared" si="8"/>
        <v>22.292993630573246</v>
      </c>
      <c r="K107" s="125">
        <v>44.6</v>
      </c>
      <c r="L107" s="125">
        <f t="shared" si="9"/>
        <v>14.203821656050955</v>
      </c>
      <c r="M107" s="125">
        <v>4.5</v>
      </c>
      <c r="N107" s="125"/>
      <c r="O107" s="124">
        <f t="shared" si="7"/>
        <v>3.1054804469112553E-3</v>
      </c>
      <c r="P107" s="123">
        <f>O107*(1+'Key Data'!F$3)</f>
        <v>3.8818505586390691E-3</v>
      </c>
      <c r="Q107" s="405"/>
      <c r="R107" s="405"/>
      <c r="S107" s="139"/>
    </row>
    <row r="108" spans="1:19" s="229" customFormat="1" x14ac:dyDescent="0.3">
      <c r="A108" s="408"/>
      <c r="B108" s="408"/>
      <c r="C108" s="408"/>
      <c r="D108" s="408"/>
      <c r="E108" s="121"/>
      <c r="F108" s="121"/>
      <c r="G108" s="409"/>
      <c r="H108" s="122" t="s">
        <v>314</v>
      </c>
      <c r="I108" s="125">
        <v>70</v>
      </c>
      <c r="J108" s="125">
        <f t="shared" si="8"/>
        <v>22.292993630573246</v>
      </c>
      <c r="K108" s="125">
        <v>60.4</v>
      </c>
      <c r="L108" s="125">
        <f t="shared" si="9"/>
        <v>19.235668789808916</v>
      </c>
      <c r="M108" s="125">
        <v>6.5</v>
      </c>
      <c r="N108" s="125"/>
      <c r="O108" s="124">
        <f t="shared" si="7"/>
        <v>3.8147237248943632E-3</v>
      </c>
      <c r="P108" s="123">
        <f>O108*(1+'Key Data'!F$3)</f>
        <v>4.7684046561179538E-3</v>
      </c>
      <c r="Q108" s="405"/>
      <c r="R108" s="405"/>
      <c r="S108" s="139"/>
    </row>
    <row r="109" spans="1:19" s="229" customFormat="1" x14ac:dyDescent="0.3">
      <c r="A109" s="408"/>
      <c r="B109" s="408"/>
      <c r="C109" s="408"/>
      <c r="D109" s="408"/>
      <c r="E109" s="121"/>
      <c r="F109" s="121"/>
      <c r="G109" s="409"/>
      <c r="H109" s="122" t="s">
        <v>314</v>
      </c>
      <c r="I109" s="125">
        <v>67.8</v>
      </c>
      <c r="J109" s="125">
        <f t="shared" si="8"/>
        <v>21.592356687898086</v>
      </c>
      <c r="K109" s="125">
        <v>54.2</v>
      </c>
      <c r="L109" s="125">
        <f t="shared" si="9"/>
        <v>17.261146496815286</v>
      </c>
      <c r="M109" s="125">
        <v>8.1</v>
      </c>
      <c r="N109" s="125"/>
      <c r="O109" s="124">
        <f t="shared" si="7"/>
        <v>3.8172320429149084E-3</v>
      </c>
      <c r="P109" s="123">
        <f>O109*(1+'Key Data'!F$3)</f>
        <v>4.7715400536436359E-3</v>
      </c>
      <c r="Q109" s="405"/>
      <c r="R109" s="405"/>
      <c r="S109" s="139"/>
    </row>
    <row r="110" spans="1:19" s="229" customFormat="1" x14ac:dyDescent="0.3">
      <c r="A110" s="408"/>
      <c r="B110" s="408"/>
      <c r="C110" s="408"/>
      <c r="D110" s="408"/>
      <c r="E110" s="121"/>
      <c r="F110" s="121"/>
      <c r="G110" s="409"/>
      <c r="H110" s="122" t="s">
        <v>314</v>
      </c>
      <c r="I110" s="125">
        <v>56</v>
      </c>
      <c r="J110" s="125">
        <f t="shared" si="8"/>
        <v>17.834394904458598</v>
      </c>
      <c r="K110" s="125">
        <v>45.8</v>
      </c>
      <c r="L110" s="125">
        <f t="shared" si="9"/>
        <v>14.585987261146496</v>
      </c>
      <c r="M110" s="125">
        <v>9</v>
      </c>
      <c r="N110" s="125"/>
      <c r="O110" s="124">
        <f t="shared" si="7"/>
        <v>3.6487487322879346E-3</v>
      </c>
      <c r="P110" s="123">
        <f>O110*(1+'Key Data'!F$3)</f>
        <v>4.5609359153599184E-3</v>
      </c>
      <c r="Q110" s="405"/>
      <c r="R110" s="405"/>
      <c r="S110" s="139"/>
    </row>
    <row r="111" spans="1:19" s="229" customFormat="1" x14ac:dyDescent="0.3">
      <c r="A111" s="408"/>
      <c r="B111" s="408"/>
      <c r="C111" s="408"/>
      <c r="D111" s="408"/>
      <c r="E111" s="121"/>
      <c r="F111" s="121"/>
      <c r="G111" s="409"/>
      <c r="H111" s="122" t="s">
        <v>314</v>
      </c>
      <c r="I111" s="125">
        <v>63</v>
      </c>
      <c r="J111" s="125">
        <f t="shared" si="8"/>
        <v>20.063694267515924</v>
      </c>
      <c r="K111" s="125">
        <v>55.8</v>
      </c>
      <c r="L111" s="125">
        <f t="shared" si="9"/>
        <v>17.770700636942674</v>
      </c>
      <c r="M111" s="125">
        <v>8.8000000000000007</v>
      </c>
      <c r="N111" s="125"/>
      <c r="O111" s="124">
        <f t="shared" si="7"/>
        <v>3.9199336103845715E-3</v>
      </c>
      <c r="P111" s="123">
        <f>O111*(1+'Key Data'!F$3)</f>
        <v>4.8999170129807139E-3</v>
      </c>
      <c r="Q111" s="405"/>
      <c r="R111" s="405"/>
      <c r="S111" s="139"/>
    </row>
    <row r="112" spans="1:19" s="229" customFormat="1" x14ac:dyDescent="0.3">
      <c r="A112" s="408"/>
      <c r="B112" s="408"/>
      <c r="C112" s="408"/>
      <c r="D112" s="408"/>
      <c r="E112" s="121"/>
      <c r="F112" s="121"/>
      <c r="G112" s="409"/>
      <c r="H112" s="122" t="s">
        <v>314</v>
      </c>
      <c r="I112" s="125">
        <v>61</v>
      </c>
      <c r="J112" s="125">
        <f t="shared" si="8"/>
        <v>19.426751592356688</v>
      </c>
      <c r="K112" s="125">
        <v>53.9</v>
      </c>
      <c r="L112" s="125">
        <f t="shared" si="9"/>
        <v>17.165605095541402</v>
      </c>
      <c r="M112" s="125">
        <v>8.8000000000000007</v>
      </c>
      <c r="N112" s="125"/>
      <c r="O112" s="124">
        <f t="shared" si="7"/>
        <v>3.8694928324008826E-3</v>
      </c>
      <c r="P112" s="123">
        <f>O112*(1+'Key Data'!F$3)</f>
        <v>4.8368660405011029E-3</v>
      </c>
      <c r="Q112" s="405"/>
      <c r="R112" s="405"/>
      <c r="S112" s="139"/>
    </row>
    <row r="113" spans="1:19" s="229" customFormat="1" x14ac:dyDescent="0.3">
      <c r="A113" s="408"/>
      <c r="B113" s="408"/>
      <c r="C113" s="408"/>
      <c r="D113" s="408"/>
      <c r="E113" s="121"/>
      <c r="F113" s="121"/>
      <c r="G113" s="409"/>
      <c r="H113" s="122" t="s">
        <v>314</v>
      </c>
      <c r="I113" s="125">
        <v>76</v>
      </c>
      <c r="J113" s="125">
        <f t="shared" si="8"/>
        <v>24.203821656050955</v>
      </c>
      <c r="K113" s="125">
        <v>63.8</v>
      </c>
      <c r="L113" s="125">
        <f t="shared" si="9"/>
        <v>20.318471337579616</v>
      </c>
      <c r="M113" s="125">
        <v>6.6</v>
      </c>
      <c r="N113" s="125"/>
      <c r="O113" s="124">
        <f t="shared" si="7"/>
        <v>3.9055749529625008E-3</v>
      </c>
      <c r="P113" s="123">
        <f>O113*(1+'Key Data'!F$3)</f>
        <v>4.8819686912031264E-3</v>
      </c>
      <c r="Q113" s="405"/>
      <c r="R113" s="405"/>
      <c r="S113" s="139"/>
    </row>
    <row r="114" spans="1:19" s="229" customFormat="1" x14ac:dyDescent="0.3">
      <c r="A114" s="408"/>
      <c r="B114" s="408"/>
      <c r="C114" s="408"/>
      <c r="D114" s="408"/>
      <c r="E114" s="121"/>
      <c r="F114" s="121"/>
      <c r="G114" s="409"/>
      <c r="H114" s="122" t="s">
        <v>314</v>
      </c>
      <c r="I114" s="125">
        <v>60</v>
      </c>
      <c r="J114" s="125">
        <f t="shared" si="8"/>
        <v>19.108280254777068</v>
      </c>
      <c r="K114" s="125">
        <v>54.8</v>
      </c>
      <c r="L114" s="125">
        <f t="shared" si="9"/>
        <v>17.452229299363054</v>
      </c>
      <c r="M114" s="125">
        <v>6.8</v>
      </c>
      <c r="N114" s="125"/>
      <c r="O114" s="124">
        <f t="shared" si="7"/>
        <v>3.7059041873817641E-3</v>
      </c>
      <c r="P114" s="123">
        <f>O114*(1+'Key Data'!F$3)</f>
        <v>4.6323802342272055E-3</v>
      </c>
      <c r="Q114" s="405"/>
      <c r="R114" s="405"/>
      <c r="S114" s="139"/>
    </row>
    <row r="115" spans="1:19" s="229" customFormat="1" x14ac:dyDescent="0.3">
      <c r="A115" s="408"/>
      <c r="B115" s="408"/>
      <c r="C115" s="408"/>
      <c r="D115" s="408"/>
      <c r="E115" s="121"/>
      <c r="F115" s="121"/>
      <c r="G115" s="409"/>
      <c r="H115" s="122" t="s">
        <v>314</v>
      </c>
      <c r="I115" s="125">
        <v>86</v>
      </c>
      <c r="J115" s="125">
        <f t="shared" si="8"/>
        <v>27.388535031847134</v>
      </c>
      <c r="K115" s="125">
        <v>55</v>
      </c>
      <c r="L115" s="125">
        <f t="shared" si="9"/>
        <v>17.515923566878982</v>
      </c>
      <c r="M115" s="125">
        <v>6.1</v>
      </c>
      <c r="N115" s="125"/>
      <c r="O115" s="124">
        <f t="shared" si="7"/>
        <v>3.6321229464332276E-3</v>
      </c>
      <c r="P115" s="123">
        <f>O115*(1+'Key Data'!F$3)</f>
        <v>4.5401536830415347E-3</v>
      </c>
      <c r="Q115" s="405"/>
      <c r="R115" s="405"/>
      <c r="S115" s="139"/>
    </row>
    <row r="116" spans="1:19" s="229" customFormat="1" x14ac:dyDescent="0.3">
      <c r="A116" s="408"/>
      <c r="B116" s="408"/>
      <c r="C116" s="408"/>
      <c r="D116" s="408"/>
      <c r="E116" s="121"/>
      <c r="F116" s="121"/>
      <c r="G116" s="409"/>
      <c r="H116" s="122" t="s">
        <v>314</v>
      </c>
      <c r="I116" s="125">
        <v>72</v>
      </c>
      <c r="J116" s="125">
        <f t="shared" si="8"/>
        <v>22.929936305732483</v>
      </c>
      <c r="K116" s="125">
        <v>46</v>
      </c>
      <c r="L116" s="125">
        <f t="shared" si="9"/>
        <v>14.64968152866242</v>
      </c>
      <c r="M116" s="125">
        <v>5.8</v>
      </c>
      <c r="N116" s="125"/>
      <c r="O116" s="124">
        <f t="shared" si="7"/>
        <v>3.3352340405824947E-3</v>
      </c>
      <c r="P116" s="123">
        <f>O116*(1+'Key Data'!F$3)</f>
        <v>4.169042550728118E-3</v>
      </c>
      <c r="Q116" s="405"/>
      <c r="R116" s="405"/>
      <c r="S116" s="139"/>
    </row>
    <row r="117" spans="1:19" s="229" customFormat="1" x14ac:dyDescent="0.3">
      <c r="A117" s="408"/>
      <c r="B117" s="408"/>
      <c r="C117" s="408"/>
      <c r="D117" s="408"/>
      <c r="E117" s="121"/>
      <c r="F117" s="121"/>
      <c r="G117" s="409"/>
      <c r="H117" s="122" t="s">
        <v>314</v>
      </c>
      <c r="I117" s="125">
        <v>63</v>
      </c>
      <c r="J117" s="125">
        <f t="shared" si="8"/>
        <v>20.063694267515924</v>
      </c>
      <c r="K117" s="125">
        <v>62</v>
      </c>
      <c r="L117" s="125">
        <f t="shared" si="9"/>
        <v>19.745222929936304</v>
      </c>
      <c r="M117" s="125">
        <v>7</v>
      </c>
      <c r="N117" s="125"/>
      <c r="O117" s="124">
        <f t="shared" si="7"/>
        <v>3.9067418564541654E-3</v>
      </c>
      <c r="P117" s="123">
        <f>O117*(1+'Key Data'!F$3)</f>
        <v>4.883427320567707E-3</v>
      </c>
      <c r="Q117" s="405"/>
      <c r="R117" s="405"/>
      <c r="S117" s="139"/>
    </row>
    <row r="118" spans="1:19" s="229" customFormat="1" x14ac:dyDescent="0.3">
      <c r="A118" s="408"/>
      <c r="B118" s="408"/>
      <c r="C118" s="408"/>
      <c r="D118" s="408"/>
      <c r="E118" s="121"/>
      <c r="F118" s="121"/>
      <c r="G118" s="409"/>
      <c r="H118" s="122" t="s">
        <v>314</v>
      </c>
      <c r="I118" s="125">
        <v>67</v>
      </c>
      <c r="J118" s="125">
        <f t="shared" si="8"/>
        <v>21.337579617834393</v>
      </c>
      <c r="K118" s="125">
        <v>59.5</v>
      </c>
      <c r="L118" s="125">
        <f t="shared" si="9"/>
        <v>18.949044585987259</v>
      </c>
      <c r="M118" s="125">
        <v>7.8</v>
      </c>
      <c r="N118" s="125"/>
      <c r="O118" s="124">
        <f t="shared" si="7"/>
        <v>3.9255951925217083E-3</v>
      </c>
      <c r="P118" s="123">
        <f>O118*(1+'Key Data'!F$3)</f>
        <v>4.9069939906521351E-3</v>
      </c>
      <c r="Q118" s="405"/>
      <c r="R118" s="405"/>
      <c r="S118" s="139"/>
    </row>
    <row r="119" spans="1:19" s="229" customFormat="1" x14ac:dyDescent="0.3">
      <c r="A119" s="408"/>
      <c r="B119" s="408"/>
      <c r="C119" s="408"/>
      <c r="D119" s="408"/>
      <c r="E119" s="121"/>
      <c r="F119" s="121"/>
      <c r="G119" s="409"/>
      <c r="H119" s="122" t="s">
        <v>314</v>
      </c>
      <c r="I119" s="125">
        <v>79</v>
      </c>
      <c r="J119" s="125">
        <f t="shared" si="8"/>
        <v>25.159235668789808</v>
      </c>
      <c r="K119" s="125">
        <v>62</v>
      </c>
      <c r="L119" s="125">
        <f t="shared" si="9"/>
        <v>19.745222929936304</v>
      </c>
      <c r="M119" s="125">
        <v>7.6</v>
      </c>
      <c r="N119" s="125"/>
      <c r="O119" s="124">
        <f t="shared" si="7"/>
        <v>3.9666111919706808E-3</v>
      </c>
      <c r="P119" s="123">
        <f>O119*(1+'Key Data'!F$3)</f>
        <v>4.958263989963351E-3</v>
      </c>
      <c r="Q119" s="405"/>
      <c r="R119" s="405"/>
      <c r="S119" s="139"/>
    </row>
    <row r="120" spans="1:19" s="229" customFormat="1" x14ac:dyDescent="0.3">
      <c r="A120" s="408"/>
      <c r="B120" s="408"/>
      <c r="C120" s="408"/>
      <c r="D120" s="408"/>
      <c r="E120" s="121"/>
      <c r="F120" s="121"/>
      <c r="G120" s="409"/>
      <c r="H120" s="122" t="s">
        <v>314</v>
      </c>
      <c r="I120" s="125">
        <v>71</v>
      </c>
      <c r="J120" s="125">
        <f t="shared" si="8"/>
        <v>22.611464968152866</v>
      </c>
      <c r="K120" s="125">
        <v>62.5</v>
      </c>
      <c r="L120" s="125">
        <f t="shared" si="9"/>
        <v>19.904458598726112</v>
      </c>
      <c r="M120" s="125">
        <v>7.8</v>
      </c>
      <c r="N120" s="125"/>
      <c r="O120" s="124">
        <f t="shared" si="7"/>
        <v>3.9972161880634724E-3</v>
      </c>
      <c r="P120" s="123">
        <f>O120*(1+'Key Data'!F$3)</f>
        <v>4.9965202350793405E-3</v>
      </c>
      <c r="Q120" s="405"/>
      <c r="R120" s="405"/>
      <c r="S120" s="139"/>
    </row>
    <row r="121" spans="1:19" s="229" customFormat="1" x14ac:dyDescent="0.3">
      <c r="A121" s="408"/>
      <c r="B121" s="408"/>
      <c r="C121" s="408"/>
      <c r="D121" s="408"/>
      <c r="E121" s="121"/>
      <c r="F121" s="121"/>
      <c r="G121" s="409"/>
      <c r="H121" s="122" t="s">
        <v>314</v>
      </c>
      <c r="I121" s="125">
        <v>65</v>
      </c>
      <c r="J121" s="125">
        <f t="shared" si="8"/>
        <v>20.700636942675157</v>
      </c>
      <c r="K121" s="125">
        <v>53.5</v>
      </c>
      <c r="L121" s="125">
        <f t="shared" si="9"/>
        <v>17.038216560509554</v>
      </c>
      <c r="M121" s="125">
        <v>7.1</v>
      </c>
      <c r="N121" s="125"/>
      <c r="O121" s="124">
        <f t="shared" si="7"/>
        <v>3.7023770941839117E-3</v>
      </c>
      <c r="P121" s="123">
        <f>O121*(1+'Key Data'!F$3)</f>
        <v>4.6279713677298898E-3</v>
      </c>
      <c r="Q121" s="405"/>
      <c r="R121" s="405"/>
      <c r="S121" s="139"/>
    </row>
    <row r="122" spans="1:19" s="229" customFormat="1" x14ac:dyDescent="0.3">
      <c r="A122" s="408"/>
      <c r="B122" s="408"/>
      <c r="C122" s="408"/>
      <c r="D122" s="408"/>
      <c r="E122" s="121"/>
      <c r="F122" s="121"/>
      <c r="G122" s="409"/>
      <c r="H122" s="122" t="s">
        <v>314</v>
      </c>
      <c r="I122" s="125">
        <v>77.5</v>
      </c>
      <c r="J122" s="125">
        <f t="shared" si="8"/>
        <v>24.68152866242038</v>
      </c>
      <c r="K122" s="125">
        <v>57.5</v>
      </c>
      <c r="L122" s="125">
        <f t="shared" si="9"/>
        <v>18.312101910828027</v>
      </c>
      <c r="M122" s="125">
        <v>7.1</v>
      </c>
      <c r="N122" s="125"/>
      <c r="O122" s="124">
        <f t="shared" si="7"/>
        <v>3.8073594901042685E-3</v>
      </c>
      <c r="P122" s="123">
        <f>O122*(1+'Key Data'!F$3)</f>
        <v>4.7591993626303359E-3</v>
      </c>
      <c r="Q122" s="405"/>
      <c r="R122" s="405"/>
      <c r="S122" s="139"/>
    </row>
    <row r="123" spans="1:19" s="229" customFormat="1" x14ac:dyDescent="0.3">
      <c r="A123" s="408"/>
      <c r="B123" s="408"/>
      <c r="C123" s="408"/>
      <c r="D123" s="408"/>
      <c r="E123" s="121"/>
      <c r="F123" s="121"/>
      <c r="G123" s="409"/>
      <c r="H123" s="122" t="s">
        <v>314</v>
      </c>
      <c r="I123" s="125">
        <v>76</v>
      </c>
      <c r="J123" s="125">
        <f t="shared" si="8"/>
        <v>24.203821656050955</v>
      </c>
      <c r="K123" s="125">
        <v>57.5</v>
      </c>
      <c r="L123" s="125">
        <f t="shared" si="9"/>
        <v>18.312101910828027</v>
      </c>
      <c r="M123" s="125">
        <v>6.5</v>
      </c>
      <c r="N123" s="125"/>
      <c r="O123" s="124">
        <f t="shared" si="7"/>
        <v>3.7430824721022145E-3</v>
      </c>
      <c r="P123" s="123">
        <f>O123*(1+'Key Data'!F$3)</f>
        <v>4.6788530901277683E-3</v>
      </c>
      <c r="Q123" s="405"/>
      <c r="R123" s="405"/>
      <c r="S123" s="139"/>
    </row>
    <row r="124" spans="1:19" s="229" customFormat="1" x14ac:dyDescent="0.3">
      <c r="A124" s="408"/>
      <c r="B124" s="408"/>
      <c r="C124" s="408"/>
      <c r="D124" s="408"/>
      <c r="E124" s="121"/>
      <c r="F124" s="121"/>
      <c r="G124" s="409"/>
      <c r="H124" s="122" t="s">
        <v>314</v>
      </c>
      <c r="I124" s="125">
        <v>59.5</v>
      </c>
      <c r="J124" s="125">
        <f t="shared" si="8"/>
        <v>18.949044585987259</v>
      </c>
      <c r="K124" s="125">
        <v>52</v>
      </c>
      <c r="L124" s="125">
        <f t="shared" si="9"/>
        <v>16.560509554140125</v>
      </c>
      <c r="M124" s="125">
        <v>6.1</v>
      </c>
      <c r="N124" s="125"/>
      <c r="O124" s="124">
        <f t="shared" si="7"/>
        <v>3.5504566829893075E-3</v>
      </c>
      <c r="P124" s="123">
        <f>O124*(1+'Key Data'!F$3)</f>
        <v>4.438070853736634E-3</v>
      </c>
      <c r="Q124" s="405"/>
      <c r="R124" s="405"/>
      <c r="S124" s="139"/>
    </row>
    <row r="125" spans="1:19" s="229" customFormat="1" ht="15" customHeight="1" x14ac:dyDescent="0.3">
      <c r="A125" s="406">
        <v>2</v>
      </c>
      <c r="B125" s="406" t="s">
        <v>408</v>
      </c>
      <c r="C125" s="406" t="s">
        <v>271</v>
      </c>
      <c r="D125" s="406" t="s">
        <v>270</v>
      </c>
      <c r="E125" s="406">
        <v>13.993807</v>
      </c>
      <c r="F125" s="406">
        <v>77.835790000000003</v>
      </c>
      <c r="G125" s="406">
        <v>2019</v>
      </c>
      <c r="H125" s="146" t="s">
        <v>544</v>
      </c>
      <c r="I125" s="148"/>
      <c r="J125" s="148"/>
      <c r="K125" s="148">
        <f>SQRT(34.5*34.5+51*51+17*17)</f>
        <v>63.876834611618008</v>
      </c>
      <c r="L125" s="149">
        <f t="shared" si="9"/>
        <v>20.342940959114014</v>
      </c>
      <c r="M125" s="148"/>
      <c r="N125" s="148"/>
      <c r="O125" s="148">
        <f xml:space="preserve"> (0.131-1.87132*(L125/100)+9.47861*(L125/100)^2*'Key Data'!$I$13*'Key Data'!$F$13)</f>
        <v>0.21367358340455928</v>
      </c>
      <c r="P125" s="148">
        <f>O125*(1+'Key Data'!F$3)</f>
        <v>0.26709197925569911</v>
      </c>
      <c r="Q125" s="407">
        <f>SUM(P125:P143)</f>
        <v>2.2763254676922573</v>
      </c>
      <c r="R125" s="407">
        <f>Q125*10000/900</f>
        <v>25.292505196580638</v>
      </c>
      <c r="S125" s="139"/>
    </row>
    <row r="126" spans="1:19" s="229" customFormat="1" x14ac:dyDescent="0.3">
      <c r="A126" s="406"/>
      <c r="B126" s="406"/>
      <c r="C126" s="406"/>
      <c r="D126" s="406"/>
      <c r="E126" s="406"/>
      <c r="F126" s="406"/>
      <c r="G126" s="406"/>
      <c r="H126" s="146" t="s">
        <v>544</v>
      </c>
      <c r="I126" s="148"/>
      <c r="J126" s="148"/>
      <c r="K126" s="148">
        <v>63</v>
      </c>
      <c r="L126" s="149">
        <f t="shared" si="9"/>
        <v>20.063694267515924</v>
      </c>
      <c r="M126" s="148"/>
      <c r="N126" s="148"/>
      <c r="O126" s="148">
        <f xml:space="preserve"> (0.131-1.87132*(L126/100)+9.47861*(L126/100)^2*'Key Data'!$I$13*'Key Data'!$F$13)</f>
        <v>0.20626558034872106</v>
      </c>
      <c r="P126" s="148">
        <f>O126*(1+'Key Data'!F$3)</f>
        <v>0.25783197543590131</v>
      </c>
      <c r="Q126" s="407"/>
      <c r="R126" s="407"/>
      <c r="S126" s="141"/>
    </row>
    <row r="127" spans="1:19" s="229" customFormat="1" x14ac:dyDescent="0.3">
      <c r="A127" s="406"/>
      <c r="B127" s="406"/>
      <c r="C127" s="406"/>
      <c r="D127" s="406"/>
      <c r="E127" s="406"/>
      <c r="F127" s="406"/>
      <c r="G127" s="406"/>
      <c r="H127" s="146" t="s">
        <v>544</v>
      </c>
      <c r="I127" s="148"/>
      <c r="J127" s="148"/>
      <c r="K127" s="148">
        <f>SQRT(48*48+47*47+30.5*30.5)</f>
        <v>73.778384368322946</v>
      </c>
      <c r="L127" s="149">
        <f t="shared" si="9"/>
        <v>23.496300754242977</v>
      </c>
      <c r="M127" s="148"/>
      <c r="N127" s="148"/>
      <c r="O127" s="148">
        <f xml:space="preserve"> (0.131-1.87132*(L127/100)+9.47861*(L127/100)^2*'Key Data'!$I$13*'Key Data'!$F$13)</f>
        <v>0.30944705097628977</v>
      </c>
      <c r="P127" s="148">
        <f>O127*(1+'Key Data'!F$3)</f>
        <v>0.38680881372036224</v>
      </c>
      <c r="Q127" s="407"/>
      <c r="R127" s="407"/>
      <c r="S127" s="141"/>
    </row>
    <row r="128" spans="1:19" s="229" customFormat="1" x14ac:dyDescent="0.3">
      <c r="A128" s="406"/>
      <c r="B128" s="406"/>
      <c r="C128" s="406"/>
      <c r="D128" s="406"/>
      <c r="E128" s="406"/>
      <c r="F128" s="406"/>
      <c r="G128" s="406"/>
      <c r="H128" s="146" t="s">
        <v>544</v>
      </c>
      <c r="I128" s="148"/>
      <c r="J128" s="148"/>
      <c r="K128" s="148">
        <v>33</v>
      </c>
      <c r="L128" s="149">
        <f t="shared" si="9"/>
        <v>10.509554140127388</v>
      </c>
      <c r="M128" s="148"/>
      <c r="N128" s="148"/>
      <c r="O128" s="148">
        <f xml:space="preserve"> (0.131-1.87132*(L128/100)+9.47861*(L128/100)^2*'Key Data'!$I$13*'Key Data'!$F$13)</f>
        <v>5.7999962879452499E-2</v>
      </c>
      <c r="P128" s="148">
        <f>O128*(1+'Key Data'!F$3)</f>
        <v>7.2499953599315631E-2</v>
      </c>
      <c r="Q128" s="407"/>
      <c r="R128" s="407"/>
      <c r="S128" s="141"/>
    </row>
    <row r="129" spans="1:19" s="229" customFormat="1" x14ac:dyDescent="0.3">
      <c r="A129" s="406"/>
      <c r="B129" s="406"/>
      <c r="C129" s="406"/>
      <c r="D129" s="406"/>
      <c r="E129" s="406"/>
      <c r="F129" s="406"/>
      <c r="G129" s="406"/>
      <c r="H129" s="146" t="s">
        <v>263</v>
      </c>
      <c r="I129" s="148">
        <v>17.2</v>
      </c>
      <c r="J129" s="148">
        <f t="shared" ref="J129:J143" si="10">I129/3.14</f>
        <v>5.4777070063694264</v>
      </c>
      <c r="K129" s="148"/>
      <c r="L129" s="148"/>
      <c r="M129" s="148"/>
      <c r="N129" s="148"/>
      <c r="O129" s="149">
        <f t="shared" ref="O129:O143" si="11">30.4*EXP(-5.07*EXP(-0.26*J129)+1.277)/1000</f>
        <v>3.2171902262766054E-2</v>
      </c>
      <c r="P129" s="148">
        <f>O129*(1+'Key Data'!F$3)</f>
        <v>4.0214877828457569E-2</v>
      </c>
      <c r="Q129" s="407"/>
      <c r="R129" s="407"/>
      <c r="S129" s="141"/>
    </row>
    <row r="130" spans="1:19" s="229" customFormat="1" x14ac:dyDescent="0.3">
      <c r="A130" s="406"/>
      <c r="B130" s="406"/>
      <c r="C130" s="406"/>
      <c r="D130" s="406"/>
      <c r="E130" s="406"/>
      <c r="F130" s="406"/>
      <c r="G130" s="406"/>
      <c r="H130" s="146" t="s">
        <v>263</v>
      </c>
      <c r="I130" s="148">
        <v>19</v>
      </c>
      <c r="J130" s="148">
        <f t="shared" si="10"/>
        <v>6.0509554140127388</v>
      </c>
      <c r="K130" s="148"/>
      <c r="L130" s="148"/>
      <c r="M130" s="148"/>
      <c r="N130" s="148"/>
      <c r="O130" s="149">
        <f t="shared" si="11"/>
        <v>3.8094669325505315E-2</v>
      </c>
      <c r="P130" s="148">
        <f>O130*(1+'Key Data'!F$3)</f>
        <v>4.7618336656881644E-2</v>
      </c>
      <c r="Q130" s="407"/>
      <c r="R130" s="407"/>
      <c r="S130" s="141"/>
    </row>
    <row r="131" spans="1:19" s="229" customFormat="1" x14ac:dyDescent="0.3">
      <c r="A131" s="406"/>
      <c r="B131" s="406"/>
      <c r="C131" s="406"/>
      <c r="D131" s="406"/>
      <c r="E131" s="406"/>
      <c r="F131" s="406"/>
      <c r="G131" s="406"/>
      <c r="H131" s="146" t="s">
        <v>263</v>
      </c>
      <c r="I131" s="148">
        <v>44.5</v>
      </c>
      <c r="J131" s="148">
        <f t="shared" si="10"/>
        <v>14.171974522292993</v>
      </c>
      <c r="K131" s="148"/>
      <c r="L131" s="148"/>
      <c r="M131" s="148"/>
      <c r="N131" s="148"/>
      <c r="O131" s="149">
        <f>30.4*EXP(-5.07*EXP(-0.26*J131)+1.277)/1000</f>
        <v>9.5982267081716616E-2</v>
      </c>
      <c r="P131" s="148">
        <f>O131*(1+'Key Data'!F$3)</f>
        <v>0.11997783385214578</v>
      </c>
      <c r="Q131" s="407"/>
      <c r="R131" s="407"/>
      <c r="S131" s="141"/>
    </row>
    <row r="132" spans="1:19" s="229" customFormat="1" x14ac:dyDescent="0.3">
      <c r="A132" s="406"/>
      <c r="B132" s="406"/>
      <c r="C132" s="406"/>
      <c r="D132" s="406"/>
      <c r="E132" s="406"/>
      <c r="F132" s="406"/>
      <c r="G132" s="406"/>
      <c r="H132" s="146" t="s">
        <v>263</v>
      </c>
      <c r="I132" s="148">
        <v>30</v>
      </c>
      <c r="J132" s="148">
        <f t="shared" si="10"/>
        <v>9.5541401273885338</v>
      </c>
      <c r="K132" s="148"/>
      <c r="L132" s="148"/>
      <c r="M132" s="148"/>
      <c r="N132" s="148"/>
      <c r="O132" s="149">
        <f t="shared" si="11"/>
        <v>7.1420982321553222E-2</v>
      </c>
      <c r="P132" s="148">
        <f>O132*(1+'Key Data'!F$3)</f>
        <v>8.9276227901941535E-2</v>
      </c>
      <c r="Q132" s="407"/>
      <c r="R132" s="407"/>
      <c r="S132" s="141"/>
    </row>
    <row r="133" spans="1:19" s="229" customFormat="1" x14ac:dyDescent="0.3">
      <c r="A133" s="406"/>
      <c r="B133" s="406"/>
      <c r="C133" s="406"/>
      <c r="D133" s="406"/>
      <c r="E133" s="406"/>
      <c r="F133" s="406"/>
      <c r="G133" s="406"/>
      <c r="H133" s="146" t="s">
        <v>263</v>
      </c>
      <c r="I133" s="148">
        <v>27.6</v>
      </c>
      <c r="J133" s="148">
        <f t="shared" si="10"/>
        <v>8.7898089171974529</v>
      </c>
      <c r="K133" s="148"/>
      <c r="L133" s="148"/>
      <c r="M133" s="148"/>
      <c r="N133" s="148"/>
      <c r="O133" s="149">
        <f t="shared" si="11"/>
        <v>6.508075245453547E-2</v>
      </c>
      <c r="P133" s="148">
        <f>O133*(1+'Key Data'!F$3)</f>
        <v>8.1350940568169341E-2</v>
      </c>
      <c r="Q133" s="407"/>
      <c r="R133" s="407"/>
      <c r="S133" s="141"/>
    </row>
    <row r="134" spans="1:19" s="229" customFormat="1" x14ac:dyDescent="0.3">
      <c r="A134" s="406"/>
      <c r="B134" s="406"/>
      <c r="C134" s="406"/>
      <c r="D134" s="406"/>
      <c r="E134" s="406"/>
      <c r="F134" s="406"/>
      <c r="G134" s="406"/>
      <c r="H134" s="146" t="s">
        <v>263</v>
      </c>
      <c r="I134" s="148">
        <v>30</v>
      </c>
      <c r="J134" s="148">
        <f t="shared" si="10"/>
        <v>9.5541401273885338</v>
      </c>
      <c r="K134" s="148"/>
      <c r="L134" s="148"/>
      <c r="M134" s="148"/>
      <c r="N134" s="148"/>
      <c r="O134" s="149">
        <f t="shared" si="11"/>
        <v>7.1420982321553222E-2</v>
      </c>
      <c r="P134" s="148">
        <f>O134*(1+'Key Data'!F$3)</f>
        <v>8.9276227901941535E-2</v>
      </c>
      <c r="Q134" s="407"/>
      <c r="R134" s="407"/>
      <c r="S134" s="141"/>
    </row>
    <row r="135" spans="1:19" s="229" customFormat="1" x14ac:dyDescent="0.3">
      <c r="A135" s="406"/>
      <c r="B135" s="406"/>
      <c r="C135" s="406"/>
      <c r="D135" s="406"/>
      <c r="E135" s="406"/>
      <c r="F135" s="406"/>
      <c r="G135" s="406"/>
      <c r="H135" s="146" t="s">
        <v>263</v>
      </c>
      <c r="I135" s="148">
        <v>31.5</v>
      </c>
      <c r="J135" s="148">
        <f t="shared" si="10"/>
        <v>10.031847133757962</v>
      </c>
      <c r="K135" s="148"/>
      <c r="L135" s="148"/>
      <c r="M135" s="148"/>
      <c r="N135" s="148"/>
      <c r="O135" s="149">
        <f t="shared" si="11"/>
        <v>7.5036957906877172E-2</v>
      </c>
      <c r="P135" s="148">
        <f>O135*(1+'Key Data'!F$3)</f>
        <v>9.3796197383596458E-2</v>
      </c>
      <c r="Q135" s="407"/>
      <c r="R135" s="407"/>
      <c r="S135" s="141"/>
    </row>
    <row r="136" spans="1:19" s="229" customFormat="1" x14ac:dyDescent="0.3">
      <c r="A136" s="406"/>
      <c r="B136" s="406"/>
      <c r="C136" s="406"/>
      <c r="D136" s="406"/>
      <c r="E136" s="406"/>
      <c r="F136" s="406"/>
      <c r="G136" s="406"/>
      <c r="H136" s="146" t="s">
        <v>263</v>
      </c>
      <c r="I136" s="148">
        <v>52.8</v>
      </c>
      <c r="J136" s="148">
        <f t="shared" si="10"/>
        <v>16.815286624203821</v>
      </c>
      <c r="K136" s="148"/>
      <c r="L136" s="148"/>
      <c r="M136" s="148"/>
      <c r="N136" s="148"/>
      <c r="O136" s="149">
        <f t="shared" si="11"/>
        <v>0.10225066956068748</v>
      </c>
      <c r="P136" s="148">
        <f>O136*(1+'Key Data'!F$3)</f>
        <v>0.12781333695085936</v>
      </c>
      <c r="Q136" s="407"/>
      <c r="R136" s="407"/>
      <c r="S136" s="141"/>
    </row>
    <row r="137" spans="1:19" s="229" customFormat="1" x14ac:dyDescent="0.3">
      <c r="A137" s="406"/>
      <c r="B137" s="406"/>
      <c r="C137" s="406"/>
      <c r="D137" s="406"/>
      <c r="E137" s="406"/>
      <c r="F137" s="406"/>
      <c r="G137" s="406"/>
      <c r="H137" s="146" t="s">
        <v>263</v>
      </c>
      <c r="I137" s="148">
        <v>32.200000000000003</v>
      </c>
      <c r="J137" s="148">
        <f t="shared" si="10"/>
        <v>10.254777070063694</v>
      </c>
      <c r="K137" s="148"/>
      <c r="L137" s="148"/>
      <c r="M137" s="148"/>
      <c r="N137" s="148"/>
      <c r="O137" s="149">
        <f t="shared" si="11"/>
        <v>7.6631781314898118E-2</v>
      </c>
      <c r="P137" s="148">
        <f>O137*(1+'Key Data'!F$3)</f>
        <v>9.5789726643622647E-2</v>
      </c>
      <c r="Q137" s="407"/>
      <c r="R137" s="407"/>
      <c r="S137" s="141"/>
    </row>
    <row r="138" spans="1:19" s="229" customFormat="1" x14ac:dyDescent="0.3">
      <c r="A138" s="406"/>
      <c r="B138" s="406"/>
      <c r="C138" s="406"/>
      <c r="D138" s="406"/>
      <c r="E138" s="406"/>
      <c r="F138" s="406"/>
      <c r="G138" s="406"/>
      <c r="H138" s="146" t="s">
        <v>263</v>
      </c>
      <c r="I138" s="148">
        <v>31</v>
      </c>
      <c r="J138" s="148">
        <f t="shared" si="10"/>
        <v>9.872611464968152</v>
      </c>
      <c r="K138" s="148"/>
      <c r="L138" s="148"/>
      <c r="M138" s="148"/>
      <c r="N138" s="148"/>
      <c r="O138" s="149">
        <f t="shared" si="11"/>
        <v>7.3861700758365859E-2</v>
      </c>
      <c r="P138" s="148">
        <f>O138*(1+'Key Data'!F$3)</f>
        <v>9.232712594795732E-2</v>
      </c>
      <c r="Q138" s="407"/>
      <c r="R138" s="407"/>
      <c r="S138" s="141"/>
    </row>
    <row r="139" spans="1:19" s="229" customFormat="1" x14ac:dyDescent="0.3">
      <c r="A139" s="406"/>
      <c r="B139" s="406"/>
      <c r="C139" s="406"/>
      <c r="D139" s="406"/>
      <c r="E139" s="406"/>
      <c r="F139" s="406"/>
      <c r="G139" s="406"/>
      <c r="H139" s="146" t="s">
        <v>263</v>
      </c>
      <c r="I139" s="148">
        <v>17</v>
      </c>
      <c r="J139" s="148">
        <f t="shared" si="10"/>
        <v>5.4140127388535033</v>
      </c>
      <c r="K139" s="148"/>
      <c r="L139" s="148"/>
      <c r="M139" s="148"/>
      <c r="N139" s="148"/>
      <c r="O139" s="149">
        <f t="shared" si="11"/>
        <v>3.152294203403376E-2</v>
      </c>
      <c r="P139" s="148">
        <f>O139*(1+'Key Data'!F$3)</f>
        <v>3.9403677542542204E-2</v>
      </c>
      <c r="Q139" s="407"/>
      <c r="R139" s="407"/>
      <c r="S139" s="141"/>
    </row>
    <row r="140" spans="1:19" s="229" customFormat="1" x14ac:dyDescent="0.3">
      <c r="A140" s="406"/>
      <c r="B140" s="406"/>
      <c r="C140" s="406"/>
      <c r="D140" s="406"/>
      <c r="E140" s="406"/>
      <c r="F140" s="406"/>
      <c r="G140" s="406"/>
      <c r="H140" s="146" t="s">
        <v>263</v>
      </c>
      <c r="I140" s="148">
        <v>64</v>
      </c>
      <c r="J140" s="148">
        <f t="shared" si="10"/>
        <v>20.38216560509554</v>
      </c>
      <c r="K140" s="148"/>
      <c r="L140" s="148"/>
      <c r="M140" s="148"/>
      <c r="N140" s="148"/>
      <c r="O140" s="149">
        <f t="shared" si="11"/>
        <v>0.10628446193284659</v>
      </c>
      <c r="P140" s="148">
        <f>O140*(1+'Key Data'!F$3)</f>
        <v>0.13285557741605825</v>
      </c>
      <c r="Q140" s="407"/>
      <c r="R140" s="407"/>
      <c r="S140" s="141"/>
    </row>
    <row r="141" spans="1:19" s="229" customFormat="1" x14ac:dyDescent="0.3">
      <c r="A141" s="406"/>
      <c r="B141" s="406"/>
      <c r="C141" s="406"/>
      <c r="D141" s="406"/>
      <c r="E141" s="406"/>
      <c r="F141" s="406"/>
      <c r="G141" s="406"/>
      <c r="H141" s="146" t="s">
        <v>263</v>
      </c>
      <c r="I141" s="148">
        <v>51.7</v>
      </c>
      <c r="J141" s="148">
        <f t="shared" si="10"/>
        <v>16.464968152866241</v>
      </c>
      <c r="K141" s="148"/>
      <c r="L141" s="148"/>
      <c r="M141" s="148"/>
      <c r="N141" s="148"/>
      <c r="O141" s="149">
        <f t="shared" si="11"/>
        <v>0.10162838404797164</v>
      </c>
      <c r="P141" s="148">
        <f>O141*(1+'Key Data'!F$3)</f>
        <v>0.12703548005996457</v>
      </c>
      <c r="Q141" s="407"/>
      <c r="R141" s="407"/>
      <c r="S141" s="141"/>
    </row>
    <row r="142" spans="1:19" s="229" customFormat="1" x14ac:dyDescent="0.3">
      <c r="A142" s="406"/>
      <c r="B142" s="406"/>
      <c r="C142" s="406"/>
      <c r="D142" s="406"/>
      <c r="E142" s="406"/>
      <c r="F142" s="406"/>
      <c r="G142" s="406"/>
      <c r="H142" s="146" t="s">
        <v>263</v>
      </c>
      <c r="I142" s="148">
        <v>25</v>
      </c>
      <c r="J142" s="148">
        <f t="shared" si="10"/>
        <v>7.9617834394904454</v>
      </c>
      <c r="K142" s="148"/>
      <c r="L142" s="148"/>
      <c r="M142" s="148"/>
      <c r="N142" s="148"/>
      <c r="O142" s="149">
        <f t="shared" si="11"/>
        <v>5.749634859184289E-2</v>
      </c>
      <c r="P142" s="148">
        <f>O142*(1+'Key Data'!F$3)</f>
        <v>7.1870435739803618E-2</v>
      </c>
      <c r="Q142" s="407"/>
      <c r="R142" s="407"/>
      <c r="S142" s="141"/>
    </row>
    <row r="143" spans="1:19" s="229" customFormat="1" x14ac:dyDescent="0.3">
      <c r="A143" s="406"/>
      <c r="B143" s="406"/>
      <c r="C143" s="406"/>
      <c r="D143" s="406"/>
      <c r="E143" s="406"/>
      <c r="F143" s="406"/>
      <c r="G143" s="406"/>
      <c r="H143" s="146" t="s">
        <v>263</v>
      </c>
      <c r="I143" s="148">
        <v>18</v>
      </c>
      <c r="J143" s="148">
        <f t="shared" si="10"/>
        <v>5.7324840764331206</v>
      </c>
      <c r="K143" s="148"/>
      <c r="L143" s="148"/>
      <c r="M143" s="148"/>
      <c r="N143" s="148"/>
      <c r="O143" s="149">
        <f t="shared" si="11"/>
        <v>3.478939462962978E-2</v>
      </c>
      <c r="P143" s="148">
        <f>O143*(1+'Key Data'!F$3)</f>
        <v>4.3486743287037222E-2</v>
      </c>
      <c r="Q143" s="407"/>
      <c r="R143" s="407"/>
      <c r="S143" s="141"/>
    </row>
    <row r="144" spans="1:19" s="229" customFormat="1" x14ac:dyDescent="0.3">
      <c r="A144" s="410">
        <v>3</v>
      </c>
      <c r="B144" s="411" t="s">
        <v>353</v>
      </c>
      <c r="C144" s="411" t="s">
        <v>354</v>
      </c>
      <c r="D144" s="411" t="s">
        <v>452</v>
      </c>
      <c r="E144" s="412">
        <v>27.196487999999999</v>
      </c>
      <c r="F144" s="412">
        <v>94.456001000000001</v>
      </c>
      <c r="G144" s="413">
        <v>2019</v>
      </c>
      <c r="H144" s="145" t="s">
        <v>357</v>
      </c>
      <c r="I144" s="123"/>
      <c r="J144" s="123"/>
      <c r="K144" s="150">
        <f>SQRT(12.1^2+14.5^2)</f>
        <v>18.885444130334875</v>
      </c>
      <c r="L144" s="150">
        <f t="shared" ref="L144:L175" si="12">K144/3.14</f>
        <v>6.0144726529728896</v>
      </c>
      <c r="M144" s="123"/>
      <c r="N144" s="123"/>
      <c r="O144" s="151">
        <f t="shared" ref="O144:O175" si="13">((0.18*L144^2.16)*1.32)/1000</f>
        <v>1.1452838961066567E-2</v>
      </c>
      <c r="P144" s="123">
        <f>O144*(1+'Key Data'!F$3)</f>
        <v>1.4316048701333208E-2</v>
      </c>
      <c r="Q144" s="414">
        <f>SUM(P144:P169)</f>
        <v>1.6521942793398308</v>
      </c>
      <c r="R144" s="414">
        <f>Q144*10000/900</f>
        <v>18.357714214887007</v>
      </c>
      <c r="S144" s="141"/>
    </row>
    <row r="145" spans="1:19" s="229" customFormat="1" x14ac:dyDescent="0.3">
      <c r="A145" s="410"/>
      <c r="B145" s="411"/>
      <c r="C145" s="411"/>
      <c r="D145" s="411"/>
      <c r="E145" s="412"/>
      <c r="F145" s="412"/>
      <c r="G145" s="413"/>
      <c r="H145" s="145" t="s">
        <v>357</v>
      </c>
      <c r="I145" s="123"/>
      <c r="J145" s="123"/>
      <c r="K145" s="150">
        <v>21</v>
      </c>
      <c r="L145" s="150">
        <f t="shared" si="12"/>
        <v>6.6878980891719744</v>
      </c>
      <c r="M145" s="123"/>
      <c r="N145" s="123"/>
      <c r="O145" s="151">
        <f t="shared" si="13"/>
        <v>1.4403633860371745E-2</v>
      </c>
      <c r="P145" s="123">
        <f>O145*(1+'Key Data'!F$3)</f>
        <v>1.8004542325464681E-2</v>
      </c>
      <c r="Q145" s="414"/>
      <c r="R145" s="414"/>
      <c r="S145" s="141"/>
    </row>
    <row r="146" spans="1:19" s="229" customFormat="1" x14ac:dyDescent="0.3">
      <c r="A146" s="410"/>
      <c r="B146" s="411"/>
      <c r="C146" s="411"/>
      <c r="D146" s="411"/>
      <c r="E146" s="412"/>
      <c r="F146" s="412"/>
      <c r="G146" s="413"/>
      <c r="H146" s="145" t="s">
        <v>357</v>
      </c>
      <c r="I146" s="123"/>
      <c r="J146" s="123"/>
      <c r="K146" s="150">
        <v>36.5</v>
      </c>
      <c r="L146" s="150">
        <f t="shared" si="12"/>
        <v>11.624203821656051</v>
      </c>
      <c r="M146" s="123"/>
      <c r="N146" s="123"/>
      <c r="O146" s="151">
        <f>((0.18*L146^2.16)*1.32)/1000</f>
        <v>4.7536913880284158E-2</v>
      </c>
      <c r="P146" s="123">
        <f>O146*(1+'Key Data'!F$3)</f>
        <v>5.9421142350355199E-2</v>
      </c>
      <c r="Q146" s="414"/>
      <c r="R146" s="414"/>
      <c r="S146" s="141"/>
    </row>
    <row r="147" spans="1:19" s="229" customFormat="1" x14ac:dyDescent="0.3">
      <c r="A147" s="410"/>
      <c r="B147" s="411"/>
      <c r="C147" s="411"/>
      <c r="D147" s="411"/>
      <c r="E147" s="412"/>
      <c r="F147" s="412"/>
      <c r="G147" s="413"/>
      <c r="H147" s="145" t="s">
        <v>357</v>
      </c>
      <c r="I147" s="123"/>
      <c r="J147" s="123"/>
      <c r="K147" s="150">
        <v>36.799999999999997</v>
      </c>
      <c r="L147" s="150">
        <f t="shared" si="12"/>
        <v>11.719745222929935</v>
      </c>
      <c r="M147" s="123"/>
      <c r="N147" s="123"/>
      <c r="O147" s="151">
        <f t="shared" si="13"/>
        <v>4.8384881840280045E-2</v>
      </c>
      <c r="P147" s="123">
        <f>O147*(1+'Key Data'!F$3)</f>
        <v>6.0481102300350059E-2</v>
      </c>
      <c r="Q147" s="414"/>
      <c r="R147" s="414"/>
      <c r="S147" s="141"/>
    </row>
    <row r="148" spans="1:19" s="229" customFormat="1" x14ac:dyDescent="0.3">
      <c r="A148" s="410"/>
      <c r="B148" s="411"/>
      <c r="C148" s="411"/>
      <c r="D148" s="411"/>
      <c r="E148" s="412"/>
      <c r="F148" s="412"/>
      <c r="G148" s="413"/>
      <c r="H148" s="145" t="s">
        <v>357</v>
      </c>
      <c r="I148" s="123"/>
      <c r="J148" s="123"/>
      <c r="K148" s="150">
        <v>53.5</v>
      </c>
      <c r="L148" s="150">
        <f t="shared" si="12"/>
        <v>17.038216560509554</v>
      </c>
      <c r="M148" s="123"/>
      <c r="N148" s="123"/>
      <c r="O148" s="151">
        <f t="shared" si="13"/>
        <v>0.10857318189277151</v>
      </c>
      <c r="P148" s="123">
        <f>O148*(1+'Key Data'!F$3)</f>
        <v>0.1357164773659644</v>
      </c>
      <c r="Q148" s="414"/>
      <c r="R148" s="414"/>
      <c r="S148" s="141"/>
    </row>
    <row r="149" spans="1:19" s="229" customFormat="1" x14ac:dyDescent="0.3">
      <c r="A149" s="410"/>
      <c r="B149" s="411"/>
      <c r="C149" s="411"/>
      <c r="D149" s="411"/>
      <c r="E149" s="412"/>
      <c r="F149" s="412"/>
      <c r="G149" s="413"/>
      <c r="H149" s="145" t="s">
        <v>357</v>
      </c>
      <c r="I149" s="123"/>
      <c r="J149" s="123"/>
      <c r="K149" s="150">
        <v>25.5</v>
      </c>
      <c r="L149" s="150">
        <f t="shared" si="12"/>
        <v>8.1210191082802545</v>
      </c>
      <c r="M149" s="123"/>
      <c r="N149" s="123"/>
      <c r="O149" s="151">
        <f t="shared" si="13"/>
        <v>2.1908123790022542E-2</v>
      </c>
      <c r="P149" s="123">
        <f>O149*(1+'Key Data'!F$3)</f>
        <v>2.7385154737528179E-2</v>
      </c>
      <c r="Q149" s="414"/>
      <c r="R149" s="414"/>
      <c r="S149" s="141"/>
    </row>
    <row r="150" spans="1:19" s="229" customFormat="1" x14ac:dyDescent="0.3">
      <c r="A150" s="410"/>
      <c r="B150" s="411"/>
      <c r="C150" s="411"/>
      <c r="D150" s="411"/>
      <c r="E150" s="412"/>
      <c r="F150" s="412"/>
      <c r="G150" s="413"/>
      <c r="H150" s="145" t="s">
        <v>357</v>
      </c>
      <c r="I150" s="123"/>
      <c r="J150" s="123"/>
      <c r="K150" s="150">
        <v>30.2</v>
      </c>
      <c r="L150" s="150">
        <f t="shared" si="12"/>
        <v>9.6178343949044578</v>
      </c>
      <c r="M150" s="123"/>
      <c r="N150" s="123"/>
      <c r="O150" s="151">
        <f t="shared" si="13"/>
        <v>3.1571367476951474E-2</v>
      </c>
      <c r="P150" s="123">
        <f>O150*(1+'Key Data'!F$3)</f>
        <v>3.9464209346189341E-2</v>
      </c>
      <c r="Q150" s="414"/>
      <c r="R150" s="414"/>
      <c r="S150" s="141"/>
    </row>
    <row r="151" spans="1:19" s="229" customFormat="1" x14ac:dyDescent="0.3">
      <c r="A151" s="410"/>
      <c r="B151" s="411"/>
      <c r="C151" s="411"/>
      <c r="D151" s="411"/>
      <c r="E151" s="412"/>
      <c r="F151" s="412"/>
      <c r="G151" s="413"/>
      <c r="H151" s="145" t="s">
        <v>357</v>
      </c>
      <c r="I151" s="123"/>
      <c r="J151" s="123"/>
      <c r="K151" s="150">
        <v>35.200000000000003</v>
      </c>
      <c r="L151" s="150">
        <f t="shared" si="12"/>
        <v>11.210191082802549</v>
      </c>
      <c r="M151" s="123"/>
      <c r="N151" s="123"/>
      <c r="O151" s="151">
        <f t="shared" si="13"/>
        <v>4.3955229261105053E-2</v>
      </c>
      <c r="P151" s="123">
        <f>O151*(1+'Key Data'!F$3)</f>
        <v>5.4944036576381319E-2</v>
      </c>
      <c r="Q151" s="414"/>
      <c r="R151" s="414"/>
      <c r="S151" s="141"/>
    </row>
    <row r="152" spans="1:19" s="229" customFormat="1" x14ac:dyDescent="0.3">
      <c r="A152" s="410"/>
      <c r="B152" s="411"/>
      <c r="C152" s="411"/>
      <c r="D152" s="411"/>
      <c r="E152" s="412"/>
      <c r="F152" s="412"/>
      <c r="G152" s="413"/>
      <c r="H152" s="145" t="s">
        <v>357</v>
      </c>
      <c r="I152" s="123"/>
      <c r="J152" s="123"/>
      <c r="K152" s="150">
        <v>39.200000000000003</v>
      </c>
      <c r="L152" s="150">
        <f t="shared" si="12"/>
        <v>12.48407643312102</v>
      </c>
      <c r="M152" s="123"/>
      <c r="N152" s="123"/>
      <c r="O152" s="151">
        <f t="shared" si="13"/>
        <v>5.545954487333913E-2</v>
      </c>
      <c r="P152" s="123">
        <f>O152*(1+'Key Data'!F$3)</f>
        <v>6.932443109167391E-2</v>
      </c>
      <c r="Q152" s="414"/>
      <c r="R152" s="414"/>
      <c r="S152" s="141"/>
    </row>
    <row r="153" spans="1:19" s="229" customFormat="1" x14ac:dyDescent="0.3">
      <c r="A153" s="410"/>
      <c r="B153" s="411"/>
      <c r="C153" s="411"/>
      <c r="D153" s="411"/>
      <c r="E153" s="412"/>
      <c r="F153" s="412"/>
      <c r="G153" s="413"/>
      <c r="H153" s="145" t="s">
        <v>357</v>
      </c>
      <c r="I153" s="123"/>
      <c r="J153" s="123"/>
      <c r="K153" s="150">
        <v>50.5</v>
      </c>
      <c r="L153" s="150">
        <f t="shared" si="12"/>
        <v>16.082802547770701</v>
      </c>
      <c r="M153" s="123"/>
      <c r="N153" s="123"/>
      <c r="O153" s="151">
        <f t="shared" si="13"/>
        <v>9.584904127042132E-2</v>
      </c>
      <c r="P153" s="123">
        <f>O153*(1+'Key Data'!F$3)</f>
        <v>0.11981130158802665</v>
      </c>
      <c r="Q153" s="414"/>
      <c r="R153" s="414"/>
      <c r="S153" s="141"/>
    </row>
    <row r="154" spans="1:19" s="229" customFormat="1" x14ac:dyDescent="0.3">
      <c r="A154" s="410"/>
      <c r="B154" s="411"/>
      <c r="C154" s="411"/>
      <c r="D154" s="411"/>
      <c r="E154" s="412"/>
      <c r="F154" s="412"/>
      <c r="G154" s="413"/>
      <c r="H154" s="145" t="s">
        <v>357</v>
      </c>
      <c r="I154" s="123"/>
      <c r="J154" s="123"/>
      <c r="K154" s="150">
        <v>28.8</v>
      </c>
      <c r="L154" s="150">
        <f t="shared" si="12"/>
        <v>9.1719745222929934</v>
      </c>
      <c r="M154" s="123"/>
      <c r="N154" s="123"/>
      <c r="O154" s="151">
        <f t="shared" si="13"/>
        <v>2.8494836542273562E-2</v>
      </c>
      <c r="P154" s="123">
        <f>O154*(1+'Key Data'!F$3)</f>
        <v>3.5618545677841951E-2</v>
      </c>
      <c r="Q154" s="414"/>
      <c r="R154" s="414"/>
      <c r="S154" s="141"/>
    </row>
    <row r="155" spans="1:19" s="229" customFormat="1" x14ac:dyDescent="0.3">
      <c r="A155" s="410"/>
      <c r="B155" s="411"/>
      <c r="C155" s="411"/>
      <c r="D155" s="411"/>
      <c r="E155" s="412"/>
      <c r="F155" s="412"/>
      <c r="G155" s="413"/>
      <c r="H155" s="145" t="s">
        <v>357</v>
      </c>
      <c r="I155" s="123"/>
      <c r="J155" s="123"/>
      <c r="K155" s="150">
        <v>30.6</v>
      </c>
      <c r="L155" s="150">
        <f t="shared" si="12"/>
        <v>9.7452229299363058</v>
      </c>
      <c r="M155" s="123"/>
      <c r="N155" s="123"/>
      <c r="O155" s="151">
        <f t="shared" si="13"/>
        <v>3.2481544939345547E-2</v>
      </c>
      <c r="P155" s="123">
        <f>O155*(1+'Key Data'!F$3)</f>
        <v>4.0601931174181934E-2</v>
      </c>
      <c r="Q155" s="414"/>
      <c r="R155" s="414"/>
      <c r="S155" s="141"/>
    </row>
    <row r="156" spans="1:19" s="229" customFormat="1" x14ac:dyDescent="0.3">
      <c r="A156" s="410"/>
      <c r="B156" s="411"/>
      <c r="C156" s="411"/>
      <c r="D156" s="411"/>
      <c r="E156" s="412"/>
      <c r="F156" s="412"/>
      <c r="G156" s="413"/>
      <c r="H156" s="145" t="s">
        <v>357</v>
      </c>
      <c r="I156" s="123"/>
      <c r="J156" s="123"/>
      <c r="K156" s="150">
        <v>50.8</v>
      </c>
      <c r="L156" s="150">
        <f t="shared" si="12"/>
        <v>16.178343949044585</v>
      </c>
      <c r="M156" s="123"/>
      <c r="N156" s="123"/>
      <c r="O156" s="151">
        <f t="shared" si="13"/>
        <v>9.7083184831808098E-2</v>
      </c>
      <c r="P156" s="123">
        <f>O156*(1+'Key Data'!F$3)</f>
        <v>0.12135398103976013</v>
      </c>
      <c r="Q156" s="414"/>
      <c r="R156" s="414"/>
      <c r="S156" s="141"/>
    </row>
    <row r="157" spans="1:19" s="229" customFormat="1" x14ac:dyDescent="0.3">
      <c r="A157" s="410"/>
      <c r="B157" s="411"/>
      <c r="C157" s="411"/>
      <c r="D157" s="411"/>
      <c r="E157" s="412"/>
      <c r="F157" s="412"/>
      <c r="G157" s="413"/>
      <c r="H157" s="145" t="s">
        <v>357</v>
      </c>
      <c r="I157" s="123"/>
      <c r="J157" s="123"/>
      <c r="K157" s="150">
        <v>22</v>
      </c>
      <c r="L157" s="150">
        <f t="shared" si="12"/>
        <v>7.0063694267515917</v>
      </c>
      <c r="M157" s="123"/>
      <c r="N157" s="123"/>
      <c r="O157" s="151">
        <f t="shared" si="13"/>
        <v>1.5926171461791962E-2</v>
      </c>
      <c r="P157" s="123">
        <f>O157*(1+'Key Data'!F$3)</f>
        <v>1.990771432723995E-2</v>
      </c>
      <c r="Q157" s="414"/>
      <c r="R157" s="414"/>
      <c r="S157" s="141"/>
    </row>
    <row r="158" spans="1:19" s="229" customFormat="1" x14ac:dyDescent="0.3">
      <c r="A158" s="410"/>
      <c r="B158" s="411"/>
      <c r="C158" s="411"/>
      <c r="D158" s="411"/>
      <c r="E158" s="412"/>
      <c r="F158" s="412"/>
      <c r="G158" s="413"/>
      <c r="H158" s="145" t="s">
        <v>357</v>
      </c>
      <c r="I158" s="123"/>
      <c r="J158" s="123"/>
      <c r="K158" s="150">
        <f>SQRT(23.4^2+20.2^2)</f>
        <v>30.912780528448099</v>
      </c>
      <c r="L158" s="150">
        <f t="shared" si="12"/>
        <v>9.8448345632000311</v>
      </c>
      <c r="M158" s="123"/>
      <c r="N158" s="123"/>
      <c r="O158" s="151">
        <f t="shared" si="13"/>
        <v>3.320294674511063E-2</v>
      </c>
      <c r="P158" s="123">
        <f>O158*(1+'Key Data'!F$3)</f>
        <v>4.1503683431388286E-2</v>
      </c>
      <c r="Q158" s="414"/>
      <c r="R158" s="414"/>
      <c r="S158" s="141"/>
    </row>
    <row r="159" spans="1:19" s="229" customFormat="1" x14ac:dyDescent="0.3">
      <c r="A159" s="410"/>
      <c r="B159" s="411"/>
      <c r="C159" s="411"/>
      <c r="D159" s="411"/>
      <c r="E159" s="412"/>
      <c r="F159" s="412"/>
      <c r="G159" s="413"/>
      <c r="H159" s="145" t="s">
        <v>357</v>
      </c>
      <c r="I159" s="123"/>
      <c r="J159" s="123"/>
      <c r="K159" s="150">
        <v>41.4</v>
      </c>
      <c r="L159" s="150">
        <f t="shared" si="12"/>
        <v>13.184713375796177</v>
      </c>
      <c r="M159" s="123"/>
      <c r="N159" s="123"/>
      <c r="O159" s="151">
        <f t="shared" si="13"/>
        <v>6.2402089679884469E-2</v>
      </c>
      <c r="P159" s="123">
        <f>O159*(1+'Key Data'!F$3)</f>
        <v>7.8002612099855581E-2</v>
      </c>
      <c r="Q159" s="414"/>
      <c r="R159" s="414"/>
      <c r="S159" s="141"/>
    </row>
    <row r="160" spans="1:19" s="229" customFormat="1" x14ac:dyDescent="0.3">
      <c r="A160" s="410"/>
      <c r="B160" s="411"/>
      <c r="C160" s="411"/>
      <c r="D160" s="411"/>
      <c r="E160" s="412"/>
      <c r="F160" s="412"/>
      <c r="G160" s="413"/>
      <c r="H160" s="145" t="s">
        <v>357</v>
      </c>
      <c r="I160" s="123"/>
      <c r="J160" s="123"/>
      <c r="K160" s="150">
        <v>49.8</v>
      </c>
      <c r="L160" s="150">
        <f t="shared" si="12"/>
        <v>15.859872611464967</v>
      </c>
      <c r="M160" s="123"/>
      <c r="N160" s="123"/>
      <c r="O160" s="151">
        <f t="shared" si="13"/>
        <v>9.3002318800851511E-2</v>
      </c>
      <c r="P160" s="123">
        <f>O160*(1+'Key Data'!F$3)</f>
        <v>0.11625289850106439</v>
      </c>
      <c r="Q160" s="414"/>
      <c r="R160" s="414"/>
      <c r="S160" s="141"/>
    </row>
    <row r="161" spans="1:19" s="229" customFormat="1" x14ac:dyDescent="0.3">
      <c r="A161" s="410"/>
      <c r="B161" s="411"/>
      <c r="C161" s="411"/>
      <c r="D161" s="411"/>
      <c r="E161" s="412"/>
      <c r="F161" s="412"/>
      <c r="G161" s="413"/>
      <c r="H161" s="145" t="s">
        <v>357</v>
      </c>
      <c r="I161" s="123"/>
      <c r="J161" s="123"/>
      <c r="K161" s="150">
        <v>30.9</v>
      </c>
      <c r="L161" s="150">
        <f t="shared" si="12"/>
        <v>9.84076433121019</v>
      </c>
      <c r="M161" s="123"/>
      <c r="N161" s="123"/>
      <c r="O161" s="151">
        <f t="shared" si="13"/>
        <v>3.3173302733867871E-2</v>
      </c>
      <c r="P161" s="123">
        <f>O161*(1+'Key Data'!F$3)</f>
        <v>4.1466628417334839E-2</v>
      </c>
      <c r="Q161" s="414"/>
      <c r="R161" s="414"/>
      <c r="S161" s="141"/>
    </row>
    <row r="162" spans="1:19" s="229" customFormat="1" x14ac:dyDescent="0.3">
      <c r="A162" s="410"/>
      <c r="B162" s="411"/>
      <c r="C162" s="411"/>
      <c r="D162" s="411"/>
      <c r="E162" s="412"/>
      <c r="F162" s="412"/>
      <c r="G162" s="413"/>
      <c r="H162" s="145" t="s">
        <v>357</v>
      </c>
      <c r="I162" s="123"/>
      <c r="J162" s="123"/>
      <c r="K162" s="150">
        <v>30.5</v>
      </c>
      <c r="L162" s="150">
        <f t="shared" si="12"/>
        <v>9.7133757961783438</v>
      </c>
      <c r="M162" s="123"/>
      <c r="N162" s="123"/>
      <c r="O162" s="151">
        <f t="shared" si="13"/>
        <v>3.2252697955696887E-2</v>
      </c>
      <c r="P162" s="123">
        <f>O162*(1+'Key Data'!F$3)</f>
        <v>4.0315872444621106E-2</v>
      </c>
      <c r="Q162" s="414"/>
      <c r="R162" s="414"/>
      <c r="S162" s="141"/>
    </row>
    <row r="163" spans="1:19" s="229" customFormat="1" x14ac:dyDescent="0.3">
      <c r="A163" s="410"/>
      <c r="B163" s="411"/>
      <c r="C163" s="411"/>
      <c r="D163" s="411"/>
      <c r="E163" s="412"/>
      <c r="F163" s="412"/>
      <c r="G163" s="413"/>
      <c r="H163" s="145" t="s">
        <v>357</v>
      </c>
      <c r="I163" s="123"/>
      <c r="J163" s="123"/>
      <c r="K163" s="150">
        <v>26</v>
      </c>
      <c r="L163" s="150">
        <f t="shared" si="12"/>
        <v>8.2802547770700627</v>
      </c>
      <c r="M163" s="123"/>
      <c r="N163" s="123"/>
      <c r="O163" s="151">
        <f t="shared" si="13"/>
        <v>2.2846560544759933E-2</v>
      </c>
      <c r="P163" s="123">
        <f>O163*(1+'Key Data'!F$3)</f>
        <v>2.8558200680949917E-2</v>
      </c>
      <c r="Q163" s="414"/>
      <c r="R163" s="414"/>
      <c r="S163" s="141"/>
    </row>
    <row r="164" spans="1:19" s="229" customFormat="1" x14ac:dyDescent="0.3">
      <c r="A164" s="410"/>
      <c r="B164" s="411"/>
      <c r="C164" s="411"/>
      <c r="D164" s="411"/>
      <c r="E164" s="412"/>
      <c r="F164" s="412"/>
      <c r="G164" s="413"/>
      <c r="H164" s="145" t="s">
        <v>357</v>
      </c>
      <c r="I164" s="123"/>
      <c r="J164" s="123"/>
      <c r="K164" s="150">
        <v>47.8</v>
      </c>
      <c r="L164" s="150">
        <f t="shared" si="12"/>
        <v>15.22292993630573</v>
      </c>
      <c r="M164" s="123"/>
      <c r="N164" s="123"/>
      <c r="O164" s="151">
        <f t="shared" si="13"/>
        <v>8.5122163471451073E-2</v>
      </c>
      <c r="P164" s="123">
        <f>O164*(1+'Key Data'!F$3)</f>
        <v>0.10640270433931384</v>
      </c>
      <c r="Q164" s="414"/>
      <c r="R164" s="414"/>
      <c r="S164" s="141"/>
    </row>
    <row r="165" spans="1:19" s="229" customFormat="1" x14ac:dyDescent="0.3">
      <c r="A165" s="410"/>
      <c r="B165" s="411"/>
      <c r="C165" s="411"/>
      <c r="D165" s="411"/>
      <c r="E165" s="412"/>
      <c r="F165" s="412"/>
      <c r="G165" s="413"/>
      <c r="H165" s="145" t="s">
        <v>357</v>
      </c>
      <c r="I165" s="123"/>
      <c r="J165" s="123"/>
      <c r="K165" s="150">
        <v>40</v>
      </c>
      <c r="L165" s="150">
        <f t="shared" si="12"/>
        <v>12.738853503184712</v>
      </c>
      <c r="M165" s="123"/>
      <c r="N165" s="123"/>
      <c r="O165" s="151">
        <f t="shared" si="13"/>
        <v>5.7933261345517906E-2</v>
      </c>
      <c r="P165" s="123">
        <f>O165*(1+'Key Data'!F$3)</f>
        <v>7.2416576681897382E-2</v>
      </c>
      <c r="Q165" s="414"/>
      <c r="R165" s="414"/>
      <c r="S165" s="141"/>
    </row>
    <row r="166" spans="1:19" s="229" customFormat="1" x14ac:dyDescent="0.3">
      <c r="A166" s="410"/>
      <c r="B166" s="411"/>
      <c r="C166" s="411"/>
      <c r="D166" s="411"/>
      <c r="E166" s="412"/>
      <c r="F166" s="412"/>
      <c r="G166" s="413"/>
      <c r="H166" s="145" t="s">
        <v>357</v>
      </c>
      <c r="I166" s="123"/>
      <c r="J166" s="123"/>
      <c r="K166" s="150">
        <v>43.5</v>
      </c>
      <c r="L166" s="150">
        <f t="shared" si="12"/>
        <v>13.853503184713375</v>
      </c>
      <c r="M166" s="123"/>
      <c r="N166" s="123"/>
      <c r="O166" s="151">
        <f t="shared" si="13"/>
        <v>6.9440876103003452E-2</v>
      </c>
      <c r="P166" s="123">
        <f>O166*(1+'Key Data'!F$3)</f>
        <v>8.6801095128754308E-2</v>
      </c>
      <c r="Q166" s="414"/>
      <c r="R166" s="414"/>
      <c r="S166" s="141"/>
    </row>
    <row r="167" spans="1:19" s="229" customFormat="1" x14ac:dyDescent="0.3">
      <c r="A167" s="410"/>
      <c r="B167" s="411"/>
      <c r="C167" s="411"/>
      <c r="D167" s="411"/>
      <c r="E167" s="412"/>
      <c r="F167" s="412"/>
      <c r="G167" s="413"/>
      <c r="H167" s="145" t="s">
        <v>357</v>
      </c>
      <c r="I167" s="123"/>
      <c r="J167" s="123"/>
      <c r="K167" s="150">
        <v>45</v>
      </c>
      <c r="L167" s="150">
        <f t="shared" si="12"/>
        <v>14.331210191082802</v>
      </c>
      <c r="M167" s="123"/>
      <c r="N167" s="123"/>
      <c r="O167" s="151">
        <f t="shared" si="13"/>
        <v>7.4716655955985117E-2</v>
      </c>
      <c r="P167" s="123">
        <f>O167*(1+'Key Data'!F$3)</f>
        <v>9.339581994498139E-2</v>
      </c>
      <c r="Q167" s="414"/>
      <c r="R167" s="414"/>
      <c r="S167" s="141"/>
    </row>
    <row r="168" spans="1:19" s="229" customFormat="1" x14ac:dyDescent="0.3">
      <c r="A168" s="410"/>
      <c r="B168" s="411"/>
      <c r="C168" s="411"/>
      <c r="D168" s="411"/>
      <c r="E168" s="412"/>
      <c r="F168" s="412"/>
      <c r="G168" s="413"/>
      <c r="H168" s="145" t="s">
        <v>357</v>
      </c>
      <c r="I168" s="123"/>
      <c r="J168" s="123"/>
      <c r="K168" s="150">
        <v>31</v>
      </c>
      <c r="L168" s="150">
        <f t="shared" si="12"/>
        <v>9.872611464968152</v>
      </c>
      <c r="M168" s="123"/>
      <c r="N168" s="123"/>
      <c r="O168" s="151">
        <f t="shared" si="13"/>
        <v>3.3405629121930944E-2</v>
      </c>
      <c r="P168" s="123">
        <f>O168*(1+'Key Data'!F$3)</f>
        <v>4.1757036402413683E-2</v>
      </c>
      <c r="Q168" s="414"/>
      <c r="R168" s="414"/>
      <c r="S168" s="141"/>
    </row>
    <row r="169" spans="1:19" s="229" customFormat="1" x14ac:dyDescent="0.3">
      <c r="A169" s="410"/>
      <c r="B169" s="411"/>
      <c r="C169" s="411"/>
      <c r="D169" s="411"/>
      <c r="E169" s="412"/>
      <c r="F169" s="412"/>
      <c r="G169" s="413"/>
      <c r="H169" s="145" t="s">
        <v>357</v>
      </c>
      <c r="I169" s="123"/>
      <c r="J169" s="123"/>
      <c r="K169" s="150">
        <v>44</v>
      </c>
      <c r="L169" s="150">
        <f t="shared" si="12"/>
        <v>14.012738853503183</v>
      </c>
      <c r="M169" s="123"/>
      <c r="N169" s="123"/>
      <c r="O169" s="151">
        <f t="shared" si="13"/>
        <v>7.1176426131972087E-2</v>
      </c>
      <c r="P169" s="123">
        <f>O169*(1+'Key Data'!F$3)</f>
        <v>8.8970532664965102E-2</v>
      </c>
      <c r="Q169" s="414"/>
      <c r="R169" s="414"/>
      <c r="S169" s="141"/>
    </row>
    <row r="170" spans="1:19" s="229" customFormat="1" x14ac:dyDescent="0.3">
      <c r="A170" s="398">
        <v>4</v>
      </c>
      <c r="B170" s="400" t="s">
        <v>355</v>
      </c>
      <c r="C170" s="400" t="s">
        <v>356</v>
      </c>
      <c r="D170" s="400" t="s">
        <v>452</v>
      </c>
      <c r="E170" s="402">
        <v>27.197821999999999</v>
      </c>
      <c r="F170" s="402">
        <v>94.460183000000001</v>
      </c>
      <c r="G170" s="403">
        <v>2019</v>
      </c>
      <c r="H170" s="147" t="s">
        <v>357</v>
      </c>
      <c r="I170" s="148"/>
      <c r="J170" s="148"/>
      <c r="K170" s="152">
        <v>27</v>
      </c>
      <c r="L170" s="152">
        <f t="shared" si="12"/>
        <v>8.598726114649681</v>
      </c>
      <c r="M170" s="148"/>
      <c r="N170" s="148"/>
      <c r="O170" s="153">
        <f t="shared" si="13"/>
        <v>2.4787009147968091E-2</v>
      </c>
      <c r="P170" s="148">
        <f>O170*(1+'Key Data'!F$3)</f>
        <v>3.0983761434960115E-2</v>
      </c>
      <c r="Q170" s="404">
        <f>SUM(P170:P205)</f>
        <v>0.92295028419064018</v>
      </c>
      <c r="R170" s="404">
        <f>Q170*10000/900</f>
        <v>10.25500315767378</v>
      </c>
      <c r="S170" s="141"/>
    </row>
    <row r="171" spans="1:19" s="229" customFormat="1" x14ac:dyDescent="0.3">
      <c r="A171" s="398"/>
      <c r="B171" s="400"/>
      <c r="C171" s="400"/>
      <c r="D171" s="400"/>
      <c r="E171" s="402"/>
      <c r="F171" s="402"/>
      <c r="G171" s="403"/>
      <c r="H171" s="147" t="s">
        <v>357</v>
      </c>
      <c r="I171" s="148"/>
      <c r="J171" s="148"/>
      <c r="K171" s="152">
        <v>27.1</v>
      </c>
      <c r="L171" s="152">
        <f t="shared" si="12"/>
        <v>8.630573248407643</v>
      </c>
      <c r="M171" s="148"/>
      <c r="N171" s="148"/>
      <c r="O171" s="153">
        <f t="shared" si="13"/>
        <v>2.4985731274571002E-2</v>
      </c>
      <c r="P171" s="148">
        <f>O171*(1+'Key Data'!F$3)</f>
        <v>3.1232164093213752E-2</v>
      </c>
      <c r="Q171" s="404"/>
      <c r="R171" s="404"/>
      <c r="S171" s="141"/>
    </row>
    <row r="172" spans="1:19" s="229" customFormat="1" x14ac:dyDescent="0.3">
      <c r="A172" s="398"/>
      <c r="B172" s="400"/>
      <c r="C172" s="400"/>
      <c r="D172" s="400"/>
      <c r="E172" s="402"/>
      <c r="F172" s="402"/>
      <c r="G172" s="403"/>
      <c r="H172" s="147" t="s">
        <v>357</v>
      </c>
      <c r="I172" s="148"/>
      <c r="J172" s="148"/>
      <c r="K172" s="152">
        <f>SQRT(23^2+22^2)</f>
        <v>31.827660925679098</v>
      </c>
      <c r="L172" s="152">
        <f t="shared" si="12"/>
        <v>10.136197747031559</v>
      </c>
      <c r="M172" s="148"/>
      <c r="N172" s="148"/>
      <c r="O172" s="153">
        <f t="shared" si="13"/>
        <v>3.5361981895066695E-2</v>
      </c>
      <c r="P172" s="148">
        <f>O172*(1+'Key Data'!F$3)</f>
        <v>4.4202477368833371E-2</v>
      </c>
      <c r="Q172" s="404"/>
      <c r="R172" s="404"/>
      <c r="S172" s="141"/>
    </row>
    <row r="173" spans="1:19" s="229" customFormat="1" x14ac:dyDescent="0.3">
      <c r="A173" s="398"/>
      <c r="B173" s="400"/>
      <c r="C173" s="400"/>
      <c r="D173" s="400"/>
      <c r="E173" s="402"/>
      <c r="F173" s="402"/>
      <c r="G173" s="403"/>
      <c r="H173" s="147" t="s">
        <v>357</v>
      </c>
      <c r="I173" s="148"/>
      <c r="J173" s="148"/>
      <c r="K173" s="152">
        <v>29</v>
      </c>
      <c r="L173" s="152">
        <f t="shared" si="12"/>
        <v>9.2356687898089174</v>
      </c>
      <c r="M173" s="148"/>
      <c r="N173" s="148"/>
      <c r="O173" s="153">
        <f t="shared" si="13"/>
        <v>2.8923981290137214E-2</v>
      </c>
      <c r="P173" s="148">
        <f>O173*(1+'Key Data'!F$3)</f>
        <v>3.6154976612671516E-2</v>
      </c>
      <c r="Q173" s="404"/>
      <c r="R173" s="404"/>
      <c r="S173" s="141"/>
    </row>
    <row r="174" spans="1:19" s="229" customFormat="1" x14ac:dyDescent="0.3">
      <c r="A174" s="398"/>
      <c r="B174" s="400"/>
      <c r="C174" s="400"/>
      <c r="D174" s="400"/>
      <c r="E174" s="402"/>
      <c r="F174" s="402"/>
      <c r="G174" s="403"/>
      <c r="H174" s="147" t="s">
        <v>357</v>
      </c>
      <c r="I174" s="148"/>
      <c r="J174" s="148"/>
      <c r="K174" s="152">
        <v>28</v>
      </c>
      <c r="L174" s="152">
        <f t="shared" si="12"/>
        <v>8.9171974522292992</v>
      </c>
      <c r="M174" s="148"/>
      <c r="N174" s="148"/>
      <c r="O174" s="153">
        <f t="shared" si="13"/>
        <v>2.6812650310465352E-2</v>
      </c>
      <c r="P174" s="148">
        <f>O174*(1+'Key Data'!F$3)</f>
        <v>3.3515812888081691E-2</v>
      </c>
      <c r="Q174" s="404"/>
      <c r="R174" s="404"/>
      <c r="S174" s="141"/>
    </row>
    <row r="175" spans="1:19" s="229" customFormat="1" x14ac:dyDescent="0.3">
      <c r="A175" s="398"/>
      <c r="B175" s="400"/>
      <c r="C175" s="400"/>
      <c r="D175" s="400"/>
      <c r="E175" s="402"/>
      <c r="F175" s="402"/>
      <c r="G175" s="403"/>
      <c r="H175" s="147" t="s">
        <v>357</v>
      </c>
      <c r="I175" s="148"/>
      <c r="J175" s="148"/>
      <c r="K175" s="152">
        <f>SQRT(20^2+20^2)</f>
        <v>28.284271247461902</v>
      </c>
      <c r="L175" s="152">
        <f t="shared" si="12"/>
        <v>9.0077296966439171</v>
      </c>
      <c r="M175" s="148"/>
      <c r="N175" s="148"/>
      <c r="O175" s="153">
        <f t="shared" si="13"/>
        <v>2.740410244783981E-2</v>
      </c>
      <c r="P175" s="148">
        <f>O175*(1+'Key Data'!F$3)</f>
        <v>3.4255128059799765E-2</v>
      </c>
      <c r="Q175" s="404"/>
      <c r="R175" s="404"/>
      <c r="S175" s="141"/>
    </row>
    <row r="176" spans="1:19" s="229" customFormat="1" x14ac:dyDescent="0.3">
      <c r="A176" s="398"/>
      <c r="B176" s="400"/>
      <c r="C176" s="400"/>
      <c r="D176" s="400"/>
      <c r="E176" s="402"/>
      <c r="F176" s="402"/>
      <c r="G176" s="403"/>
      <c r="H176" s="147" t="s">
        <v>357</v>
      </c>
      <c r="I176" s="148"/>
      <c r="J176" s="148"/>
      <c r="K176" s="152">
        <f>SQRT(21.3^2+24.4^2)</f>
        <v>32.389041356607024</v>
      </c>
      <c r="L176" s="152">
        <f t="shared" ref="L176:L205" si="14">K176/3.14</f>
        <v>10.314981323760199</v>
      </c>
      <c r="M176" s="148"/>
      <c r="N176" s="148"/>
      <c r="O176" s="153">
        <f t="shared" ref="O176:O205" si="15">((0.18*L176^2.16)*1.32)/1000</f>
        <v>3.6723010736199921E-2</v>
      </c>
      <c r="P176" s="148">
        <f>O176*(1+'Key Data'!F$3)</f>
        <v>4.5903763420249905E-2</v>
      </c>
      <c r="Q176" s="404"/>
      <c r="R176" s="404"/>
      <c r="S176" s="141"/>
    </row>
    <row r="177" spans="1:19" s="229" customFormat="1" x14ac:dyDescent="0.3">
      <c r="A177" s="398"/>
      <c r="B177" s="400"/>
      <c r="C177" s="400"/>
      <c r="D177" s="400"/>
      <c r="E177" s="402"/>
      <c r="F177" s="402"/>
      <c r="G177" s="403"/>
      <c r="H177" s="147" t="s">
        <v>357</v>
      </c>
      <c r="I177" s="148"/>
      <c r="J177" s="148"/>
      <c r="K177" s="152">
        <v>22.2</v>
      </c>
      <c r="L177" s="152">
        <f t="shared" si="14"/>
        <v>7.0700636942675157</v>
      </c>
      <c r="M177" s="148"/>
      <c r="N177" s="148"/>
      <c r="O177" s="153">
        <f t="shared" si="15"/>
        <v>1.624055330496291E-2</v>
      </c>
      <c r="P177" s="148">
        <f>O177*(1+'Key Data'!F$3)</f>
        <v>2.0300691631203637E-2</v>
      </c>
      <c r="Q177" s="404"/>
      <c r="R177" s="404"/>
      <c r="S177" s="141"/>
    </row>
    <row r="178" spans="1:19" s="229" customFormat="1" x14ac:dyDescent="0.3">
      <c r="A178" s="398"/>
      <c r="B178" s="400"/>
      <c r="C178" s="400"/>
      <c r="D178" s="400"/>
      <c r="E178" s="402"/>
      <c r="F178" s="402"/>
      <c r="G178" s="403"/>
      <c r="H178" s="147" t="s">
        <v>357</v>
      </c>
      <c r="I178" s="148"/>
      <c r="J178" s="148"/>
      <c r="K178" s="152">
        <f>SQRT(19.2^2+15.3^2)</f>
        <v>24.550560075077719</v>
      </c>
      <c r="L178" s="152">
        <f t="shared" si="14"/>
        <v>7.818649705438764</v>
      </c>
      <c r="M178" s="148"/>
      <c r="N178" s="148"/>
      <c r="O178" s="153">
        <f t="shared" si="15"/>
        <v>2.018417623572805E-2</v>
      </c>
      <c r="P178" s="148">
        <f>O178*(1+'Key Data'!F$3)</f>
        <v>2.5230220294660061E-2</v>
      </c>
      <c r="Q178" s="404"/>
      <c r="R178" s="404"/>
      <c r="S178" s="141"/>
    </row>
    <row r="179" spans="1:19" s="229" customFormat="1" x14ac:dyDescent="0.3">
      <c r="A179" s="398"/>
      <c r="B179" s="400"/>
      <c r="C179" s="400"/>
      <c r="D179" s="400"/>
      <c r="E179" s="402"/>
      <c r="F179" s="402"/>
      <c r="G179" s="403"/>
      <c r="H179" s="147" t="s">
        <v>357</v>
      </c>
      <c r="I179" s="148"/>
      <c r="J179" s="148"/>
      <c r="K179" s="152">
        <v>20.3</v>
      </c>
      <c r="L179" s="152">
        <f t="shared" si="14"/>
        <v>6.4649681528662422</v>
      </c>
      <c r="M179" s="148"/>
      <c r="N179" s="148"/>
      <c r="O179" s="153">
        <f t="shared" si="15"/>
        <v>1.3386586183946843E-2</v>
      </c>
      <c r="P179" s="148">
        <f>O179*(1+'Key Data'!F$3)</f>
        <v>1.6733232729933552E-2</v>
      </c>
      <c r="Q179" s="404"/>
      <c r="R179" s="404"/>
      <c r="S179" s="141"/>
    </row>
    <row r="180" spans="1:19" s="229" customFormat="1" x14ac:dyDescent="0.3">
      <c r="A180" s="398"/>
      <c r="B180" s="400"/>
      <c r="C180" s="400"/>
      <c r="D180" s="400"/>
      <c r="E180" s="402"/>
      <c r="F180" s="402"/>
      <c r="G180" s="403"/>
      <c r="H180" s="147" t="s">
        <v>357</v>
      </c>
      <c r="I180" s="148"/>
      <c r="J180" s="148"/>
      <c r="K180" s="152">
        <v>23.5</v>
      </c>
      <c r="L180" s="152">
        <f t="shared" si="14"/>
        <v>7.484076433121019</v>
      </c>
      <c r="M180" s="148"/>
      <c r="N180" s="148"/>
      <c r="O180" s="153">
        <f t="shared" si="15"/>
        <v>1.8364748237619584E-2</v>
      </c>
      <c r="P180" s="148">
        <f>O180*(1+'Key Data'!F$3)</f>
        <v>2.2955935297024478E-2</v>
      </c>
      <c r="Q180" s="404"/>
      <c r="R180" s="404"/>
      <c r="S180" s="141"/>
    </row>
    <row r="181" spans="1:19" s="142" customFormat="1" x14ac:dyDescent="0.3">
      <c r="A181" s="398"/>
      <c r="B181" s="400"/>
      <c r="C181" s="400"/>
      <c r="D181" s="400"/>
      <c r="E181" s="402"/>
      <c r="F181" s="402"/>
      <c r="G181" s="403"/>
      <c r="H181" s="147" t="s">
        <v>357</v>
      </c>
      <c r="I181" s="148"/>
      <c r="J181" s="148"/>
      <c r="K181" s="152">
        <v>18</v>
      </c>
      <c r="L181" s="152">
        <f t="shared" si="14"/>
        <v>5.7324840764331206</v>
      </c>
      <c r="M181" s="148"/>
      <c r="N181" s="148"/>
      <c r="O181" s="153">
        <f t="shared" si="15"/>
        <v>1.032445195205826E-2</v>
      </c>
      <c r="P181" s="148">
        <f>O181*(1+'Key Data'!F$3)</f>
        <v>1.2905564940072826E-2</v>
      </c>
      <c r="Q181" s="404"/>
      <c r="R181" s="404"/>
      <c r="S181" s="141"/>
    </row>
    <row r="182" spans="1:19" s="142" customFormat="1" x14ac:dyDescent="0.3">
      <c r="A182" s="398"/>
      <c r="B182" s="400"/>
      <c r="C182" s="400"/>
      <c r="D182" s="400"/>
      <c r="E182" s="402"/>
      <c r="F182" s="402"/>
      <c r="G182" s="403"/>
      <c r="H182" s="147" t="s">
        <v>357</v>
      </c>
      <c r="I182" s="148"/>
      <c r="J182" s="148"/>
      <c r="K182" s="152">
        <v>24.1</v>
      </c>
      <c r="L182" s="152">
        <f t="shared" si="14"/>
        <v>7.6751592356687901</v>
      </c>
      <c r="M182" s="148"/>
      <c r="N182" s="148"/>
      <c r="O182" s="153">
        <f t="shared" si="15"/>
        <v>1.9392562885491831E-2</v>
      </c>
      <c r="P182" s="148">
        <f>O182*(1+'Key Data'!F$3)</f>
        <v>2.424070360686479E-2</v>
      </c>
      <c r="Q182" s="404"/>
      <c r="R182" s="404"/>
      <c r="S182" s="141"/>
    </row>
    <row r="183" spans="1:19" s="142" customFormat="1" x14ac:dyDescent="0.3">
      <c r="A183" s="398"/>
      <c r="B183" s="400"/>
      <c r="C183" s="400"/>
      <c r="D183" s="400"/>
      <c r="E183" s="402"/>
      <c r="F183" s="402"/>
      <c r="G183" s="403"/>
      <c r="H183" s="147" t="s">
        <v>357</v>
      </c>
      <c r="I183" s="148"/>
      <c r="J183" s="148"/>
      <c r="K183" s="152">
        <f>SQRT(17.7^2+19.4^2)</f>
        <v>26.261188091935214</v>
      </c>
      <c r="L183" s="152">
        <f t="shared" si="14"/>
        <v>8.3634356980685389</v>
      </c>
      <c r="M183" s="148"/>
      <c r="N183" s="148"/>
      <c r="O183" s="153">
        <f t="shared" si="15"/>
        <v>2.3345191256543777E-2</v>
      </c>
      <c r="P183" s="148">
        <f>O183*(1+'Key Data'!F$3)</f>
        <v>2.918148907067972E-2</v>
      </c>
      <c r="Q183" s="404"/>
      <c r="R183" s="404"/>
      <c r="S183" s="141"/>
    </row>
    <row r="184" spans="1:19" s="142" customFormat="1" x14ac:dyDescent="0.3">
      <c r="A184" s="398"/>
      <c r="B184" s="400"/>
      <c r="C184" s="400"/>
      <c r="D184" s="400"/>
      <c r="E184" s="402"/>
      <c r="F184" s="402"/>
      <c r="G184" s="403"/>
      <c r="H184" s="147" t="s">
        <v>357</v>
      </c>
      <c r="I184" s="148"/>
      <c r="J184" s="148"/>
      <c r="K184" s="152">
        <v>20.8</v>
      </c>
      <c r="L184" s="152">
        <f t="shared" si="14"/>
        <v>6.6242038216560513</v>
      </c>
      <c r="M184" s="148"/>
      <c r="N184" s="148"/>
      <c r="O184" s="153">
        <f t="shared" si="15"/>
        <v>1.410896642535338E-2</v>
      </c>
      <c r="P184" s="148">
        <f>O184*(1+'Key Data'!F$3)</f>
        <v>1.7636208031691726E-2</v>
      </c>
      <c r="Q184" s="404"/>
      <c r="R184" s="404"/>
      <c r="S184" s="141"/>
    </row>
    <row r="185" spans="1:19" s="142" customFormat="1" x14ac:dyDescent="0.3">
      <c r="A185" s="398"/>
      <c r="B185" s="400"/>
      <c r="C185" s="400"/>
      <c r="D185" s="400"/>
      <c r="E185" s="402"/>
      <c r="F185" s="402"/>
      <c r="G185" s="403"/>
      <c r="H185" s="147" t="s">
        <v>357</v>
      </c>
      <c r="I185" s="148"/>
      <c r="J185" s="148"/>
      <c r="K185" s="152">
        <v>24.5</v>
      </c>
      <c r="L185" s="152">
        <f t="shared" si="14"/>
        <v>7.8025477707006363</v>
      </c>
      <c r="M185" s="148"/>
      <c r="N185" s="148"/>
      <c r="O185" s="153">
        <f t="shared" si="15"/>
        <v>2.0094496961873858E-2</v>
      </c>
      <c r="P185" s="148">
        <f>O185*(1+'Key Data'!F$3)</f>
        <v>2.5118121202342324E-2</v>
      </c>
      <c r="Q185" s="404"/>
      <c r="R185" s="404"/>
      <c r="S185" s="141"/>
    </row>
    <row r="186" spans="1:19" s="142" customFormat="1" x14ac:dyDescent="0.3">
      <c r="A186" s="398"/>
      <c r="B186" s="400"/>
      <c r="C186" s="400"/>
      <c r="D186" s="400"/>
      <c r="E186" s="402"/>
      <c r="F186" s="402"/>
      <c r="G186" s="403"/>
      <c r="H186" s="147" t="s">
        <v>357</v>
      </c>
      <c r="I186" s="148"/>
      <c r="J186" s="148"/>
      <c r="K186" s="152">
        <v>25.8</v>
      </c>
      <c r="L186" s="152">
        <f t="shared" si="14"/>
        <v>8.2165605095541405</v>
      </c>
      <c r="M186" s="148"/>
      <c r="N186" s="148"/>
      <c r="O186" s="153">
        <f t="shared" si="15"/>
        <v>2.2468649077814984E-2</v>
      </c>
      <c r="P186" s="148">
        <f>O186*(1+'Key Data'!F$3)</f>
        <v>2.808581134726873E-2</v>
      </c>
      <c r="Q186" s="404"/>
      <c r="R186" s="404"/>
      <c r="S186" s="143"/>
    </row>
    <row r="187" spans="1:19" s="142" customFormat="1" x14ac:dyDescent="0.3">
      <c r="A187" s="398"/>
      <c r="B187" s="400"/>
      <c r="C187" s="400"/>
      <c r="D187" s="400"/>
      <c r="E187" s="402"/>
      <c r="F187" s="402"/>
      <c r="G187" s="403"/>
      <c r="H187" s="147" t="s">
        <v>357</v>
      </c>
      <c r="I187" s="148"/>
      <c r="J187" s="148"/>
      <c r="K187" s="152">
        <v>21.3</v>
      </c>
      <c r="L187" s="152">
        <f t="shared" si="14"/>
        <v>6.7834394904458595</v>
      </c>
      <c r="M187" s="148"/>
      <c r="N187" s="148"/>
      <c r="O187" s="153">
        <f t="shared" si="15"/>
        <v>1.4851774272541687E-2</v>
      </c>
      <c r="P187" s="148">
        <f>O187*(1+'Key Data'!F$3)</f>
        <v>1.8564717840677109E-2</v>
      </c>
      <c r="Q187" s="404"/>
      <c r="R187" s="404"/>
      <c r="S187" s="143"/>
    </row>
    <row r="188" spans="1:19" s="142" customFormat="1" x14ac:dyDescent="0.3">
      <c r="A188" s="398"/>
      <c r="B188" s="400"/>
      <c r="C188" s="400"/>
      <c r="D188" s="400"/>
      <c r="E188" s="402"/>
      <c r="F188" s="402"/>
      <c r="G188" s="403"/>
      <c r="H188" s="147" t="s">
        <v>357</v>
      </c>
      <c r="I188" s="148"/>
      <c r="J188" s="148"/>
      <c r="K188" s="152">
        <v>31.4</v>
      </c>
      <c r="L188" s="152">
        <f t="shared" si="14"/>
        <v>10</v>
      </c>
      <c r="M188" s="148"/>
      <c r="N188" s="148"/>
      <c r="O188" s="153">
        <f t="shared" si="15"/>
        <v>3.4343648952923259E-2</v>
      </c>
      <c r="P188" s="148">
        <f>O188*(1+'Key Data'!F$3)</f>
        <v>4.292956119115407E-2</v>
      </c>
      <c r="Q188" s="404"/>
      <c r="R188" s="404"/>
      <c r="S188" s="143"/>
    </row>
    <row r="189" spans="1:19" s="142" customFormat="1" x14ac:dyDescent="0.3">
      <c r="A189" s="398"/>
      <c r="B189" s="400"/>
      <c r="C189" s="400"/>
      <c r="D189" s="400"/>
      <c r="E189" s="402"/>
      <c r="F189" s="402"/>
      <c r="G189" s="403"/>
      <c r="H189" s="147" t="s">
        <v>357</v>
      </c>
      <c r="I189" s="148"/>
      <c r="J189" s="148"/>
      <c r="K189" s="152">
        <v>29.5</v>
      </c>
      <c r="L189" s="152">
        <f t="shared" si="14"/>
        <v>9.3949044585987256</v>
      </c>
      <c r="M189" s="148"/>
      <c r="N189" s="148"/>
      <c r="O189" s="153">
        <f t="shared" si="15"/>
        <v>3.0011931807477122E-2</v>
      </c>
      <c r="P189" s="148">
        <f>O189*(1+'Key Data'!F$3)</f>
        <v>3.7514914759346402E-2</v>
      </c>
      <c r="Q189" s="404"/>
      <c r="R189" s="404"/>
      <c r="S189" s="143"/>
    </row>
    <row r="190" spans="1:19" s="142" customFormat="1" x14ac:dyDescent="0.3">
      <c r="A190" s="398"/>
      <c r="B190" s="400"/>
      <c r="C190" s="400"/>
      <c r="D190" s="400"/>
      <c r="E190" s="402"/>
      <c r="F190" s="402"/>
      <c r="G190" s="403"/>
      <c r="H190" s="147" t="s">
        <v>357</v>
      </c>
      <c r="I190" s="148"/>
      <c r="J190" s="148"/>
      <c r="K190" s="152">
        <v>32</v>
      </c>
      <c r="L190" s="152">
        <f t="shared" si="14"/>
        <v>10.19108280254777</v>
      </c>
      <c r="M190" s="148"/>
      <c r="N190" s="148"/>
      <c r="O190" s="153">
        <f t="shared" si="15"/>
        <v>3.5776870554925115E-2</v>
      </c>
      <c r="P190" s="148">
        <f>O190*(1+'Key Data'!F$3)</f>
        <v>4.4721088193656396E-2</v>
      </c>
      <c r="Q190" s="404"/>
      <c r="R190" s="404"/>
      <c r="S190" s="143"/>
    </row>
    <row r="191" spans="1:19" s="142" customFormat="1" x14ac:dyDescent="0.3">
      <c r="A191" s="398"/>
      <c r="B191" s="400"/>
      <c r="C191" s="400"/>
      <c r="D191" s="400"/>
      <c r="E191" s="402"/>
      <c r="F191" s="402"/>
      <c r="G191" s="403"/>
      <c r="H191" s="147" t="s">
        <v>357</v>
      </c>
      <c r="I191" s="148"/>
      <c r="J191" s="148"/>
      <c r="K191" s="152">
        <v>24.5</v>
      </c>
      <c r="L191" s="152">
        <f t="shared" si="14"/>
        <v>7.8025477707006363</v>
      </c>
      <c r="M191" s="148"/>
      <c r="N191" s="148"/>
      <c r="O191" s="153">
        <f t="shared" si="15"/>
        <v>2.0094496961873858E-2</v>
      </c>
      <c r="P191" s="148">
        <f>O191*(1+'Key Data'!F$3)</f>
        <v>2.5118121202342324E-2</v>
      </c>
      <c r="Q191" s="404"/>
      <c r="R191" s="404"/>
      <c r="S191" s="143"/>
    </row>
    <row r="192" spans="1:19" s="142" customFormat="1" x14ac:dyDescent="0.3">
      <c r="A192" s="398"/>
      <c r="B192" s="400"/>
      <c r="C192" s="400"/>
      <c r="D192" s="400"/>
      <c r="E192" s="402"/>
      <c r="F192" s="402"/>
      <c r="G192" s="403"/>
      <c r="H192" s="147" t="s">
        <v>357</v>
      </c>
      <c r="I192" s="148"/>
      <c r="J192" s="148"/>
      <c r="K192" s="152">
        <f>SQRT(16.2^2+18.1^2)</f>
        <v>24.290944814889354</v>
      </c>
      <c r="L192" s="152">
        <f t="shared" si="14"/>
        <v>7.7359696862704945</v>
      </c>
      <c r="M192" s="148"/>
      <c r="N192" s="148"/>
      <c r="O192" s="153">
        <f t="shared" si="15"/>
        <v>1.9725967640401354E-2</v>
      </c>
      <c r="P192" s="148">
        <f>O192*(1+'Key Data'!F$3)</f>
        <v>2.4657459550501692E-2</v>
      </c>
      <c r="Q192" s="404"/>
      <c r="R192" s="404"/>
      <c r="S192" s="143"/>
    </row>
    <row r="193" spans="1:19" s="142" customFormat="1" x14ac:dyDescent="0.3">
      <c r="A193" s="398"/>
      <c r="B193" s="400"/>
      <c r="C193" s="400"/>
      <c r="D193" s="400"/>
      <c r="E193" s="402"/>
      <c r="F193" s="402"/>
      <c r="G193" s="403"/>
      <c r="H193" s="147" t="s">
        <v>357</v>
      </c>
      <c r="I193" s="148"/>
      <c r="J193" s="148"/>
      <c r="K193" s="152">
        <v>23.8</v>
      </c>
      <c r="L193" s="152">
        <f t="shared" si="14"/>
        <v>7.5796178343949041</v>
      </c>
      <c r="M193" s="148"/>
      <c r="N193" s="148"/>
      <c r="O193" s="153">
        <f t="shared" si="15"/>
        <v>1.8874898449129582E-2</v>
      </c>
      <c r="P193" s="148">
        <f>O193*(1+'Key Data'!F$3)</f>
        <v>2.3593623061411977E-2</v>
      </c>
      <c r="Q193" s="404"/>
      <c r="R193" s="404"/>
      <c r="S193" s="143"/>
    </row>
    <row r="194" spans="1:19" s="142" customFormat="1" x14ac:dyDescent="0.3">
      <c r="A194" s="398"/>
      <c r="B194" s="400"/>
      <c r="C194" s="400"/>
      <c r="D194" s="400"/>
      <c r="E194" s="402"/>
      <c r="F194" s="402"/>
      <c r="G194" s="403"/>
      <c r="H194" s="147" t="s">
        <v>357</v>
      </c>
      <c r="I194" s="148"/>
      <c r="J194" s="148"/>
      <c r="K194" s="152">
        <v>24</v>
      </c>
      <c r="L194" s="152">
        <f t="shared" si="14"/>
        <v>7.6433121019108281</v>
      </c>
      <c r="M194" s="148"/>
      <c r="N194" s="148"/>
      <c r="O194" s="153">
        <f t="shared" si="15"/>
        <v>1.9219172225653537E-2</v>
      </c>
      <c r="P194" s="148">
        <f>O194*(1+'Key Data'!F$3)</f>
        <v>2.402396528206692E-2</v>
      </c>
      <c r="Q194" s="404"/>
      <c r="R194" s="404"/>
      <c r="S194" s="143"/>
    </row>
    <row r="195" spans="1:19" s="142" customFormat="1" x14ac:dyDescent="0.3">
      <c r="A195" s="398"/>
      <c r="B195" s="400"/>
      <c r="C195" s="400"/>
      <c r="D195" s="400"/>
      <c r="E195" s="402"/>
      <c r="F195" s="402"/>
      <c r="G195" s="403"/>
      <c r="H195" s="147" t="s">
        <v>357</v>
      </c>
      <c r="I195" s="148"/>
      <c r="J195" s="148"/>
      <c r="K195" s="152">
        <v>22.8</v>
      </c>
      <c r="L195" s="152">
        <f t="shared" si="14"/>
        <v>7.2611464968152868</v>
      </c>
      <c r="M195" s="148"/>
      <c r="N195" s="148"/>
      <c r="O195" s="153">
        <f t="shared" si="15"/>
        <v>1.7203533836955848E-2</v>
      </c>
      <c r="P195" s="148">
        <f>O195*(1+'Key Data'!F$3)</f>
        <v>2.150441729619481E-2</v>
      </c>
      <c r="Q195" s="404"/>
      <c r="R195" s="404"/>
      <c r="S195" s="143"/>
    </row>
    <row r="196" spans="1:19" s="142" customFormat="1" x14ac:dyDescent="0.3">
      <c r="A196" s="398"/>
      <c r="B196" s="400"/>
      <c r="C196" s="400"/>
      <c r="D196" s="400"/>
      <c r="E196" s="402"/>
      <c r="F196" s="402"/>
      <c r="G196" s="403"/>
      <c r="H196" s="147" t="s">
        <v>357</v>
      </c>
      <c r="I196" s="148"/>
      <c r="J196" s="148"/>
      <c r="K196" s="152">
        <v>22.8</v>
      </c>
      <c r="L196" s="152">
        <f t="shared" si="14"/>
        <v>7.2611464968152868</v>
      </c>
      <c r="M196" s="148"/>
      <c r="N196" s="148"/>
      <c r="O196" s="153">
        <f t="shared" si="15"/>
        <v>1.7203533836955848E-2</v>
      </c>
      <c r="P196" s="148">
        <f>O196*(1+'Key Data'!F$3)</f>
        <v>2.150441729619481E-2</v>
      </c>
      <c r="Q196" s="404"/>
      <c r="R196" s="404"/>
      <c r="S196" s="143"/>
    </row>
    <row r="197" spans="1:19" s="142" customFormat="1" x14ac:dyDescent="0.3">
      <c r="A197" s="398"/>
      <c r="B197" s="400"/>
      <c r="C197" s="400"/>
      <c r="D197" s="400"/>
      <c r="E197" s="402"/>
      <c r="F197" s="402"/>
      <c r="G197" s="403"/>
      <c r="H197" s="147" t="s">
        <v>357</v>
      </c>
      <c r="I197" s="148"/>
      <c r="J197" s="148"/>
      <c r="K197" s="152">
        <v>22.5</v>
      </c>
      <c r="L197" s="152">
        <f t="shared" si="14"/>
        <v>7.1656050955414008</v>
      </c>
      <c r="M197" s="148"/>
      <c r="N197" s="148"/>
      <c r="O197" s="153">
        <f t="shared" si="15"/>
        <v>1.671832007412662E-2</v>
      </c>
      <c r="P197" s="148">
        <f>O197*(1+'Key Data'!F$3)</f>
        <v>2.0897900092658274E-2</v>
      </c>
      <c r="Q197" s="404"/>
      <c r="R197" s="404"/>
      <c r="S197" s="143"/>
    </row>
    <row r="198" spans="1:19" s="142" customFormat="1" x14ac:dyDescent="0.3">
      <c r="A198" s="398"/>
      <c r="B198" s="400"/>
      <c r="C198" s="400"/>
      <c r="D198" s="400"/>
      <c r="E198" s="402"/>
      <c r="F198" s="402"/>
      <c r="G198" s="403"/>
      <c r="H198" s="147" t="s">
        <v>357</v>
      </c>
      <c r="I198" s="148"/>
      <c r="J198" s="148"/>
      <c r="K198" s="152">
        <f>SQRT(16^2+21^2)</f>
        <v>26.40075756488817</v>
      </c>
      <c r="L198" s="152">
        <f t="shared" si="14"/>
        <v>8.4078845748051503</v>
      </c>
      <c r="M198" s="148"/>
      <c r="N198" s="148"/>
      <c r="O198" s="153">
        <f t="shared" si="15"/>
        <v>2.3614012936112885E-2</v>
      </c>
      <c r="P198" s="148">
        <f>O198*(1+'Key Data'!F$3)</f>
        <v>2.9517516170141107E-2</v>
      </c>
      <c r="Q198" s="404"/>
      <c r="R198" s="404"/>
      <c r="S198" s="143"/>
    </row>
    <row r="199" spans="1:19" s="142" customFormat="1" x14ac:dyDescent="0.3">
      <c r="A199" s="398"/>
      <c r="B199" s="400"/>
      <c r="C199" s="400"/>
      <c r="D199" s="400"/>
      <c r="E199" s="402"/>
      <c r="F199" s="402"/>
      <c r="G199" s="403"/>
      <c r="H199" s="147" t="s">
        <v>357</v>
      </c>
      <c r="I199" s="148"/>
      <c r="J199" s="148"/>
      <c r="K199" s="152">
        <f>SQRT(23.5^2+20.2^2)</f>
        <v>30.988546271162832</v>
      </c>
      <c r="L199" s="152">
        <f t="shared" si="14"/>
        <v>9.8689637806251049</v>
      </c>
      <c r="M199" s="148"/>
      <c r="N199" s="148"/>
      <c r="O199" s="153">
        <f t="shared" si="15"/>
        <v>3.3378974929175791E-2</v>
      </c>
      <c r="P199" s="148">
        <f>O199*(1+'Key Data'!F$3)</f>
        <v>4.172371866146974E-2</v>
      </c>
      <c r="Q199" s="404"/>
      <c r="R199" s="404"/>
      <c r="S199" s="143"/>
    </row>
    <row r="200" spans="1:19" s="142" customFormat="1" x14ac:dyDescent="0.3">
      <c r="A200" s="398"/>
      <c r="B200" s="400"/>
      <c r="C200" s="400"/>
      <c r="D200" s="400"/>
      <c r="E200" s="402"/>
      <c r="F200" s="402"/>
      <c r="G200" s="403"/>
      <c r="H200" s="147" t="s">
        <v>357</v>
      </c>
      <c r="I200" s="148"/>
      <c r="J200" s="148"/>
      <c r="K200" s="152">
        <v>19.5</v>
      </c>
      <c r="L200" s="152">
        <f t="shared" si="14"/>
        <v>6.2101910828025479</v>
      </c>
      <c r="M200" s="148"/>
      <c r="N200" s="148"/>
      <c r="O200" s="153">
        <f t="shared" si="15"/>
        <v>1.2273068467502273E-2</v>
      </c>
      <c r="P200" s="148">
        <f>O200*(1+'Key Data'!F$3)</f>
        <v>1.5341335584377841E-2</v>
      </c>
      <c r="Q200" s="404"/>
      <c r="R200" s="404"/>
      <c r="S200" s="143"/>
    </row>
    <row r="201" spans="1:19" s="142" customFormat="1" x14ac:dyDescent="0.3">
      <c r="A201" s="398"/>
      <c r="B201" s="400"/>
      <c r="C201" s="400"/>
      <c r="D201" s="400"/>
      <c r="E201" s="402"/>
      <c r="F201" s="402"/>
      <c r="G201" s="403"/>
      <c r="H201" s="147" t="s">
        <v>357</v>
      </c>
      <c r="I201" s="148"/>
      <c r="J201" s="148"/>
      <c r="K201" s="152">
        <v>15.9</v>
      </c>
      <c r="L201" s="152">
        <f t="shared" si="14"/>
        <v>5.0636942675159231</v>
      </c>
      <c r="M201" s="148"/>
      <c r="N201" s="148"/>
      <c r="O201" s="153">
        <f t="shared" si="15"/>
        <v>7.8976191182058026E-3</v>
      </c>
      <c r="P201" s="148">
        <f>O201*(1+'Key Data'!F$3)</f>
        <v>9.8720238977572528E-3</v>
      </c>
      <c r="Q201" s="404"/>
      <c r="R201" s="404"/>
      <c r="S201" s="143"/>
    </row>
    <row r="202" spans="1:19" s="142" customFormat="1" x14ac:dyDescent="0.3">
      <c r="A202" s="398"/>
      <c r="B202" s="400"/>
      <c r="C202" s="400"/>
      <c r="D202" s="400"/>
      <c r="E202" s="402"/>
      <c r="F202" s="402"/>
      <c r="G202" s="403"/>
      <c r="H202" s="147" t="s">
        <v>357</v>
      </c>
      <c r="I202" s="148"/>
      <c r="J202" s="148"/>
      <c r="K202" s="152">
        <v>15.8</v>
      </c>
      <c r="L202" s="152">
        <f t="shared" si="14"/>
        <v>5.031847133757962</v>
      </c>
      <c r="M202" s="148"/>
      <c r="N202" s="148"/>
      <c r="O202" s="153">
        <f t="shared" si="15"/>
        <v>7.7907219426230764E-3</v>
      </c>
      <c r="P202" s="148">
        <f>O202*(1+'Key Data'!F$3)</f>
        <v>9.7384024282788448E-3</v>
      </c>
      <c r="Q202" s="404"/>
      <c r="R202" s="404"/>
      <c r="S202" s="143"/>
    </row>
    <row r="203" spans="1:19" s="142" customFormat="1" x14ac:dyDescent="0.3">
      <c r="A203" s="398"/>
      <c r="B203" s="400"/>
      <c r="C203" s="400"/>
      <c r="D203" s="400"/>
      <c r="E203" s="402"/>
      <c r="F203" s="402"/>
      <c r="G203" s="403"/>
      <c r="H203" s="147" t="s">
        <v>357</v>
      </c>
      <c r="I203" s="148"/>
      <c r="J203" s="148"/>
      <c r="K203" s="152">
        <v>19.5</v>
      </c>
      <c r="L203" s="152">
        <f t="shared" si="14"/>
        <v>6.2101910828025479</v>
      </c>
      <c r="M203" s="148"/>
      <c r="N203" s="148"/>
      <c r="O203" s="153">
        <f t="shared" si="15"/>
        <v>1.2273068467502273E-2</v>
      </c>
      <c r="P203" s="148">
        <f>O203*(1+'Key Data'!F$3)</f>
        <v>1.5341335584377841E-2</v>
      </c>
      <c r="Q203" s="404"/>
      <c r="R203" s="404"/>
      <c r="S203" s="143"/>
    </row>
    <row r="204" spans="1:19" s="142" customFormat="1" x14ac:dyDescent="0.3">
      <c r="A204" s="398"/>
      <c r="B204" s="400"/>
      <c r="C204" s="400"/>
      <c r="D204" s="400"/>
      <c r="E204" s="402"/>
      <c r="F204" s="402"/>
      <c r="G204" s="403"/>
      <c r="H204" s="147" t="s">
        <v>357</v>
      </c>
      <c r="I204" s="148"/>
      <c r="J204" s="148"/>
      <c r="K204" s="152">
        <v>9.5</v>
      </c>
      <c r="L204" s="152">
        <f t="shared" si="14"/>
        <v>3.0254777070063694</v>
      </c>
      <c r="M204" s="148"/>
      <c r="N204" s="148"/>
      <c r="O204" s="153">
        <f t="shared" si="15"/>
        <v>2.5963389216849572E-3</v>
      </c>
      <c r="P204" s="148">
        <f>O204*(1+'Key Data'!F$3)</f>
        <v>3.2454236521061966E-3</v>
      </c>
      <c r="Q204" s="404"/>
      <c r="R204" s="404"/>
      <c r="S204" s="143"/>
    </row>
    <row r="205" spans="1:19" s="142" customFormat="1" x14ac:dyDescent="0.3">
      <c r="A205" s="398"/>
      <c r="B205" s="400"/>
      <c r="C205" s="400"/>
      <c r="D205" s="400"/>
      <c r="E205" s="402"/>
      <c r="F205" s="402"/>
      <c r="G205" s="403"/>
      <c r="H205" s="147" t="s">
        <v>357</v>
      </c>
      <c r="I205" s="148"/>
      <c r="J205" s="148"/>
      <c r="K205" s="152">
        <v>19</v>
      </c>
      <c r="L205" s="152">
        <f t="shared" si="14"/>
        <v>6.0509554140127388</v>
      </c>
      <c r="M205" s="148"/>
      <c r="N205" s="148"/>
      <c r="O205" s="153">
        <f t="shared" si="15"/>
        <v>1.1603424333099601E-2</v>
      </c>
      <c r="P205" s="148">
        <f>O205*(1+'Key Data'!F$3)</f>
        <v>1.4504280416374502E-2</v>
      </c>
      <c r="Q205" s="404"/>
      <c r="R205" s="404"/>
      <c r="S205" s="143"/>
    </row>
    <row r="206" spans="1:19" s="115" customFormat="1" x14ac:dyDescent="0.3">
      <c r="I206" s="154"/>
      <c r="J206" s="154"/>
      <c r="K206" s="154"/>
      <c r="L206" s="154"/>
      <c r="M206" s="154"/>
      <c r="N206" s="155"/>
      <c r="O206" s="155"/>
      <c r="P206" s="155"/>
      <c r="Q206" s="144"/>
      <c r="R206" s="144"/>
      <c r="S206" s="144"/>
    </row>
    <row r="207" spans="1:19" s="115" customFormat="1" x14ac:dyDescent="0.3">
      <c r="I207" s="154"/>
      <c r="J207" s="154"/>
      <c r="K207" s="154"/>
      <c r="L207" s="154"/>
      <c r="M207" s="154"/>
      <c r="N207" s="155"/>
      <c r="O207" s="155"/>
      <c r="P207" s="155"/>
      <c r="Q207" s="144"/>
      <c r="R207" s="144"/>
      <c r="S207" s="144"/>
    </row>
    <row r="208" spans="1:19" s="115" customFormat="1" x14ac:dyDescent="0.3">
      <c r="I208" s="154"/>
      <c r="J208" s="154"/>
      <c r="K208" s="154"/>
      <c r="L208" s="154"/>
      <c r="M208" s="154"/>
      <c r="N208" s="155"/>
      <c r="O208" s="155"/>
      <c r="P208" s="155"/>
      <c r="Q208" s="144"/>
      <c r="R208" s="144"/>
      <c r="S208" s="144"/>
    </row>
    <row r="209" spans="9:19" s="115" customFormat="1" x14ac:dyDescent="0.3">
      <c r="I209" s="154"/>
      <c r="J209" s="154"/>
      <c r="K209" s="154"/>
      <c r="L209" s="154"/>
      <c r="M209" s="154"/>
      <c r="N209" s="155"/>
      <c r="O209" s="155"/>
      <c r="P209" s="155"/>
      <c r="Q209" s="144"/>
      <c r="R209" s="144"/>
      <c r="S209" s="144"/>
    </row>
    <row r="210" spans="9:19" s="115" customFormat="1" x14ac:dyDescent="0.3">
      <c r="I210" s="154"/>
      <c r="J210" s="154"/>
      <c r="K210" s="154"/>
      <c r="L210" s="154"/>
      <c r="M210" s="154"/>
      <c r="N210" s="155"/>
      <c r="O210" s="155"/>
      <c r="P210" s="155"/>
      <c r="Q210" s="144"/>
      <c r="R210" s="144"/>
      <c r="S210" s="144"/>
    </row>
    <row r="211" spans="9:19" s="115" customFormat="1" x14ac:dyDescent="0.3">
      <c r="I211" s="154"/>
      <c r="J211" s="154"/>
      <c r="K211" s="154"/>
      <c r="L211" s="154"/>
      <c r="M211" s="154"/>
      <c r="N211" s="155"/>
      <c r="O211" s="155"/>
      <c r="P211" s="155"/>
      <c r="Q211" s="144"/>
      <c r="R211" s="144"/>
      <c r="S211" s="144"/>
    </row>
  </sheetData>
  <autoFilter ref="H1:H211" xr:uid="{1D2FA18F-F93D-4A76-928C-4D391C7D8630}"/>
  <mergeCells count="34">
    <mergeCell ref="Q170:Q205"/>
    <mergeCell ref="R170:R205"/>
    <mergeCell ref="G144:G169"/>
    <mergeCell ref="Q144:Q169"/>
    <mergeCell ref="R144:R169"/>
    <mergeCell ref="F170:F205"/>
    <mergeCell ref="G170:G205"/>
    <mergeCell ref="A144:A169"/>
    <mergeCell ref="B144:B169"/>
    <mergeCell ref="C144:C169"/>
    <mergeCell ref="D144:D169"/>
    <mergeCell ref="E144:E169"/>
    <mergeCell ref="F144:F169"/>
    <mergeCell ref="A170:A205"/>
    <mergeCell ref="B170:B205"/>
    <mergeCell ref="C170:C205"/>
    <mergeCell ref="D170:D205"/>
    <mergeCell ref="E170:E205"/>
    <mergeCell ref="R2:R124"/>
    <mergeCell ref="A125:A143"/>
    <mergeCell ref="B125:B143"/>
    <mergeCell ref="C125:C143"/>
    <mergeCell ref="D125:D143"/>
    <mergeCell ref="E125:E143"/>
    <mergeCell ref="F125:F143"/>
    <mergeCell ref="G125:G143"/>
    <mergeCell ref="Q125:Q143"/>
    <mergeCell ref="R125:R143"/>
    <mergeCell ref="A2:A124"/>
    <mergeCell ref="B2:B124"/>
    <mergeCell ref="C2:C124"/>
    <mergeCell ref="D2:D124"/>
    <mergeCell ref="G2:G124"/>
    <mergeCell ref="Q2:Q1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864C-F326-4CF7-AEF5-C7B8BA5603C4}">
  <dimension ref="A1:S132"/>
  <sheetViews>
    <sheetView topLeftCell="K1" zoomScaleNormal="100" workbookViewId="0">
      <pane ySplit="1" topLeftCell="A130" activePane="bottomLeft" state="frozen"/>
      <selection activeCell="H1" sqref="H1"/>
      <selection pane="bottomLeft" activeCell="S2" sqref="S2:S131"/>
    </sheetView>
  </sheetViews>
  <sheetFormatPr defaultColWidth="19.5546875" defaultRowHeight="14.4" x14ac:dyDescent="0.3"/>
  <cols>
    <col min="1" max="1" width="5.109375" style="66" bestFit="1" customWidth="1"/>
    <col min="2" max="2" width="34.88671875" style="66" bestFit="1" customWidth="1"/>
    <col min="3" max="3" width="11.33203125" style="66" customWidth="1"/>
    <col min="4" max="4" width="14.44140625" style="66" bestFit="1" customWidth="1"/>
    <col min="5" max="5" width="13.44140625" style="66" bestFit="1" customWidth="1"/>
    <col min="6" max="6" width="13.6640625" style="66" bestFit="1" customWidth="1"/>
    <col min="7" max="7" width="12.44140625" style="66" customWidth="1"/>
    <col min="8" max="8" width="14.6640625" style="44" bestFit="1" customWidth="1"/>
    <col min="9" max="9" width="7" style="74" customWidth="1"/>
    <col min="10" max="10" width="8.5546875" style="74" customWidth="1"/>
    <col min="11" max="11" width="7.33203125" style="74" customWidth="1"/>
    <col min="12" max="12" width="7.6640625" style="74" customWidth="1"/>
    <col min="13" max="13" width="7.109375" style="74" customWidth="1"/>
    <col min="14" max="14" width="10.44140625" style="74" customWidth="1"/>
    <col min="15" max="15" width="15.109375" style="76" bestFit="1" customWidth="1"/>
    <col min="16" max="16" width="14.5546875" style="76" bestFit="1" customWidth="1"/>
    <col min="17" max="19" width="14.33203125" style="166" customWidth="1"/>
    <col min="20" max="16384" width="19.5546875" style="66"/>
  </cols>
  <sheetData>
    <row r="1" spans="1:19" s="68" customFormat="1" ht="45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208" t="s">
        <v>546</v>
      </c>
      <c r="R1" s="208" t="s">
        <v>370</v>
      </c>
      <c r="S1" s="208" t="s">
        <v>361</v>
      </c>
    </row>
    <row r="2" spans="1:19" x14ac:dyDescent="0.3">
      <c r="A2" s="367">
        <v>1</v>
      </c>
      <c r="B2" s="367" t="s">
        <v>419</v>
      </c>
      <c r="C2" s="367" t="s">
        <v>272</v>
      </c>
      <c r="D2" s="367" t="s">
        <v>270</v>
      </c>
      <c r="E2" s="367">
        <v>14.414258</v>
      </c>
      <c r="F2" s="367">
        <v>77.917749999999998</v>
      </c>
      <c r="G2" s="367">
        <v>2023</v>
      </c>
      <c r="H2" s="94" t="s">
        <v>367</v>
      </c>
      <c r="I2" s="162">
        <v>20.5</v>
      </c>
      <c r="J2" s="162">
        <f t="shared" ref="J2:J37" si="0">I2/3.14</f>
        <v>6.5286624203821653</v>
      </c>
      <c r="K2" s="162"/>
      <c r="L2" s="162"/>
      <c r="M2" s="162"/>
      <c r="N2" s="131">
        <f t="shared" ref="N2:N37" si="1">3.14*J2/2*J2/2</f>
        <v>33.459394904458598</v>
      </c>
      <c r="O2" s="131">
        <f>(10^(-0.535+LOG10(N2)))/1000</f>
        <v>9.76153425664005E-3</v>
      </c>
      <c r="P2" s="131">
        <f>O2*(1+'Key Data'!F$3)</f>
        <v>1.2201917820800063E-2</v>
      </c>
      <c r="Q2" s="366">
        <f>SUM(P2:P37)</f>
        <v>0.36000346708131287</v>
      </c>
      <c r="R2" s="366">
        <f>Q2*10000/900</f>
        <v>4.0000385231256983</v>
      </c>
      <c r="S2" s="368">
        <f>AVERAGE(R2:R131)</f>
        <v>13.265357996958214</v>
      </c>
    </row>
    <row r="3" spans="1:19" x14ac:dyDescent="0.3">
      <c r="A3" s="367"/>
      <c r="B3" s="367"/>
      <c r="C3" s="367"/>
      <c r="D3" s="367"/>
      <c r="E3" s="367"/>
      <c r="F3" s="367"/>
      <c r="G3" s="367"/>
      <c r="H3" s="94" t="s">
        <v>367</v>
      </c>
      <c r="I3" s="162">
        <v>23</v>
      </c>
      <c r="J3" s="162">
        <f t="shared" si="0"/>
        <v>7.3248407643312099</v>
      </c>
      <c r="K3" s="162"/>
      <c r="L3" s="162"/>
      <c r="M3" s="162"/>
      <c r="N3" s="131">
        <f t="shared" si="1"/>
        <v>42.117834394904456</v>
      </c>
      <c r="O3" s="131">
        <f t="shared" ref="O3:O37" si="2">(10^(-0.535+LOG10(N3)))/1000</f>
        <v>1.2287570783492173E-2</v>
      </c>
      <c r="P3" s="131">
        <f>O3*(1+'Key Data'!F$3)</f>
        <v>1.5359463479365216E-2</v>
      </c>
      <c r="Q3" s="366"/>
      <c r="R3" s="366"/>
      <c r="S3" s="369"/>
    </row>
    <row r="4" spans="1:19" x14ac:dyDescent="0.3">
      <c r="A4" s="367"/>
      <c r="B4" s="367"/>
      <c r="C4" s="367"/>
      <c r="D4" s="367"/>
      <c r="E4" s="367"/>
      <c r="F4" s="367"/>
      <c r="G4" s="367"/>
      <c r="H4" s="94" t="s">
        <v>367</v>
      </c>
      <c r="I4" s="162">
        <v>21.2</v>
      </c>
      <c r="J4" s="162">
        <f t="shared" si="0"/>
        <v>6.7515923566878975</v>
      </c>
      <c r="K4" s="162"/>
      <c r="L4" s="162"/>
      <c r="M4" s="162"/>
      <c r="N4" s="131">
        <f t="shared" si="1"/>
        <v>35.783439490445858</v>
      </c>
      <c r="O4" s="131">
        <f t="shared" si="2"/>
        <v>1.0439557302330291E-2</v>
      </c>
      <c r="P4" s="131">
        <f>O4*(1+'Key Data'!F$3)</f>
        <v>1.3049446627912863E-2</v>
      </c>
      <c r="Q4" s="366"/>
      <c r="R4" s="366"/>
      <c r="S4" s="369"/>
    </row>
    <row r="5" spans="1:19" x14ac:dyDescent="0.3">
      <c r="A5" s="367"/>
      <c r="B5" s="367"/>
      <c r="C5" s="367"/>
      <c r="D5" s="367"/>
      <c r="E5" s="367"/>
      <c r="F5" s="367"/>
      <c r="G5" s="367"/>
      <c r="H5" s="94" t="s">
        <v>367</v>
      </c>
      <c r="I5" s="162">
        <v>17</v>
      </c>
      <c r="J5" s="162">
        <f t="shared" si="0"/>
        <v>5.4140127388535033</v>
      </c>
      <c r="K5" s="162"/>
      <c r="L5" s="162"/>
      <c r="M5" s="162"/>
      <c r="N5" s="131">
        <f t="shared" si="1"/>
        <v>23.009554140127388</v>
      </c>
      <c r="O5" s="131">
        <f t="shared" si="2"/>
        <v>6.7128694828530022E-3</v>
      </c>
      <c r="P5" s="131">
        <f>O5*(1+'Key Data'!F$3)</f>
        <v>8.3910868535662531E-3</v>
      </c>
      <c r="Q5" s="366"/>
      <c r="R5" s="366"/>
      <c r="S5" s="369"/>
    </row>
    <row r="6" spans="1:19" x14ac:dyDescent="0.3">
      <c r="A6" s="367"/>
      <c r="B6" s="367"/>
      <c r="C6" s="367"/>
      <c r="D6" s="367"/>
      <c r="E6" s="367"/>
      <c r="F6" s="367"/>
      <c r="G6" s="367"/>
      <c r="H6" s="94" t="s">
        <v>367</v>
      </c>
      <c r="I6" s="162">
        <v>22</v>
      </c>
      <c r="J6" s="162">
        <f t="shared" si="0"/>
        <v>7.0063694267515917</v>
      </c>
      <c r="K6" s="162"/>
      <c r="L6" s="162"/>
      <c r="M6" s="162"/>
      <c r="N6" s="131">
        <f t="shared" si="1"/>
        <v>38.535031847133752</v>
      </c>
      <c r="O6" s="131">
        <f t="shared" si="2"/>
        <v>1.1242314289622324E-2</v>
      </c>
      <c r="P6" s="131">
        <f>O6*(1+'Key Data'!F$3)</f>
        <v>1.4052892862027905E-2</v>
      </c>
      <c r="Q6" s="366"/>
      <c r="R6" s="366"/>
      <c r="S6" s="369"/>
    </row>
    <row r="7" spans="1:19" x14ac:dyDescent="0.3">
      <c r="A7" s="367"/>
      <c r="B7" s="367"/>
      <c r="C7" s="367"/>
      <c r="D7" s="367"/>
      <c r="E7" s="367"/>
      <c r="F7" s="367"/>
      <c r="G7" s="367"/>
      <c r="H7" s="94" t="s">
        <v>367</v>
      </c>
      <c r="I7" s="162">
        <v>17</v>
      </c>
      <c r="J7" s="162">
        <f t="shared" si="0"/>
        <v>5.4140127388535033</v>
      </c>
      <c r="K7" s="162"/>
      <c r="L7" s="162"/>
      <c r="M7" s="162"/>
      <c r="N7" s="131">
        <f t="shared" si="1"/>
        <v>23.009554140127388</v>
      </c>
      <c r="O7" s="131">
        <f t="shared" si="2"/>
        <v>6.7128694828530022E-3</v>
      </c>
      <c r="P7" s="131">
        <f>O7*(1+'Key Data'!F$3)</f>
        <v>8.3910868535662531E-3</v>
      </c>
      <c r="Q7" s="366"/>
      <c r="R7" s="366"/>
      <c r="S7" s="369"/>
    </row>
    <row r="8" spans="1:19" x14ac:dyDescent="0.3">
      <c r="A8" s="367"/>
      <c r="B8" s="367"/>
      <c r="C8" s="367"/>
      <c r="D8" s="367"/>
      <c r="E8" s="367"/>
      <c r="F8" s="367"/>
      <c r="G8" s="367"/>
      <c r="H8" s="94" t="s">
        <v>367</v>
      </c>
      <c r="I8" s="162">
        <v>20.5</v>
      </c>
      <c r="J8" s="162">
        <f t="shared" si="0"/>
        <v>6.5286624203821653</v>
      </c>
      <c r="K8" s="162"/>
      <c r="L8" s="162"/>
      <c r="M8" s="162"/>
      <c r="N8" s="131">
        <f t="shared" si="1"/>
        <v>33.459394904458598</v>
      </c>
      <c r="O8" s="131">
        <f t="shared" si="2"/>
        <v>9.76153425664005E-3</v>
      </c>
      <c r="P8" s="131">
        <f>O8*(1+'Key Data'!F$3)</f>
        <v>1.2201917820800063E-2</v>
      </c>
      <c r="Q8" s="366"/>
      <c r="R8" s="366"/>
      <c r="S8" s="369"/>
    </row>
    <row r="9" spans="1:19" x14ac:dyDescent="0.3">
      <c r="A9" s="367"/>
      <c r="B9" s="367"/>
      <c r="C9" s="367"/>
      <c r="D9" s="367"/>
      <c r="E9" s="367"/>
      <c r="F9" s="367"/>
      <c r="G9" s="367"/>
      <c r="H9" s="94" t="s">
        <v>367</v>
      </c>
      <c r="I9" s="162">
        <v>23</v>
      </c>
      <c r="J9" s="162">
        <f t="shared" si="0"/>
        <v>7.3248407643312099</v>
      </c>
      <c r="K9" s="162"/>
      <c r="L9" s="162"/>
      <c r="M9" s="162"/>
      <c r="N9" s="131">
        <f t="shared" si="1"/>
        <v>42.117834394904456</v>
      </c>
      <c r="O9" s="131">
        <f t="shared" si="2"/>
        <v>1.2287570783492173E-2</v>
      </c>
      <c r="P9" s="131">
        <f>O9*(1+'Key Data'!F$3)</f>
        <v>1.5359463479365216E-2</v>
      </c>
      <c r="Q9" s="366"/>
      <c r="R9" s="366"/>
      <c r="S9" s="369"/>
    </row>
    <row r="10" spans="1:19" x14ac:dyDescent="0.3">
      <c r="A10" s="367"/>
      <c r="B10" s="367"/>
      <c r="C10" s="367"/>
      <c r="D10" s="367"/>
      <c r="E10" s="367"/>
      <c r="F10" s="367"/>
      <c r="G10" s="367"/>
      <c r="H10" s="94" t="s">
        <v>367</v>
      </c>
      <c r="I10" s="162">
        <v>14</v>
      </c>
      <c r="J10" s="162">
        <f t="shared" si="0"/>
        <v>4.4585987261146496</v>
      </c>
      <c r="K10" s="162"/>
      <c r="L10" s="162"/>
      <c r="M10" s="162"/>
      <c r="N10" s="131">
        <f t="shared" si="1"/>
        <v>15.605095541401273</v>
      </c>
      <c r="O10" s="131">
        <f t="shared" si="2"/>
        <v>4.5526727288553257E-3</v>
      </c>
      <c r="P10" s="131">
        <f>O10*(1+'Key Data'!F$3)</f>
        <v>5.6908409110691567E-3</v>
      </c>
      <c r="Q10" s="366"/>
      <c r="R10" s="366"/>
      <c r="S10" s="369"/>
    </row>
    <row r="11" spans="1:19" x14ac:dyDescent="0.3">
      <c r="A11" s="367"/>
      <c r="B11" s="367"/>
      <c r="C11" s="367"/>
      <c r="D11" s="367"/>
      <c r="E11" s="367"/>
      <c r="F11" s="367"/>
      <c r="G11" s="367"/>
      <c r="H11" s="94" t="s">
        <v>367</v>
      </c>
      <c r="I11" s="162">
        <v>21</v>
      </c>
      <c r="J11" s="162">
        <f t="shared" si="0"/>
        <v>6.6878980891719744</v>
      </c>
      <c r="K11" s="162"/>
      <c r="L11" s="162"/>
      <c r="M11" s="162"/>
      <c r="N11" s="131">
        <f t="shared" si="1"/>
        <v>35.111464968152866</v>
      </c>
      <c r="O11" s="131">
        <f t="shared" si="2"/>
        <v>1.0243513639924477E-2</v>
      </c>
      <c r="P11" s="131">
        <f>O11*(1+'Key Data'!F$3)</f>
        <v>1.2804392049905597E-2</v>
      </c>
      <c r="Q11" s="366"/>
      <c r="R11" s="366"/>
      <c r="S11" s="369"/>
    </row>
    <row r="12" spans="1:19" x14ac:dyDescent="0.3">
      <c r="A12" s="367"/>
      <c r="B12" s="367"/>
      <c r="C12" s="367"/>
      <c r="D12" s="367"/>
      <c r="E12" s="367"/>
      <c r="F12" s="367"/>
      <c r="G12" s="367"/>
      <c r="H12" s="94" t="s">
        <v>367</v>
      </c>
      <c r="I12" s="162">
        <v>23.2</v>
      </c>
      <c r="J12" s="162">
        <f t="shared" si="0"/>
        <v>7.388535031847133</v>
      </c>
      <c r="K12" s="162"/>
      <c r="L12" s="162"/>
      <c r="M12" s="162"/>
      <c r="N12" s="131">
        <f t="shared" si="1"/>
        <v>42.853503184713368</v>
      </c>
      <c r="O12" s="131">
        <f t="shared" si="2"/>
        <v>1.2502196783566781E-2</v>
      </c>
      <c r="P12" s="131">
        <f>O12*(1+'Key Data'!F$3)</f>
        <v>1.5627745979458478E-2</v>
      </c>
      <c r="Q12" s="366"/>
      <c r="R12" s="366"/>
      <c r="S12" s="369"/>
    </row>
    <row r="13" spans="1:19" x14ac:dyDescent="0.3">
      <c r="A13" s="367"/>
      <c r="B13" s="367"/>
      <c r="C13" s="367"/>
      <c r="D13" s="367"/>
      <c r="E13" s="367"/>
      <c r="F13" s="367"/>
      <c r="G13" s="367"/>
      <c r="H13" s="94" t="s">
        <v>367</v>
      </c>
      <c r="I13" s="162">
        <v>23</v>
      </c>
      <c r="J13" s="162">
        <f t="shared" si="0"/>
        <v>7.3248407643312099</v>
      </c>
      <c r="K13" s="162"/>
      <c r="L13" s="162"/>
      <c r="M13" s="162"/>
      <c r="N13" s="131">
        <f t="shared" si="1"/>
        <v>42.117834394904456</v>
      </c>
      <c r="O13" s="131">
        <f t="shared" si="2"/>
        <v>1.2287570783492173E-2</v>
      </c>
      <c r="P13" s="131">
        <f>O13*(1+'Key Data'!F$3)</f>
        <v>1.5359463479365216E-2</v>
      </c>
      <c r="Q13" s="366"/>
      <c r="R13" s="366"/>
      <c r="S13" s="369"/>
    </row>
    <row r="14" spans="1:19" x14ac:dyDescent="0.3">
      <c r="A14" s="367"/>
      <c r="B14" s="367"/>
      <c r="C14" s="367"/>
      <c r="D14" s="367"/>
      <c r="E14" s="367"/>
      <c r="F14" s="367"/>
      <c r="G14" s="367"/>
      <c r="H14" s="94" t="s">
        <v>367</v>
      </c>
      <c r="I14" s="162">
        <v>16</v>
      </c>
      <c r="J14" s="162">
        <f t="shared" si="0"/>
        <v>5.0955414012738851</v>
      </c>
      <c r="K14" s="162"/>
      <c r="L14" s="162"/>
      <c r="M14" s="162"/>
      <c r="N14" s="131">
        <f t="shared" si="1"/>
        <v>20.38216560509554</v>
      </c>
      <c r="O14" s="131">
        <f t="shared" si="2"/>
        <v>5.9463480540151185E-3</v>
      </c>
      <c r="P14" s="131">
        <f>O14*(1+'Key Data'!F$3)</f>
        <v>7.4329350675188983E-3</v>
      </c>
      <c r="Q14" s="366"/>
      <c r="R14" s="366"/>
      <c r="S14" s="369"/>
    </row>
    <row r="15" spans="1:19" x14ac:dyDescent="0.3">
      <c r="A15" s="367"/>
      <c r="B15" s="367"/>
      <c r="C15" s="367"/>
      <c r="D15" s="367"/>
      <c r="E15" s="367"/>
      <c r="F15" s="367"/>
      <c r="G15" s="367"/>
      <c r="H15" s="94" t="s">
        <v>367</v>
      </c>
      <c r="I15" s="162">
        <v>17.100000000000001</v>
      </c>
      <c r="J15" s="162">
        <f t="shared" si="0"/>
        <v>5.4458598726114653</v>
      </c>
      <c r="K15" s="162"/>
      <c r="L15" s="162"/>
      <c r="M15" s="162"/>
      <c r="N15" s="131">
        <f t="shared" si="1"/>
        <v>23.281050955414017</v>
      </c>
      <c r="O15" s="131">
        <f t="shared" si="2"/>
        <v>6.7920766971662529E-3</v>
      </c>
      <c r="P15" s="131">
        <f>O15*(1+'Key Data'!F$3)</f>
        <v>8.4900958714578152E-3</v>
      </c>
      <c r="Q15" s="366"/>
      <c r="R15" s="366"/>
      <c r="S15" s="369"/>
    </row>
    <row r="16" spans="1:19" x14ac:dyDescent="0.3">
      <c r="A16" s="367"/>
      <c r="B16" s="367"/>
      <c r="C16" s="367"/>
      <c r="D16" s="367"/>
      <c r="E16" s="367"/>
      <c r="F16" s="367"/>
      <c r="G16" s="367"/>
      <c r="H16" s="94" t="s">
        <v>367</v>
      </c>
      <c r="I16" s="162">
        <v>13.9</v>
      </c>
      <c r="J16" s="162">
        <f t="shared" si="0"/>
        <v>4.4267515923566876</v>
      </c>
      <c r="K16" s="162"/>
      <c r="L16" s="162"/>
      <c r="M16" s="162"/>
      <c r="N16" s="131">
        <f t="shared" si="1"/>
        <v>15.382961783439489</v>
      </c>
      <c r="O16" s="131">
        <f t="shared" si="2"/>
        <v>4.4878668262353935E-3</v>
      </c>
      <c r="P16" s="131">
        <f>O16*(1+'Key Data'!F$3)</f>
        <v>5.6098335327942417E-3</v>
      </c>
      <c r="Q16" s="366"/>
      <c r="R16" s="366"/>
      <c r="S16" s="369"/>
    </row>
    <row r="17" spans="1:19" x14ac:dyDescent="0.3">
      <c r="A17" s="367"/>
      <c r="B17" s="367"/>
      <c r="C17" s="367"/>
      <c r="D17" s="367"/>
      <c r="E17" s="367"/>
      <c r="F17" s="367"/>
      <c r="G17" s="367"/>
      <c r="H17" s="94" t="s">
        <v>367</v>
      </c>
      <c r="I17" s="162">
        <v>17.5</v>
      </c>
      <c r="J17" s="162">
        <f t="shared" si="0"/>
        <v>5.5732484076433115</v>
      </c>
      <c r="K17" s="162"/>
      <c r="L17" s="162"/>
      <c r="M17" s="162"/>
      <c r="N17" s="131">
        <f t="shared" si="1"/>
        <v>24.382961783439487</v>
      </c>
      <c r="O17" s="131">
        <f t="shared" si="2"/>
        <v>7.1135511388364442E-3</v>
      </c>
      <c r="P17" s="131">
        <f>O17*(1+'Key Data'!F$3)</f>
        <v>8.8919389235455545E-3</v>
      </c>
      <c r="Q17" s="366"/>
      <c r="R17" s="366"/>
      <c r="S17" s="369"/>
    </row>
    <row r="18" spans="1:19" x14ac:dyDescent="0.3">
      <c r="A18" s="367"/>
      <c r="B18" s="367"/>
      <c r="C18" s="367"/>
      <c r="D18" s="367"/>
      <c r="E18" s="367"/>
      <c r="F18" s="367"/>
      <c r="G18" s="367"/>
      <c r="H18" s="94" t="s">
        <v>367</v>
      </c>
      <c r="I18" s="162">
        <v>16</v>
      </c>
      <c r="J18" s="162">
        <f t="shared" si="0"/>
        <v>5.0955414012738851</v>
      </c>
      <c r="K18" s="162"/>
      <c r="L18" s="162"/>
      <c r="M18" s="162"/>
      <c r="N18" s="131">
        <f t="shared" si="1"/>
        <v>20.38216560509554</v>
      </c>
      <c r="O18" s="131">
        <f t="shared" si="2"/>
        <v>5.9463480540151185E-3</v>
      </c>
      <c r="P18" s="131">
        <f>O18*(1+'Key Data'!F$3)</f>
        <v>7.4329350675188983E-3</v>
      </c>
      <c r="Q18" s="366"/>
      <c r="R18" s="366"/>
      <c r="S18" s="369"/>
    </row>
    <row r="19" spans="1:19" x14ac:dyDescent="0.3">
      <c r="A19" s="367"/>
      <c r="B19" s="367"/>
      <c r="C19" s="367"/>
      <c r="D19" s="367"/>
      <c r="E19" s="367"/>
      <c r="F19" s="367"/>
      <c r="G19" s="367"/>
      <c r="H19" s="94" t="s">
        <v>367</v>
      </c>
      <c r="I19" s="162">
        <v>15</v>
      </c>
      <c r="J19" s="162">
        <f t="shared" si="0"/>
        <v>4.7770700636942669</v>
      </c>
      <c r="K19" s="162"/>
      <c r="L19" s="162"/>
      <c r="M19" s="162"/>
      <c r="N19" s="131">
        <f t="shared" si="1"/>
        <v>17.914012738853497</v>
      </c>
      <c r="O19" s="131">
        <f t="shared" si="2"/>
        <v>5.2262824693492214E-3</v>
      </c>
      <c r="P19" s="131">
        <f>O19*(1+'Key Data'!F$3)</f>
        <v>6.5328530866865268E-3</v>
      </c>
      <c r="Q19" s="366"/>
      <c r="R19" s="366"/>
      <c r="S19" s="369"/>
    </row>
    <row r="20" spans="1:19" x14ac:dyDescent="0.3">
      <c r="A20" s="367"/>
      <c r="B20" s="367"/>
      <c r="C20" s="367"/>
      <c r="D20" s="367"/>
      <c r="E20" s="367"/>
      <c r="F20" s="367"/>
      <c r="G20" s="367"/>
      <c r="H20" s="94" t="s">
        <v>367</v>
      </c>
      <c r="I20" s="162">
        <v>14.6</v>
      </c>
      <c r="J20" s="162">
        <f t="shared" si="0"/>
        <v>4.6496815286624198</v>
      </c>
      <c r="K20" s="162"/>
      <c r="L20" s="162"/>
      <c r="M20" s="162"/>
      <c r="N20" s="131">
        <f t="shared" si="1"/>
        <v>16.971337579617831</v>
      </c>
      <c r="O20" s="131">
        <f t="shared" si="2"/>
        <v>4.9512638718510237E-3</v>
      </c>
      <c r="P20" s="131">
        <f>O20*(1+'Key Data'!F$3)</f>
        <v>6.1890798398137794E-3</v>
      </c>
      <c r="Q20" s="366"/>
      <c r="R20" s="366"/>
      <c r="S20" s="369"/>
    </row>
    <row r="21" spans="1:19" x14ac:dyDescent="0.3">
      <c r="A21" s="367"/>
      <c r="B21" s="367"/>
      <c r="C21" s="367"/>
      <c r="D21" s="367"/>
      <c r="E21" s="367"/>
      <c r="F21" s="367"/>
      <c r="G21" s="367"/>
      <c r="H21" s="94" t="s">
        <v>367</v>
      </c>
      <c r="I21" s="162">
        <v>21.5</v>
      </c>
      <c r="J21" s="162">
        <f t="shared" si="0"/>
        <v>6.8471337579617835</v>
      </c>
      <c r="K21" s="162"/>
      <c r="L21" s="162"/>
      <c r="M21" s="162"/>
      <c r="N21" s="131">
        <f t="shared" si="1"/>
        <v>36.803343949044589</v>
      </c>
      <c r="O21" s="131">
        <f t="shared" si="2"/>
        <v>1.0737106984251907E-2</v>
      </c>
      <c r="P21" s="131">
        <f>O21*(1+'Key Data'!F$3)</f>
        <v>1.3421383730314883E-2</v>
      </c>
      <c r="Q21" s="366"/>
      <c r="R21" s="366"/>
      <c r="S21" s="369"/>
    </row>
    <row r="22" spans="1:19" x14ac:dyDescent="0.3">
      <c r="A22" s="367"/>
      <c r="B22" s="367"/>
      <c r="C22" s="367"/>
      <c r="D22" s="367"/>
      <c r="E22" s="367"/>
      <c r="F22" s="367"/>
      <c r="G22" s="367"/>
      <c r="H22" s="94" t="s">
        <v>367</v>
      </c>
      <c r="I22" s="162">
        <v>18</v>
      </c>
      <c r="J22" s="162">
        <f t="shared" si="0"/>
        <v>5.7324840764331206</v>
      </c>
      <c r="K22" s="162"/>
      <c r="L22" s="162"/>
      <c r="M22" s="162"/>
      <c r="N22" s="131">
        <f t="shared" si="1"/>
        <v>25.796178343949045</v>
      </c>
      <c r="O22" s="131">
        <f t="shared" si="2"/>
        <v>7.5258467558628854E-3</v>
      </c>
      <c r="P22" s="131">
        <f>O22*(1+'Key Data'!F$3)</f>
        <v>9.4073084448286076E-3</v>
      </c>
      <c r="Q22" s="366"/>
      <c r="R22" s="366"/>
      <c r="S22" s="369"/>
    </row>
    <row r="23" spans="1:19" x14ac:dyDescent="0.3">
      <c r="A23" s="367"/>
      <c r="B23" s="367"/>
      <c r="C23" s="367"/>
      <c r="D23" s="367"/>
      <c r="E23" s="367"/>
      <c r="F23" s="367"/>
      <c r="G23" s="367"/>
      <c r="H23" s="94" t="s">
        <v>367</v>
      </c>
      <c r="I23" s="162">
        <v>17</v>
      </c>
      <c r="J23" s="162">
        <f t="shared" si="0"/>
        <v>5.4140127388535033</v>
      </c>
      <c r="K23" s="162"/>
      <c r="L23" s="162"/>
      <c r="M23" s="162"/>
      <c r="N23" s="131">
        <f t="shared" si="1"/>
        <v>23.009554140127388</v>
      </c>
      <c r="O23" s="131">
        <f t="shared" si="2"/>
        <v>6.7128694828530022E-3</v>
      </c>
      <c r="P23" s="131">
        <f>O23*(1+'Key Data'!F$3)</f>
        <v>8.3910868535662531E-3</v>
      </c>
      <c r="Q23" s="366"/>
      <c r="R23" s="366"/>
      <c r="S23" s="369"/>
    </row>
    <row r="24" spans="1:19" x14ac:dyDescent="0.3">
      <c r="A24" s="367"/>
      <c r="B24" s="367"/>
      <c r="C24" s="367"/>
      <c r="D24" s="367"/>
      <c r="E24" s="367"/>
      <c r="F24" s="367"/>
      <c r="G24" s="367"/>
      <c r="H24" s="94" t="s">
        <v>367</v>
      </c>
      <c r="I24" s="162">
        <v>12.5</v>
      </c>
      <c r="J24" s="162">
        <f t="shared" si="0"/>
        <v>3.9808917197452227</v>
      </c>
      <c r="K24" s="162"/>
      <c r="L24" s="162"/>
      <c r="M24" s="162"/>
      <c r="N24" s="131">
        <f t="shared" si="1"/>
        <v>12.440286624203821</v>
      </c>
      <c r="O24" s="131">
        <f t="shared" si="2"/>
        <v>3.6293628259369617E-3</v>
      </c>
      <c r="P24" s="131">
        <f>O24*(1+'Key Data'!F$3)</f>
        <v>4.5367035324212022E-3</v>
      </c>
      <c r="Q24" s="366"/>
      <c r="R24" s="366"/>
      <c r="S24" s="369"/>
    </row>
    <row r="25" spans="1:19" x14ac:dyDescent="0.3">
      <c r="A25" s="367"/>
      <c r="B25" s="367"/>
      <c r="C25" s="367"/>
      <c r="D25" s="367"/>
      <c r="E25" s="367"/>
      <c r="F25" s="367"/>
      <c r="G25" s="367"/>
      <c r="H25" s="94" t="s">
        <v>367</v>
      </c>
      <c r="I25" s="162">
        <v>14.5</v>
      </c>
      <c r="J25" s="162">
        <f t="shared" si="0"/>
        <v>4.6178343949044587</v>
      </c>
      <c r="K25" s="162"/>
      <c r="L25" s="162"/>
      <c r="M25" s="162"/>
      <c r="N25" s="131">
        <f t="shared" si="1"/>
        <v>16.739649681528661</v>
      </c>
      <c r="O25" s="131">
        <f t="shared" si="2"/>
        <v>4.883670618580774E-3</v>
      </c>
      <c r="P25" s="131">
        <f>O25*(1+'Key Data'!F$3)</f>
        <v>6.1045882732259672E-3</v>
      </c>
      <c r="Q25" s="366"/>
      <c r="R25" s="366"/>
      <c r="S25" s="369"/>
    </row>
    <row r="26" spans="1:19" x14ac:dyDescent="0.3">
      <c r="A26" s="367"/>
      <c r="B26" s="367"/>
      <c r="C26" s="367"/>
      <c r="D26" s="367"/>
      <c r="E26" s="367"/>
      <c r="F26" s="367"/>
      <c r="G26" s="367"/>
      <c r="H26" s="94" t="s">
        <v>367</v>
      </c>
      <c r="I26" s="162">
        <v>18</v>
      </c>
      <c r="J26" s="162">
        <f t="shared" si="0"/>
        <v>5.7324840764331206</v>
      </c>
      <c r="K26" s="162"/>
      <c r="L26" s="162"/>
      <c r="M26" s="162"/>
      <c r="N26" s="131">
        <f t="shared" si="1"/>
        <v>25.796178343949045</v>
      </c>
      <c r="O26" s="131">
        <f t="shared" si="2"/>
        <v>7.5258467558628854E-3</v>
      </c>
      <c r="P26" s="131">
        <f>O26*(1+'Key Data'!F$3)</f>
        <v>9.4073084448286076E-3</v>
      </c>
      <c r="Q26" s="366"/>
      <c r="R26" s="366"/>
      <c r="S26" s="369"/>
    </row>
    <row r="27" spans="1:19" x14ac:dyDescent="0.3">
      <c r="A27" s="367"/>
      <c r="B27" s="367"/>
      <c r="C27" s="367"/>
      <c r="D27" s="367"/>
      <c r="E27" s="367"/>
      <c r="F27" s="367"/>
      <c r="G27" s="367"/>
      <c r="H27" s="94" t="s">
        <v>367</v>
      </c>
      <c r="I27" s="162">
        <v>22</v>
      </c>
      <c r="J27" s="162">
        <f t="shared" si="0"/>
        <v>7.0063694267515917</v>
      </c>
      <c r="K27" s="162"/>
      <c r="L27" s="162"/>
      <c r="M27" s="162"/>
      <c r="N27" s="131">
        <f t="shared" si="1"/>
        <v>38.535031847133752</v>
      </c>
      <c r="O27" s="131">
        <f t="shared" si="2"/>
        <v>1.1242314289622324E-2</v>
      </c>
      <c r="P27" s="131">
        <f>O27*(1+'Key Data'!F$3)</f>
        <v>1.4052892862027905E-2</v>
      </c>
      <c r="Q27" s="366"/>
      <c r="R27" s="366"/>
      <c r="S27" s="369"/>
    </row>
    <row r="28" spans="1:19" x14ac:dyDescent="0.3">
      <c r="A28" s="367"/>
      <c r="B28" s="367"/>
      <c r="C28" s="367"/>
      <c r="D28" s="367"/>
      <c r="E28" s="367"/>
      <c r="F28" s="367"/>
      <c r="G28" s="367"/>
      <c r="H28" s="94" t="s">
        <v>367</v>
      </c>
      <c r="I28" s="162">
        <v>14</v>
      </c>
      <c r="J28" s="162">
        <f t="shared" si="0"/>
        <v>4.4585987261146496</v>
      </c>
      <c r="K28" s="162"/>
      <c r="L28" s="162"/>
      <c r="M28" s="162"/>
      <c r="N28" s="131">
        <f t="shared" si="1"/>
        <v>15.605095541401273</v>
      </c>
      <c r="O28" s="131">
        <f t="shared" si="2"/>
        <v>4.5526727288553257E-3</v>
      </c>
      <c r="P28" s="131">
        <f>O28*(1+'Key Data'!F$3)</f>
        <v>5.6908409110691567E-3</v>
      </c>
      <c r="Q28" s="366"/>
      <c r="R28" s="366"/>
      <c r="S28" s="369"/>
    </row>
    <row r="29" spans="1:19" x14ac:dyDescent="0.3">
      <c r="A29" s="367"/>
      <c r="B29" s="367"/>
      <c r="C29" s="367"/>
      <c r="D29" s="367"/>
      <c r="E29" s="367"/>
      <c r="F29" s="367"/>
      <c r="G29" s="367"/>
      <c r="H29" s="94" t="s">
        <v>367</v>
      </c>
      <c r="I29" s="162">
        <v>17</v>
      </c>
      <c r="J29" s="162">
        <f t="shared" si="0"/>
        <v>5.4140127388535033</v>
      </c>
      <c r="K29" s="162"/>
      <c r="L29" s="162"/>
      <c r="M29" s="162"/>
      <c r="N29" s="131">
        <f t="shared" si="1"/>
        <v>23.009554140127388</v>
      </c>
      <c r="O29" s="131">
        <f t="shared" si="2"/>
        <v>6.7128694828530022E-3</v>
      </c>
      <c r="P29" s="131">
        <f>O29*(1+'Key Data'!F$3)</f>
        <v>8.3910868535662531E-3</v>
      </c>
      <c r="Q29" s="366"/>
      <c r="R29" s="366"/>
      <c r="S29" s="369"/>
    </row>
    <row r="30" spans="1:19" x14ac:dyDescent="0.3">
      <c r="A30" s="367"/>
      <c r="B30" s="367"/>
      <c r="C30" s="367"/>
      <c r="D30" s="367"/>
      <c r="E30" s="367"/>
      <c r="F30" s="367"/>
      <c r="G30" s="367"/>
      <c r="H30" s="94" t="s">
        <v>367</v>
      </c>
      <c r="I30" s="162">
        <v>22.5</v>
      </c>
      <c r="J30" s="162">
        <f t="shared" si="0"/>
        <v>7.1656050955414008</v>
      </c>
      <c r="K30" s="162"/>
      <c r="L30" s="162"/>
      <c r="M30" s="162"/>
      <c r="N30" s="131">
        <f t="shared" si="1"/>
        <v>40.306528662420376</v>
      </c>
      <c r="O30" s="131">
        <f t="shared" si="2"/>
        <v>1.1759135556035753E-2</v>
      </c>
      <c r="P30" s="131">
        <f>O30*(1+'Key Data'!F$3)</f>
        <v>1.469891944504469E-2</v>
      </c>
      <c r="Q30" s="366"/>
      <c r="R30" s="366"/>
      <c r="S30" s="369"/>
    </row>
    <row r="31" spans="1:19" x14ac:dyDescent="0.3">
      <c r="A31" s="367"/>
      <c r="B31" s="367"/>
      <c r="C31" s="367"/>
      <c r="D31" s="367"/>
      <c r="E31" s="367"/>
      <c r="F31" s="367"/>
      <c r="G31" s="367"/>
      <c r="H31" s="94" t="s">
        <v>367</v>
      </c>
      <c r="I31" s="162">
        <v>16.5</v>
      </c>
      <c r="J31" s="162">
        <f t="shared" si="0"/>
        <v>5.2547770700636942</v>
      </c>
      <c r="K31" s="162"/>
      <c r="L31" s="162"/>
      <c r="M31" s="162"/>
      <c r="N31" s="131">
        <f t="shared" si="1"/>
        <v>21.675955414012737</v>
      </c>
      <c r="O31" s="131">
        <f t="shared" si="2"/>
        <v>6.3238017879125603E-3</v>
      </c>
      <c r="P31" s="131">
        <f>O31*(1+'Key Data'!F$3)</f>
        <v>7.9047522348906999E-3</v>
      </c>
      <c r="Q31" s="366"/>
      <c r="R31" s="366"/>
      <c r="S31" s="369"/>
    </row>
    <row r="32" spans="1:19" x14ac:dyDescent="0.3">
      <c r="A32" s="367"/>
      <c r="B32" s="367"/>
      <c r="C32" s="367"/>
      <c r="D32" s="367"/>
      <c r="E32" s="367"/>
      <c r="F32" s="367"/>
      <c r="G32" s="367"/>
      <c r="H32" s="94" t="s">
        <v>367</v>
      </c>
      <c r="I32" s="162">
        <v>26.5</v>
      </c>
      <c r="J32" s="162">
        <f t="shared" si="0"/>
        <v>8.4394904458598727</v>
      </c>
      <c r="K32" s="162"/>
      <c r="L32" s="162"/>
      <c r="M32" s="162"/>
      <c r="N32" s="131">
        <f t="shared" si="1"/>
        <v>55.91162420382166</v>
      </c>
      <c r="O32" s="131">
        <f t="shared" si="2"/>
        <v>1.631180828489108E-2</v>
      </c>
      <c r="P32" s="131">
        <f>O32*(1+'Key Data'!F$3)</f>
        <v>2.038976035611385E-2</v>
      </c>
      <c r="Q32" s="366"/>
      <c r="R32" s="366"/>
      <c r="S32" s="369"/>
    </row>
    <row r="33" spans="1:19" x14ac:dyDescent="0.3">
      <c r="A33" s="367"/>
      <c r="B33" s="367"/>
      <c r="C33" s="367"/>
      <c r="D33" s="367"/>
      <c r="E33" s="367"/>
      <c r="F33" s="367"/>
      <c r="G33" s="367"/>
      <c r="H33" s="94" t="s">
        <v>367</v>
      </c>
      <c r="I33" s="162">
        <v>9</v>
      </c>
      <c r="J33" s="162">
        <f t="shared" si="0"/>
        <v>2.8662420382165603</v>
      </c>
      <c r="K33" s="162"/>
      <c r="L33" s="162"/>
      <c r="M33" s="162"/>
      <c r="N33" s="131">
        <f t="shared" si="1"/>
        <v>6.4490445859872612</v>
      </c>
      <c r="O33" s="131">
        <f t="shared" si="2"/>
        <v>1.8814616889657205E-3</v>
      </c>
      <c r="P33" s="131">
        <f>O33*(1+'Key Data'!F$3)</f>
        <v>2.3518271112071506E-3</v>
      </c>
      <c r="Q33" s="366"/>
      <c r="R33" s="366"/>
      <c r="S33" s="369"/>
    </row>
    <row r="34" spans="1:19" x14ac:dyDescent="0.3">
      <c r="A34" s="367"/>
      <c r="B34" s="367"/>
      <c r="C34" s="367"/>
      <c r="D34" s="367"/>
      <c r="E34" s="367"/>
      <c r="F34" s="367"/>
      <c r="G34" s="367"/>
      <c r="H34" s="94" t="s">
        <v>367</v>
      </c>
      <c r="I34" s="162">
        <v>17.2</v>
      </c>
      <c r="J34" s="162">
        <f t="shared" si="0"/>
        <v>5.4777070063694264</v>
      </c>
      <c r="K34" s="162"/>
      <c r="L34" s="162"/>
      <c r="M34" s="162"/>
      <c r="N34" s="131">
        <f t="shared" si="1"/>
        <v>23.554140127388532</v>
      </c>
      <c r="O34" s="131">
        <f t="shared" si="2"/>
        <v>6.8717484699212213E-3</v>
      </c>
      <c r="P34" s="131">
        <f>O34*(1+'Key Data'!F$3)</f>
        <v>8.5896855874015264E-3</v>
      </c>
      <c r="Q34" s="366"/>
      <c r="R34" s="366"/>
      <c r="S34" s="369"/>
    </row>
    <row r="35" spans="1:19" x14ac:dyDescent="0.3">
      <c r="A35" s="367"/>
      <c r="B35" s="367"/>
      <c r="C35" s="367"/>
      <c r="D35" s="367"/>
      <c r="E35" s="367"/>
      <c r="F35" s="367"/>
      <c r="G35" s="367"/>
      <c r="H35" s="94" t="s">
        <v>367</v>
      </c>
      <c r="I35" s="162">
        <v>14.6</v>
      </c>
      <c r="J35" s="162">
        <f t="shared" si="0"/>
        <v>4.6496815286624198</v>
      </c>
      <c r="K35" s="162"/>
      <c r="L35" s="162"/>
      <c r="M35" s="162"/>
      <c r="N35" s="131">
        <f t="shared" si="1"/>
        <v>16.971337579617831</v>
      </c>
      <c r="O35" s="131">
        <f t="shared" si="2"/>
        <v>4.9512638718510237E-3</v>
      </c>
      <c r="P35" s="131">
        <f>O35*(1+'Key Data'!F$3)</f>
        <v>6.1890798398137794E-3</v>
      </c>
      <c r="Q35" s="366"/>
      <c r="R35" s="366"/>
      <c r="S35" s="369"/>
    </row>
    <row r="36" spans="1:19" x14ac:dyDescent="0.3">
      <c r="A36" s="367"/>
      <c r="B36" s="367"/>
      <c r="C36" s="367"/>
      <c r="D36" s="367"/>
      <c r="E36" s="367"/>
      <c r="F36" s="367"/>
      <c r="G36" s="367"/>
      <c r="H36" s="94" t="s">
        <v>367</v>
      </c>
      <c r="I36" s="162">
        <v>19.2</v>
      </c>
      <c r="J36" s="162">
        <f t="shared" si="0"/>
        <v>6.114649681528662</v>
      </c>
      <c r="K36" s="162"/>
      <c r="L36" s="162"/>
      <c r="M36" s="162"/>
      <c r="N36" s="131">
        <f t="shared" si="1"/>
        <v>29.350318471337577</v>
      </c>
      <c r="O36" s="131">
        <f t="shared" si="2"/>
        <v>8.5627411977817671E-3</v>
      </c>
      <c r="P36" s="131">
        <f>O36*(1+'Key Data'!F$3)</f>
        <v>1.0703426497227209E-2</v>
      </c>
      <c r="Q36" s="366"/>
      <c r="R36" s="366"/>
      <c r="S36" s="369"/>
    </row>
    <row r="37" spans="1:19" x14ac:dyDescent="0.3">
      <c r="A37" s="367"/>
      <c r="B37" s="367"/>
      <c r="C37" s="367"/>
      <c r="D37" s="367"/>
      <c r="E37" s="367"/>
      <c r="F37" s="367"/>
      <c r="G37" s="367"/>
      <c r="H37" s="94" t="s">
        <v>367</v>
      </c>
      <c r="I37" s="162">
        <v>19.2</v>
      </c>
      <c r="J37" s="162">
        <f t="shared" si="0"/>
        <v>6.114649681528662</v>
      </c>
      <c r="K37" s="162"/>
      <c r="L37" s="162"/>
      <c r="M37" s="162"/>
      <c r="N37" s="131">
        <f t="shared" si="1"/>
        <v>29.350318471337577</v>
      </c>
      <c r="O37" s="131">
        <f t="shared" si="2"/>
        <v>8.5627411977817671E-3</v>
      </c>
      <c r="P37" s="131">
        <f>O37*(1+'Key Data'!F$3)</f>
        <v>1.0703426497227209E-2</v>
      </c>
      <c r="Q37" s="366"/>
      <c r="R37" s="366"/>
      <c r="S37" s="369"/>
    </row>
    <row r="38" spans="1:19" x14ac:dyDescent="0.3">
      <c r="A38" s="374">
        <v>2</v>
      </c>
      <c r="B38" s="374" t="s">
        <v>446</v>
      </c>
      <c r="C38" s="374" t="s">
        <v>447</v>
      </c>
      <c r="D38" s="374" t="s">
        <v>441</v>
      </c>
      <c r="E38" s="374">
        <v>24.7435559</v>
      </c>
      <c r="F38" s="374">
        <v>86.724812400000005</v>
      </c>
      <c r="G38" s="374">
        <v>2023</v>
      </c>
      <c r="H38" s="72" t="s">
        <v>393</v>
      </c>
      <c r="I38" s="161"/>
      <c r="J38" s="161"/>
      <c r="K38" s="161">
        <v>32.70000000000001</v>
      </c>
      <c r="L38" s="161">
        <f>K38/3.14/100</f>
        <v>0.10414012738853506</v>
      </c>
      <c r="M38" s="161"/>
      <c r="N38" s="138"/>
      <c r="O38" s="138">
        <f>(0.08847-1.46936*L38+11.98979*L38^2+1.97056*L38^3)*'Key Data'!$I$15*'Key Data'!$F$15</f>
        <v>5.3319664749788657E-2</v>
      </c>
      <c r="P38" s="138">
        <f>O38*(1+'Key Data'!F$3)</f>
        <v>6.6649580937235817E-2</v>
      </c>
      <c r="Q38" s="379">
        <f>SUM(P38:P63)</f>
        <v>1.9233826607810651</v>
      </c>
      <c r="R38" s="379">
        <f>Q38*10000/900</f>
        <v>21.370918453122943</v>
      </c>
      <c r="S38" s="369"/>
    </row>
    <row r="39" spans="1:19" x14ac:dyDescent="0.3">
      <c r="A39" s="374"/>
      <c r="B39" s="374"/>
      <c r="C39" s="374"/>
      <c r="D39" s="374"/>
      <c r="E39" s="374"/>
      <c r="F39" s="374"/>
      <c r="G39" s="374"/>
      <c r="H39" s="72" t="s">
        <v>393</v>
      </c>
      <c r="I39" s="161"/>
      <c r="J39" s="161"/>
      <c r="K39" s="161">
        <v>33.5</v>
      </c>
      <c r="L39" s="161">
        <f t="shared" ref="L39:L84" si="3">K39/3.14/100</f>
        <v>0.10668789808917196</v>
      </c>
      <c r="M39" s="161"/>
      <c r="N39" s="138"/>
      <c r="O39" s="138">
        <f>(0.08847-1.46936*L39+11.98979*L39^2+1.97056*L39^3)*'Key Data'!$I$15*'Key Data'!$F$15</f>
        <v>5.5575061162319667E-2</v>
      </c>
      <c r="P39" s="138">
        <f>O39*(1+'Key Data'!F$3)</f>
        <v>6.946882645289959E-2</v>
      </c>
      <c r="Q39" s="379"/>
      <c r="R39" s="379"/>
      <c r="S39" s="369"/>
    </row>
    <row r="40" spans="1:19" x14ac:dyDescent="0.3">
      <c r="A40" s="374"/>
      <c r="B40" s="374"/>
      <c r="C40" s="374"/>
      <c r="D40" s="374"/>
      <c r="E40" s="374"/>
      <c r="F40" s="374"/>
      <c r="G40" s="374"/>
      <c r="H40" s="72" t="s">
        <v>393</v>
      </c>
      <c r="I40" s="161"/>
      <c r="J40" s="161"/>
      <c r="K40" s="161">
        <v>35.900000000000006</v>
      </c>
      <c r="L40" s="161">
        <f t="shared" si="3"/>
        <v>0.1143312101910828</v>
      </c>
      <c r="M40" s="161"/>
      <c r="N40" s="138"/>
      <c r="O40" s="138">
        <f>(0.08847-1.46936*L40+11.98979*L40^2+1.97056*L40^3)*'Key Data'!$I$15*'Key Data'!$F$15</f>
        <v>6.31160230115628E-2</v>
      </c>
      <c r="P40" s="138">
        <f>O40*(1+'Key Data'!F$3)</f>
        <v>7.8895028764453506E-2</v>
      </c>
      <c r="Q40" s="379"/>
      <c r="R40" s="379"/>
      <c r="S40" s="369"/>
    </row>
    <row r="41" spans="1:19" x14ac:dyDescent="0.3">
      <c r="A41" s="374"/>
      <c r="B41" s="374"/>
      <c r="C41" s="374"/>
      <c r="D41" s="374"/>
      <c r="E41" s="374"/>
      <c r="F41" s="374"/>
      <c r="G41" s="374"/>
      <c r="H41" s="72" t="s">
        <v>393</v>
      </c>
      <c r="I41" s="161"/>
      <c r="J41" s="161"/>
      <c r="K41" s="161">
        <v>32.299999999999997</v>
      </c>
      <c r="L41" s="161">
        <f t="shared" si="3"/>
        <v>0.10286624203821654</v>
      </c>
      <c r="M41" s="161"/>
      <c r="N41" s="138"/>
      <c r="O41" s="138">
        <f>(0.08847-1.46936*L41+11.98979*L41^2+1.97056*L41^3)*'Key Data'!$I$15*'Key Data'!$F$15</f>
        <v>5.2240303216370368E-2</v>
      </c>
      <c r="P41" s="138">
        <f>O41*(1+'Key Data'!F$3)</f>
        <v>6.5300379020462956E-2</v>
      </c>
      <c r="Q41" s="379"/>
      <c r="R41" s="379"/>
      <c r="S41" s="369"/>
    </row>
    <row r="42" spans="1:19" x14ac:dyDescent="0.3">
      <c r="A42" s="374"/>
      <c r="B42" s="374"/>
      <c r="C42" s="374"/>
      <c r="D42" s="374"/>
      <c r="E42" s="374"/>
      <c r="F42" s="374"/>
      <c r="G42" s="374"/>
      <c r="H42" s="72" t="s">
        <v>393</v>
      </c>
      <c r="I42" s="161"/>
      <c r="J42" s="161"/>
      <c r="K42" s="161">
        <v>33.900000000000006</v>
      </c>
      <c r="L42" s="161">
        <f t="shared" si="3"/>
        <v>0.10796178343949046</v>
      </c>
      <c r="M42" s="161"/>
      <c r="N42" s="138"/>
      <c r="O42" s="138">
        <f>(0.08847-1.46936*L42+11.98979*L42^2+1.97056*L42^3)*'Key Data'!$I$15*'Key Data'!$F$15</f>
        <v>5.6751134537157306E-2</v>
      </c>
      <c r="P42" s="138">
        <f>O42*(1+'Key Data'!F$3)</f>
        <v>7.0938918171446638E-2</v>
      </c>
      <c r="Q42" s="379"/>
      <c r="R42" s="379"/>
      <c r="S42" s="369"/>
    </row>
    <row r="43" spans="1:19" x14ac:dyDescent="0.3">
      <c r="A43" s="374"/>
      <c r="B43" s="374"/>
      <c r="C43" s="374"/>
      <c r="D43" s="374"/>
      <c r="E43" s="374"/>
      <c r="F43" s="374"/>
      <c r="G43" s="374"/>
      <c r="H43" s="72" t="s">
        <v>393</v>
      </c>
      <c r="I43" s="161"/>
      <c r="J43" s="161"/>
      <c r="K43" s="161">
        <v>35.4</v>
      </c>
      <c r="L43" s="161">
        <f t="shared" si="3"/>
        <v>0.11273885350318472</v>
      </c>
      <c r="M43" s="161"/>
      <c r="N43" s="138"/>
      <c r="O43" s="138">
        <f>(0.08847-1.46936*L43+11.98979*L43^2+1.97056*L43^3)*'Key Data'!$I$15*'Key Data'!$F$15</f>
        <v>6.1449022965313037E-2</v>
      </c>
      <c r="P43" s="138">
        <f>O43*(1+'Key Data'!F$3)</f>
        <v>7.6811278706641298E-2</v>
      </c>
      <c r="Q43" s="379"/>
      <c r="R43" s="379"/>
      <c r="S43" s="369"/>
    </row>
    <row r="44" spans="1:19" x14ac:dyDescent="0.3">
      <c r="A44" s="374"/>
      <c r="B44" s="374"/>
      <c r="C44" s="374"/>
      <c r="D44" s="374"/>
      <c r="E44" s="374"/>
      <c r="F44" s="374"/>
      <c r="G44" s="374"/>
      <c r="H44" s="72" t="s">
        <v>393</v>
      </c>
      <c r="I44" s="161"/>
      <c r="J44" s="161"/>
      <c r="K44" s="161">
        <v>34.700000000000003</v>
      </c>
      <c r="L44" s="161">
        <f t="shared" si="3"/>
        <v>0.11050955414012739</v>
      </c>
      <c r="M44" s="161"/>
      <c r="N44" s="138"/>
      <c r="O44" s="138">
        <f>(0.08847-1.46936*L44+11.98979*L44^2+1.97056*L44^3)*'Key Data'!$I$15*'Key Data'!$F$15</f>
        <v>5.92001278632888E-2</v>
      </c>
      <c r="P44" s="138">
        <f>O44*(1+'Key Data'!F$3)</f>
        <v>7.4000159829110998E-2</v>
      </c>
      <c r="Q44" s="379"/>
      <c r="R44" s="379"/>
      <c r="S44" s="369"/>
    </row>
    <row r="45" spans="1:19" x14ac:dyDescent="0.3">
      <c r="A45" s="374"/>
      <c r="B45" s="374"/>
      <c r="C45" s="374"/>
      <c r="D45" s="374"/>
      <c r="E45" s="374"/>
      <c r="F45" s="374"/>
      <c r="G45" s="374"/>
      <c r="H45" s="72" t="s">
        <v>393</v>
      </c>
      <c r="I45" s="161"/>
      <c r="J45" s="161"/>
      <c r="K45" s="161">
        <v>39.4</v>
      </c>
      <c r="L45" s="161">
        <f t="shared" si="3"/>
        <v>0.12547770700636943</v>
      </c>
      <c r="M45" s="161"/>
      <c r="N45" s="138"/>
      <c r="O45" s="138">
        <f>(0.08847-1.46936*L45+11.98979*L45^2+1.97056*L45^3)*'Key Data'!$I$15*'Key Data'!$F$15</f>
        <v>7.6203404248823978E-2</v>
      </c>
      <c r="P45" s="138">
        <f>O45*(1+'Key Data'!F$3)</f>
        <v>9.5254255311029976E-2</v>
      </c>
      <c r="Q45" s="379"/>
      <c r="R45" s="379"/>
      <c r="S45" s="369"/>
    </row>
    <row r="46" spans="1:19" x14ac:dyDescent="0.3">
      <c r="A46" s="374"/>
      <c r="B46" s="374"/>
      <c r="C46" s="374"/>
      <c r="D46" s="374"/>
      <c r="E46" s="374"/>
      <c r="F46" s="374"/>
      <c r="G46" s="374"/>
      <c r="H46" s="72" t="s">
        <v>393</v>
      </c>
      <c r="I46" s="161"/>
      <c r="J46" s="161"/>
      <c r="K46" s="161">
        <v>26.5</v>
      </c>
      <c r="L46" s="161">
        <f t="shared" si="3"/>
        <v>8.4394904458598721E-2</v>
      </c>
      <c r="M46" s="161"/>
      <c r="N46" s="138"/>
      <c r="O46" s="138">
        <f>(0.08847-1.46936*L46+11.98979*L46^2+1.97056*L46^3)*'Key Data'!$I$15*'Key Data'!$F$15</f>
        <v>4.0198166014475782E-2</v>
      </c>
      <c r="P46" s="138">
        <f>O46*(1+'Key Data'!F$3)</f>
        <v>5.0247707518094729E-2</v>
      </c>
      <c r="Q46" s="379"/>
      <c r="R46" s="379"/>
      <c r="S46" s="369"/>
    </row>
    <row r="47" spans="1:19" x14ac:dyDescent="0.3">
      <c r="A47" s="374"/>
      <c r="B47" s="374"/>
      <c r="C47" s="374"/>
      <c r="D47" s="374"/>
      <c r="E47" s="374"/>
      <c r="F47" s="374"/>
      <c r="G47" s="374"/>
      <c r="H47" s="72" t="s">
        <v>393</v>
      </c>
      <c r="I47" s="161"/>
      <c r="J47" s="161"/>
      <c r="K47" s="161">
        <v>40.6</v>
      </c>
      <c r="L47" s="161">
        <f t="shared" si="3"/>
        <v>0.12929936305732484</v>
      </c>
      <c r="M47" s="161"/>
      <c r="N47" s="138"/>
      <c r="O47" s="138">
        <f>(0.08847-1.46936*L47+11.98979*L47^2+1.97056*L47^3)*'Key Data'!$I$15*'Key Data'!$F$15</f>
        <v>8.126338132510591E-2</v>
      </c>
      <c r="P47" s="138">
        <f>O47*(1+'Key Data'!F$3)</f>
        <v>0.10157922665638239</v>
      </c>
      <c r="Q47" s="379"/>
      <c r="R47" s="379"/>
      <c r="S47" s="369"/>
    </row>
    <row r="48" spans="1:19" x14ac:dyDescent="0.3">
      <c r="A48" s="374"/>
      <c r="B48" s="374"/>
      <c r="C48" s="374"/>
      <c r="D48" s="374"/>
      <c r="E48" s="374"/>
      <c r="F48" s="374"/>
      <c r="G48" s="374"/>
      <c r="H48" s="72" t="s">
        <v>393</v>
      </c>
      <c r="I48" s="161"/>
      <c r="J48" s="161"/>
      <c r="K48" s="161">
        <v>35.400000000000006</v>
      </c>
      <c r="L48" s="161">
        <f t="shared" si="3"/>
        <v>0.11273885350318473</v>
      </c>
      <c r="M48" s="161"/>
      <c r="N48" s="138"/>
      <c r="O48" s="138">
        <f>(0.08847-1.46936*L48+11.98979*L48^2+1.97056*L48^3)*'Key Data'!$I$15*'Key Data'!$F$15</f>
        <v>6.1449022965313058E-2</v>
      </c>
      <c r="P48" s="138">
        <f>O48*(1+'Key Data'!F$3)</f>
        <v>7.6811278706641326E-2</v>
      </c>
      <c r="Q48" s="379"/>
      <c r="R48" s="379"/>
      <c r="S48" s="369"/>
    </row>
    <row r="49" spans="1:19" x14ac:dyDescent="0.3">
      <c r="A49" s="374"/>
      <c r="B49" s="374"/>
      <c r="C49" s="374"/>
      <c r="D49" s="374"/>
      <c r="E49" s="374"/>
      <c r="F49" s="374"/>
      <c r="G49" s="374"/>
      <c r="H49" s="72" t="s">
        <v>393</v>
      </c>
      <c r="I49" s="161"/>
      <c r="J49" s="161"/>
      <c r="K49" s="161">
        <v>33.4</v>
      </c>
      <c r="L49" s="161">
        <f t="shared" si="3"/>
        <v>0.10636942675159235</v>
      </c>
      <c r="M49" s="161"/>
      <c r="N49" s="138"/>
      <c r="O49" s="138">
        <f>(0.08847-1.46936*L49+11.98979*L49^2+1.97056*L49^3)*'Key Data'!$I$15*'Key Data'!$F$15</f>
        <v>5.5286083653032309E-2</v>
      </c>
      <c r="P49" s="138">
        <f>O49*(1+'Key Data'!F$3)</f>
        <v>6.9107604566290393E-2</v>
      </c>
      <c r="Q49" s="379"/>
      <c r="R49" s="379"/>
      <c r="S49" s="369"/>
    </row>
    <row r="50" spans="1:19" x14ac:dyDescent="0.3">
      <c r="A50" s="374"/>
      <c r="B50" s="374"/>
      <c r="C50" s="374"/>
      <c r="D50" s="374"/>
      <c r="E50" s="374"/>
      <c r="F50" s="374"/>
      <c r="G50" s="374"/>
      <c r="H50" s="72" t="s">
        <v>393</v>
      </c>
      <c r="I50" s="161"/>
      <c r="J50" s="161"/>
      <c r="K50" s="161">
        <v>32.800000000000011</v>
      </c>
      <c r="L50" s="161">
        <f t="shared" si="3"/>
        <v>0.10445859872611468</v>
      </c>
      <c r="M50" s="161"/>
      <c r="N50" s="138"/>
      <c r="O50" s="138">
        <f>(0.08847-1.46936*L50+11.98979*L50^2+1.97056*L50^3)*'Key Data'!$I$15*'Key Data'!$F$15</f>
        <v>5.3594538448869036E-2</v>
      </c>
      <c r="P50" s="138">
        <f>O50*(1+'Key Data'!F$3)</f>
        <v>6.6993173061086292E-2</v>
      </c>
      <c r="Q50" s="379"/>
      <c r="R50" s="379"/>
      <c r="S50" s="369"/>
    </row>
    <row r="51" spans="1:19" x14ac:dyDescent="0.3">
      <c r="A51" s="374"/>
      <c r="B51" s="374"/>
      <c r="C51" s="374"/>
      <c r="D51" s="374"/>
      <c r="E51" s="374"/>
      <c r="F51" s="374"/>
      <c r="G51" s="374"/>
      <c r="H51" s="72" t="s">
        <v>393</v>
      </c>
      <c r="I51" s="161"/>
      <c r="J51" s="161"/>
      <c r="K51" s="161">
        <v>36.5</v>
      </c>
      <c r="L51" s="161">
        <f t="shared" si="3"/>
        <v>0.11624203821656051</v>
      </c>
      <c r="M51" s="161"/>
      <c r="N51" s="138"/>
      <c r="O51" s="138">
        <f>(0.08847-1.46936*L51+11.98979*L51^2+1.97056*L51^3)*'Key Data'!$I$15*'Key Data'!$F$15</f>
        <v>6.5183193657278177E-2</v>
      </c>
      <c r="P51" s="138">
        <f>O51*(1+'Key Data'!F$3)</f>
        <v>8.1478992071597728E-2</v>
      </c>
      <c r="Q51" s="379"/>
      <c r="R51" s="379"/>
      <c r="S51" s="369"/>
    </row>
    <row r="52" spans="1:19" x14ac:dyDescent="0.3">
      <c r="A52" s="374"/>
      <c r="B52" s="374"/>
      <c r="C52" s="374"/>
      <c r="D52" s="374"/>
      <c r="E52" s="374"/>
      <c r="F52" s="374"/>
      <c r="G52" s="374"/>
      <c r="H52" s="72" t="s">
        <v>393</v>
      </c>
      <c r="I52" s="161"/>
      <c r="J52" s="161"/>
      <c r="K52" s="161">
        <v>31.1</v>
      </c>
      <c r="L52" s="161">
        <f t="shared" si="3"/>
        <v>9.9044585987261138E-2</v>
      </c>
      <c r="M52" s="161"/>
      <c r="N52" s="138"/>
      <c r="O52" s="138">
        <f>(0.08847-1.46936*L52+11.98979*L52^2+1.97056*L52^3)*'Key Data'!$I$15*'Key Data'!$F$15</f>
        <v>4.9195334333155913E-2</v>
      </c>
      <c r="P52" s="138">
        <f>O52*(1+'Key Data'!F$3)</f>
        <v>6.1494167916444895E-2</v>
      </c>
      <c r="Q52" s="379"/>
      <c r="R52" s="379"/>
      <c r="S52" s="369"/>
    </row>
    <row r="53" spans="1:19" x14ac:dyDescent="0.3">
      <c r="A53" s="374"/>
      <c r="B53" s="374"/>
      <c r="C53" s="374"/>
      <c r="D53" s="374"/>
      <c r="E53" s="374"/>
      <c r="F53" s="374"/>
      <c r="G53" s="374"/>
      <c r="H53" s="72" t="s">
        <v>393</v>
      </c>
      <c r="I53" s="161"/>
      <c r="J53" s="161"/>
      <c r="K53" s="161">
        <v>34.599999999999994</v>
      </c>
      <c r="L53" s="161">
        <f t="shared" si="3"/>
        <v>0.11019108280254775</v>
      </c>
      <c r="M53" s="161"/>
      <c r="N53" s="138"/>
      <c r="O53" s="138">
        <f>(0.08847-1.46936*L53+11.98979*L53^2+1.97056*L53^3)*'Key Data'!$I$15*'Key Data'!$F$15</f>
        <v>5.8886938108391657E-2</v>
      </c>
      <c r="P53" s="138">
        <f>O53*(1+'Key Data'!F$3)</f>
        <v>7.3608672635489564E-2</v>
      </c>
      <c r="Q53" s="379"/>
      <c r="R53" s="379"/>
      <c r="S53" s="369"/>
    </row>
    <row r="54" spans="1:19" x14ac:dyDescent="0.3">
      <c r="A54" s="374"/>
      <c r="B54" s="374"/>
      <c r="C54" s="374"/>
      <c r="D54" s="374"/>
      <c r="E54" s="374"/>
      <c r="F54" s="374"/>
      <c r="G54" s="374"/>
      <c r="H54" s="72" t="s">
        <v>393</v>
      </c>
      <c r="I54" s="161"/>
      <c r="J54" s="161"/>
      <c r="K54" s="161">
        <v>34.70000000000001</v>
      </c>
      <c r="L54" s="161">
        <f t="shared" si="3"/>
        <v>0.11050955414012742</v>
      </c>
      <c r="M54" s="161"/>
      <c r="N54" s="138"/>
      <c r="O54" s="138">
        <f>(0.08847-1.46936*L54+11.98979*L54^2+1.97056*L54^3)*'Key Data'!$I$15*'Key Data'!$F$15</f>
        <v>5.9200127863288828E-2</v>
      </c>
      <c r="P54" s="138">
        <f>O54*(1+'Key Data'!F$3)</f>
        <v>7.400015982911104E-2</v>
      </c>
      <c r="Q54" s="379"/>
      <c r="R54" s="379"/>
      <c r="S54" s="369"/>
    </row>
    <row r="55" spans="1:19" x14ac:dyDescent="0.3">
      <c r="A55" s="374"/>
      <c r="B55" s="374"/>
      <c r="C55" s="374"/>
      <c r="D55" s="374"/>
      <c r="E55" s="374"/>
      <c r="F55" s="374"/>
      <c r="G55" s="374"/>
      <c r="H55" s="72" t="s">
        <v>393</v>
      </c>
      <c r="I55" s="161"/>
      <c r="J55" s="161"/>
      <c r="K55" s="161">
        <v>35.299999999999997</v>
      </c>
      <c r="L55" s="161">
        <f t="shared" si="3"/>
        <v>0.11242038216560508</v>
      </c>
      <c r="M55" s="161"/>
      <c r="N55" s="138"/>
      <c r="O55" s="138">
        <f>(0.08847-1.46936*L55+11.98979*L55^2+1.97056*L55^3)*'Key Data'!$I$15*'Key Data'!$F$15</f>
        <v>6.1121689400744847E-2</v>
      </c>
      <c r="P55" s="138">
        <f>O55*(1+'Key Data'!F$3)</f>
        <v>7.6402111750931062E-2</v>
      </c>
      <c r="Q55" s="379"/>
      <c r="R55" s="379"/>
      <c r="S55" s="369"/>
    </row>
    <row r="56" spans="1:19" x14ac:dyDescent="0.3">
      <c r="A56" s="374"/>
      <c r="B56" s="374"/>
      <c r="C56" s="374"/>
      <c r="D56" s="374"/>
      <c r="E56" s="374"/>
      <c r="F56" s="374"/>
      <c r="G56" s="374"/>
      <c r="H56" s="72" t="s">
        <v>393</v>
      </c>
      <c r="I56" s="161"/>
      <c r="J56" s="161"/>
      <c r="K56" s="161">
        <v>38.200000000000003</v>
      </c>
      <c r="L56" s="161">
        <f t="shared" si="3"/>
        <v>0.12165605095541401</v>
      </c>
      <c r="M56" s="161"/>
      <c r="N56" s="138"/>
      <c r="O56" s="138">
        <f>(0.08847-1.46936*L56+11.98979*L56^2+1.97056*L56^3)*'Key Data'!$I$15*'Key Data'!$F$15</f>
        <v>7.1436291081296621E-2</v>
      </c>
      <c r="P56" s="138">
        <f>O56*(1+'Key Data'!F$3)</f>
        <v>8.9295363851620776E-2</v>
      </c>
      <c r="Q56" s="379"/>
      <c r="R56" s="379"/>
      <c r="S56" s="369"/>
    </row>
    <row r="57" spans="1:19" x14ac:dyDescent="0.3">
      <c r="A57" s="374"/>
      <c r="B57" s="374"/>
      <c r="C57" s="374"/>
      <c r="D57" s="374"/>
      <c r="E57" s="374"/>
      <c r="F57" s="374"/>
      <c r="G57" s="374"/>
      <c r="H57" s="72" t="s">
        <v>393</v>
      </c>
      <c r="I57" s="161"/>
      <c r="J57" s="161"/>
      <c r="K57" s="161">
        <v>27.200000000000003</v>
      </c>
      <c r="L57" s="161">
        <f t="shared" si="3"/>
        <v>8.6624203821656046E-2</v>
      </c>
      <c r="M57" s="161"/>
      <c r="N57" s="138"/>
      <c r="O57" s="138">
        <f>(0.08847-1.46936*L57+11.98979*L57^2+1.97056*L57^3)*'Key Data'!$I$15*'Key Data'!$F$15</f>
        <v>4.1294260208745034E-2</v>
      </c>
      <c r="P57" s="138">
        <f>O57*(1+'Key Data'!F$3)</f>
        <v>5.1617825260931297E-2</v>
      </c>
      <c r="Q57" s="379"/>
      <c r="R57" s="379"/>
      <c r="S57" s="369"/>
    </row>
    <row r="58" spans="1:19" x14ac:dyDescent="0.3">
      <c r="A58" s="374"/>
      <c r="B58" s="374"/>
      <c r="C58" s="374"/>
      <c r="D58" s="374"/>
      <c r="E58" s="374"/>
      <c r="F58" s="374"/>
      <c r="G58" s="374"/>
      <c r="H58" s="72" t="s">
        <v>393</v>
      </c>
      <c r="I58" s="161"/>
      <c r="J58" s="161"/>
      <c r="K58" s="161">
        <v>39.900000000000013</v>
      </c>
      <c r="L58" s="161">
        <f t="shared" si="3"/>
        <v>0.12707006369426754</v>
      </c>
      <c r="M58" s="161"/>
      <c r="N58" s="138"/>
      <c r="O58" s="138">
        <f>(0.08847-1.46936*L58+11.98979*L58^2+1.97056*L58^3)*'Key Data'!$I$15*'Key Data'!$F$15</f>
        <v>7.8276107106424103E-2</v>
      </c>
      <c r="P58" s="138">
        <f>O58*(1+'Key Data'!F$3)</f>
        <v>9.7845133883030122E-2</v>
      </c>
      <c r="Q58" s="379"/>
      <c r="R58" s="379"/>
      <c r="S58" s="369"/>
    </row>
    <row r="59" spans="1:19" x14ac:dyDescent="0.3">
      <c r="A59" s="374"/>
      <c r="B59" s="374"/>
      <c r="C59" s="374"/>
      <c r="D59" s="374"/>
      <c r="E59" s="374"/>
      <c r="F59" s="374"/>
      <c r="G59" s="374"/>
      <c r="H59" s="72" t="s">
        <v>393</v>
      </c>
      <c r="I59" s="161"/>
      <c r="J59" s="161"/>
      <c r="K59" s="161">
        <v>36</v>
      </c>
      <c r="L59" s="161">
        <f t="shared" si="3"/>
        <v>0.11464968152866241</v>
      </c>
      <c r="M59" s="161"/>
      <c r="N59" s="138"/>
      <c r="O59" s="138">
        <f>(0.08847-1.46936*L59+11.98979*L59^2+1.97056*L59^3)*'Key Data'!$I$15*'Key Data'!$F$15</f>
        <v>6.3455491570729453E-2</v>
      </c>
      <c r="P59" s="138">
        <f>O59*(1+'Key Data'!F$3)</f>
        <v>7.9319364463411812E-2</v>
      </c>
      <c r="Q59" s="379"/>
      <c r="R59" s="379"/>
      <c r="S59" s="369"/>
    </row>
    <row r="60" spans="1:19" x14ac:dyDescent="0.3">
      <c r="A60" s="374"/>
      <c r="B60" s="374"/>
      <c r="C60" s="374"/>
      <c r="D60" s="374"/>
      <c r="E60" s="374"/>
      <c r="F60" s="374"/>
      <c r="G60" s="374"/>
      <c r="H60" s="72" t="s">
        <v>393</v>
      </c>
      <c r="I60" s="161"/>
      <c r="J60" s="161"/>
      <c r="K60" s="161">
        <v>32.200000000000003</v>
      </c>
      <c r="L60" s="161">
        <f t="shared" si="3"/>
        <v>0.10254777070063695</v>
      </c>
      <c r="M60" s="161"/>
      <c r="N60" s="138"/>
      <c r="O60" s="138">
        <f>(0.08847-1.46936*L60+11.98979*L60^2+1.97056*L60^3)*'Key Data'!$I$15*'Key Data'!$F$15</f>
        <v>5.1975494645002382E-2</v>
      </c>
      <c r="P60" s="138">
        <f>O60*(1+'Key Data'!F$3)</f>
        <v>6.4969368306252981E-2</v>
      </c>
      <c r="Q60" s="379"/>
      <c r="R60" s="379"/>
      <c r="S60" s="369"/>
    </row>
    <row r="61" spans="1:19" x14ac:dyDescent="0.3">
      <c r="A61" s="374"/>
      <c r="B61" s="374"/>
      <c r="C61" s="374"/>
      <c r="D61" s="374"/>
      <c r="E61" s="374"/>
      <c r="F61" s="374"/>
      <c r="G61" s="374"/>
      <c r="H61" s="72" t="s">
        <v>393</v>
      </c>
      <c r="I61" s="161"/>
      <c r="J61" s="161"/>
      <c r="K61" s="161">
        <v>33.5</v>
      </c>
      <c r="L61" s="161">
        <f t="shared" si="3"/>
        <v>0.10668789808917196</v>
      </c>
      <c r="M61" s="161"/>
      <c r="N61" s="138"/>
      <c r="O61" s="138">
        <f>(0.08847-1.46936*L61+11.98979*L61^2+1.97056*L61^3)*'Key Data'!$I$15*'Key Data'!$F$15</f>
        <v>5.5575061162319667E-2</v>
      </c>
      <c r="P61" s="138">
        <f>O61*(1+'Key Data'!F$3)</f>
        <v>6.946882645289959E-2</v>
      </c>
      <c r="Q61" s="379"/>
      <c r="R61" s="379"/>
      <c r="S61" s="369"/>
    </row>
    <row r="62" spans="1:19" x14ac:dyDescent="0.3">
      <c r="A62" s="374"/>
      <c r="B62" s="374"/>
      <c r="C62" s="374"/>
      <c r="D62" s="374"/>
      <c r="E62" s="374"/>
      <c r="F62" s="374"/>
      <c r="G62" s="374"/>
      <c r="H62" s="72" t="s">
        <v>393</v>
      </c>
      <c r="I62" s="161"/>
      <c r="J62" s="161"/>
      <c r="K62" s="161">
        <v>35.800000000000011</v>
      </c>
      <c r="L62" s="161">
        <f t="shared" si="3"/>
        <v>0.11401273885350321</v>
      </c>
      <c r="M62" s="161"/>
      <c r="N62" s="138"/>
      <c r="O62" s="138">
        <f>(0.08847-1.46936*L62+11.98979*L62^2+1.97056*L62^3)*'Key Data'!$I$15*'Key Data'!$F$15</f>
        <v>6.2778577703365507E-2</v>
      </c>
      <c r="P62" s="138">
        <f>O62*(1+'Key Data'!F$3)</f>
        <v>7.8473222129206877E-2</v>
      </c>
      <c r="Q62" s="379"/>
      <c r="R62" s="379"/>
      <c r="S62" s="369"/>
    </row>
    <row r="63" spans="1:19" x14ac:dyDescent="0.3">
      <c r="A63" s="374"/>
      <c r="B63" s="374"/>
      <c r="C63" s="374"/>
      <c r="D63" s="374"/>
      <c r="E63" s="374"/>
      <c r="F63" s="374"/>
      <c r="G63" s="374"/>
      <c r="H63" s="72" t="s">
        <v>393</v>
      </c>
      <c r="I63" s="161"/>
      <c r="J63" s="161"/>
      <c r="K63" s="161">
        <v>31.7</v>
      </c>
      <c r="L63" s="161">
        <f t="shared" si="3"/>
        <v>0.10095541401273884</v>
      </c>
      <c r="M63" s="161"/>
      <c r="N63" s="138"/>
      <c r="O63" s="138">
        <f>(0.08847-1.46936*L63+11.98979*L63^2+1.97056*L63^3)*'Key Data'!$I$15*'Key Data'!$F$15</f>
        <v>5.0681627622689102E-2</v>
      </c>
      <c r="P63" s="138">
        <f>O63*(1+'Key Data'!F$3)</f>
        <v>6.3352034528361384E-2</v>
      </c>
      <c r="Q63" s="379"/>
      <c r="R63" s="379"/>
      <c r="S63" s="369"/>
    </row>
    <row r="64" spans="1:19" x14ac:dyDescent="0.3">
      <c r="A64" s="367">
        <v>3</v>
      </c>
      <c r="B64" s="367" t="s">
        <v>448</v>
      </c>
      <c r="C64" s="367" t="s">
        <v>449</v>
      </c>
      <c r="D64" s="367" t="s">
        <v>441</v>
      </c>
      <c r="E64" s="367">
        <v>24.757983299999999</v>
      </c>
      <c r="F64" s="367">
        <v>86.709731700000006</v>
      </c>
      <c r="G64" s="367">
        <v>2023</v>
      </c>
      <c r="H64" s="94" t="s">
        <v>393</v>
      </c>
      <c r="I64" s="162"/>
      <c r="J64" s="162"/>
      <c r="K64" s="162">
        <v>31.300000000000004</v>
      </c>
      <c r="L64" s="162">
        <f t="shared" si="3"/>
        <v>9.9681528662420402E-2</v>
      </c>
      <c r="M64" s="162"/>
      <c r="N64" s="131"/>
      <c r="O64" s="131">
        <f>(0.08847-1.46936*L64+11.98979*L64^2+1.97056*L64^3)*'Key Data'!$I$15*'Key Data'!$F$15</f>
        <v>4.9682726961399665E-2</v>
      </c>
      <c r="P64" s="131">
        <f>O64*(1+'Key Data'!F$3)</f>
        <v>6.2103408701749581E-2</v>
      </c>
      <c r="Q64" s="366">
        <f>SUM(P64:P84)</f>
        <v>1.5406509491570894</v>
      </c>
      <c r="R64" s="366">
        <f>Q64*10000/900</f>
        <v>17.118343879523216</v>
      </c>
      <c r="S64" s="369"/>
    </row>
    <row r="65" spans="1:19" x14ac:dyDescent="0.3">
      <c r="A65" s="367"/>
      <c r="B65" s="367"/>
      <c r="C65" s="367"/>
      <c r="D65" s="367"/>
      <c r="E65" s="367"/>
      <c r="F65" s="367"/>
      <c r="G65" s="367"/>
      <c r="H65" s="94" t="s">
        <v>393</v>
      </c>
      <c r="I65" s="162"/>
      <c r="J65" s="162"/>
      <c r="K65" s="162">
        <v>32.299999999999997</v>
      </c>
      <c r="L65" s="162">
        <f t="shared" si="3"/>
        <v>0.10286624203821654</v>
      </c>
      <c r="M65" s="162"/>
      <c r="N65" s="131"/>
      <c r="O65" s="131">
        <f>(0.08847-1.46936*L65+11.98979*L65^2+1.97056*L65^3)*'Key Data'!$I$15*'Key Data'!$F$15</f>
        <v>5.2240303216370368E-2</v>
      </c>
      <c r="P65" s="131">
        <f>O65*(1+'Key Data'!F$3)</f>
        <v>6.5300379020462956E-2</v>
      </c>
      <c r="Q65" s="366"/>
      <c r="R65" s="366"/>
      <c r="S65" s="369"/>
    </row>
    <row r="66" spans="1:19" x14ac:dyDescent="0.3">
      <c r="A66" s="367"/>
      <c r="B66" s="367"/>
      <c r="C66" s="367"/>
      <c r="D66" s="367"/>
      <c r="E66" s="367"/>
      <c r="F66" s="367"/>
      <c r="G66" s="367"/>
      <c r="H66" s="94" t="s">
        <v>393</v>
      </c>
      <c r="I66" s="162"/>
      <c r="J66" s="162"/>
      <c r="K66" s="162">
        <v>35.000000000000007</v>
      </c>
      <c r="L66" s="162">
        <f t="shared" si="3"/>
        <v>0.11146496815286627</v>
      </c>
      <c r="M66" s="162"/>
      <c r="N66" s="131"/>
      <c r="O66" s="131">
        <f>(0.08847-1.46936*L66+11.98979*L66^2+1.97056*L66^3)*'Key Data'!$I$15*'Key Data'!$F$15</f>
        <v>6.0151816182942609E-2</v>
      </c>
      <c r="P66" s="131">
        <f>O66*(1+'Key Data'!F$3)</f>
        <v>7.518977022867826E-2</v>
      </c>
      <c r="Q66" s="366"/>
      <c r="R66" s="366"/>
      <c r="S66" s="369"/>
    </row>
    <row r="67" spans="1:19" x14ac:dyDescent="0.3">
      <c r="A67" s="367"/>
      <c r="B67" s="367"/>
      <c r="C67" s="367"/>
      <c r="D67" s="367"/>
      <c r="E67" s="367"/>
      <c r="F67" s="367"/>
      <c r="G67" s="367"/>
      <c r="H67" s="94" t="s">
        <v>393</v>
      </c>
      <c r="I67" s="162"/>
      <c r="J67" s="162"/>
      <c r="K67" s="162">
        <v>37.6</v>
      </c>
      <c r="L67" s="162">
        <f t="shared" si="3"/>
        <v>0.11974522292993629</v>
      </c>
      <c r="M67" s="162"/>
      <c r="N67" s="131"/>
      <c r="O67" s="131">
        <f>(0.08847-1.46936*L67+11.98979*L67^2+1.97056*L67^3)*'Key Data'!$I$15*'Key Data'!$F$15</f>
        <v>6.9162396059476813E-2</v>
      </c>
      <c r="P67" s="131">
        <f>O67*(1+'Key Data'!F$3)</f>
        <v>8.645299507434602E-2</v>
      </c>
      <c r="Q67" s="366"/>
      <c r="R67" s="366"/>
      <c r="S67" s="369"/>
    </row>
    <row r="68" spans="1:19" x14ac:dyDescent="0.3">
      <c r="A68" s="367"/>
      <c r="B68" s="367"/>
      <c r="C68" s="367"/>
      <c r="D68" s="367"/>
      <c r="E68" s="367"/>
      <c r="F68" s="367"/>
      <c r="G68" s="367"/>
      <c r="H68" s="94" t="s">
        <v>393</v>
      </c>
      <c r="I68" s="162"/>
      <c r="J68" s="162"/>
      <c r="K68" s="162">
        <v>32.500000000000007</v>
      </c>
      <c r="L68" s="162">
        <f t="shared" si="3"/>
        <v>0.10350318471337581</v>
      </c>
      <c r="M68" s="162"/>
      <c r="N68" s="131"/>
      <c r="O68" s="131">
        <f>(0.08847-1.46936*L68+11.98979*L68^2+1.97056*L68^3)*'Key Data'!$I$15*'Key Data'!$F$15</f>
        <v>5.277595793199457E-2</v>
      </c>
      <c r="P68" s="131">
        <f>O68*(1+'Key Data'!F$3)</f>
        <v>6.5969947414993207E-2</v>
      </c>
      <c r="Q68" s="366"/>
      <c r="R68" s="366"/>
      <c r="S68" s="369"/>
    </row>
    <row r="69" spans="1:19" x14ac:dyDescent="0.3">
      <c r="A69" s="367"/>
      <c r="B69" s="367"/>
      <c r="C69" s="367"/>
      <c r="D69" s="367"/>
      <c r="E69" s="367"/>
      <c r="F69" s="367"/>
      <c r="G69" s="367"/>
      <c r="H69" s="94" t="s">
        <v>393</v>
      </c>
      <c r="I69" s="162"/>
      <c r="J69" s="162"/>
      <c r="K69" s="162">
        <v>34.599999999999994</v>
      </c>
      <c r="L69" s="162">
        <f t="shared" si="3"/>
        <v>0.11019108280254775</v>
      </c>
      <c r="M69" s="162"/>
      <c r="N69" s="131"/>
      <c r="O69" s="131">
        <f>(0.08847-1.46936*L69+11.98979*L69^2+1.97056*L69^3)*'Key Data'!$I$15*'Key Data'!$F$15</f>
        <v>5.8886938108391657E-2</v>
      </c>
      <c r="P69" s="131">
        <f>O69*(1+'Key Data'!F$3)</f>
        <v>7.3608672635489564E-2</v>
      </c>
      <c r="Q69" s="366"/>
      <c r="R69" s="366"/>
      <c r="S69" s="369"/>
    </row>
    <row r="70" spans="1:19" x14ac:dyDescent="0.3">
      <c r="A70" s="367"/>
      <c r="B70" s="367"/>
      <c r="C70" s="367"/>
      <c r="D70" s="367"/>
      <c r="E70" s="367"/>
      <c r="F70" s="367"/>
      <c r="G70" s="367"/>
      <c r="H70" s="94" t="s">
        <v>393</v>
      </c>
      <c r="I70" s="162"/>
      <c r="J70" s="162"/>
      <c r="K70" s="162">
        <v>33.400000000000006</v>
      </c>
      <c r="L70" s="162">
        <f t="shared" si="3"/>
        <v>0.10636942675159236</v>
      </c>
      <c r="M70" s="162"/>
      <c r="N70" s="131"/>
      <c r="O70" s="131">
        <f>(0.08847-1.46936*L70+11.98979*L70^2+1.97056*L70^3)*'Key Data'!$I$15*'Key Data'!$F$15</f>
        <v>5.5286083653032309E-2</v>
      </c>
      <c r="P70" s="131">
        <f>O70*(1+'Key Data'!F$3)</f>
        <v>6.9107604566290393E-2</v>
      </c>
      <c r="Q70" s="366"/>
      <c r="R70" s="366"/>
      <c r="S70" s="369"/>
    </row>
    <row r="71" spans="1:19" x14ac:dyDescent="0.3">
      <c r="A71" s="367"/>
      <c r="B71" s="367"/>
      <c r="C71" s="367"/>
      <c r="D71" s="367"/>
      <c r="E71" s="367"/>
      <c r="F71" s="367"/>
      <c r="G71" s="367"/>
      <c r="H71" s="94" t="s">
        <v>393</v>
      </c>
      <c r="I71" s="162"/>
      <c r="J71" s="162"/>
      <c r="K71" s="162">
        <v>41.800000000000004</v>
      </c>
      <c r="L71" s="162">
        <f t="shared" si="3"/>
        <v>0.13312101910828025</v>
      </c>
      <c r="M71" s="162"/>
      <c r="N71" s="131"/>
      <c r="O71" s="131">
        <f>(0.08847-1.46936*L71+11.98979*L71^2+1.97056*L71^3)*'Key Data'!$I$15*'Key Data'!$F$15</f>
        <v>8.6616742002427513E-2</v>
      </c>
      <c r="P71" s="131">
        <f>O71*(1+'Key Data'!F$3)</f>
        <v>0.10827092750303439</v>
      </c>
      <c r="Q71" s="366"/>
      <c r="R71" s="366"/>
      <c r="S71" s="369"/>
    </row>
    <row r="72" spans="1:19" x14ac:dyDescent="0.3">
      <c r="A72" s="367"/>
      <c r="B72" s="367"/>
      <c r="C72" s="367"/>
      <c r="D72" s="367"/>
      <c r="E72" s="367"/>
      <c r="F72" s="367"/>
      <c r="G72" s="367"/>
      <c r="H72" s="94" t="s">
        <v>393</v>
      </c>
      <c r="I72" s="162"/>
      <c r="J72" s="162"/>
      <c r="K72" s="162">
        <v>31.300000000000004</v>
      </c>
      <c r="L72" s="162">
        <f t="shared" si="3"/>
        <v>9.9681528662420402E-2</v>
      </c>
      <c r="M72" s="162"/>
      <c r="N72" s="131"/>
      <c r="O72" s="131">
        <f>(0.08847-1.46936*L72+11.98979*L72^2+1.97056*L72^3)*'Key Data'!$I$15*'Key Data'!$F$15</f>
        <v>4.9682726961399665E-2</v>
      </c>
      <c r="P72" s="131">
        <f>O72*(1+'Key Data'!F$3)</f>
        <v>6.2103408701749581E-2</v>
      </c>
      <c r="Q72" s="366"/>
      <c r="R72" s="366"/>
      <c r="S72" s="369"/>
    </row>
    <row r="73" spans="1:19" x14ac:dyDescent="0.3">
      <c r="A73" s="367"/>
      <c r="B73" s="367"/>
      <c r="C73" s="367"/>
      <c r="D73" s="367"/>
      <c r="E73" s="367"/>
      <c r="F73" s="367"/>
      <c r="G73" s="367"/>
      <c r="H73" s="94" t="s">
        <v>393</v>
      </c>
      <c r="I73" s="162"/>
      <c r="J73" s="162"/>
      <c r="K73" s="162">
        <v>32.4</v>
      </c>
      <c r="L73" s="162">
        <f t="shared" si="3"/>
        <v>0.10318471337579617</v>
      </c>
      <c r="M73" s="162"/>
      <c r="N73" s="131"/>
      <c r="O73" s="131">
        <f>(0.08847-1.46936*L73+11.98979*L73^2+1.97056*L73^3)*'Key Data'!$I$15*'Key Data'!$F$15</f>
        <v>5.2507124211785154E-2</v>
      </c>
      <c r="P73" s="131">
        <f>O73*(1+'Key Data'!F$3)</f>
        <v>6.5633905264731437E-2</v>
      </c>
      <c r="Q73" s="366"/>
      <c r="R73" s="366"/>
      <c r="S73" s="369"/>
    </row>
    <row r="74" spans="1:19" x14ac:dyDescent="0.3">
      <c r="A74" s="367"/>
      <c r="B74" s="367"/>
      <c r="C74" s="367"/>
      <c r="D74" s="367"/>
      <c r="E74" s="367"/>
      <c r="F74" s="367"/>
      <c r="G74" s="367"/>
      <c r="H74" s="94" t="s">
        <v>393</v>
      </c>
      <c r="I74" s="162"/>
      <c r="J74" s="162"/>
      <c r="K74" s="162">
        <v>31.300000000000004</v>
      </c>
      <c r="L74" s="162">
        <f t="shared" si="3"/>
        <v>9.9681528662420402E-2</v>
      </c>
      <c r="M74" s="162"/>
      <c r="N74" s="131"/>
      <c r="O74" s="131">
        <f>(0.08847-1.46936*L74+11.98979*L74^2+1.97056*L74^3)*'Key Data'!$I$15*'Key Data'!$F$15</f>
        <v>4.9682726961399665E-2</v>
      </c>
      <c r="P74" s="131">
        <f>O74*(1+'Key Data'!F$3)</f>
        <v>6.2103408701749581E-2</v>
      </c>
      <c r="Q74" s="366"/>
      <c r="R74" s="366"/>
      <c r="S74" s="369"/>
    </row>
    <row r="75" spans="1:19" x14ac:dyDescent="0.3">
      <c r="A75" s="367"/>
      <c r="B75" s="367"/>
      <c r="C75" s="367"/>
      <c r="D75" s="367"/>
      <c r="E75" s="367"/>
      <c r="F75" s="367"/>
      <c r="G75" s="367"/>
      <c r="H75" s="94" t="s">
        <v>393</v>
      </c>
      <c r="I75" s="162"/>
      <c r="J75" s="162"/>
      <c r="K75" s="162">
        <v>35.799999999999997</v>
      </c>
      <c r="L75" s="162">
        <f t="shared" si="3"/>
        <v>0.11401273885350317</v>
      </c>
      <c r="M75" s="162"/>
      <c r="N75" s="131"/>
      <c r="O75" s="131">
        <f>(0.08847-1.46936*L75+11.98979*L75^2+1.97056*L75^3)*'Key Data'!$I$15*'Key Data'!$F$15</f>
        <v>6.2778577703365493E-2</v>
      </c>
      <c r="P75" s="131">
        <f>O75*(1+'Key Data'!F$3)</f>
        <v>7.8473222129206863E-2</v>
      </c>
      <c r="Q75" s="366"/>
      <c r="R75" s="366"/>
      <c r="S75" s="369"/>
    </row>
    <row r="76" spans="1:19" x14ac:dyDescent="0.3">
      <c r="A76" s="367"/>
      <c r="B76" s="367"/>
      <c r="C76" s="367"/>
      <c r="D76" s="367"/>
      <c r="E76" s="367"/>
      <c r="F76" s="367"/>
      <c r="G76" s="367"/>
      <c r="H76" s="94" t="s">
        <v>393</v>
      </c>
      <c r="I76" s="162"/>
      <c r="J76" s="162"/>
      <c r="K76" s="162">
        <v>36.300000000000004</v>
      </c>
      <c r="L76" s="162">
        <f t="shared" si="3"/>
        <v>0.11560509554140129</v>
      </c>
      <c r="M76" s="162"/>
      <c r="N76" s="131"/>
      <c r="O76" s="131">
        <f>(0.08847-1.46936*L76+11.98979*L76^2+1.97056*L76^3)*'Key Data'!$I$15*'Key Data'!$F$15</f>
        <v>6.4486039761524241E-2</v>
      </c>
      <c r="P76" s="131">
        <f>O76*(1+'Key Data'!F$3)</f>
        <v>8.0607549701905298E-2</v>
      </c>
      <c r="Q76" s="366"/>
      <c r="R76" s="366"/>
      <c r="S76" s="369"/>
    </row>
    <row r="77" spans="1:19" x14ac:dyDescent="0.3">
      <c r="A77" s="367"/>
      <c r="B77" s="367"/>
      <c r="C77" s="367"/>
      <c r="D77" s="367"/>
      <c r="E77" s="367"/>
      <c r="F77" s="367"/>
      <c r="G77" s="367"/>
      <c r="H77" s="94" t="s">
        <v>393</v>
      </c>
      <c r="I77" s="162"/>
      <c r="J77" s="162"/>
      <c r="K77" s="162">
        <v>33.6</v>
      </c>
      <c r="L77" s="162">
        <f t="shared" si="3"/>
        <v>0.10700636942675158</v>
      </c>
      <c r="M77" s="162"/>
      <c r="N77" s="131"/>
      <c r="O77" s="131">
        <f>(0.08847-1.46936*L77+11.98979*L77^2+1.97056*L77^3)*'Key Data'!$I$15*'Key Data'!$F$15</f>
        <v>5.5866054704628E-2</v>
      </c>
      <c r="P77" s="131">
        <f>O77*(1+'Key Data'!F$3)</f>
        <v>6.9832568380784998E-2</v>
      </c>
      <c r="Q77" s="366"/>
      <c r="R77" s="366"/>
      <c r="S77" s="369"/>
    </row>
    <row r="78" spans="1:19" x14ac:dyDescent="0.3">
      <c r="A78" s="367"/>
      <c r="B78" s="367"/>
      <c r="C78" s="367"/>
      <c r="D78" s="367"/>
      <c r="E78" s="367"/>
      <c r="F78" s="367"/>
      <c r="G78" s="367"/>
      <c r="H78" s="94" t="s">
        <v>393</v>
      </c>
      <c r="I78" s="162"/>
      <c r="J78" s="162"/>
      <c r="K78" s="162">
        <v>33.6</v>
      </c>
      <c r="L78" s="162">
        <f t="shared" si="3"/>
        <v>0.10700636942675158</v>
      </c>
      <c r="M78" s="162"/>
      <c r="N78" s="131"/>
      <c r="O78" s="131">
        <f>(0.08847-1.46936*L78+11.98979*L78^2+1.97056*L78^3)*'Key Data'!$I$15*'Key Data'!$F$15</f>
        <v>5.5866054704628E-2</v>
      </c>
      <c r="P78" s="131">
        <f>O78*(1+'Key Data'!F$3)</f>
        <v>6.9832568380784998E-2</v>
      </c>
      <c r="Q78" s="366"/>
      <c r="R78" s="366"/>
      <c r="S78" s="369"/>
    </row>
    <row r="79" spans="1:19" x14ac:dyDescent="0.3">
      <c r="A79" s="367"/>
      <c r="B79" s="367"/>
      <c r="C79" s="367"/>
      <c r="D79" s="367"/>
      <c r="E79" s="367"/>
      <c r="F79" s="367"/>
      <c r="G79" s="367"/>
      <c r="H79" s="94" t="s">
        <v>393</v>
      </c>
      <c r="I79" s="162"/>
      <c r="J79" s="162"/>
      <c r="K79" s="162">
        <v>34.199999999999996</v>
      </c>
      <c r="L79" s="162">
        <f t="shared" si="3"/>
        <v>0.10891719745222929</v>
      </c>
      <c r="M79" s="162"/>
      <c r="N79" s="131"/>
      <c r="O79" s="131">
        <f>(0.08847-1.46936*L79+11.98979*L79^2+1.97056*L79^3)*'Key Data'!$I$15*'Key Data'!$F$15</f>
        <v>5.7654369493797944E-2</v>
      </c>
      <c r="P79" s="131">
        <f>O79*(1+'Key Data'!F$3)</f>
        <v>7.2067961867247426E-2</v>
      </c>
      <c r="Q79" s="366"/>
      <c r="R79" s="366"/>
      <c r="S79" s="369"/>
    </row>
    <row r="80" spans="1:19" x14ac:dyDescent="0.3">
      <c r="A80" s="367"/>
      <c r="B80" s="367"/>
      <c r="C80" s="367"/>
      <c r="D80" s="367"/>
      <c r="E80" s="367"/>
      <c r="F80" s="367"/>
      <c r="G80" s="367"/>
      <c r="H80" s="94" t="s">
        <v>393</v>
      </c>
      <c r="I80" s="162"/>
      <c r="J80" s="162"/>
      <c r="K80" s="162">
        <v>40.500000000000007</v>
      </c>
      <c r="L80" s="162">
        <f t="shared" si="3"/>
        <v>0.12898089171974525</v>
      </c>
      <c r="M80" s="162"/>
      <c r="N80" s="131"/>
      <c r="O80" s="131">
        <f>(0.08847-1.46936*L80+11.98979*L80^2+1.97056*L80^3)*'Key Data'!$I$15*'Key Data'!$F$15</f>
        <v>8.0830518112922078E-2</v>
      </c>
      <c r="P80" s="131">
        <f>O80*(1+'Key Data'!F$3)</f>
        <v>0.1010381476411526</v>
      </c>
      <c r="Q80" s="366"/>
      <c r="R80" s="366"/>
      <c r="S80" s="369"/>
    </row>
    <row r="81" spans="1:19" x14ac:dyDescent="0.3">
      <c r="A81" s="367"/>
      <c r="B81" s="367"/>
      <c r="C81" s="367"/>
      <c r="D81" s="367"/>
      <c r="E81" s="367"/>
      <c r="F81" s="367"/>
      <c r="G81" s="367"/>
      <c r="H81" s="94" t="s">
        <v>393</v>
      </c>
      <c r="I81" s="162"/>
      <c r="J81" s="162"/>
      <c r="K81" s="162">
        <v>32.4</v>
      </c>
      <c r="L81" s="162">
        <f t="shared" si="3"/>
        <v>0.10318471337579617</v>
      </c>
      <c r="M81" s="162"/>
      <c r="N81" s="131"/>
      <c r="O81" s="131">
        <f>(0.08847-1.46936*L81+11.98979*L81^2+1.97056*L81^3)*'Key Data'!$I$15*'Key Data'!$F$15</f>
        <v>5.2507124211785154E-2</v>
      </c>
      <c r="P81" s="131">
        <f>O81*(1+'Key Data'!F$3)</f>
        <v>6.5633905264731437E-2</v>
      </c>
      <c r="Q81" s="366"/>
      <c r="R81" s="366"/>
      <c r="S81" s="369"/>
    </row>
    <row r="82" spans="1:19" x14ac:dyDescent="0.3">
      <c r="A82" s="367"/>
      <c r="B82" s="367"/>
      <c r="C82" s="367"/>
      <c r="D82" s="367"/>
      <c r="E82" s="367"/>
      <c r="F82" s="367"/>
      <c r="G82" s="367"/>
      <c r="H82" s="94" t="s">
        <v>393</v>
      </c>
      <c r="I82" s="162"/>
      <c r="J82" s="162"/>
      <c r="K82" s="162">
        <v>31.400000000000006</v>
      </c>
      <c r="L82" s="162">
        <f t="shared" si="3"/>
        <v>0.10000000000000002</v>
      </c>
      <c r="M82" s="162"/>
      <c r="N82" s="131"/>
      <c r="O82" s="131">
        <f>(0.08847-1.46936*L82+11.98979*L82^2+1.97056*L82^3)*'Key Data'!$I$15*'Key Data'!$F$15</f>
        <v>4.9929437249999993E-2</v>
      </c>
      <c r="P82" s="131">
        <f>O82*(1+'Key Data'!F$3)</f>
        <v>6.241179656249999E-2</v>
      </c>
      <c r="Q82" s="366"/>
      <c r="R82" s="366"/>
      <c r="S82" s="369"/>
    </row>
    <row r="83" spans="1:19" x14ac:dyDescent="0.3">
      <c r="A83" s="367"/>
      <c r="B83" s="367"/>
      <c r="C83" s="367"/>
      <c r="D83" s="367"/>
      <c r="E83" s="367"/>
      <c r="F83" s="367"/>
      <c r="G83" s="367"/>
      <c r="H83" s="94" t="s">
        <v>393</v>
      </c>
      <c r="I83" s="162"/>
      <c r="J83" s="162"/>
      <c r="K83" s="162">
        <v>34.099999999999994</v>
      </c>
      <c r="L83" s="162">
        <f t="shared" si="3"/>
        <v>0.10859872611464966</v>
      </c>
      <c r="M83" s="162"/>
      <c r="N83" s="131"/>
      <c r="O83" s="131">
        <f>(0.08847-1.46936*L83+11.98979*L83^2+1.97056*L83^3)*'Key Data'!$I$15*'Key Data'!$F$15</f>
        <v>5.735127343765891E-2</v>
      </c>
      <c r="P83" s="131">
        <f>O83*(1+'Key Data'!F$3)</f>
        <v>7.168909179707364E-2</v>
      </c>
      <c r="Q83" s="366"/>
      <c r="R83" s="366"/>
      <c r="S83" s="369"/>
    </row>
    <row r="84" spans="1:19" x14ac:dyDescent="0.3">
      <c r="A84" s="367"/>
      <c r="B84" s="367"/>
      <c r="C84" s="367"/>
      <c r="D84" s="367"/>
      <c r="E84" s="367"/>
      <c r="F84" s="367"/>
      <c r="G84" s="367"/>
      <c r="H84" s="94" t="s">
        <v>393</v>
      </c>
      <c r="I84" s="162"/>
      <c r="J84" s="162"/>
      <c r="K84" s="162">
        <v>34.5</v>
      </c>
      <c r="L84" s="162">
        <f t="shared" si="3"/>
        <v>0.10987261146496814</v>
      </c>
      <c r="M84" s="162"/>
      <c r="N84" s="131"/>
      <c r="O84" s="131">
        <f>(0.08847-1.46936*L84+11.98979*L84^2+1.97056*L84^3)*'Key Data'!$I$15*'Key Data'!$F$15</f>
        <v>5.8575767694741876E-2</v>
      </c>
      <c r="P84" s="131">
        <f>O84*(1+'Key Data'!F$3)</f>
        <v>7.3219709618427345E-2</v>
      </c>
      <c r="Q84" s="366"/>
      <c r="R84" s="366"/>
      <c r="S84" s="369"/>
    </row>
    <row r="85" spans="1:19" x14ac:dyDescent="0.3">
      <c r="A85" s="374">
        <v>4</v>
      </c>
      <c r="B85" s="374" t="s">
        <v>456</v>
      </c>
      <c r="C85" s="374"/>
      <c r="D85" s="374"/>
      <c r="E85" s="374">
        <v>24.730001999999999</v>
      </c>
      <c r="F85" s="374">
        <v>86.632833000000005</v>
      </c>
      <c r="G85" s="374">
        <v>2023</v>
      </c>
      <c r="H85" s="72" t="s">
        <v>263</v>
      </c>
      <c r="I85" s="161"/>
      <c r="J85" s="161"/>
      <c r="K85" s="161">
        <v>27</v>
      </c>
      <c r="L85" s="161">
        <f t="shared" ref="L85:L111" si="4">K85/3.14</f>
        <v>8.598726114649681</v>
      </c>
      <c r="M85" s="161"/>
      <c r="N85" s="138"/>
      <c r="O85" s="138">
        <f t="shared" ref="O85:O111" si="5">30.4*EXP(-5.07*EXP(-0.26*I85)+1.277)/1000</f>
        <v>6.8484866537485401E-4</v>
      </c>
      <c r="P85" s="138">
        <f>O85*(1+'Key Data'!F$3)</f>
        <v>8.5606083171856757E-4</v>
      </c>
      <c r="Q85" s="379">
        <f>SUM(P85:P131)</f>
        <v>0.95149180188548954</v>
      </c>
      <c r="R85" s="379">
        <f>Q85*10000/900</f>
        <v>10.572131132060996</v>
      </c>
      <c r="S85" s="369"/>
    </row>
    <row r="86" spans="1:19" x14ac:dyDescent="0.3">
      <c r="A86" s="374"/>
      <c r="B86" s="374"/>
      <c r="C86" s="374"/>
      <c r="D86" s="374"/>
      <c r="E86" s="374"/>
      <c r="F86" s="374"/>
      <c r="G86" s="374"/>
      <c r="H86" s="72" t="s">
        <v>263</v>
      </c>
      <c r="I86" s="161"/>
      <c r="J86" s="161"/>
      <c r="K86" s="161">
        <v>22</v>
      </c>
      <c r="L86" s="161">
        <f t="shared" si="4"/>
        <v>7.0063694267515917</v>
      </c>
      <c r="M86" s="161"/>
      <c r="N86" s="138"/>
      <c r="O86" s="138">
        <f t="shared" si="5"/>
        <v>6.8484866537485401E-4</v>
      </c>
      <c r="P86" s="138">
        <f>O86*(1+'Key Data'!F$3)</f>
        <v>8.5606083171856757E-4</v>
      </c>
      <c r="Q86" s="379"/>
      <c r="R86" s="379"/>
      <c r="S86" s="369"/>
    </row>
    <row r="87" spans="1:19" x14ac:dyDescent="0.3">
      <c r="A87" s="374"/>
      <c r="B87" s="374"/>
      <c r="C87" s="374"/>
      <c r="D87" s="374"/>
      <c r="E87" s="374"/>
      <c r="F87" s="374"/>
      <c r="G87" s="374"/>
      <c r="H87" s="72" t="s">
        <v>263</v>
      </c>
      <c r="I87" s="161"/>
      <c r="J87" s="161"/>
      <c r="K87" s="161">
        <v>21</v>
      </c>
      <c r="L87" s="161">
        <f t="shared" si="4"/>
        <v>6.6878980891719744</v>
      </c>
      <c r="M87" s="161"/>
      <c r="N87" s="138"/>
      <c r="O87" s="138">
        <f t="shared" si="5"/>
        <v>6.8484866537485401E-4</v>
      </c>
      <c r="P87" s="138">
        <f>O87*(1+'Key Data'!F$3)</f>
        <v>8.5606083171856757E-4</v>
      </c>
      <c r="Q87" s="379"/>
      <c r="R87" s="379"/>
      <c r="S87" s="369"/>
    </row>
    <row r="88" spans="1:19" x14ac:dyDescent="0.3">
      <c r="A88" s="374"/>
      <c r="B88" s="374"/>
      <c r="C88" s="374"/>
      <c r="D88" s="374"/>
      <c r="E88" s="374"/>
      <c r="F88" s="374"/>
      <c r="G88" s="374"/>
      <c r="H88" s="72" t="s">
        <v>263</v>
      </c>
      <c r="I88" s="161"/>
      <c r="J88" s="161"/>
      <c r="K88" s="161">
        <v>20.8</v>
      </c>
      <c r="L88" s="161">
        <f t="shared" si="4"/>
        <v>6.6242038216560513</v>
      </c>
      <c r="M88" s="161"/>
      <c r="N88" s="138"/>
      <c r="O88" s="138">
        <f t="shared" si="5"/>
        <v>6.8484866537485401E-4</v>
      </c>
      <c r="P88" s="138">
        <f>O88*(1+'Key Data'!F$3)</f>
        <v>8.5606083171856757E-4</v>
      </c>
      <c r="Q88" s="379"/>
      <c r="R88" s="379"/>
      <c r="S88" s="369"/>
    </row>
    <row r="89" spans="1:19" x14ac:dyDescent="0.3">
      <c r="A89" s="374"/>
      <c r="B89" s="374"/>
      <c r="C89" s="374"/>
      <c r="D89" s="374"/>
      <c r="E89" s="374"/>
      <c r="F89" s="374"/>
      <c r="G89" s="374"/>
      <c r="H89" s="72" t="s">
        <v>263</v>
      </c>
      <c r="I89" s="161"/>
      <c r="J89" s="161"/>
      <c r="K89" s="161">
        <v>25</v>
      </c>
      <c r="L89" s="161">
        <f t="shared" si="4"/>
        <v>7.9617834394904454</v>
      </c>
      <c r="M89" s="161"/>
      <c r="N89" s="138"/>
      <c r="O89" s="138">
        <f t="shared" si="5"/>
        <v>6.8484866537485401E-4</v>
      </c>
      <c r="P89" s="138">
        <f>O89*(1+'Key Data'!F$3)</f>
        <v>8.5606083171856757E-4</v>
      </c>
      <c r="Q89" s="379"/>
      <c r="R89" s="379"/>
      <c r="S89" s="369"/>
    </row>
    <row r="90" spans="1:19" x14ac:dyDescent="0.3">
      <c r="A90" s="374"/>
      <c r="B90" s="374"/>
      <c r="C90" s="374"/>
      <c r="D90" s="374"/>
      <c r="E90" s="374"/>
      <c r="F90" s="374"/>
      <c r="G90" s="374"/>
      <c r="H90" s="72" t="s">
        <v>263</v>
      </c>
      <c r="I90" s="161"/>
      <c r="J90" s="161"/>
      <c r="K90" s="161">
        <v>29.5</v>
      </c>
      <c r="L90" s="161">
        <f t="shared" si="4"/>
        <v>9.3949044585987256</v>
      </c>
      <c r="M90" s="161"/>
      <c r="N90" s="138"/>
      <c r="O90" s="138">
        <f t="shared" si="5"/>
        <v>6.8484866537485401E-4</v>
      </c>
      <c r="P90" s="138">
        <f>O90*(1+'Key Data'!F$3)</f>
        <v>8.5606083171856757E-4</v>
      </c>
      <c r="Q90" s="379"/>
      <c r="R90" s="379"/>
      <c r="S90" s="369"/>
    </row>
    <row r="91" spans="1:19" x14ac:dyDescent="0.3">
      <c r="A91" s="374"/>
      <c r="B91" s="374"/>
      <c r="C91" s="374"/>
      <c r="D91" s="374"/>
      <c r="E91" s="374"/>
      <c r="F91" s="374"/>
      <c r="G91" s="374"/>
      <c r="H91" s="72" t="s">
        <v>263</v>
      </c>
      <c r="I91" s="161"/>
      <c r="J91" s="161"/>
      <c r="K91" s="161">
        <v>24</v>
      </c>
      <c r="L91" s="161">
        <f t="shared" si="4"/>
        <v>7.6433121019108281</v>
      </c>
      <c r="M91" s="161"/>
      <c r="N91" s="138"/>
      <c r="O91" s="138">
        <f t="shared" si="5"/>
        <v>6.8484866537485401E-4</v>
      </c>
      <c r="P91" s="138">
        <f>O91*(1+'Key Data'!F$3)</f>
        <v>8.5606083171856757E-4</v>
      </c>
      <c r="Q91" s="379"/>
      <c r="R91" s="379"/>
      <c r="S91" s="369"/>
    </row>
    <row r="92" spans="1:19" x14ac:dyDescent="0.3">
      <c r="A92" s="374"/>
      <c r="B92" s="374"/>
      <c r="C92" s="374"/>
      <c r="D92" s="374"/>
      <c r="E92" s="374"/>
      <c r="F92" s="374"/>
      <c r="G92" s="374"/>
      <c r="H92" s="72" t="s">
        <v>263</v>
      </c>
      <c r="I92" s="161"/>
      <c r="J92" s="161"/>
      <c r="K92" s="161">
        <v>27</v>
      </c>
      <c r="L92" s="161">
        <f t="shared" si="4"/>
        <v>8.598726114649681</v>
      </c>
      <c r="M92" s="161"/>
      <c r="N92" s="138"/>
      <c r="O92" s="138">
        <f t="shared" si="5"/>
        <v>6.8484866537485401E-4</v>
      </c>
      <c r="P92" s="138">
        <f>O92*(1+'Key Data'!F$3)</f>
        <v>8.5606083171856757E-4</v>
      </c>
      <c r="Q92" s="379"/>
      <c r="R92" s="379"/>
      <c r="S92" s="369"/>
    </row>
    <row r="93" spans="1:19" x14ac:dyDescent="0.3">
      <c r="A93" s="374"/>
      <c r="B93" s="374"/>
      <c r="C93" s="374"/>
      <c r="D93" s="374"/>
      <c r="E93" s="374"/>
      <c r="F93" s="374"/>
      <c r="G93" s="374"/>
      <c r="H93" s="72" t="s">
        <v>263</v>
      </c>
      <c r="I93" s="161"/>
      <c r="J93" s="161"/>
      <c r="K93" s="161">
        <v>22</v>
      </c>
      <c r="L93" s="161">
        <f t="shared" si="4"/>
        <v>7.0063694267515917</v>
      </c>
      <c r="M93" s="161"/>
      <c r="N93" s="138"/>
      <c r="O93" s="138">
        <f t="shared" si="5"/>
        <v>6.8484866537485401E-4</v>
      </c>
      <c r="P93" s="138">
        <f>O93*(1+'Key Data'!F$3)</f>
        <v>8.5606083171856757E-4</v>
      </c>
      <c r="Q93" s="379"/>
      <c r="R93" s="379"/>
      <c r="S93" s="369"/>
    </row>
    <row r="94" spans="1:19" x14ac:dyDescent="0.3">
      <c r="A94" s="374"/>
      <c r="B94" s="374"/>
      <c r="C94" s="374"/>
      <c r="D94" s="374"/>
      <c r="E94" s="374"/>
      <c r="F94" s="374"/>
      <c r="G94" s="374"/>
      <c r="H94" s="72" t="s">
        <v>263</v>
      </c>
      <c r="I94" s="161"/>
      <c r="J94" s="161"/>
      <c r="K94" s="161">
        <v>27.8</v>
      </c>
      <c r="L94" s="161">
        <f t="shared" si="4"/>
        <v>8.8535031847133752</v>
      </c>
      <c r="M94" s="161"/>
      <c r="N94" s="138"/>
      <c r="O94" s="138">
        <f t="shared" si="5"/>
        <v>6.8484866537485401E-4</v>
      </c>
      <c r="P94" s="138">
        <f>O94*(1+'Key Data'!F$3)</f>
        <v>8.5606083171856757E-4</v>
      </c>
      <c r="Q94" s="379"/>
      <c r="R94" s="379"/>
      <c r="S94" s="369"/>
    </row>
    <row r="95" spans="1:19" x14ac:dyDescent="0.3">
      <c r="A95" s="374"/>
      <c r="B95" s="374"/>
      <c r="C95" s="374"/>
      <c r="D95" s="374"/>
      <c r="E95" s="374"/>
      <c r="F95" s="374"/>
      <c r="G95" s="374"/>
      <c r="H95" s="72" t="s">
        <v>263</v>
      </c>
      <c r="I95" s="161"/>
      <c r="J95" s="161"/>
      <c r="K95" s="161">
        <v>26.5</v>
      </c>
      <c r="L95" s="161">
        <f t="shared" si="4"/>
        <v>8.4394904458598727</v>
      </c>
      <c r="M95" s="161"/>
      <c r="N95" s="138"/>
      <c r="O95" s="138">
        <f t="shared" si="5"/>
        <v>6.8484866537485401E-4</v>
      </c>
      <c r="P95" s="138">
        <f>O95*(1+'Key Data'!F$3)</f>
        <v>8.5606083171856757E-4</v>
      </c>
      <c r="Q95" s="379"/>
      <c r="R95" s="379"/>
      <c r="S95" s="369"/>
    </row>
    <row r="96" spans="1:19" x14ac:dyDescent="0.3">
      <c r="A96" s="374"/>
      <c r="B96" s="374"/>
      <c r="C96" s="374"/>
      <c r="D96" s="374"/>
      <c r="E96" s="374"/>
      <c r="F96" s="374"/>
      <c r="G96" s="374"/>
      <c r="H96" s="72" t="s">
        <v>263</v>
      </c>
      <c r="I96" s="161"/>
      <c r="J96" s="161"/>
      <c r="K96" s="161">
        <v>25</v>
      </c>
      <c r="L96" s="161">
        <f t="shared" si="4"/>
        <v>7.9617834394904454</v>
      </c>
      <c r="M96" s="161"/>
      <c r="N96" s="138"/>
      <c r="O96" s="138">
        <f t="shared" si="5"/>
        <v>6.8484866537485401E-4</v>
      </c>
      <c r="P96" s="138">
        <f>O96*(1+'Key Data'!F$3)</f>
        <v>8.5606083171856757E-4</v>
      </c>
      <c r="Q96" s="379"/>
      <c r="R96" s="379"/>
      <c r="S96" s="369"/>
    </row>
    <row r="97" spans="1:19" x14ac:dyDescent="0.3">
      <c r="A97" s="374"/>
      <c r="B97" s="374"/>
      <c r="C97" s="374"/>
      <c r="D97" s="374"/>
      <c r="E97" s="374"/>
      <c r="F97" s="374"/>
      <c r="G97" s="374"/>
      <c r="H97" s="72" t="s">
        <v>263</v>
      </c>
      <c r="I97" s="161"/>
      <c r="J97" s="161"/>
      <c r="K97" s="161">
        <v>31</v>
      </c>
      <c r="L97" s="161">
        <f t="shared" si="4"/>
        <v>9.872611464968152</v>
      </c>
      <c r="M97" s="161"/>
      <c r="N97" s="138"/>
      <c r="O97" s="138">
        <f t="shared" si="5"/>
        <v>6.8484866537485401E-4</v>
      </c>
      <c r="P97" s="138">
        <f>O97*(1+'Key Data'!F$3)</f>
        <v>8.5606083171856757E-4</v>
      </c>
      <c r="Q97" s="379"/>
      <c r="R97" s="379"/>
      <c r="S97" s="369"/>
    </row>
    <row r="98" spans="1:19" x14ac:dyDescent="0.3">
      <c r="A98" s="374"/>
      <c r="B98" s="374"/>
      <c r="C98" s="374"/>
      <c r="D98" s="374"/>
      <c r="E98" s="374"/>
      <c r="F98" s="374"/>
      <c r="G98" s="374"/>
      <c r="H98" s="72" t="s">
        <v>263</v>
      </c>
      <c r="I98" s="161"/>
      <c r="J98" s="161"/>
      <c r="K98" s="161">
        <v>17.5</v>
      </c>
      <c r="L98" s="161">
        <f t="shared" si="4"/>
        <v>5.5732484076433115</v>
      </c>
      <c r="M98" s="161"/>
      <c r="N98" s="138"/>
      <c r="O98" s="138">
        <f t="shared" si="5"/>
        <v>6.8484866537485401E-4</v>
      </c>
      <c r="P98" s="138">
        <f>O98*(1+'Key Data'!F$3)</f>
        <v>8.5606083171856757E-4</v>
      </c>
      <c r="Q98" s="379"/>
      <c r="R98" s="379"/>
      <c r="S98" s="369"/>
    </row>
    <row r="99" spans="1:19" x14ac:dyDescent="0.3">
      <c r="A99" s="374"/>
      <c r="B99" s="374"/>
      <c r="C99" s="374"/>
      <c r="D99" s="374"/>
      <c r="E99" s="374"/>
      <c r="F99" s="374"/>
      <c r="G99" s="374"/>
      <c r="H99" s="72" t="s">
        <v>263</v>
      </c>
      <c r="I99" s="161"/>
      <c r="J99" s="161"/>
      <c r="K99" s="161">
        <v>28.5</v>
      </c>
      <c r="L99" s="161">
        <f t="shared" si="4"/>
        <v>9.0764331210191074</v>
      </c>
      <c r="M99" s="161"/>
      <c r="N99" s="138"/>
      <c r="O99" s="138">
        <f t="shared" si="5"/>
        <v>6.8484866537485401E-4</v>
      </c>
      <c r="P99" s="138">
        <f>O99*(1+'Key Data'!F$3)</f>
        <v>8.5606083171856757E-4</v>
      </c>
      <c r="Q99" s="379"/>
      <c r="R99" s="379"/>
      <c r="S99" s="369"/>
    </row>
    <row r="100" spans="1:19" x14ac:dyDescent="0.3">
      <c r="A100" s="374"/>
      <c r="B100" s="374"/>
      <c r="C100" s="374"/>
      <c r="D100" s="374"/>
      <c r="E100" s="374"/>
      <c r="F100" s="374"/>
      <c r="G100" s="374"/>
      <c r="H100" s="72" t="s">
        <v>263</v>
      </c>
      <c r="I100" s="161"/>
      <c r="J100" s="161"/>
      <c r="K100" s="161">
        <v>30</v>
      </c>
      <c r="L100" s="161">
        <f t="shared" si="4"/>
        <v>9.5541401273885338</v>
      </c>
      <c r="M100" s="161"/>
      <c r="N100" s="138"/>
      <c r="O100" s="138">
        <f t="shared" si="5"/>
        <v>6.8484866537485401E-4</v>
      </c>
      <c r="P100" s="138">
        <f>O100*(1+'Key Data'!F$3)</f>
        <v>8.5606083171856757E-4</v>
      </c>
      <c r="Q100" s="379"/>
      <c r="R100" s="379"/>
      <c r="S100" s="369"/>
    </row>
    <row r="101" spans="1:19" x14ac:dyDescent="0.3">
      <c r="A101" s="374"/>
      <c r="B101" s="374"/>
      <c r="C101" s="374"/>
      <c r="D101" s="374"/>
      <c r="E101" s="374"/>
      <c r="F101" s="374"/>
      <c r="G101" s="374"/>
      <c r="H101" s="72" t="s">
        <v>263</v>
      </c>
      <c r="I101" s="161"/>
      <c r="J101" s="161"/>
      <c r="K101" s="161">
        <v>26</v>
      </c>
      <c r="L101" s="161">
        <f t="shared" si="4"/>
        <v>8.2802547770700627</v>
      </c>
      <c r="M101" s="161"/>
      <c r="N101" s="138"/>
      <c r="O101" s="138">
        <f t="shared" si="5"/>
        <v>6.8484866537485401E-4</v>
      </c>
      <c r="P101" s="138">
        <f>O101*(1+'Key Data'!F$3)</f>
        <v>8.5606083171856757E-4</v>
      </c>
      <c r="Q101" s="379"/>
      <c r="R101" s="379"/>
      <c r="S101" s="369"/>
    </row>
    <row r="102" spans="1:19" x14ac:dyDescent="0.3">
      <c r="A102" s="374"/>
      <c r="B102" s="374"/>
      <c r="C102" s="374"/>
      <c r="D102" s="374"/>
      <c r="E102" s="374"/>
      <c r="F102" s="374"/>
      <c r="G102" s="374"/>
      <c r="H102" s="72" t="s">
        <v>263</v>
      </c>
      <c r="I102" s="161"/>
      <c r="J102" s="161"/>
      <c r="K102" s="161">
        <v>18.8</v>
      </c>
      <c r="L102" s="161">
        <f t="shared" si="4"/>
        <v>5.9872611464968148</v>
      </c>
      <c r="M102" s="161"/>
      <c r="N102" s="138"/>
      <c r="O102" s="138">
        <f t="shared" si="5"/>
        <v>6.8484866537485401E-4</v>
      </c>
      <c r="P102" s="138">
        <f>O102*(1+'Key Data'!F$3)</f>
        <v>8.5606083171856757E-4</v>
      </c>
      <c r="Q102" s="379"/>
      <c r="R102" s="379"/>
      <c r="S102" s="369"/>
    </row>
    <row r="103" spans="1:19" x14ac:dyDescent="0.3">
      <c r="A103" s="374"/>
      <c r="B103" s="374"/>
      <c r="C103" s="374"/>
      <c r="D103" s="374"/>
      <c r="E103" s="374"/>
      <c r="F103" s="374"/>
      <c r="G103" s="374"/>
      <c r="H103" s="72" t="s">
        <v>263</v>
      </c>
      <c r="I103" s="161"/>
      <c r="J103" s="161"/>
      <c r="K103" s="161">
        <v>19.5</v>
      </c>
      <c r="L103" s="161">
        <f t="shared" si="4"/>
        <v>6.2101910828025479</v>
      </c>
      <c r="M103" s="161"/>
      <c r="N103" s="138"/>
      <c r="O103" s="138">
        <f t="shared" si="5"/>
        <v>6.8484866537485401E-4</v>
      </c>
      <c r="P103" s="138">
        <f>O103*(1+'Key Data'!F$3)</f>
        <v>8.5606083171856757E-4</v>
      </c>
      <c r="Q103" s="379"/>
      <c r="R103" s="379"/>
      <c r="S103" s="369"/>
    </row>
    <row r="104" spans="1:19" x14ac:dyDescent="0.3">
      <c r="A104" s="374"/>
      <c r="B104" s="374"/>
      <c r="C104" s="374"/>
      <c r="D104" s="374"/>
      <c r="E104" s="374"/>
      <c r="F104" s="374"/>
      <c r="G104" s="374"/>
      <c r="H104" s="72" t="s">
        <v>263</v>
      </c>
      <c r="I104" s="161"/>
      <c r="J104" s="161"/>
      <c r="K104" s="161">
        <v>17.2</v>
      </c>
      <c r="L104" s="161">
        <f t="shared" si="4"/>
        <v>5.4777070063694264</v>
      </c>
      <c r="M104" s="161"/>
      <c r="N104" s="138"/>
      <c r="O104" s="138">
        <f t="shared" si="5"/>
        <v>6.8484866537485401E-4</v>
      </c>
      <c r="P104" s="138">
        <f>O104*(1+'Key Data'!F$3)</f>
        <v>8.5606083171856757E-4</v>
      </c>
      <c r="Q104" s="379"/>
      <c r="R104" s="379"/>
      <c r="S104" s="369"/>
    </row>
    <row r="105" spans="1:19" x14ac:dyDescent="0.3">
      <c r="A105" s="374"/>
      <c r="B105" s="374"/>
      <c r="C105" s="374"/>
      <c r="D105" s="374"/>
      <c r="E105" s="374"/>
      <c r="F105" s="374"/>
      <c r="G105" s="374"/>
      <c r="H105" s="72" t="s">
        <v>263</v>
      </c>
      <c r="I105" s="161"/>
      <c r="J105" s="161"/>
      <c r="K105" s="161">
        <v>17.2</v>
      </c>
      <c r="L105" s="161">
        <f t="shared" si="4"/>
        <v>5.4777070063694264</v>
      </c>
      <c r="M105" s="161"/>
      <c r="N105" s="138"/>
      <c r="O105" s="138">
        <f t="shared" si="5"/>
        <v>6.8484866537485401E-4</v>
      </c>
      <c r="P105" s="138">
        <f>O105*(1+'Key Data'!F$3)</f>
        <v>8.5606083171856757E-4</v>
      </c>
      <c r="Q105" s="379"/>
      <c r="R105" s="379"/>
      <c r="S105" s="369"/>
    </row>
    <row r="106" spans="1:19" x14ac:dyDescent="0.3">
      <c r="A106" s="374"/>
      <c r="B106" s="374"/>
      <c r="C106" s="374"/>
      <c r="D106" s="374"/>
      <c r="E106" s="374"/>
      <c r="F106" s="374"/>
      <c r="G106" s="374"/>
      <c r="H106" s="72" t="s">
        <v>263</v>
      </c>
      <c r="I106" s="161"/>
      <c r="J106" s="161"/>
      <c r="K106" s="161">
        <v>18.5</v>
      </c>
      <c r="L106" s="161">
        <f t="shared" si="4"/>
        <v>5.8917197452229297</v>
      </c>
      <c r="M106" s="161"/>
      <c r="N106" s="138"/>
      <c r="O106" s="138">
        <f t="shared" si="5"/>
        <v>6.8484866537485401E-4</v>
      </c>
      <c r="P106" s="138">
        <f>O106*(1+'Key Data'!F$3)</f>
        <v>8.5606083171856757E-4</v>
      </c>
      <c r="Q106" s="379"/>
      <c r="R106" s="379"/>
      <c r="S106" s="369"/>
    </row>
    <row r="107" spans="1:19" x14ac:dyDescent="0.3">
      <c r="A107" s="374"/>
      <c r="B107" s="374"/>
      <c r="C107" s="374"/>
      <c r="D107" s="374"/>
      <c r="E107" s="374"/>
      <c r="F107" s="374"/>
      <c r="G107" s="374"/>
      <c r="H107" s="72" t="s">
        <v>263</v>
      </c>
      <c r="I107" s="161"/>
      <c r="J107" s="161"/>
      <c r="K107" s="161">
        <v>17.5</v>
      </c>
      <c r="L107" s="161">
        <f t="shared" si="4"/>
        <v>5.5732484076433115</v>
      </c>
      <c r="M107" s="161"/>
      <c r="N107" s="138"/>
      <c r="O107" s="138">
        <f t="shared" si="5"/>
        <v>6.8484866537485401E-4</v>
      </c>
      <c r="P107" s="138">
        <f>O107*(1+'Key Data'!F$3)</f>
        <v>8.5606083171856757E-4</v>
      </c>
      <c r="Q107" s="379"/>
      <c r="R107" s="379"/>
      <c r="S107" s="369"/>
    </row>
    <row r="108" spans="1:19" x14ac:dyDescent="0.3">
      <c r="A108" s="374"/>
      <c r="B108" s="374"/>
      <c r="C108" s="374"/>
      <c r="D108" s="374"/>
      <c r="E108" s="374"/>
      <c r="F108" s="374"/>
      <c r="G108" s="374"/>
      <c r="H108" s="72" t="s">
        <v>263</v>
      </c>
      <c r="I108" s="161"/>
      <c r="J108" s="161"/>
      <c r="K108" s="161">
        <v>20.5</v>
      </c>
      <c r="L108" s="161">
        <f t="shared" si="4"/>
        <v>6.5286624203821653</v>
      </c>
      <c r="M108" s="161"/>
      <c r="N108" s="138"/>
      <c r="O108" s="138">
        <f t="shared" si="5"/>
        <v>6.8484866537485401E-4</v>
      </c>
      <c r="P108" s="138">
        <f>O108*(1+'Key Data'!F$3)</f>
        <v>8.5606083171856757E-4</v>
      </c>
      <c r="Q108" s="379"/>
      <c r="R108" s="379"/>
      <c r="S108" s="369"/>
    </row>
    <row r="109" spans="1:19" x14ac:dyDescent="0.3">
      <c r="A109" s="374"/>
      <c r="B109" s="374"/>
      <c r="C109" s="374"/>
      <c r="D109" s="374"/>
      <c r="E109" s="374"/>
      <c r="F109" s="374"/>
      <c r="G109" s="374"/>
      <c r="H109" s="72" t="s">
        <v>263</v>
      </c>
      <c r="I109" s="161"/>
      <c r="J109" s="161"/>
      <c r="K109" s="161">
        <v>19</v>
      </c>
      <c r="L109" s="161">
        <f t="shared" si="4"/>
        <v>6.0509554140127388</v>
      </c>
      <c r="M109" s="161"/>
      <c r="N109" s="138"/>
      <c r="O109" s="138">
        <f t="shared" si="5"/>
        <v>6.8484866537485401E-4</v>
      </c>
      <c r="P109" s="138">
        <f>O109*(1+'Key Data'!F$3)</f>
        <v>8.5606083171856757E-4</v>
      </c>
      <c r="Q109" s="379"/>
      <c r="R109" s="379"/>
      <c r="S109" s="369"/>
    </row>
    <row r="110" spans="1:19" x14ac:dyDescent="0.3">
      <c r="A110" s="374"/>
      <c r="B110" s="374"/>
      <c r="C110" s="374"/>
      <c r="D110" s="374"/>
      <c r="E110" s="374"/>
      <c r="F110" s="374"/>
      <c r="G110" s="374"/>
      <c r="H110" s="72" t="s">
        <v>263</v>
      </c>
      <c r="I110" s="161"/>
      <c r="J110" s="161"/>
      <c r="K110" s="161">
        <v>15.5</v>
      </c>
      <c r="L110" s="161">
        <f t="shared" si="4"/>
        <v>4.936305732484076</v>
      </c>
      <c r="M110" s="161"/>
      <c r="N110" s="138"/>
      <c r="O110" s="138">
        <f t="shared" si="5"/>
        <v>6.8484866537485401E-4</v>
      </c>
      <c r="P110" s="138">
        <f>O110*(1+'Key Data'!F$3)</f>
        <v>8.5606083171856757E-4</v>
      </c>
      <c r="Q110" s="379"/>
      <c r="R110" s="379"/>
      <c r="S110" s="369"/>
    </row>
    <row r="111" spans="1:19" x14ac:dyDescent="0.3">
      <c r="A111" s="374"/>
      <c r="B111" s="374"/>
      <c r="C111" s="374"/>
      <c r="D111" s="374"/>
      <c r="E111" s="374"/>
      <c r="F111" s="374"/>
      <c r="G111" s="374"/>
      <c r="H111" s="72" t="s">
        <v>263</v>
      </c>
      <c r="I111" s="161"/>
      <c r="J111" s="161"/>
      <c r="K111" s="161">
        <v>19</v>
      </c>
      <c r="L111" s="161">
        <f t="shared" si="4"/>
        <v>6.0509554140127388</v>
      </c>
      <c r="M111" s="161"/>
      <c r="N111" s="138"/>
      <c r="O111" s="138">
        <f t="shared" si="5"/>
        <v>6.8484866537485401E-4</v>
      </c>
      <c r="P111" s="138">
        <f>O111*(1+'Key Data'!F$3)</f>
        <v>8.5606083171856757E-4</v>
      </c>
      <c r="Q111" s="379"/>
      <c r="R111" s="379"/>
      <c r="S111" s="369"/>
    </row>
    <row r="112" spans="1:19" x14ac:dyDescent="0.3">
      <c r="A112" s="374"/>
      <c r="B112" s="374"/>
      <c r="C112" s="374"/>
      <c r="D112" s="374"/>
      <c r="E112" s="374"/>
      <c r="F112" s="374"/>
      <c r="G112" s="374"/>
      <c r="H112" s="72" t="s">
        <v>393</v>
      </c>
      <c r="I112" s="161"/>
      <c r="J112" s="161"/>
      <c r="K112" s="161">
        <v>16</v>
      </c>
      <c r="L112" s="161">
        <f>K112/3.14/100</f>
        <v>5.0955414012738849E-2</v>
      </c>
      <c r="M112" s="161"/>
      <c r="N112" s="138"/>
      <c r="O112" s="138">
        <f>(0.08847-1.46936*L112+11.98979*L112^2+1.97056*L112^3)*'Key Data'!$I$15*'Key Data'!$F$15</f>
        <v>3.5429471801578225E-2</v>
      </c>
      <c r="P112" s="138">
        <f>O112*(1+'Key Data'!F$3)</f>
        <v>4.4286839751972784E-2</v>
      </c>
      <c r="Q112" s="379"/>
      <c r="R112" s="379"/>
      <c r="S112" s="369"/>
    </row>
    <row r="113" spans="1:19" x14ac:dyDescent="0.3">
      <c r="A113" s="374"/>
      <c r="B113" s="374"/>
      <c r="C113" s="374"/>
      <c r="D113" s="374"/>
      <c r="E113" s="374"/>
      <c r="F113" s="374"/>
      <c r="G113" s="374"/>
      <c r="H113" s="72" t="s">
        <v>393</v>
      </c>
      <c r="I113" s="161"/>
      <c r="J113" s="161"/>
      <c r="K113" s="161">
        <v>14</v>
      </c>
      <c r="L113" s="161">
        <f t="shared" ref="L113:L131" si="6">K113/3.14/100</f>
        <v>4.4585987261146494E-2</v>
      </c>
      <c r="M113" s="161"/>
      <c r="N113" s="138"/>
      <c r="O113" s="138">
        <f>(0.08847-1.46936*L113+11.98979*L113^2+1.97056*L113^3)*'Key Data'!$I$15*'Key Data'!$F$15</f>
        <v>3.6986053264715588E-2</v>
      </c>
      <c r="P113" s="138">
        <f>O113*(1+'Key Data'!F$3)</f>
        <v>4.6232566580894488E-2</v>
      </c>
      <c r="Q113" s="379"/>
      <c r="R113" s="379"/>
      <c r="S113" s="369"/>
    </row>
    <row r="114" spans="1:19" x14ac:dyDescent="0.3">
      <c r="A114" s="374"/>
      <c r="B114" s="374"/>
      <c r="C114" s="374"/>
      <c r="D114" s="374"/>
      <c r="E114" s="374"/>
      <c r="F114" s="374"/>
      <c r="G114" s="374"/>
      <c r="H114" s="72" t="s">
        <v>393</v>
      </c>
      <c r="I114" s="161"/>
      <c r="J114" s="161"/>
      <c r="K114" s="161">
        <v>14.6</v>
      </c>
      <c r="L114" s="161">
        <f t="shared" si="6"/>
        <v>4.64968152866242E-2</v>
      </c>
      <c r="M114" s="161"/>
      <c r="N114" s="138"/>
      <c r="O114" s="138">
        <f>(0.08847-1.46936*L114+11.98979*L114^2+1.97056*L114^3)*'Key Data'!$I$15*'Key Data'!$F$15</f>
        <v>3.6436759091568738E-2</v>
      </c>
      <c r="P114" s="138">
        <f>O114*(1+'Key Data'!F$3)</f>
        <v>4.5545948864460922E-2</v>
      </c>
      <c r="Q114" s="379"/>
      <c r="R114" s="379"/>
      <c r="S114" s="369"/>
    </row>
    <row r="115" spans="1:19" x14ac:dyDescent="0.3">
      <c r="A115" s="374"/>
      <c r="B115" s="374"/>
      <c r="C115" s="374"/>
      <c r="D115" s="374"/>
      <c r="E115" s="374"/>
      <c r="F115" s="374"/>
      <c r="G115" s="374"/>
      <c r="H115" s="72" t="s">
        <v>393</v>
      </c>
      <c r="I115" s="161"/>
      <c r="J115" s="161"/>
      <c r="K115" s="161">
        <v>15.5</v>
      </c>
      <c r="L115" s="161">
        <f t="shared" si="6"/>
        <v>4.936305732484076E-2</v>
      </c>
      <c r="M115" s="161"/>
      <c r="N115" s="138"/>
      <c r="O115" s="138">
        <f>(0.08847-1.46936*L115+11.98979*L115^2+1.97056*L115^3)*'Key Data'!$I$15*'Key Data'!$F$15</f>
        <v>3.5745083570545823E-2</v>
      </c>
      <c r="P115" s="138">
        <f>O115*(1+'Key Data'!F$3)</f>
        <v>4.4681354463182277E-2</v>
      </c>
      <c r="Q115" s="379"/>
      <c r="R115" s="379"/>
      <c r="S115" s="369"/>
    </row>
    <row r="116" spans="1:19" x14ac:dyDescent="0.3">
      <c r="A116" s="374"/>
      <c r="B116" s="374"/>
      <c r="C116" s="374"/>
      <c r="D116" s="374"/>
      <c r="E116" s="374"/>
      <c r="F116" s="374"/>
      <c r="G116" s="374"/>
      <c r="H116" s="72" t="s">
        <v>393</v>
      </c>
      <c r="I116" s="161"/>
      <c r="J116" s="161"/>
      <c r="K116" s="161">
        <v>15</v>
      </c>
      <c r="L116" s="161">
        <f t="shared" si="6"/>
        <v>4.7770700636942671E-2</v>
      </c>
      <c r="M116" s="161"/>
      <c r="N116" s="138"/>
      <c r="O116" s="138">
        <f>(0.08847-1.46936*L116+11.98979*L116^2+1.97056*L116^3)*'Key Data'!$I$15*'Key Data'!$F$15</f>
        <v>3.6109742799712088E-2</v>
      </c>
      <c r="P116" s="138">
        <f>O116*(1+'Key Data'!F$3)</f>
        <v>4.5137178499640107E-2</v>
      </c>
      <c r="Q116" s="379"/>
      <c r="R116" s="379"/>
      <c r="S116" s="369"/>
    </row>
    <row r="117" spans="1:19" x14ac:dyDescent="0.3">
      <c r="A117" s="374"/>
      <c r="B117" s="374"/>
      <c r="C117" s="374"/>
      <c r="D117" s="374"/>
      <c r="E117" s="374"/>
      <c r="F117" s="374"/>
      <c r="G117" s="374"/>
      <c r="H117" s="72" t="s">
        <v>393</v>
      </c>
      <c r="I117" s="161"/>
      <c r="J117" s="161"/>
      <c r="K117" s="161">
        <v>11</v>
      </c>
      <c r="L117" s="161">
        <f t="shared" si="6"/>
        <v>3.5031847133757961E-2</v>
      </c>
      <c r="M117" s="161"/>
      <c r="N117" s="138"/>
      <c r="O117" s="138">
        <f>(0.08847-1.46936*L117+11.98979*L117^2+1.97056*L117^3)*'Key Data'!$I$15*'Key Data'!$F$15</f>
        <v>4.0788213982442471E-2</v>
      </c>
      <c r="P117" s="138">
        <f>O117*(1+'Key Data'!F$3)</f>
        <v>5.0985267478053091E-2</v>
      </c>
      <c r="Q117" s="379"/>
      <c r="R117" s="379"/>
      <c r="S117" s="369"/>
    </row>
    <row r="118" spans="1:19" x14ac:dyDescent="0.3">
      <c r="A118" s="374"/>
      <c r="B118" s="374"/>
      <c r="C118" s="374"/>
      <c r="D118" s="374"/>
      <c r="E118" s="374"/>
      <c r="F118" s="374"/>
      <c r="G118" s="374"/>
      <c r="H118" s="72" t="s">
        <v>393</v>
      </c>
      <c r="I118" s="161"/>
      <c r="J118" s="161"/>
      <c r="K118" s="161">
        <v>18</v>
      </c>
      <c r="L118" s="161">
        <f t="shared" si="6"/>
        <v>5.7324840764331204E-2</v>
      </c>
      <c r="M118" s="161"/>
      <c r="N118" s="138"/>
      <c r="O118" s="138">
        <f>(0.08847-1.46936*L118+11.98979*L118^2+1.97056*L118^3)*'Key Data'!$I$15*'Key Data'!$F$15</f>
        <v>3.4658251197319925E-2</v>
      </c>
      <c r="P118" s="138">
        <f>O118*(1+'Key Data'!F$3)</f>
        <v>4.3322813996649903E-2</v>
      </c>
      <c r="Q118" s="379"/>
      <c r="R118" s="379"/>
      <c r="S118" s="369"/>
    </row>
    <row r="119" spans="1:19" x14ac:dyDescent="0.3">
      <c r="A119" s="374"/>
      <c r="B119" s="374"/>
      <c r="C119" s="374"/>
      <c r="D119" s="374"/>
      <c r="E119" s="374"/>
      <c r="F119" s="374"/>
      <c r="G119" s="374"/>
      <c r="H119" s="72" t="s">
        <v>393</v>
      </c>
      <c r="I119" s="161"/>
      <c r="J119" s="161"/>
      <c r="K119" s="161">
        <v>12</v>
      </c>
      <c r="L119" s="161">
        <f t="shared" si="6"/>
        <v>3.8216560509554139E-2</v>
      </c>
      <c r="M119" s="161"/>
      <c r="N119" s="138"/>
      <c r="O119" s="138">
        <f>(0.08847-1.46936*L119+11.98979*L119^2+1.97056*L119^3)*'Key Data'!$I$15*'Key Data'!$F$15</f>
        <v>3.9325589603930899E-2</v>
      </c>
      <c r="P119" s="138">
        <f>O119*(1+'Key Data'!F$3)</f>
        <v>4.9156987004913624E-2</v>
      </c>
      <c r="Q119" s="379"/>
      <c r="R119" s="379"/>
      <c r="S119" s="369"/>
    </row>
    <row r="120" spans="1:19" x14ac:dyDescent="0.3">
      <c r="A120" s="374"/>
      <c r="B120" s="374"/>
      <c r="C120" s="374"/>
      <c r="D120" s="374"/>
      <c r="E120" s="374"/>
      <c r="F120" s="374"/>
      <c r="G120" s="374"/>
      <c r="H120" s="72" t="s">
        <v>393</v>
      </c>
      <c r="I120" s="161"/>
      <c r="J120" s="161"/>
      <c r="K120" s="161">
        <v>17</v>
      </c>
      <c r="L120" s="161">
        <f t="shared" si="6"/>
        <v>5.4140127388535034E-2</v>
      </c>
      <c r="M120" s="161"/>
      <c r="N120" s="138"/>
      <c r="O120" s="138">
        <f>(0.08847-1.46936*L120+11.98979*L120^2+1.97056*L120^3)*'Key Data'!$I$15*'Key Data'!$F$15</f>
        <v>3.4945541018164127E-2</v>
      </c>
      <c r="P120" s="138">
        <f>O120*(1+'Key Data'!F$3)</f>
        <v>4.368192627270516E-2</v>
      </c>
      <c r="Q120" s="379"/>
      <c r="R120" s="379"/>
      <c r="S120" s="369"/>
    </row>
    <row r="121" spans="1:19" x14ac:dyDescent="0.3">
      <c r="A121" s="374"/>
      <c r="B121" s="374"/>
      <c r="C121" s="374"/>
      <c r="D121" s="374"/>
      <c r="E121" s="374"/>
      <c r="F121" s="374"/>
      <c r="G121" s="374"/>
      <c r="H121" s="72" t="s">
        <v>393</v>
      </c>
      <c r="I121" s="161"/>
      <c r="J121" s="161"/>
      <c r="K121" s="161">
        <v>14.2</v>
      </c>
      <c r="L121" s="161">
        <f t="shared" si="6"/>
        <v>4.5222929936305729E-2</v>
      </c>
      <c r="M121" s="161"/>
      <c r="N121" s="138"/>
      <c r="O121" s="138">
        <f>(0.08847-1.46936*L121+11.98979*L121^2+1.97056*L121^3)*'Key Data'!$I$15*'Key Data'!$F$15</f>
        <v>3.6795122450262119E-2</v>
      </c>
      <c r="P121" s="138">
        <f>O121*(1+'Key Data'!F$3)</f>
        <v>4.5993903062827649E-2</v>
      </c>
      <c r="Q121" s="379"/>
      <c r="R121" s="379"/>
      <c r="S121" s="369"/>
    </row>
    <row r="122" spans="1:19" x14ac:dyDescent="0.3">
      <c r="A122" s="374"/>
      <c r="B122" s="374"/>
      <c r="C122" s="374"/>
      <c r="D122" s="374"/>
      <c r="E122" s="374"/>
      <c r="F122" s="374"/>
      <c r="G122" s="374"/>
      <c r="H122" s="72" t="s">
        <v>393</v>
      </c>
      <c r="I122" s="161"/>
      <c r="J122" s="161"/>
      <c r="K122" s="161">
        <v>14.5</v>
      </c>
      <c r="L122" s="161">
        <f t="shared" si="6"/>
        <v>4.617834394904459E-2</v>
      </c>
      <c r="M122" s="161"/>
      <c r="N122" s="138"/>
      <c r="O122" s="138">
        <f>(0.08847-1.46936*L122+11.98979*L122^2+1.97056*L122^3)*'Key Data'!$I$15*'Key Data'!$F$15</f>
        <v>3.652341189559577E-2</v>
      </c>
      <c r="P122" s="138">
        <f>O122*(1+'Key Data'!F$3)</f>
        <v>4.5654264869494712E-2</v>
      </c>
      <c r="Q122" s="379"/>
      <c r="R122" s="379"/>
      <c r="S122" s="369"/>
    </row>
    <row r="123" spans="1:19" x14ac:dyDescent="0.3">
      <c r="A123" s="374"/>
      <c r="B123" s="374"/>
      <c r="C123" s="374"/>
      <c r="D123" s="374"/>
      <c r="E123" s="374"/>
      <c r="F123" s="374"/>
      <c r="G123" s="374"/>
      <c r="H123" s="72" t="s">
        <v>393</v>
      </c>
      <c r="I123" s="161"/>
      <c r="J123" s="161"/>
      <c r="K123" s="161">
        <v>12</v>
      </c>
      <c r="L123" s="161">
        <f t="shared" si="6"/>
        <v>3.8216560509554139E-2</v>
      </c>
      <c r="M123" s="161"/>
      <c r="N123" s="138"/>
      <c r="O123" s="138">
        <f>(0.08847-1.46936*L123+11.98979*L123^2+1.97056*L123^3)*'Key Data'!$I$15*'Key Data'!$F$15</f>
        <v>3.9325589603930899E-2</v>
      </c>
      <c r="P123" s="138">
        <f>O123*(1+'Key Data'!F$3)</f>
        <v>4.9156987004913624E-2</v>
      </c>
      <c r="Q123" s="379"/>
      <c r="R123" s="379"/>
      <c r="S123" s="369"/>
    </row>
    <row r="124" spans="1:19" x14ac:dyDescent="0.3">
      <c r="A124" s="374"/>
      <c r="B124" s="374"/>
      <c r="C124" s="374"/>
      <c r="D124" s="374"/>
      <c r="E124" s="374"/>
      <c r="F124" s="374"/>
      <c r="G124" s="374"/>
      <c r="H124" s="72" t="s">
        <v>393</v>
      </c>
      <c r="I124" s="161"/>
      <c r="J124" s="161"/>
      <c r="K124" s="161">
        <v>19</v>
      </c>
      <c r="L124" s="161">
        <f t="shared" si="6"/>
        <v>6.0509554140127389E-2</v>
      </c>
      <c r="M124" s="161"/>
      <c r="N124" s="138"/>
      <c r="O124" s="138">
        <f>(0.08847-1.46936*L124+11.98979*L124^2+1.97056*L124^3)*'Key Data'!$I$15*'Key Data'!$F$15</f>
        <v>3.4567903086895738E-2</v>
      </c>
      <c r="P124" s="138">
        <f>O124*(1+'Key Data'!F$3)</f>
        <v>4.3209878858619669E-2</v>
      </c>
      <c r="Q124" s="379"/>
      <c r="R124" s="379"/>
      <c r="S124" s="369"/>
    </row>
    <row r="125" spans="1:19" x14ac:dyDescent="0.3">
      <c r="A125" s="374"/>
      <c r="B125" s="374"/>
      <c r="C125" s="374"/>
      <c r="D125" s="374"/>
      <c r="E125" s="374"/>
      <c r="F125" s="374"/>
      <c r="G125" s="374"/>
      <c r="H125" s="72" t="s">
        <v>393</v>
      </c>
      <c r="I125" s="161"/>
      <c r="J125" s="161"/>
      <c r="K125" s="161">
        <v>14</v>
      </c>
      <c r="L125" s="161">
        <f t="shared" si="6"/>
        <v>4.4585987261146494E-2</v>
      </c>
      <c r="M125" s="161"/>
      <c r="N125" s="138"/>
      <c r="O125" s="138">
        <f>(0.08847-1.46936*L125+11.98979*L125^2+1.97056*L125^3)*'Key Data'!$I$15*'Key Data'!$F$15</f>
        <v>3.6986053264715588E-2</v>
      </c>
      <c r="P125" s="138">
        <f>O125*(1+'Key Data'!F$3)</f>
        <v>4.6232566580894488E-2</v>
      </c>
      <c r="Q125" s="379"/>
      <c r="R125" s="379"/>
      <c r="S125" s="369"/>
    </row>
    <row r="126" spans="1:19" x14ac:dyDescent="0.3">
      <c r="A126" s="374"/>
      <c r="B126" s="374"/>
      <c r="C126" s="374"/>
      <c r="D126" s="374"/>
      <c r="E126" s="374"/>
      <c r="F126" s="374"/>
      <c r="G126" s="374"/>
      <c r="H126" s="72" t="s">
        <v>393</v>
      </c>
      <c r="I126" s="161"/>
      <c r="J126" s="161"/>
      <c r="K126" s="161">
        <v>24</v>
      </c>
      <c r="L126" s="161">
        <f t="shared" si="6"/>
        <v>7.6433121019108277E-2</v>
      </c>
      <c r="M126" s="161"/>
      <c r="N126" s="138"/>
      <c r="O126" s="138">
        <f>(0.08847-1.46936*L126+11.98979*L126^2+1.97056*L126^3)*'Key Data'!$I$15*'Key Data'!$F$15</f>
        <v>3.7080814365829995E-2</v>
      </c>
      <c r="P126" s="138">
        <f>O126*(1+'Key Data'!F$3)</f>
        <v>4.6351017957287494E-2</v>
      </c>
      <c r="Q126" s="379"/>
      <c r="R126" s="379"/>
      <c r="S126" s="369"/>
    </row>
    <row r="127" spans="1:19" x14ac:dyDescent="0.3">
      <c r="A127" s="374"/>
      <c r="B127" s="374"/>
      <c r="C127" s="374"/>
      <c r="D127" s="374"/>
      <c r="E127" s="374"/>
      <c r="F127" s="374"/>
      <c r="G127" s="374"/>
      <c r="H127" s="72" t="s">
        <v>393</v>
      </c>
      <c r="I127" s="161"/>
      <c r="J127" s="161"/>
      <c r="K127" s="161">
        <v>11</v>
      </c>
      <c r="L127" s="161">
        <f t="shared" si="6"/>
        <v>3.5031847133757961E-2</v>
      </c>
      <c r="M127" s="161"/>
      <c r="N127" s="138"/>
      <c r="O127" s="138">
        <f>(0.08847-1.46936*L127+11.98979*L127^2+1.97056*L127^3)*'Key Data'!$I$15*'Key Data'!$F$15</f>
        <v>4.0788213982442471E-2</v>
      </c>
      <c r="P127" s="138">
        <f>O127*(1+'Key Data'!F$3)</f>
        <v>5.0985267478053091E-2</v>
      </c>
      <c r="Q127" s="379"/>
      <c r="R127" s="379"/>
      <c r="S127" s="369"/>
    </row>
    <row r="128" spans="1:19" x14ac:dyDescent="0.3">
      <c r="A128" s="374"/>
      <c r="B128" s="374"/>
      <c r="C128" s="374"/>
      <c r="D128" s="374"/>
      <c r="E128" s="374"/>
      <c r="F128" s="374"/>
      <c r="G128" s="374"/>
      <c r="H128" s="72" t="s">
        <v>393</v>
      </c>
      <c r="I128" s="161"/>
      <c r="J128" s="161"/>
      <c r="K128" s="161">
        <v>13</v>
      </c>
      <c r="L128" s="161">
        <f t="shared" si="6"/>
        <v>4.1401273885350316E-2</v>
      </c>
      <c r="M128" s="161"/>
      <c r="N128" s="138"/>
      <c r="O128" s="138">
        <f>(0.08847-1.46936*L128+11.98979*L128^2+1.97056*L128^3)*'Key Data'!$I$15*'Key Data'!$F$15</f>
        <v>3.8058102448738564E-2</v>
      </c>
      <c r="P128" s="138">
        <f>O128*(1+'Key Data'!F$3)</f>
        <v>4.7572628060923203E-2</v>
      </c>
      <c r="Q128" s="379"/>
      <c r="R128" s="379"/>
      <c r="S128" s="369"/>
    </row>
    <row r="129" spans="1:19" x14ac:dyDescent="0.3">
      <c r="A129" s="374"/>
      <c r="B129" s="374"/>
      <c r="C129" s="374"/>
      <c r="D129" s="374"/>
      <c r="E129" s="374"/>
      <c r="F129" s="374"/>
      <c r="G129" s="374"/>
      <c r="H129" s="72" t="s">
        <v>393</v>
      </c>
      <c r="I129" s="161"/>
      <c r="J129" s="161"/>
      <c r="K129" s="161">
        <v>14</v>
      </c>
      <c r="L129" s="161">
        <f t="shared" si="6"/>
        <v>4.4585987261146494E-2</v>
      </c>
      <c r="M129" s="161"/>
      <c r="N129" s="138"/>
      <c r="O129" s="138">
        <f>(0.08847-1.46936*L129+11.98979*L129^2+1.97056*L129^3)*'Key Data'!$I$15*'Key Data'!$F$15</f>
        <v>3.6986053264715588E-2</v>
      </c>
      <c r="P129" s="138">
        <f>O129*(1+'Key Data'!F$3)</f>
        <v>4.6232566580894488E-2</v>
      </c>
      <c r="Q129" s="379"/>
      <c r="R129" s="379"/>
      <c r="S129" s="369"/>
    </row>
    <row r="130" spans="1:19" x14ac:dyDescent="0.3">
      <c r="A130" s="374"/>
      <c r="B130" s="374"/>
      <c r="C130" s="374"/>
      <c r="D130" s="374"/>
      <c r="E130" s="374"/>
      <c r="F130" s="374"/>
      <c r="G130" s="374"/>
      <c r="H130" s="72" t="s">
        <v>393</v>
      </c>
      <c r="I130" s="161"/>
      <c r="J130" s="161"/>
      <c r="K130" s="161">
        <f>SQRT(14.5^2+64)</f>
        <v>16.560495161679196</v>
      </c>
      <c r="L130" s="161">
        <f t="shared" si="6"/>
        <v>5.2740430451207632E-2</v>
      </c>
      <c r="M130" s="161"/>
      <c r="N130" s="138"/>
      <c r="O130" s="138">
        <f>(0.08847-1.46936*L130+11.98979*L130^2+1.97056*L130^3)*'Key Data'!$I$15*'Key Data'!$F$15</f>
        <v>3.5134028413153447E-2</v>
      </c>
      <c r="P130" s="138">
        <f>O130*(1+'Key Data'!F$3)</f>
        <v>4.3917535516441807E-2</v>
      </c>
      <c r="Q130" s="379"/>
      <c r="R130" s="379"/>
      <c r="S130" s="369"/>
    </row>
    <row r="131" spans="1:19" x14ac:dyDescent="0.3">
      <c r="A131" s="374"/>
      <c r="B131" s="374"/>
      <c r="C131" s="374"/>
      <c r="D131" s="374"/>
      <c r="E131" s="374"/>
      <c r="F131" s="374"/>
      <c r="G131" s="374"/>
      <c r="H131" s="72" t="s">
        <v>393</v>
      </c>
      <c r="I131" s="161"/>
      <c r="J131" s="161"/>
      <c r="K131" s="161">
        <v>11.5</v>
      </c>
      <c r="L131" s="161">
        <f t="shared" si="6"/>
        <v>3.662420382165605E-2</v>
      </c>
      <c r="M131" s="161"/>
      <c r="N131" s="138"/>
      <c r="O131" s="138">
        <f>(0.08847-1.46936*L131+11.98979*L131^2+1.97056*L131^3)*'Key Data'!$I$15*'Key Data'!$F$15</f>
        <v>4.0032528437012417E-2</v>
      </c>
      <c r="P131" s="138">
        <f>O131*(1+'Key Data'!F$3)</f>
        <v>5.004066054626552E-2</v>
      </c>
      <c r="Q131" s="379"/>
      <c r="R131" s="379"/>
      <c r="S131" s="369"/>
    </row>
    <row r="132" spans="1:19" x14ac:dyDescent="0.3">
      <c r="L132"/>
    </row>
  </sheetData>
  <mergeCells count="37">
    <mergeCell ref="R38:R63"/>
    <mergeCell ref="G2:G37"/>
    <mergeCell ref="G38:G63"/>
    <mergeCell ref="S2:S131"/>
    <mergeCell ref="B85:B131"/>
    <mergeCell ref="E85:E131"/>
    <mergeCell ref="F85:F131"/>
    <mergeCell ref="B38:B63"/>
    <mergeCell ref="F64:F84"/>
    <mergeCell ref="F38:F63"/>
    <mergeCell ref="E38:E63"/>
    <mergeCell ref="D38:D63"/>
    <mergeCell ref="C38:C63"/>
    <mergeCell ref="B64:B84"/>
    <mergeCell ref="Q2:Q37"/>
    <mergeCell ref="R2:R37"/>
    <mergeCell ref="A2:A37"/>
    <mergeCell ref="B2:B37"/>
    <mergeCell ref="C2:C37"/>
    <mergeCell ref="Q85:Q131"/>
    <mergeCell ref="D2:D37"/>
    <mergeCell ref="E2:E37"/>
    <mergeCell ref="F2:F37"/>
    <mergeCell ref="Q38:Q63"/>
    <mergeCell ref="A85:A131"/>
    <mergeCell ref="A38:A63"/>
    <mergeCell ref="A64:A84"/>
    <mergeCell ref="R85:R131"/>
    <mergeCell ref="C64:C84"/>
    <mergeCell ref="D64:D84"/>
    <mergeCell ref="E64:E84"/>
    <mergeCell ref="C85:C131"/>
    <mergeCell ref="D85:D131"/>
    <mergeCell ref="G85:G131"/>
    <mergeCell ref="Q64:Q84"/>
    <mergeCell ref="R64:R84"/>
    <mergeCell ref="G64:G8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BB65-17CB-4A2F-BFFE-7FA5E8B036C4}">
  <dimension ref="A1:U559"/>
  <sheetViews>
    <sheetView showGridLines="0" topLeftCell="H1" zoomScale="83" zoomScaleNormal="40" workbookViewId="0">
      <pane ySplit="1" topLeftCell="A139" activePane="bottomLeft" state="frozen"/>
      <selection activeCell="H1" sqref="H1"/>
      <selection pane="bottomLeft" activeCell="L103" sqref="L103"/>
    </sheetView>
  </sheetViews>
  <sheetFormatPr defaultColWidth="9.109375" defaultRowHeight="14.4" x14ac:dyDescent="0.3"/>
  <cols>
    <col min="1" max="1" width="9.33203125" style="66" bestFit="1" customWidth="1"/>
    <col min="2" max="4" width="9.109375" style="66"/>
    <col min="5" max="5" width="12.44140625" style="66" bestFit="1" customWidth="1"/>
    <col min="6" max="6" width="13" style="66" bestFit="1" customWidth="1"/>
    <col min="7" max="7" width="9.33203125" style="66" bestFit="1" customWidth="1"/>
    <col min="8" max="8" width="22.109375" style="44" customWidth="1"/>
    <col min="9" max="9" width="12.109375" style="66" customWidth="1"/>
    <col min="10" max="10" width="11.6640625" style="74" bestFit="1" customWidth="1"/>
    <col min="11" max="12" width="9.109375" style="66"/>
    <col min="13" max="13" width="9.33203125" style="66" bestFit="1" customWidth="1"/>
    <col min="14" max="14" width="11.6640625" style="74" bestFit="1" customWidth="1"/>
    <col min="15" max="15" width="12.109375" style="76" customWidth="1"/>
    <col min="16" max="16" width="11.6640625" style="76" bestFit="1" customWidth="1"/>
    <col min="17" max="17" width="15.88671875" style="166" customWidth="1"/>
    <col min="18" max="18" width="13.109375" style="166" bestFit="1" customWidth="1"/>
    <col min="19" max="19" width="13.109375" style="76" bestFit="1" customWidth="1"/>
    <col min="20" max="20" width="12" style="66" bestFit="1" customWidth="1"/>
    <col min="21" max="16384" width="9.109375" style="66"/>
  </cols>
  <sheetData>
    <row r="1" spans="1:21" s="164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</row>
    <row r="2" spans="1:21" x14ac:dyDescent="0.3">
      <c r="A2" s="367">
        <v>1</v>
      </c>
      <c r="B2" s="367" t="s">
        <v>341</v>
      </c>
      <c r="C2" s="367" t="s">
        <v>342</v>
      </c>
      <c r="D2" s="367" t="s">
        <v>289</v>
      </c>
      <c r="E2" s="172">
        <v>15.3599979</v>
      </c>
      <c r="F2" s="172">
        <v>75.772418599999995</v>
      </c>
      <c r="G2" s="367">
        <v>2022</v>
      </c>
      <c r="H2" s="94" t="s">
        <v>309</v>
      </c>
      <c r="I2" s="110">
        <f>SQRT(11.2^2+12.8^2+10.4^2+11.6^2)</f>
        <v>23.065125189341593</v>
      </c>
      <c r="J2" s="110">
        <f t="shared" ref="J2:J42" si="0">I2/3.14</f>
        <v>7.3455812704909533</v>
      </c>
      <c r="K2" s="111"/>
      <c r="L2" s="111"/>
      <c r="M2" s="111"/>
      <c r="N2" s="167"/>
      <c r="O2" s="127">
        <f>(3.264 * J2^1.012+ 1.643)/1000</f>
        <v>2.6199622395037248E-2</v>
      </c>
      <c r="P2" s="168">
        <f>O2*(1+'Key Data'!F$3)</f>
        <v>3.2749527993796559E-2</v>
      </c>
      <c r="Q2" s="366">
        <f>SUM(P2:P102)</f>
        <v>2.8820613479141874</v>
      </c>
      <c r="R2" s="366">
        <f>Q2*10000/900</f>
        <v>32.022903865713189</v>
      </c>
      <c r="S2" s="417">
        <f>AVERAGE(R2:R559)</f>
        <v>18.516103133277241</v>
      </c>
      <c r="U2" s="230"/>
    </row>
    <row r="3" spans="1:21" x14ac:dyDescent="0.3">
      <c r="A3" s="367"/>
      <c r="B3" s="367"/>
      <c r="C3" s="367"/>
      <c r="D3" s="367"/>
      <c r="E3" s="172">
        <v>15.3600286</v>
      </c>
      <c r="F3" s="172">
        <v>75.772606499999995</v>
      </c>
      <c r="G3" s="367"/>
      <c r="H3" s="94" t="s">
        <v>309</v>
      </c>
      <c r="I3" s="110">
        <f>SQRT(20.8^2+6.8^2)</f>
        <v>21.883326986543889</v>
      </c>
      <c r="J3" s="110">
        <f t="shared" si="0"/>
        <v>6.9692124160967799</v>
      </c>
      <c r="K3" s="111"/>
      <c r="L3" s="111"/>
      <c r="M3" s="111"/>
      <c r="N3" s="167"/>
      <c r="O3" s="127">
        <f t="shared" ref="O3:O66" si="1">(3.264 * J3^1.012+ 1.643)/1000</f>
        <v>2.4926703282003505E-2</v>
      </c>
      <c r="P3" s="168">
        <f>O3*(1+'Key Data'!F$3)</f>
        <v>3.115837910250438E-2</v>
      </c>
      <c r="Q3" s="366"/>
      <c r="R3" s="366"/>
      <c r="S3" s="418"/>
    </row>
    <row r="4" spans="1:21" x14ac:dyDescent="0.3">
      <c r="A4" s="367"/>
      <c r="B4" s="367"/>
      <c r="C4" s="367"/>
      <c r="D4" s="367"/>
      <c r="E4" s="172">
        <v>15.359800999999999</v>
      </c>
      <c r="F4" s="172">
        <v>75.772614000000004</v>
      </c>
      <c r="G4" s="367"/>
      <c r="H4" s="94" t="s">
        <v>309</v>
      </c>
      <c r="I4" s="110">
        <f>SQRT(6.2^2+6.8^2+15.8^2)</f>
        <v>18.284419597023035</v>
      </c>
      <c r="J4" s="110">
        <f t="shared" si="0"/>
        <v>5.8230635659309025</v>
      </c>
      <c r="K4" s="111"/>
      <c r="L4" s="111"/>
      <c r="M4" s="111"/>
      <c r="N4" s="167"/>
      <c r="O4" s="127">
        <f t="shared" si="1"/>
        <v>2.1055590770859268E-2</v>
      </c>
      <c r="P4" s="168">
        <f>O4*(1+'Key Data'!F$3)</f>
        <v>2.6319488463574084E-2</v>
      </c>
      <c r="Q4" s="366"/>
      <c r="R4" s="366"/>
      <c r="S4" s="418"/>
    </row>
    <row r="5" spans="1:21" x14ac:dyDescent="0.3">
      <c r="A5" s="367"/>
      <c r="B5" s="367"/>
      <c r="C5" s="367"/>
      <c r="D5" s="367"/>
      <c r="E5" s="172">
        <v>15.3597813</v>
      </c>
      <c r="F5" s="172">
        <v>75.772579500000006</v>
      </c>
      <c r="G5" s="367"/>
      <c r="H5" s="94" t="s">
        <v>309</v>
      </c>
      <c r="I5" s="110">
        <f>SQRT(25.4^2+7.8^2+6.4^2+0^2)</f>
        <v>27.330568965903364</v>
      </c>
      <c r="J5" s="110">
        <f t="shared" si="0"/>
        <v>8.7040028553832371</v>
      </c>
      <c r="K5" s="111"/>
      <c r="L5" s="111"/>
      <c r="M5" s="111"/>
      <c r="N5" s="167"/>
      <c r="O5" s="127">
        <f t="shared" si="1"/>
        <v>3.0800199151681907E-2</v>
      </c>
      <c r="P5" s="168">
        <f>O5*(1+'Key Data'!F$3)</f>
        <v>3.8500248939602383E-2</v>
      </c>
      <c r="Q5" s="366"/>
      <c r="R5" s="366"/>
      <c r="S5" s="418"/>
    </row>
    <row r="6" spans="1:21" x14ac:dyDescent="0.3">
      <c r="A6" s="367"/>
      <c r="B6" s="367"/>
      <c r="C6" s="367"/>
      <c r="D6" s="367"/>
      <c r="E6" s="172">
        <v>15.359904500000001</v>
      </c>
      <c r="F6" s="172">
        <v>75.772582999999997</v>
      </c>
      <c r="G6" s="367"/>
      <c r="H6" s="94" t="s">
        <v>309</v>
      </c>
      <c r="I6" s="110">
        <v>21.4</v>
      </c>
      <c r="J6" s="110">
        <f t="shared" si="0"/>
        <v>6.8152866242038206</v>
      </c>
      <c r="K6" s="111"/>
      <c r="L6" s="111"/>
      <c r="M6" s="111"/>
      <c r="N6" s="167"/>
      <c r="O6" s="127">
        <f t="shared" si="1"/>
        <v>2.4406345224216773E-2</v>
      </c>
      <c r="P6" s="168">
        <f>O6*(1+'Key Data'!F$3)</f>
        <v>3.0507931530270968E-2</v>
      </c>
      <c r="Q6" s="366"/>
      <c r="R6" s="366"/>
      <c r="S6" s="418"/>
    </row>
    <row r="7" spans="1:21" x14ac:dyDescent="0.3">
      <c r="A7" s="367"/>
      <c r="B7" s="367"/>
      <c r="C7" s="367"/>
      <c r="D7" s="367"/>
      <c r="E7" s="108"/>
      <c r="F7" s="108"/>
      <c r="G7" s="367"/>
      <c r="H7" s="94" t="s">
        <v>309</v>
      </c>
      <c r="I7" s="110">
        <f>SQRT(18.4^2+36)</f>
        <v>19.353552645444712</v>
      </c>
      <c r="J7" s="110">
        <f t="shared" si="0"/>
        <v>6.1635517979123282</v>
      </c>
      <c r="K7" s="111"/>
      <c r="L7" s="111"/>
      <c r="M7" s="111"/>
      <c r="N7" s="167"/>
      <c r="O7" s="127">
        <f t="shared" si="1"/>
        <v>2.2204707309330902E-2</v>
      </c>
      <c r="P7" s="168">
        <f>O7*(1+'Key Data'!F$3)</f>
        <v>2.7755884136663626E-2</v>
      </c>
      <c r="Q7" s="366"/>
      <c r="R7" s="366"/>
      <c r="S7" s="418"/>
    </row>
    <row r="8" spans="1:21" x14ac:dyDescent="0.3">
      <c r="A8" s="367"/>
      <c r="B8" s="367"/>
      <c r="C8" s="367"/>
      <c r="D8" s="367"/>
      <c r="E8" s="108"/>
      <c r="F8" s="108"/>
      <c r="G8" s="367"/>
      <c r="H8" s="94" t="s">
        <v>309</v>
      </c>
      <c r="I8" s="110">
        <f>SQRT(12.8^2+13.4^2+11^2+14.4^2+10.4^2)</f>
        <v>27.927047821064079</v>
      </c>
      <c r="J8" s="110">
        <f t="shared" si="0"/>
        <v>8.8939642742242278</v>
      </c>
      <c r="K8" s="111"/>
      <c r="L8" s="111"/>
      <c r="M8" s="111"/>
      <c r="N8" s="167"/>
      <c r="O8" s="127">
        <f t="shared" si="1"/>
        <v>3.1444263348123794E-2</v>
      </c>
      <c r="P8" s="168">
        <f>O8*(1+'Key Data'!F$3)</f>
        <v>3.9305329185154739E-2</v>
      </c>
      <c r="Q8" s="366"/>
      <c r="R8" s="366"/>
      <c r="S8" s="418"/>
    </row>
    <row r="9" spans="1:21" x14ac:dyDescent="0.3">
      <c r="A9" s="367"/>
      <c r="B9" s="367"/>
      <c r="C9" s="367"/>
      <c r="D9" s="367"/>
      <c r="E9" s="108"/>
      <c r="F9" s="108"/>
      <c r="G9" s="367"/>
      <c r="H9" s="94" t="s">
        <v>309</v>
      </c>
      <c r="I9" s="110">
        <v>17</v>
      </c>
      <c r="J9" s="110">
        <f t="shared" si="0"/>
        <v>5.4140127388535033</v>
      </c>
      <c r="K9" s="111"/>
      <c r="L9" s="111"/>
      <c r="M9" s="111"/>
      <c r="N9" s="167"/>
      <c r="O9" s="127">
        <f t="shared" si="1"/>
        <v>1.96761524704244E-2</v>
      </c>
      <c r="P9" s="168">
        <f>O9*(1+'Key Data'!F$3)</f>
        <v>2.4595190588030499E-2</v>
      </c>
      <c r="Q9" s="366"/>
      <c r="R9" s="366"/>
      <c r="S9" s="418"/>
    </row>
    <row r="10" spans="1:21" x14ac:dyDescent="0.3">
      <c r="A10" s="367"/>
      <c r="B10" s="367"/>
      <c r="C10" s="367"/>
      <c r="D10" s="367"/>
      <c r="E10" s="108"/>
      <c r="F10" s="108"/>
      <c r="G10" s="367"/>
      <c r="H10" s="94" t="s">
        <v>309</v>
      </c>
      <c r="I10" s="110">
        <v>25</v>
      </c>
      <c r="J10" s="110">
        <f t="shared" si="0"/>
        <v>7.9617834394904454</v>
      </c>
      <c r="K10" s="111"/>
      <c r="L10" s="111"/>
      <c r="M10" s="111"/>
      <c r="N10" s="167"/>
      <c r="O10" s="127">
        <f t="shared" si="1"/>
        <v>2.828535648353471E-2</v>
      </c>
      <c r="P10" s="168">
        <f>O10*(1+'Key Data'!F$3)</f>
        <v>3.5356695604418384E-2</v>
      </c>
      <c r="Q10" s="366"/>
      <c r="R10" s="366"/>
      <c r="S10" s="418"/>
    </row>
    <row r="11" spans="1:21" x14ac:dyDescent="0.3">
      <c r="A11" s="367"/>
      <c r="B11" s="367"/>
      <c r="C11" s="367"/>
      <c r="D11" s="367"/>
      <c r="E11" s="108"/>
      <c r="F11" s="108"/>
      <c r="G11" s="367"/>
      <c r="H11" s="94" t="s">
        <v>309</v>
      </c>
      <c r="I11" s="110">
        <f>SQRT(16.2^2+6.4^2)</f>
        <v>17.418381095842403</v>
      </c>
      <c r="J11" s="110">
        <f t="shared" si="0"/>
        <v>5.5472551260644591</v>
      </c>
      <c r="K11" s="111"/>
      <c r="L11" s="111"/>
      <c r="M11" s="111"/>
      <c r="N11" s="167"/>
      <c r="O11" s="127">
        <f t="shared" si="1"/>
        <v>2.0125351604459833E-2</v>
      </c>
      <c r="P11" s="168">
        <f>O11*(1+'Key Data'!F$3)</f>
        <v>2.515668950557479E-2</v>
      </c>
      <c r="Q11" s="366"/>
      <c r="R11" s="366"/>
      <c r="S11" s="418"/>
    </row>
    <row r="12" spans="1:21" x14ac:dyDescent="0.3">
      <c r="A12" s="367"/>
      <c r="B12" s="367"/>
      <c r="C12" s="367"/>
      <c r="D12" s="367"/>
      <c r="E12" s="108"/>
      <c r="F12" s="108"/>
      <c r="G12" s="367"/>
      <c r="H12" s="94" t="s">
        <v>309</v>
      </c>
      <c r="I12" s="110">
        <f>SQRT(12.8^2+10^2+8^2)</f>
        <v>18.106352476410041</v>
      </c>
      <c r="J12" s="110">
        <f t="shared" si="0"/>
        <v>5.7663542918503312</v>
      </c>
      <c r="K12" s="111"/>
      <c r="L12" s="111"/>
      <c r="M12" s="111"/>
      <c r="N12" s="167"/>
      <c r="O12" s="127">
        <f t="shared" si="1"/>
        <v>2.0864279256439501E-2</v>
      </c>
      <c r="P12" s="168">
        <f>O12*(1+'Key Data'!F$3)</f>
        <v>2.6080349070549375E-2</v>
      </c>
      <c r="Q12" s="366"/>
      <c r="R12" s="366"/>
      <c r="S12" s="418"/>
    </row>
    <row r="13" spans="1:21" x14ac:dyDescent="0.3">
      <c r="A13" s="367"/>
      <c r="B13" s="367"/>
      <c r="C13" s="367"/>
      <c r="D13" s="367"/>
      <c r="E13" s="108"/>
      <c r="F13" s="108"/>
      <c r="G13" s="367"/>
      <c r="H13" s="94" t="s">
        <v>309</v>
      </c>
      <c r="I13" s="110">
        <v>17</v>
      </c>
      <c r="J13" s="110">
        <f t="shared" si="0"/>
        <v>5.4140127388535033</v>
      </c>
      <c r="K13" s="111"/>
      <c r="L13" s="111"/>
      <c r="M13" s="111"/>
      <c r="N13" s="167"/>
      <c r="O13" s="127">
        <f t="shared" si="1"/>
        <v>1.96761524704244E-2</v>
      </c>
      <c r="P13" s="168">
        <f>O13*(1+'Key Data'!F$3)</f>
        <v>2.4595190588030499E-2</v>
      </c>
      <c r="Q13" s="366"/>
      <c r="R13" s="366"/>
      <c r="S13" s="418"/>
    </row>
    <row r="14" spans="1:21" x14ac:dyDescent="0.3">
      <c r="A14" s="367"/>
      <c r="B14" s="367"/>
      <c r="C14" s="367"/>
      <c r="D14" s="367"/>
      <c r="E14" s="108"/>
      <c r="F14" s="108"/>
      <c r="G14" s="367"/>
      <c r="H14" s="94" t="s">
        <v>309</v>
      </c>
      <c r="I14" s="110">
        <v>19</v>
      </c>
      <c r="J14" s="110">
        <f t="shared" si="0"/>
        <v>6.0509554140127388</v>
      </c>
      <c r="K14" s="111"/>
      <c r="L14" s="111"/>
      <c r="M14" s="111"/>
      <c r="N14" s="167"/>
      <c r="O14" s="127">
        <f t="shared" si="1"/>
        <v>2.1824618411569741E-2</v>
      </c>
      <c r="P14" s="168">
        <f>O14*(1+'Key Data'!F$3)</f>
        <v>2.7280773014462176E-2</v>
      </c>
      <c r="Q14" s="366"/>
      <c r="R14" s="366"/>
      <c r="S14" s="418"/>
    </row>
    <row r="15" spans="1:21" x14ac:dyDescent="0.3">
      <c r="A15" s="367"/>
      <c r="B15" s="367"/>
      <c r="C15" s="367"/>
      <c r="D15" s="367"/>
      <c r="E15" s="108"/>
      <c r="F15" s="108"/>
      <c r="G15" s="367"/>
      <c r="H15" s="94" t="s">
        <v>309</v>
      </c>
      <c r="I15" s="110">
        <v>20.8</v>
      </c>
      <c r="J15" s="110">
        <f t="shared" si="0"/>
        <v>6.6242038216560513</v>
      </c>
      <c r="K15" s="111"/>
      <c r="L15" s="111"/>
      <c r="M15" s="111"/>
      <c r="N15" s="167"/>
      <c r="O15" s="127">
        <f t="shared" si="1"/>
        <v>2.3760571566927267E-2</v>
      </c>
      <c r="P15" s="168">
        <f>O15*(1+'Key Data'!F$3)</f>
        <v>2.9700714458659083E-2</v>
      </c>
      <c r="Q15" s="366"/>
      <c r="R15" s="366"/>
      <c r="S15" s="418"/>
    </row>
    <row r="16" spans="1:21" x14ac:dyDescent="0.3">
      <c r="A16" s="367"/>
      <c r="B16" s="367"/>
      <c r="C16" s="367"/>
      <c r="D16" s="367"/>
      <c r="E16" s="108"/>
      <c r="F16" s="108"/>
      <c r="G16" s="367"/>
      <c r="H16" s="94" t="s">
        <v>309</v>
      </c>
      <c r="I16" s="110">
        <v>21</v>
      </c>
      <c r="J16" s="110">
        <f t="shared" si="0"/>
        <v>6.6878980891719744</v>
      </c>
      <c r="K16" s="111"/>
      <c r="L16" s="111"/>
      <c r="M16" s="111"/>
      <c r="N16" s="167"/>
      <c r="O16" s="127">
        <f t="shared" si="1"/>
        <v>2.3975804929252952E-2</v>
      </c>
      <c r="P16" s="168">
        <f>O16*(1+'Key Data'!F$3)</f>
        <v>2.9969756161566191E-2</v>
      </c>
      <c r="Q16" s="366"/>
      <c r="R16" s="366"/>
      <c r="S16" s="418"/>
    </row>
    <row r="17" spans="1:19" x14ac:dyDescent="0.3">
      <c r="A17" s="367"/>
      <c r="B17" s="367"/>
      <c r="C17" s="367"/>
      <c r="D17" s="367"/>
      <c r="E17" s="108"/>
      <c r="F17" s="108"/>
      <c r="G17" s="367"/>
      <c r="H17" s="94" t="s">
        <v>309</v>
      </c>
      <c r="I17" s="110">
        <f>SQRT(13.8^2+100)</f>
        <v>17.042300314218149</v>
      </c>
      <c r="J17" s="110">
        <f t="shared" si="0"/>
        <v>5.4274841765025954</v>
      </c>
      <c r="K17" s="111"/>
      <c r="L17" s="111"/>
      <c r="M17" s="111"/>
      <c r="N17" s="167"/>
      <c r="O17" s="127">
        <f t="shared" si="1"/>
        <v>1.9721562660284398E-2</v>
      </c>
      <c r="P17" s="168">
        <f>O17*(1+'Key Data'!F$3)</f>
        <v>2.4651953325355497E-2</v>
      </c>
      <c r="Q17" s="366"/>
      <c r="R17" s="366"/>
      <c r="S17" s="418"/>
    </row>
    <row r="18" spans="1:19" x14ac:dyDescent="0.3">
      <c r="A18" s="367"/>
      <c r="B18" s="367"/>
      <c r="C18" s="367"/>
      <c r="D18" s="367"/>
      <c r="E18" s="108"/>
      <c r="F18" s="108"/>
      <c r="G18" s="367"/>
      <c r="H18" s="94" t="s">
        <v>309</v>
      </c>
      <c r="I18" s="110">
        <f>SQRT(7.8^2+12.8^2+13^2+12^2)</f>
        <v>23.187927893626028</v>
      </c>
      <c r="J18" s="110">
        <f t="shared" si="0"/>
        <v>7.3846904119828114</v>
      </c>
      <c r="K18" s="111"/>
      <c r="L18" s="111"/>
      <c r="M18" s="111"/>
      <c r="N18" s="167"/>
      <c r="O18" s="127">
        <f t="shared" si="1"/>
        <v>2.6331939231317131E-2</v>
      </c>
      <c r="P18" s="168">
        <f>O18*(1+'Key Data'!F$3)</f>
        <v>3.2914924039146413E-2</v>
      </c>
      <c r="Q18" s="366"/>
      <c r="R18" s="366"/>
      <c r="S18" s="418"/>
    </row>
    <row r="19" spans="1:19" x14ac:dyDescent="0.3">
      <c r="A19" s="367"/>
      <c r="B19" s="367"/>
      <c r="C19" s="367"/>
      <c r="D19" s="367"/>
      <c r="E19" s="108"/>
      <c r="F19" s="108"/>
      <c r="G19" s="367"/>
      <c r="H19" s="94" t="s">
        <v>309</v>
      </c>
      <c r="I19" s="110">
        <f>SQRT(16.1^2+13.4^2+10.2^2+12.4^2)</f>
        <v>26.392612602772012</v>
      </c>
      <c r="J19" s="110">
        <f t="shared" si="0"/>
        <v>8.4052906378254804</v>
      </c>
      <c r="K19" s="111"/>
      <c r="L19" s="111"/>
      <c r="M19" s="111"/>
      <c r="N19" s="167"/>
      <c r="O19" s="127">
        <f t="shared" si="1"/>
        <v>2.9787757947059582E-2</v>
      </c>
      <c r="P19" s="168">
        <f>O19*(1+'Key Data'!F$3)</f>
        <v>3.7234697433824474E-2</v>
      </c>
      <c r="Q19" s="366"/>
      <c r="R19" s="366"/>
      <c r="S19" s="418"/>
    </row>
    <row r="20" spans="1:19" x14ac:dyDescent="0.3">
      <c r="A20" s="367"/>
      <c r="B20" s="367"/>
      <c r="C20" s="367"/>
      <c r="D20" s="367"/>
      <c r="E20" s="108"/>
      <c r="F20" s="108"/>
      <c r="G20" s="367"/>
      <c r="H20" s="94" t="s">
        <v>309</v>
      </c>
      <c r="I20" s="110">
        <v>21.2</v>
      </c>
      <c r="J20" s="110">
        <f t="shared" si="0"/>
        <v>6.7515923566878975</v>
      </c>
      <c r="K20" s="111"/>
      <c r="L20" s="111"/>
      <c r="M20" s="111"/>
      <c r="N20" s="167"/>
      <c r="O20" s="127">
        <f t="shared" si="1"/>
        <v>2.4191062891452522E-2</v>
      </c>
      <c r="P20" s="168">
        <f>O20*(1+'Key Data'!F$3)</f>
        <v>3.0238828614315653E-2</v>
      </c>
      <c r="Q20" s="366"/>
      <c r="R20" s="366"/>
      <c r="S20" s="418"/>
    </row>
    <row r="21" spans="1:19" x14ac:dyDescent="0.3">
      <c r="A21" s="367"/>
      <c r="B21" s="367"/>
      <c r="C21" s="367"/>
      <c r="D21" s="367"/>
      <c r="E21" s="108"/>
      <c r="F21" s="108"/>
      <c r="G21" s="367"/>
      <c r="H21" s="94" t="s">
        <v>309</v>
      </c>
      <c r="I21" s="110">
        <f>SQRT(18^2+8.4^2)</f>
        <v>19.863534428696219</v>
      </c>
      <c r="J21" s="110">
        <f t="shared" si="0"/>
        <v>6.325966378565675</v>
      </c>
      <c r="K21" s="111"/>
      <c r="L21" s="111"/>
      <c r="M21" s="111"/>
      <c r="N21" s="167"/>
      <c r="O21" s="127">
        <f t="shared" si="1"/>
        <v>2.2753112707229933E-2</v>
      </c>
      <c r="P21" s="168">
        <f>O21*(1+'Key Data'!F$3)</f>
        <v>2.8441390884037417E-2</v>
      </c>
      <c r="Q21" s="366"/>
      <c r="R21" s="366"/>
      <c r="S21" s="418"/>
    </row>
    <row r="22" spans="1:19" x14ac:dyDescent="0.3">
      <c r="A22" s="367"/>
      <c r="B22" s="367"/>
      <c r="C22" s="367"/>
      <c r="D22" s="367"/>
      <c r="E22" s="108"/>
      <c r="F22" s="108"/>
      <c r="G22" s="367"/>
      <c r="H22" s="94" t="s">
        <v>309</v>
      </c>
      <c r="I22" s="110">
        <v>18.399999999999999</v>
      </c>
      <c r="J22" s="110">
        <f t="shared" si="0"/>
        <v>5.8598726114649677</v>
      </c>
      <c r="K22" s="111"/>
      <c r="L22" s="111"/>
      <c r="M22" s="111"/>
      <c r="N22" s="167"/>
      <c r="O22" s="127">
        <f t="shared" si="1"/>
        <v>2.1179779869332817E-2</v>
      </c>
      <c r="P22" s="168">
        <f>O22*(1+'Key Data'!F$3)</f>
        <v>2.6474724836666019E-2</v>
      </c>
      <c r="Q22" s="366"/>
      <c r="R22" s="366"/>
      <c r="S22" s="418"/>
    </row>
    <row r="23" spans="1:19" x14ac:dyDescent="0.3">
      <c r="A23" s="367"/>
      <c r="B23" s="367"/>
      <c r="C23" s="367"/>
      <c r="D23" s="367"/>
      <c r="E23" s="108"/>
      <c r="F23" s="108"/>
      <c r="G23" s="367"/>
      <c r="H23" s="94" t="s">
        <v>309</v>
      </c>
      <c r="I23" s="110">
        <v>20.8</v>
      </c>
      <c r="J23" s="110">
        <f t="shared" si="0"/>
        <v>6.6242038216560513</v>
      </c>
      <c r="K23" s="111"/>
      <c r="L23" s="111"/>
      <c r="M23" s="111"/>
      <c r="N23" s="167"/>
      <c r="O23" s="127">
        <f t="shared" si="1"/>
        <v>2.3760571566927267E-2</v>
      </c>
      <c r="P23" s="168">
        <f>O23*(1+'Key Data'!F$3)</f>
        <v>2.9700714458659083E-2</v>
      </c>
      <c r="Q23" s="366"/>
      <c r="R23" s="366"/>
      <c r="S23" s="418"/>
    </row>
    <row r="24" spans="1:19" x14ac:dyDescent="0.3">
      <c r="A24" s="367"/>
      <c r="B24" s="367"/>
      <c r="C24" s="367"/>
      <c r="D24" s="367"/>
      <c r="E24" s="108"/>
      <c r="F24" s="108"/>
      <c r="G24" s="367"/>
      <c r="H24" s="94" t="s">
        <v>309</v>
      </c>
      <c r="I24" s="110">
        <f>SQRT(18^2+14.2^2)</f>
        <v>22.926840166058646</v>
      </c>
      <c r="J24" s="110">
        <f t="shared" si="0"/>
        <v>7.3015414541588042</v>
      </c>
      <c r="K24" s="111"/>
      <c r="L24" s="111"/>
      <c r="M24" s="111"/>
      <c r="N24" s="167"/>
      <c r="O24" s="127">
        <f t="shared" si="1"/>
        <v>2.6050633869630673E-2</v>
      </c>
      <c r="P24" s="168">
        <f>O24*(1+'Key Data'!F$3)</f>
        <v>3.2563292337038342E-2</v>
      </c>
      <c r="Q24" s="366"/>
      <c r="R24" s="366"/>
      <c r="S24" s="418"/>
    </row>
    <row r="25" spans="1:19" x14ac:dyDescent="0.3">
      <c r="A25" s="367"/>
      <c r="B25" s="367"/>
      <c r="C25" s="367"/>
      <c r="D25" s="367"/>
      <c r="E25" s="108"/>
      <c r="F25" s="108"/>
      <c r="G25" s="367"/>
      <c r="H25" s="94" t="s">
        <v>309</v>
      </c>
      <c r="I25" s="110">
        <v>17.2</v>
      </c>
      <c r="J25" s="110">
        <f t="shared" si="0"/>
        <v>5.4777070063694264</v>
      </c>
      <c r="K25" s="111"/>
      <c r="L25" s="111"/>
      <c r="M25" s="111"/>
      <c r="N25" s="167"/>
      <c r="O25" s="127">
        <f t="shared" si="1"/>
        <v>1.9890868159147253E-2</v>
      </c>
      <c r="P25" s="168">
        <f>O25*(1+'Key Data'!F$3)</f>
        <v>2.4863585198934068E-2</v>
      </c>
      <c r="Q25" s="366"/>
      <c r="R25" s="366"/>
      <c r="S25" s="418"/>
    </row>
    <row r="26" spans="1:19" x14ac:dyDescent="0.3">
      <c r="A26" s="367"/>
      <c r="B26" s="367"/>
      <c r="C26" s="367"/>
      <c r="D26" s="367"/>
      <c r="E26" s="108"/>
      <c r="F26" s="108"/>
      <c r="G26" s="367"/>
      <c r="H26" s="94" t="s">
        <v>309</v>
      </c>
      <c r="I26" s="110">
        <v>19.8</v>
      </c>
      <c r="J26" s="110">
        <f t="shared" si="0"/>
        <v>6.3057324840764331</v>
      </c>
      <c r="K26" s="111"/>
      <c r="L26" s="111"/>
      <c r="M26" s="111"/>
      <c r="N26" s="167"/>
      <c r="O26" s="127">
        <f t="shared" si="1"/>
        <v>2.268478209332116E-2</v>
      </c>
      <c r="P26" s="168">
        <f>O26*(1+'Key Data'!F$3)</f>
        <v>2.835597761665145E-2</v>
      </c>
      <c r="Q26" s="366"/>
      <c r="R26" s="366"/>
      <c r="S26" s="418"/>
    </row>
    <row r="27" spans="1:19" x14ac:dyDescent="0.3">
      <c r="A27" s="367"/>
      <c r="B27" s="367"/>
      <c r="C27" s="367"/>
      <c r="D27" s="367"/>
      <c r="E27" s="108"/>
      <c r="F27" s="108"/>
      <c r="G27" s="367"/>
      <c r="H27" s="94" t="s">
        <v>309</v>
      </c>
      <c r="I27" s="110">
        <v>17.8</v>
      </c>
      <c r="J27" s="110">
        <f t="shared" si="0"/>
        <v>5.6687898089171975</v>
      </c>
      <c r="K27" s="111"/>
      <c r="L27" s="111"/>
      <c r="M27" s="111"/>
      <c r="N27" s="167"/>
      <c r="O27" s="127">
        <f t="shared" si="1"/>
        <v>2.0535193650310011E-2</v>
      </c>
      <c r="P27" s="168">
        <f>O27*(1+'Key Data'!F$3)</f>
        <v>2.5668992062887513E-2</v>
      </c>
      <c r="Q27" s="366"/>
      <c r="R27" s="366"/>
      <c r="S27" s="418"/>
    </row>
    <row r="28" spans="1:19" x14ac:dyDescent="0.3">
      <c r="A28" s="367"/>
      <c r="B28" s="367"/>
      <c r="C28" s="367"/>
      <c r="D28" s="367"/>
      <c r="E28" s="108"/>
      <c r="F28" s="108"/>
      <c r="G28" s="367"/>
      <c r="H28" s="94" t="s">
        <v>309</v>
      </c>
      <c r="I28" s="110">
        <f>SQRT(13.4^2+12.8^2+8.8^2)</f>
        <v>20.514385196734512</v>
      </c>
      <c r="J28" s="110">
        <f t="shared" si="0"/>
        <v>6.5332436932275515</v>
      </c>
      <c r="K28" s="111"/>
      <c r="L28" s="111"/>
      <c r="M28" s="111"/>
      <c r="N28" s="167"/>
      <c r="O28" s="127">
        <f t="shared" si="1"/>
        <v>2.345324550832513E-2</v>
      </c>
      <c r="P28" s="168">
        <f>O28*(1+'Key Data'!F$3)</f>
        <v>2.9316556885406412E-2</v>
      </c>
      <c r="Q28" s="366"/>
      <c r="R28" s="366"/>
      <c r="S28" s="418"/>
    </row>
    <row r="29" spans="1:19" x14ac:dyDescent="0.3">
      <c r="A29" s="367"/>
      <c r="B29" s="367"/>
      <c r="C29" s="367"/>
      <c r="D29" s="367"/>
      <c r="E29" s="108"/>
      <c r="F29" s="108"/>
      <c r="G29" s="367"/>
      <c r="H29" s="94" t="s">
        <v>309</v>
      </c>
      <c r="I29" s="110">
        <v>18.8</v>
      </c>
      <c r="J29" s="110">
        <f t="shared" si="0"/>
        <v>5.9872611464968148</v>
      </c>
      <c r="K29" s="111"/>
      <c r="L29" s="111"/>
      <c r="M29" s="111"/>
      <c r="N29" s="167"/>
      <c r="O29" s="127">
        <f t="shared" si="1"/>
        <v>2.1609644691431253E-2</v>
      </c>
      <c r="P29" s="168">
        <f>O29*(1+'Key Data'!F$3)</f>
        <v>2.7012055864289067E-2</v>
      </c>
      <c r="Q29" s="366"/>
      <c r="R29" s="366"/>
      <c r="S29" s="418"/>
    </row>
    <row r="30" spans="1:19" x14ac:dyDescent="0.3">
      <c r="A30" s="367"/>
      <c r="B30" s="367"/>
      <c r="C30" s="367"/>
      <c r="D30" s="367"/>
      <c r="E30" s="108"/>
      <c r="F30" s="108"/>
      <c r="G30" s="367"/>
      <c r="H30" s="94" t="s">
        <v>309</v>
      </c>
      <c r="I30" s="110">
        <v>20</v>
      </c>
      <c r="J30" s="110">
        <f t="shared" si="0"/>
        <v>6.3694267515923562</v>
      </c>
      <c r="K30" s="111"/>
      <c r="L30" s="111"/>
      <c r="M30" s="111"/>
      <c r="N30" s="167"/>
      <c r="O30" s="127">
        <f t="shared" si="1"/>
        <v>2.2899888858667769E-2</v>
      </c>
      <c r="P30" s="168">
        <f>O30*(1+'Key Data'!F$3)</f>
        <v>2.8624861073334711E-2</v>
      </c>
      <c r="Q30" s="366"/>
      <c r="R30" s="366"/>
      <c r="S30" s="418"/>
    </row>
    <row r="31" spans="1:19" x14ac:dyDescent="0.3">
      <c r="A31" s="367"/>
      <c r="B31" s="367"/>
      <c r="C31" s="367"/>
      <c r="D31" s="367"/>
      <c r="E31" s="108"/>
      <c r="F31" s="108"/>
      <c r="G31" s="367"/>
      <c r="H31" s="94" t="s">
        <v>309</v>
      </c>
      <c r="I31" s="110">
        <v>19.8</v>
      </c>
      <c r="J31" s="110">
        <f t="shared" si="0"/>
        <v>6.3057324840764331</v>
      </c>
      <c r="K31" s="111"/>
      <c r="L31" s="111"/>
      <c r="M31" s="111"/>
      <c r="N31" s="167"/>
      <c r="O31" s="127">
        <f t="shared" si="1"/>
        <v>2.268478209332116E-2</v>
      </c>
      <c r="P31" s="168">
        <f>O31*(1+'Key Data'!F$3)</f>
        <v>2.835597761665145E-2</v>
      </c>
      <c r="Q31" s="366"/>
      <c r="R31" s="366"/>
      <c r="S31" s="418"/>
    </row>
    <row r="32" spans="1:19" x14ac:dyDescent="0.3">
      <c r="A32" s="367"/>
      <c r="B32" s="367"/>
      <c r="C32" s="367"/>
      <c r="D32" s="367"/>
      <c r="E32" s="108"/>
      <c r="F32" s="108"/>
      <c r="G32" s="367"/>
      <c r="H32" s="94" t="s">
        <v>309</v>
      </c>
      <c r="I32" s="110">
        <v>19</v>
      </c>
      <c r="J32" s="110">
        <f t="shared" si="0"/>
        <v>6.0509554140127388</v>
      </c>
      <c r="K32" s="111"/>
      <c r="L32" s="111"/>
      <c r="M32" s="111"/>
      <c r="N32" s="167"/>
      <c r="O32" s="127">
        <f t="shared" si="1"/>
        <v>2.1824618411569741E-2</v>
      </c>
      <c r="P32" s="168">
        <f>O32*(1+'Key Data'!F$3)</f>
        <v>2.7280773014462176E-2</v>
      </c>
      <c r="Q32" s="366"/>
      <c r="R32" s="366"/>
      <c r="S32" s="418"/>
    </row>
    <row r="33" spans="1:19" x14ac:dyDescent="0.3">
      <c r="A33" s="367"/>
      <c r="B33" s="367"/>
      <c r="C33" s="367"/>
      <c r="D33" s="367"/>
      <c r="E33" s="108"/>
      <c r="F33" s="108"/>
      <c r="G33" s="367"/>
      <c r="H33" s="94" t="s">
        <v>309</v>
      </c>
      <c r="I33" s="110">
        <f>SQRT(19.2^2+5.6^2)</f>
        <v>20</v>
      </c>
      <c r="J33" s="110">
        <f t="shared" si="0"/>
        <v>6.3694267515923562</v>
      </c>
      <c r="K33" s="111"/>
      <c r="L33" s="111"/>
      <c r="M33" s="111"/>
      <c r="N33" s="167"/>
      <c r="O33" s="127">
        <f t="shared" si="1"/>
        <v>2.2899888858667769E-2</v>
      </c>
      <c r="P33" s="168">
        <f>O33*(1+'Key Data'!F$3)</f>
        <v>2.8624861073334711E-2</v>
      </c>
      <c r="Q33" s="366"/>
      <c r="R33" s="366"/>
      <c r="S33" s="418"/>
    </row>
    <row r="34" spans="1:19" x14ac:dyDescent="0.3">
      <c r="A34" s="367"/>
      <c r="B34" s="367"/>
      <c r="C34" s="367"/>
      <c r="D34" s="367"/>
      <c r="E34" s="108"/>
      <c r="F34" s="108"/>
      <c r="G34" s="367"/>
      <c r="H34" s="94" t="s">
        <v>309</v>
      </c>
      <c r="I34" s="110">
        <f>SQRT(16^2+15.4^2)</f>
        <v>22.207206037680653</v>
      </c>
      <c r="J34" s="110">
        <f t="shared" si="0"/>
        <v>7.0723586107263223</v>
      </c>
      <c r="K34" s="111"/>
      <c r="L34" s="111"/>
      <c r="M34" s="111"/>
      <c r="N34" s="167"/>
      <c r="O34" s="127">
        <f t="shared" si="1"/>
        <v>2.5275474352971675E-2</v>
      </c>
      <c r="P34" s="168">
        <f>O34*(1+'Key Data'!F$3)</f>
        <v>3.1594342941214597E-2</v>
      </c>
      <c r="Q34" s="366"/>
      <c r="R34" s="366"/>
      <c r="S34" s="418"/>
    </row>
    <row r="35" spans="1:19" x14ac:dyDescent="0.3">
      <c r="A35" s="367"/>
      <c r="B35" s="367"/>
      <c r="C35" s="367"/>
      <c r="D35" s="367"/>
      <c r="E35" s="108"/>
      <c r="F35" s="108"/>
      <c r="G35" s="367"/>
      <c r="H35" s="94" t="s">
        <v>309</v>
      </c>
      <c r="I35" s="110">
        <f>SQRT(19.2^2+49)</f>
        <v>20.43624231604235</v>
      </c>
      <c r="J35" s="110">
        <f t="shared" si="0"/>
        <v>6.5083574254911936</v>
      </c>
      <c r="K35" s="111"/>
      <c r="L35" s="111"/>
      <c r="M35" s="111"/>
      <c r="N35" s="167"/>
      <c r="O35" s="127">
        <f t="shared" si="1"/>
        <v>2.3369171444596167E-2</v>
      </c>
      <c r="P35" s="168">
        <f>O35*(1+'Key Data'!F$3)</f>
        <v>2.9211464305745206E-2</v>
      </c>
      <c r="Q35" s="366"/>
      <c r="R35" s="366"/>
      <c r="S35" s="418"/>
    </row>
    <row r="36" spans="1:19" x14ac:dyDescent="0.3">
      <c r="A36" s="367"/>
      <c r="B36" s="367"/>
      <c r="C36" s="367"/>
      <c r="D36" s="367"/>
      <c r="E36" s="108"/>
      <c r="F36" s="108"/>
      <c r="G36" s="367"/>
      <c r="H36" s="94" t="s">
        <v>309</v>
      </c>
      <c r="I36" s="110">
        <f>SQRT(18^2+5.6^2+5^2+6.2^2)</f>
        <v>20.464603587658374</v>
      </c>
      <c r="J36" s="110">
        <f t="shared" si="0"/>
        <v>6.5173896775982083</v>
      </c>
      <c r="K36" s="111"/>
      <c r="L36" s="111"/>
      <c r="M36" s="111"/>
      <c r="N36" s="167"/>
      <c r="O36" s="127">
        <f t="shared" si="1"/>
        <v>2.3399684941748038E-2</v>
      </c>
      <c r="P36" s="168">
        <f>O36*(1+'Key Data'!F$3)</f>
        <v>2.9249606177185049E-2</v>
      </c>
      <c r="Q36" s="366"/>
      <c r="R36" s="366"/>
      <c r="S36" s="418"/>
    </row>
    <row r="37" spans="1:19" x14ac:dyDescent="0.3">
      <c r="A37" s="367"/>
      <c r="B37" s="367"/>
      <c r="C37" s="367"/>
      <c r="D37" s="367"/>
      <c r="E37" s="108"/>
      <c r="F37" s="108"/>
      <c r="G37" s="367"/>
      <c r="H37" s="94" t="s">
        <v>309</v>
      </c>
      <c r="I37" s="110">
        <v>18.2</v>
      </c>
      <c r="J37" s="110">
        <f t="shared" si="0"/>
        <v>5.7961783439490437</v>
      </c>
      <c r="K37" s="111"/>
      <c r="L37" s="111"/>
      <c r="M37" s="111"/>
      <c r="N37" s="167"/>
      <c r="O37" s="127">
        <f t="shared" si="1"/>
        <v>2.0964889356730434E-2</v>
      </c>
      <c r="P37" s="168">
        <f>O37*(1+'Key Data'!F$3)</f>
        <v>2.6206111695913043E-2</v>
      </c>
      <c r="Q37" s="366"/>
      <c r="R37" s="366"/>
      <c r="S37" s="418"/>
    </row>
    <row r="38" spans="1:19" x14ac:dyDescent="0.3">
      <c r="A38" s="367"/>
      <c r="B38" s="367"/>
      <c r="C38" s="367"/>
      <c r="D38" s="367"/>
      <c r="E38" s="108"/>
      <c r="F38" s="108"/>
      <c r="G38" s="367"/>
      <c r="H38" s="94" t="s">
        <v>309</v>
      </c>
      <c r="I38" s="110">
        <v>18.399999999999999</v>
      </c>
      <c r="J38" s="110">
        <f t="shared" si="0"/>
        <v>5.8598726114649677</v>
      </c>
      <c r="K38" s="111"/>
      <c r="L38" s="111"/>
      <c r="M38" s="111"/>
      <c r="N38" s="167"/>
      <c r="O38" s="127">
        <f t="shared" si="1"/>
        <v>2.1179779869332817E-2</v>
      </c>
      <c r="P38" s="168">
        <f>O38*(1+'Key Data'!F$3)</f>
        <v>2.6474724836666019E-2</v>
      </c>
      <c r="Q38" s="366"/>
      <c r="R38" s="366"/>
      <c r="S38" s="418"/>
    </row>
    <row r="39" spans="1:19" x14ac:dyDescent="0.3">
      <c r="A39" s="367"/>
      <c r="B39" s="367"/>
      <c r="C39" s="367"/>
      <c r="D39" s="367"/>
      <c r="E39" s="108"/>
      <c r="F39" s="108"/>
      <c r="G39" s="367"/>
      <c r="H39" s="94" t="s">
        <v>309</v>
      </c>
      <c r="I39" s="110">
        <f>SQRT(9.2^2+12^2+12.8^2+9.9^2)</f>
        <v>22.147008827378926</v>
      </c>
      <c r="J39" s="110">
        <f t="shared" si="0"/>
        <v>7.0531875246429694</v>
      </c>
      <c r="K39" s="111"/>
      <c r="L39" s="111"/>
      <c r="M39" s="111"/>
      <c r="N39" s="167"/>
      <c r="O39" s="127">
        <f t="shared" si="1"/>
        <v>2.5210645986078403E-2</v>
      </c>
      <c r="P39" s="168">
        <f>O39*(1+'Key Data'!F$3)</f>
        <v>3.1513307482598008E-2</v>
      </c>
      <c r="Q39" s="366"/>
      <c r="R39" s="366"/>
      <c r="S39" s="418"/>
    </row>
    <row r="40" spans="1:19" x14ac:dyDescent="0.3">
      <c r="A40" s="367"/>
      <c r="B40" s="367"/>
      <c r="C40" s="367"/>
      <c r="D40" s="367"/>
      <c r="E40" s="108"/>
      <c r="F40" s="108"/>
      <c r="G40" s="367"/>
      <c r="H40" s="94" t="s">
        <v>309</v>
      </c>
      <c r="I40" s="110">
        <f>SQRT(11^2+15.8^2+8^2)</f>
        <v>20.848021488860759</v>
      </c>
      <c r="J40" s="110">
        <f t="shared" si="0"/>
        <v>6.6394972894461013</v>
      </c>
      <c r="K40" s="111"/>
      <c r="L40" s="111"/>
      <c r="M40" s="111"/>
      <c r="N40" s="167"/>
      <c r="O40" s="127">
        <f t="shared" si="1"/>
        <v>2.3812248442855965E-2</v>
      </c>
      <c r="P40" s="168">
        <f>O40*(1+'Key Data'!F$3)</f>
        <v>2.9765310553569957E-2</v>
      </c>
      <c r="Q40" s="366"/>
      <c r="R40" s="366"/>
      <c r="S40" s="418"/>
    </row>
    <row r="41" spans="1:19" x14ac:dyDescent="0.3">
      <c r="A41" s="367"/>
      <c r="B41" s="367"/>
      <c r="C41" s="367"/>
      <c r="D41" s="367"/>
      <c r="E41" s="108"/>
      <c r="F41" s="108"/>
      <c r="G41" s="367"/>
      <c r="H41" s="94" t="s">
        <v>309</v>
      </c>
      <c r="I41" s="110">
        <v>17.399999999999999</v>
      </c>
      <c r="J41" s="110">
        <f t="shared" si="0"/>
        <v>5.5414012738853495</v>
      </c>
      <c r="K41" s="111"/>
      <c r="L41" s="111"/>
      <c r="M41" s="111"/>
      <c r="N41" s="167"/>
      <c r="O41" s="127">
        <f t="shared" si="1"/>
        <v>2.0105613810960345E-2</v>
      </c>
      <c r="P41" s="168">
        <f>O41*(1+'Key Data'!F$3)</f>
        <v>2.5132017263700433E-2</v>
      </c>
      <c r="Q41" s="366"/>
      <c r="R41" s="366"/>
      <c r="S41" s="418"/>
    </row>
    <row r="42" spans="1:19" x14ac:dyDescent="0.3">
      <c r="A42" s="367"/>
      <c r="B42" s="367"/>
      <c r="C42" s="367"/>
      <c r="D42" s="367"/>
      <c r="E42" s="108"/>
      <c r="F42" s="108"/>
      <c r="G42" s="367"/>
      <c r="H42" s="94" t="s">
        <v>309</v>
      </c>
      <c r="I42" s="110">
        <f>SQRT(6.6^2+36+144+19.4^2+7.8^2)</f>
        <v>25.705252381565913</v>
      </c>
      <c r="J42" s="110">
        <f t="shared" si="0"/>
        <v>8.1863861087789527</v>
      </c>
      <c r="K42" s="111"/>
      <c r="L42" s="111"/>
      <c r="M42" s="111"/>
      <c r="N42" s="167"/>
      <c r="O42" s="127">
        <f t="shared" si="1"/>
        <v>2.9046086459358609E-2</v>
      </c>
      <c r="P42" s="168">
        <f>O42*(1+'Key Data'!F$3)</f>
        <v>3.6307608074198264E-2</v>
      </c>
      <c r="Q42" s="366"/>
      <c r="R42" s="366"/>
      <c r="S42" s="418"/>
    </row>
    <row r="43" spans="1:19" x14ac:dyDescent="0.3">
      <c r="A43" s="367"/>
      <c r="B43" s="367"/>
      <c r="C43" s="367"/>
      <c r="D43" s="367"/>
      <c r="E43" s="108"/>
      <c r="F43" s="108"/>
      <c r="G43" s="367"/>
      <c r="H43" s="94" t="s">
        <v>309</v>
      </c>
      <c r="I43" s="110">
        <f>SQRT(16.8^2+7^2+6^2+6.8^2)</f>
        <v>20.33420763147657</v>
      </c>
      <c r="J43" s="110">
        <f t="shared" ref="J43:J102" si="2">I43/3.14</f>
        <v>6.4758623030180154</v>
      </c>
      <c r="K43" s="111"/>
      <c r="L43" s="111"/>
      <c r="M43" s="111"/>
      <c r="N43" s="167"/>
      <c r="O43" s="127">
        <f t="shared" si="1"/>
        <v>2.3259397956150417E-2</v>
      </c>
      <c r="P43" s="168">
        <f>O43*(1+'Key Data'!F$3)</f>
        <v>2.9074247445188023E-2</v>
      </c>
      <c r="Q43" s="366"/>
      <c r="R43" s="366"/>
      <c r="S43" s="418"/>
    </row>
    <row r="44" spans="1:19" x14ac:dyDescent="0.3">
      <c r="A44" s="367"/>
      <c r="B44" s="367"/>
      <c r="C44" s="367"/>
      <c r="D44" s="367"/>
      <c r="E44" s="108"/>
      <c r="F44" s="108"/>
      <c r="G44" s="367"/>
      <c r="H44" s="94" t="s">
        <v>309</v>
      </c>
      <c r="I44" s="110">
        <v>18.399999999999999</v>
      </c>
      <c r="J44" s="110">
        <f t="shared" si="2"/>
        <v>5.8598726114649677</v>
      </c>
      <c r="K44" s="111"/>
      <c r="L44" s="111"/>
      <c r="M44" s="111"/>
      <c r="N44" s="167"/>
      <c r="O44" s="127">
        <f t="shared" si="1"/>
        <v>2.1179779869332817E-2</v>
      </c>
      <c r="P44" s="168">
        <f>O44*(1+'Key Data'!F$3)</f>
        <v>2.6474724836666019E-2</v>
      </c>
      <c r="Q44" s="366"/>
      <c r="R44" s="366"/>
      <c r="S44" s="418"/>
    </row>
    <row r="45" spans="1:19" x14ac:dyDescent="0.3">
      <c r="A45" s="367"/>
      <c r="B45" s="367"/>
      <c r="C45" s="367"/>
      <c r="D45" s="367"/>
      <c r="E45" s="108"/>
      <c r="F45" s="108"/>
      <c r="G45" s="367"/>
      <c r="H45" s="94" t="s">
        <v>309</v>
      </c>
      <c r="I45" s="110">
        <v>15.8</v>
      </c>
      <c r="J45" s="110">
        <f t="shared" si="2"/>
        <v>5.031847133757962</v>
      </c>
      <c r="K45" s="111"/>
      <c r="L45" s="111"/>
      <c r="M45" s="111"/>
      <c r="N45" s="167"/>
      <c r="O45" s="127">
        <f t="shared" si="1"/>
        <v>1.8388507659996223E-2</v>
      </c>
      <c r="P45" s="168">
        <f>O45*(1+'Key Data'!F$3)</f>
        <v>2.2985634574995278E-2</v>
      </c>
      <c r="Q45" s="366"/>
      <c r="R45" s="366"/>
      <c r="S45" s="418"/>
    </row>
    <row r="46" spans="1:19" x14ac:dyDescent="0.3">
      <c r="A46" s="367"/>
      <c r="B46" s="367"/>
      <c r="C46" s="367"/>
      <c r="D46" s="367"/>
      <c r="E46" s="108"/>
      <c r="F46" s="108"/>
      <c r="G46" s="367"/>
      <c r="H46" s="94" t="s">
        <v>309</v>
      </c>
      <c r="I46" s="110">
        <v>18</v>
      </c>
      <c r="J46" s="110">
        <f t="shared" si="2"/>
        <v>5.7324840764331206</v>
      </c>
      <c r="K46" s="111"/>
      <c r="L46" s="111"/>
      <c r="M46" s="111"/>
      <c r="N46" s="167"/>
      <c r="O46" s="127">
        <f t="shared" si="1"/>
        <v>2.0750027180037066E-2</v>
      </c>
      <c r="P46" s="168">
        <f>O46*(1+'Key Data'!F$3)</f>
        <v>2.5937533975046334E-2</v>
      </c>
      <c r="Q46" s="366"/>
      <c r="R46" s="366"/>
      <c r="S46" s="418"/>
    </row>
    <row r="47" spans="1:19" x14ac:dyDescent="0.3">
      <c r="A47" s="367"/>
      <c r="B47" s="367"/>
      <c r="C47" s="367"/>
      <c r="D47" s="367"/>
      <c r="E47" s="108"/>
      <c r="F47" s="108"/>
      <c r="G47" s="367"/>
      <c r="H47" s="94" t="s">
        <v>309</v>
      </c>
      <c r="I47" s="110">
        <f>SQRT(17.4^2+64)</f>
        <v>19.150979087242508</v>
      </c>
      <c r="J47" s="110">
        <f t="shared" si="2"/>
        <v>6.09903792587341</v>
      </c>
      <c r="K47" s="111"/>
      <c r="L47" s="111"/>
      <c r="M47" s="111"/>
      <c r="N47" s="167"/>
      <c r="O47" s="127">
        <f t="shared" si="1"/>
        <v>2.1986919095180992E-2</v>
      </c>
      <c r="P47" s="168">
        <f>O47*(1+'Key Data'!F$3)</f>
        <v>2.7483648868976241E-2</v>
      </c>
      <c r="Q47" s="366"/>
      <c r="R47" s="366"/>
      <c r="S47" s="418"/>
    </row>
    <row r="48" spans="1:19" x14ac:dyDescent="0.3">
      <c r="A48" s="367"/>
      <c r="B48" s="367"/>
      <c r="C48" s="367"/>
      <c r="D48" s="367"/>
      <c r="E48" s="108"/>
      <c r="F48" s="108"/>
      <c r="G48" s="367"/>
      <c r="H48" s="94" t="s">
        <v>309</v>
      </c>
      <c r="I48" s="110">
        <f>SQRT(10^2+17.4^2+13^2+8^2)</f>
        <v>25.214281667340831</v>
      </c>
      <c r="J48" s="110">
        <f t="shared" si="2"/>
        <v>8.0300260087072708</v>
      </c>
      <c r="K48" s="111"/>
      <c r="L48" s="111"/>
      <c r="M48" s="111"/>
      <c r="N48" s="167"/>
      <c r="O48" s="127">
        <f t="shared" si="1"/>
        <v>2.8516467382678087E-2</v>
      </c>
      <c r="P48" s="168">
        <f>O48*(1+'Key Data'!F$3)</f>
        <v>3.5645584228347613E-2</v>
      </c>
      <c r="Q48" s="366"/>
      <c r="R48" s="366"/>
      <c r="S48" s="418"/>
    </row>
    <row r="49" spans="1:19" x14ac:dyDescent="0.3">
      <c r="A49" s="367"/>
      <c r="B49" s="367"/>
      <c r="C49" s="367"/>
      <c r="D49" s="367"/>
      <c r="E49" s="108"/>
      <c r="F49" s="108"/>
      <c r="G49" s="367"/>
      <c r="H49" s="94" t="s">
        <v>309</v>
      </c>
      <c r="I49" s="110">
        <v>17.2</v>
      </c>
      <c r="J49" s="110">
        <f t="shared" si="2"/>
        <v>5.4777070063694264</v>
      </c>
      <c r="K49" s="111"/>
      <c r="L49" s="111"/>
      <c r="M49" s="111"/>
      <c r="N49" s="167"/>
      <c r="O49" s="127">
        <f t="shared" si="1"/>
        <v>1.9890868159147253E-2</v>
      </c>
      <c r="P49" s="168">
        <f>O49*(1+'Key Data'!F$3)</f>
        <v>2.4863585198934068E-2</v>
      </c>
      <c r="Q49" s="366"/>
      <c r="R49" s="366"/>
      <c r="S49" s="418"/>
    </row>
    <row r="50" spans="1:19" x14ac:dyDescent="0.3">
      <c r="A50" s="367"/>
      <c r="B50" s="367"/>
      <c r="C50" s="367"/>
      <c r="D50" s="367"/>
      <c r="E50" s="108"/>
      <c r="F50" s="108"/>
      <c r="G50" s="367"/>
      <c r="H50" s="94" t="s">
        <v>309</v>
      </c>
      <c r="I50" s="110">
        <v>17</v>
      </c>
      <c r="J50" s="110">
        <f t="shared" si="2"/>
        <v>5.4140127388535033</v>
      </c>
      <c r="K50" s="111"/>
      <c r="L50" s="111"/>
      <c r="M50" s="111"/>
      <c r="N50" s="167"/>
      <c r="O50" s="127">
        <f t="shared" si="1"/>
        <v>1.96761524704244E-2</v>
      </c>
      <c r="P50" s="168">
        <f>O50*(1+'Key Data'!F$3)</f>
        <v>2.4595190588030499E-2</v>
      </c>
      <c r="Q50" s="366"/>
      <c r="R50" s="366"/>
      <c r="S50" s="418"/>
    </row>
    <row r="51" spans="1:19" x14ac:dyDescent="0.3">
      <c r="A51" s="367"/>
      <c r="B51" s="367"/>
      <c r="C51" s="367"/>
      <c r="D51" s="367"/>
      <c r="E51" s="108"/>
      <c r="F51" s="108"/>
      <c r="G51" s="367"/>
      <c r="H51" s="94" t="s">
        <v>309</v>
      </c>
      <c r="I51" s="110">
        <f>SQRT(14.4^2+12^2)</f>
        <v>18.744599222175971</v>
      </c>
      <c r="J51" s="110">
        <f t="shared" si="2"/>
        <v>5.9696175866802452</v>
      </c>
      <c r="K51" s="111"/>
      <c r="L51" s="111"/>
      <c r="M51" s="111"/>
      <c r="N51" s="167"/>
      <c r="O51" s="127">
        <f t="shared" si="1"/>
        <v>2.1550100976218366E-2</v>
      </c>
      <c r="P51" s="168">
        <f>O51*(1+'Key Data'!F$3)</f>
        <v>2.6937626220272959E-2</v>
      </c>
      <c r="Q51" s="366"/>
      <c r="R51" s="366"/>
      <c r="S51" s="418"/>
    </row>
    <row r="52" spans="1:19" x14ac:dyDescent="0.3">
      <c r="A52" s="367"/>
      <c r="B52" s="367"/>
      <c r="C52" s="367"/>
      <c r="D52" s="367"/>
      <c r="E52" s="108"/>
      <c r="F52" s="108"/>
      <c r="G52" s="367"/>
      <c r="H52" s="94" t="s">
        <v>309</v>
      </c>
      <c r="I52" s="110">
        <v>20.2</v>
      </c>
      <c r="J52" s="110">
        <f t="shared" si="2"/>
        <v>6.4331210191082802</v>
      </c>
      <c r="K52" s="111"/>
      <c r="L52" s="111"/>
      <c r="M52" s="111"/>
      <c r="N52" s="167"/>
      <c r="O52" s="127">
        <f t="shared" si="1"/>
        <v>2.3115021438802758E-2</v>
      </c>
      <c r="P52" s="168">
        <f>O52*(1+'Key Data'!F$3)</f>
        <v>2.8893776798503447E-2</v>
      </c>
      <c r="Q52" s="366"/>
      <c r="R52" s="366"/>
      <c r="S52" s="418"/>
    </row>
    <row r="53" spans="1:19" x14ac:dyDescent="0.3">
      <c r="A53" s="367"/>
      <c r="B53" s="367"/>
      <c r="C53" s="367"/>
      <c r="D53" s="367"/>
      <c r="E53" s="108"/>
      <c r="F53" s="108"/>
      <c r="G53" s="367"/>
      <c r="H53" s="94" t="s">
        <v>309</v>
      </c>
      <c r="I53" s="110">
        <f>SQRT(19.8^2+14^2)</f>
        <v>24.249536078036627</v>
      </c>
      <c r="J53" s="110">
        <f t="shared" si="2"/>
        <v>7.722782190457524</v>
      </c>
      <c r="K53" s="111"/>
      <c r="L53" s="111"/>
      <c r="M53" s="111"/>
      <c r="N53" s="167"/>
      <c r="O53" s="127">
        <f t="shared" si="1"/>
        <v>2.7476141447304155E-2</v>
      </c>
      <c r="P53" s="168">
        <f>O53*(1+'Key Data'!F$3)</f>
        <v>3.4345176809130191E-2</v>
      </c>
      <c r="Q53" s="366"/>
      <c r="R53" s="366"/>
      <c r="S53" s="418"/>
    </row>
    <row r="54" spans="1:19" x14ac:dyDescent="0.3">
      <c r="A54" s="367"/>
      <c r="B54" s="367"/>
      <c r="C54" s="367"/>
      <c r="D54" s="367"/>
      <c r="E54" s="108"/>
      <c r="F54" s="108"/>
      <c r="G54" s="367"/>
      <c r="H54" s="94" t="s">
        <v>309</v>
      </c>
      <c r="I54" s="110">
        <v>24.4</v>
      </c>
      <c r="J54" s="110">
        <f t="shared" si="2"/>
        <v>7.7707006369426743</v>
      </c>
      <c r="K54" s="111"/>
      <c r="L54" s="111"/>
      <c r="M54" s="111"/>
      <c r="N54" s="167"/>
      <c r="O54" s="127">
        <f t="shared" si="1"/>
        <v>2.7638360855573273E-2</v>
      </c>
      <c r="P54" s="168">
        <f>O54*(1+'Key Data'!F$3)</f>
        <v>3.4547951069466593E-2</v>
      </c>
      <c r="Q54" s="366"/>
      <c r="R54" s="366"/>
      <c r="S54" s="418"/>
    </row>
    <row r="55" spans="1:19" x14ac:dyDescent="0.3">
      <c r="A55" s="367"/>
      <c r="B55" s="367"/>
      <c r="C55" s="367"/>
      <c r="D55" s="367"/>
      <c r="E55" s="108"/>
      <c r="F55" s="108"/>
      <c r="G55" s="367"/>
      <c r="H55" s="94" t="s">
        <v>309</v>
      </c>
      <c r="I55" s="110">
        <v>22.4</v>
      </c>
      <c r="J55" s="110">
        <f t="shared" si="2"/>
        <v>7.1337579617834388</v>
      </c>
      <c r="K55" s="111"/>
      <c r="L55" s="111"/>
      <c r="M55" s="111"/>
      <c r="N55" s="167"/>
      <c r="O55" s="127">
        <f t="shared" si="1"/>
        <v>2.5483114712463541E-2</v>
      </c>
      <c r="P55" s="168">
        <f>O55*(1+'Key Data'!F$3)</f>
        <v>3.1853893390579424E-2</v>
      </c>
      <c r="Q55" s="366"/>
      <c r="R55" s="366"/>
      <c r="S55" s="418"/>
    </row>
    <row r="56" spans="1:19" x14ac:dyDescent="0.3">
      <c r="A56" s="367"/>
      <c r="B56" s="367"/>
      <c r="C56" s="367"/>
      <c r="D56" s="367"/>
      <c r="E56" s="108"/>
      <c r="F56" s="108"/>
      <c r="G56" s="367"/>
      <c r="H56" s="94" t="s">
        <v>309</v>
      </c>
      <c r="I56" s="110">
        <v>20</v>
      </c>
      <c r="J56" s="110">
        <f t="shared" si="2"/>
        <v>6.3694267515923562</v>
      </c>
      <c r="K56" s="111"/>
      <c r="L56" s="111"/>
      <c r="M56" s="111"/>
      <c r="N56" s="167"/>
      <c r="O56" s="127">
        <f t="shared" si="1"/>
        <v>2.2899888858667769E-2</v>
      </c>
      <c r="P56" s="168">
        <f>O56*(1+'Key Data'!F$3)</f>
        <v>2.8624861073334711E-2</v>
      </c>
      <c r="Q56" s="366"/>
      <c r="R56" s="366"/>
      <c r="S56" s="418"/>
    </row>
    <row r="57" spans="1:19" x14ac:dyDescent="0.3">
      <c r="A57" s="367"/>
      <c r="B57" s="367"/>
      <c r="C57" s="367"/>
      <c r="D57" s="367"/>
      <c r="E57" s="108"/>
      <c r="F57" s="108"/>
      <c r="G57" s="367"/>
      <c r="H57" s="94" t="s">
        <v>309</v>
      </c>
      <c r="I57" s="110">
        <v>19.8</v>
      </c>
      <c r="J57" s="110">
        <f t="shared" si="2"/>
        <v>6.3057324840764331</v>
      </c>
      <c r="K57" s="111"/>
      <c r="L57" s="111"/>
      <c r="M57" s="111"/>
      <c r="N57" s="167"/>
      <c r="O57" s="127">
        <f t="shared" si="1"/>
        <v>2.268478209332116E-2</v>
      </c>
      <c r="P57" s="168">
        <f>O57*(1+'Key Data'!F$3)</f>
        <v>2.835597761665145E-2</v>
      </c>
      <c r="Q57" s="366"/>
      <c r="R57" s="366"/>
      <c r="S57" s="418"/>
    </row>
    <row r="58" spans="1:19" x14ac:dyDescent="0.3">
      <c r="A58" s="367"/>
      <c r="B58" s="367"/>
      <c r="C58" s="367"/>
      <c r="D58" s="367"/>
      <c r="E58" s="108"/>
      <c r="F58" s="108"/>
      <c r="G58" s="367"/>
      <c r="H58" s="94" t="s">
        <v>309</v>
      </c>
      <c r="I58" s="110">
        <v>17.2</v>
      </c>
      <c r="J58" s="110">
        <f t="shared" si="2"/>
        <v>5.4777070063694264</v>
      </c>
      <c r="K58" s="111"/>
      <c r="L58" s="111"/>
      <c r="M58" s="111"/>
      <c r="N58" s="167"/>
      <c r="O58" s="127">
        <f t="shared" si="1"/>
        <v>1.9890868159147253E-2</v>
      </c>
      <c r="P58" s="168">
        <f>O58*(1+'Key Data'!F$3)</f>
        <v>2.4863585198934068E-2</v>
      </c>
      <c r="Q58" s="366"/>
      <c r="R58" s="366"/>
      <c r="S58" s="418"/>
    </row>
    <row r="59" spans="1:19" x14ac:dyDescent="0.3">
      <c r="A59" s="367"/>
      <c r="B59" s="367"/>
      <c r="C59" s="367"/>
      <c r="D59" s="367"/>
      <c r="E59" s="108"/>
      <c r="F59" s="108"/>
      <c r="G59" s="367"/>
      <c r="H59" s="94" t="s">
        <v>309</v>
      </c>
      <c r="I59" s="110">
        <v>16.399999999999999</v>
      </c>
      <c r="J59" s="110">
        <f t="shared" si="2"/>
        <v>5.2229299363057322</v>
      </c>
      <c r="K59" s="111"/>
      <c r="L59" s="111"/>
      <c r="M59" s="111"/>
      <c r="N59" s="167"/>
      <c r="O59" s="127">
        <f t="shared" si="1"/>
        <v>1.9032188706988189E-2</v>
      </c>
      <c r="P59" s="168">
        <f>O59*(1+'Key Data'!F$3)</f>
        <v>2.3790235883735238E-2</v>
      </c>
      <c r="Q59" s="366"/>
      <c r="R59" s="366"/>
      <c r="S59" s="418"/>
    </row>
    <row r="60" spans="1:19" x14ac:dyDescent="0.3">
      <c r="A60" s="367"/>
      <c r="B60" s="367"/>
      <c r="C60" s="367"/>
      <c r="D60" s="367"/>
      <c r="E60" s="108"/>
      <c r="F60" s="108"/>
      <c r="G60" s="367"/>
      <c r="H60" s="94" t="s">
        <v>309</v>
      </c>
      <c r="I60" s="110">
        <v>19</v>
      </c>
      <c r="J60" s="110">
        <f t="shared" si="2"/>
        <v>6.0509554140127388</v>
      </c>
      <c r="K60" s="111"/>
      <c r="L60" s="111"/>
      <c r="M60" s="111"/>
      <c r="N60" s="167"/>
      <c r="O60" s="127">
        <f t="shared" si="1"/>
        <v>2.1824618411569741E-2</v>
      </c>
      <c r="P60" s="168">
        <f>O60*(1+'Key Data'!F$3)</f>
        <v>2.7280773014462176E-2</v>
      </c>
      <c r="Q60" s="366"/>
      <c r="R60" s="366"/>
      <c r="S60" s="418"/>
    </row>
    <row r="61" spans="1:19" x14ac:dyDescent="0.3">
      <c r="A61" s="367"/>
      <c r="B61" s="367"/>
      <c r="C61" s="367"/>
      <c r="D61" s="367"/>
      <c r="E61" s="108"/>
      <c r="F61" s="108"/>
      <c r="G61" s="367"/>
      <c r="H61" s="94" t="s">
        <v>309</v>
      </c>
      <c r="I61" s="110">
        <v>17.2</v>
      </c>
      <c r="J61" s="110">
        <f t="shared" si="2"/>
        <v>5.4777070063694264</v>
      </c>
      <c r="K61" s="111"/>
      <c r="L61" s="111"/>
      <c r="M61" s="111"/>
      <c r="N61" s="167"/>
      <c r="O61" s="127">
        <f t="shared" si="1"/>
        <v>1.9890868159147253E-2</v>
      </c>
      <c r="P61" s="168">
        <f>O61*(1+'Key Data'!F$3)</f>
        <v>2.4863585198934068E-2</v>
      </c>
      <c r="Q61" s="366"/>
      <c r="R61" s="366"/>
      <c r="S61" s="418"/>
    </row>
    <row r="62" spans="1:19" x14ac:dyDescent="0.3">
      <c r="A62" s="367"/>
      <c r="B62" s="367"/>
      <c r="C62" s="367"/>
      <c r="D62" s="367"/>
      <c r="E62" s="108"/>
      <c r="F62" s="108"/>
      <c r="G62" s="367"/>
      <c r="H62" s="94" t="s">
        <v>309</v>
      </c>
      <c r="I62" s="110">
        <f>SQRT(15.8^2+6.2^2)</f>
        <v>16.972919607421701</v>
      </c>
      <c r="J62" s="110">
        <f t="shared" si="2"/>
        <v>5.4053884100069114</v>
      </c>
      <c r="K62" s="111"/>
      <c r="L62" s="111"/>
      <c r="M62" s="111"/>
      <c r="N62" s="167"/>
      <c r="O62" s="127">
        <f t="shared" si="1"/>
        <v>1.9647081866864514E-2</v>
      </c>
      <c r="P62" s="168">
        <f>O62*(1+'Key Data'!F$3)</f>
        <v>2.4558852333580641E-2</v>
      </c>
      <c r="Q62" s="366"/>
      <c r="R62" s="366"/>
      <c r="S62" s="418"/>
    </row>
    <row r="63" spans="1:19" x14ac:dyDescent="0.3">
      <c r="A63" s="367"/>
      <c r="B63" s="367"/>
      <c r="C63" s="367"/>
      <c r="D63" s="367"/>
      <c r="E63" s="108"/>
      <c r="F63" s="108"/>
      <c r="G63" s="367"/>
      <c r="H63" s="94" t="s">
        <v>309</v>
      </c>
      <c r="I63" s="110">
        <f>SQRT(11.8^2+11.8^2)</f>
        <v>16.687720036002521</v>
      </c>
      <c r="J63" s="110">
        <f t="shared" si="2"/>
        <v>5.3145605210199109</v>
      </c>
      <c r="K63" s="111"/>
      <c r="L63" s="111"/>
      <c r="M63" s="111"/>
      <c r="N63" s="167"/>
      <c r="O63" s="127">
        <f t="shared" si="1"/>
        <v>1.9340956178923282E-2</v>
      </c>
      <c r="P63" s="168">
        <f>O63*(1+'Key Data'!F$3)</f>
        <v>2.4176195223654103E-2</v>
      </c>
      <c r="Q63" s="366"/>
      <c r="R63" s="366"/>
      <c r="S63" s="418"/>
    </row>
    <row r="64" spans="1:19" x14ac:dyDescent="0.3">
      <c r="A64" s="367"/>
      <c r="B64" s="367"/>
      <c r="C64" s="367"/>
      <c r="D64" s="367"/>
      <c r="E64" s="108"/>
      <c r="F64" s="108"/>
      <c r="G64" s="367"/>
      <c r="H64" s="94" t="s">
        <v>309</v>
      </c>
      <c r="I64" s="110">
        <v>14.8</v>
      </c>
      <c r="J64" s="110">
        <f t="shared" si="2"/>
        <v>4.7133757961783438</v>
      </c>
      <c r="K64" s="111"/>
      <c r="L64" s="111"/>
      <c r="M64" s="111"/>
      <c r="N64" s="167"/>
      <c r="O64" s="127">
        <f t="shared" si="1"/>
        <v>1.731636336469369E-2</v>
      </c>
      <c r="P64" s="168">
        <f>O64*(1+'Key Data'!F$3)</f>
        <v>2.1645454205867113E-2</v>
      </c>
      <c r="Q64" s="366"/>
      <c r="R64" s="366"/>
      <c r="S64" s="418"/>
    </row>
    <row r="65" spans="1:19" x14ac:dyDescent="0.3">
      <c r="A65" s="367"/>
      <c r="B65" s="367"/>
      <c r="C65" s="367"/>
      <c r="D65" s="367"/>
      <c r="E65" s="108"/>
      <c r="F65" s="108"/>
      <c r="G65" s="367"/>
      <c r="H65" s="94" t="s">
        <v>309</v>
      </c>
      <c r="I65" s="110">
        <f>SQRT(12.6^2+6.4^2+13.4^2+12.2^2)</f>
        <v>22.980861602646666</v>
      </c>
      <c r="J65" s="110">
        <f t="shared" si="2"/>
        <v>7.3187457333269634</v>
      </c>
      <c r="K65" s="111"/>
      <c r="L65" s="111"/>
      <c r="M65" s="111"/>
      <c r="N65" s="167"/>
      <c r="O65" s="127">
        <f t="shared" si="1"/>
        <v>2.6108835379778532E-2</v>
      </c>
      <c r="P65" s="168">
        <f>O65*(1+'Key Data'!F$3)</f>
        <v>3.2636044224723167E-2</v>
      </c>
      <c r="Q65" s="366"/>
      <c r="R65" s="366"/>
      <c r="S65" s="418"/>
    </row>
    <row r="66" spans="1:19" x14ac:dyDescent="0.3">
      <c r="A66" s="367"/>
      <c r="B66" s="367"/>
      <c r="C66" s="367"/>
      <c r="D66" s="367"/>
      <c r="E66" s="108"/>
      <c r="F66" s="108"/>
      <c r="G66" s="367"/>
      <c r="H66" s="94" t="s">
        <v>309</v>
      </c>
      <c r="I66" s="110">
        <v>22.8</v>
      </c>
      <c r="J66" s="110">
        <f t="shared" si="2"/>
        <v>7.2611464968152868</v>
      </c>
      <c r="K66" s="111"/>
      <c r="L66" s="111"/>
      <c r="M66" s="111"/>
      <c r="N66" s="167"/>
      <c r="O66" s="127">
        <f t="shared" si="1"/>
        <v>2.5913985533358597E-2</v>
      </c>
      <c r="P66" s="168">
        <f>O66*(1+'Key Data'!F$3)</f>
        <v>3.2392481916698246E-2</v>
      </c>
      <c r="Q66" s="366"/>
      <c r="R66" s="366"/>
      <c r="S66" s="418"/>
    </row>
    <row r="67" spans="1:19" x14ac:dyDescent="0.3">
      <c r="A67" s="367"/>
      <c r="B67" s="367"/>
      <c r="C67" s="367"/>
      <c r="D67" s="367"/>
      <c r="E67" s="108"/>
      <c r="F67" s="108"/>
      <c r="G67" s="367"/>
      <c r="H67" s="94" t="s">
        <v>309</v>
      </c>
      <c r="I67" s="110">
        <v>20.2</v>
      </c>
      <c r="J67" s="110">
        <f t="shared" si="2"/>
        <v>6.4331210191082802</v>
      </c>
      <c r="K67" s="111"/>
      <c r="L67" s="111"/>
      <c r="M67" s="111"/>
      <c r="N67" s="167"/>
      <c r="O67" s="127">
        <f t="shared" ref="O67:O102" si="3">(3.264 * J67^1.012+ 1.643)/1000</f>
        <v>2.3115021438802758E-2</v>
      </c>
      <c r="P67" s="168">
        <f>O67*(1+'Key Data'!F$3)</f>
        <v>2.8893776798503447E-2</v>
      </c>
      <c r="Q67" s="366"/>
      <c r="R67" s="366"/>
      <c r="S67" s="418"/>
    </row>
    <row r="68" spans="1:19" x14ac:dyDescent="0.3">
      <c r="A68" s="367"/>
      <c r="B68" s="367"/>
      <c r="C68" s="367"/>
      <c r="D68" s="367"/>
      <c r="E68" s="108"/>
      <c r="F68" s="108"/>
      <c r="G68" s="367"/>
      <c r="H68" s="94" t="s">
        <v>309</v>
      </c>
      <c r="I68" s="110">
        <f>SQRT(16.8^2+11.8^2)</f>
        <v>20.529978080845581</v>
      </c>
      <c r="J68" s="110">
        <f t="shared" si="2"/>
        <v>6.5382095798871269</v>
      </c>
      <c r="K68" s="111"/>
      <c r="L68" s="111"/>
      <c r="M68" s="111"/>
      <c r="N68" s="167"/>
      <c r="O68" s="127">
        <f t="shared" si="3"/>
        <v>2.34700223803645E-2</v>
      </c>
      <c r="P68" s="168">
        <f>O68*(1+'Key Data'!F$3)</f>
        <v>2.9337527975455625E-2</v>
      </c>
      <c r="Q68" s="366"/>
      <c r="R68" s="366"/>
      <c r="S68" s="418"/>
    </row>
    <row r="69" spans="1:19" x14ac:dyDescent="0.3">
      <c r="A69" s="367"/>
      <c r="B69" s="367"/>
      <c r="C69" s="367"/>
      <c r="D69" s="367"/>
      <c r="E69" s="108"/>
      <c r="F69" s="108"/>
      <c r="G69" s="367"/>
      <c r="H69" s="94" t="s">
        <v>309</v>
      </c>
      <c r="I69" s="110">
        <f>SQRT(13.4^2+13^2)</f>
        <v>18.669761648183943</v>
      </c>
      <c r="J69" s="110">
        <f t="shared" si="2"/>
        <v>5.9457839643897907</v>
      </c>
      <c r="K69" s="111"/>
      <c r="L69" s="111"/>
      <c r="M69" s="111"/>
      <c r="N69" s="167"/>
      <c r="O69" s="127">
        <f t="shared" si="3"/>
        <v>2.146967031188414E-2</v>
      </c>
      <c r="P69" s="168">
        <f>O69*(1+'Key Data'!F$3)</f>
        <v>2.6837087889855175E-2</v>
      </c>
      <c r="Q69" s="366"/>
      <c r="R69" s="366"/>
      <c r="S69" s="418"/>
    </row>
    <row r="70" spans="1:19" x14ac:dyDescent="0.3">
      <c r="A70" s="367"/>
      <c r="B70" s="367"/>
      <c r="C70" s="367"/>
      <c r="D70" s="367"/>
      <c r="E70" s="108"/>
      <c r="F70" s="108"/>
      <c r="G70" s="367"/>
      <c r="H70" s="94" t="s">
        <v>309</v>
      </c>
      <c r="I70" s="110">
        <v>12.6</v>
      </c>
      <c r="J70" s="110">
        <f t="shared" si="2"/>
        <v>4.0127388535031843</v>
      </c>
      <c r="K70" s="111"/>
      <c r="L70" s="111"/>
      <c r="M70" s="111"/>
      <c r="N70" s="167"/>
      <c r="O70" s="127">
        <f t="shared" si="3"/>
        <v>1.4960795378747747E-2</v>
      </c>
      <c r="P70" s="168">
        <f>O70*(1+'Key Data'!F$3)</f>
        <v>1.8700994223434686E-2</v>
      </c>
      <c r="Q70" s="366"/>
      <c r="R70" s="366"/>
      <c r="S70" s="418"/>
    </row>
    <row r="71" spans="1:19" x14ac:dyDescent="0.3">
      <c r="A71" s="367"/>
      <c r="B71" s="367"/>
      <c r="C71" s="367"/>
      <c r="D71" s="367"/>
      <c r="E71" s="108"/>
      <c r="F71" s="108"/>
      <c r="G71" s="367"/>
      <c r="H71" s="94" t="s">
        <v>309</v>
      </c>
      <c r="I71" s="110">
        <f>SQRT(6.6^2+15.2^2)</f>
        <v>16.571059109181885</v>
      </c>
      <c r="J71" s="110">
        <f t="shared" si="2"/>
        <v>5.2774073596120648</v>
      </c>
      <c r="K71" s="111"/>
      <c r="L71" s="111"/>
      <c r="M71" s="111"/>
      <c r="N71" s="167"/>
      <c r="O71" s="127">
        <f t="shared" si="3"/>
        <v>1.9215753452484809E-2</v>
      </c>
      <c r="P71" s="168">
        <f>O71*(1+'Key Data'!F$3)</f>
        <v>2.4019691815606009E-2</v>
      </c>
      <c r="Q71" s="366"/>
      <c r="R71" s="366"/>
      <c r="S71" s="418"/>
    </row>
    <row r="72" spans="1:19" x14ac:dyDescent="0.3">
      <c r="A72" s="367"/>
      <c r="B72" s="367"/>
      <c r="C72" s="367"/>
      <c r="D72" s="367"/>
      <c r="E72" s="108"/>
      <c r="F72" s="108"/>
      <c r="G72" s="367"/>
      <c r="H72" s="94" t="s">
        <v>309</v>
      </c>
      <c r="I72" s="110">
        <v>16.600000000000001</v>
      </c>
      <c r="J72" s="110">
        <f t="shared" si="2"/>
        <v>5.2866242038216562</v>
      </c>
      <c r="K72" s="111"/>
      <c r="L72" s="111"/>
      <c r="M72" s="111"/>
      <c r="N72" s="167"/>
      <c r="O72" s="127">
        <f t="shared" si="3"/>
        <v>1.9246812383564741E-2</v>
      </c>
      <c r="P72" s="168">
        <f>O72*(1+'Key Data'!F$3)</f>
        <v>2.4058515479455925E-2</v>
      </c>
      <c r="Q72" s="366"/>
      <c r="R72" s="366"/>
      <c r="S72" s="418"/>
    </row>
    <row r="73" spans="1:19" x14ac:dyDescent="0.3">
      <c r="A73" s="367"/>
      <c r="B73" s="367"/>
      <c r="C73" s="367"/>
      <c r="D73" s="367"/>
      <c r="E73" s="108"/>
      <c r="F73" s="108"/>
      <c r="G73" s="367"/>
      <c r="H73" s="94" t="s">
        <v>309</v>
      </c>
      <c r="I73" s="110">
        <f>SQRT(10^2+10.2^2+13^2+10.8^2)</f>
        <v>22.128714377477962</v>
      </c>
      <c r="J73" s="110">
        <f t="shared" si="2"/>
        <v>7.0473612667127261</v>
      </c>
      <c r="K73" s="111"/>
      <c r="L73" s="111"/>
      <c r="M73" s="111"/>
      <c r="N73" s="167"/>
      <c r="O73" s="127">
        <f t="shared" si="3"/>
        <v>2.5190944506549663E-2</v>
      </c>
      <c r="P73" s="168">
        <f>O73*(1+'Key Data'!F$3)</f>
        <v>3.1488680633187077E-2</v>
      </c>
      <c r="Q73" s="366"/>
      <c r="R73" s="366"/>
      <c r="S73" s="418"/>
    </row>
    <row r="74" spans="1:19" x14ac:dyDescent="0.3">
      <c r="A74" s="367"/>
      <c r="B74" s="367"/>
      <c r="C74" s="367"/>
      <c r="D74" s="367"/>
      <c r="E74" s="108"/>
      <c r="F74" s="108"/>
      <c r="G74" s="367"/>
      <c r="H74" s="94" t="s">
        <v>309</v>
      </c>
      <c r="I74" s="110">
        <f>SQRT(12.8^2+10.8^2)</f>
        <v>16.747537132366659</v>
      </c>
      <c r="J74" s="110">
        <f t="shared" si="2"/>
        <v>5.3336105517091266</v>
      </c>
      <c r="K74" s="111"/>
      <c r="L74" s="111"/>
      <c r="M74" s="111"/>
      <c r="N74" s="167"/>
      <c r="O74" s="127">
        <f t="shared" si="3"/>
        <v>1.9405157103095327E-2</v>
      </c>
      <c r="P74" s="168">
        <f>O74*(1+'Key Data'!F$3)</f>
        <v>2.4256446378869159E-2</v>
      </c>
      <c r="Q74" s="366"/>
      <c r="R74" s="366"/>
      <c r="S74" s="418"/>
    </row>
    <row r="75" spans="1:19" x14ac:dyDescent="0.3">
      <c r="A75" s="367"/>
      <c r="B75" s="367"/>
      <c r="C75" s="367"/>
      <c r="D75" s="367"/>
      <c r="E75" s="108"/>
      <c r="F75" s="108"/>
      <c r="G75" s="367"/>
      <c r="H75" s="94" t="s">
        <v>309</v>
      </c>
      <c r="I75" s="110">
        <v>26.6</v>
      </c>
      <c r="J75" s="110">
        <f t="shared" si="2"/>
        <v>8.4713375796178347</v>
      </c>
      <c r="K75" s="111"/>
      <c r="L75" s="111"/>
      <c r="M75" s="111"/>
      <c r="N75" s="167"/>
      <c r="O75" s="127">
        <f t="shared" si="3"/>
        <v>3.0011577709646946E-2</v>
      </c>
      <c r="P75" s="168">
        <f>O75*(1+'Key Data'!F$3)</f>
        <v>3.7514472137058684E-2</v>
      </c>
      <c r="Q75" s="366"/>
      <c r="R75" s="366"/>
      <c r="S75" s="418"/>
    </row>
    <row r="76" spans="1:19" x14ac:dyDescent="0.3">
      <c r="A76" s="367"/>
      <c r="B76" s="367"/>
      <c r="C76" s="367"/>
      <c r="D76" s="367"/>
      <c r="E76" s="108"/>
      <c r="F76" s="108"/>
      <c r="G76" s="367"/>
      <c r="H76" s="94" t="s">
        <v>309</v>
      </c>
      <c r="I76" s="110">
        <v>16.8</v>
      </c>
      <c r="J76" s="110">
        <f t="shared" si="2"/>
        <v>5.3503184713375793</v>
      </c>
      <c r="K76" s="111"/>
      <c r="L76" s="111"/>
      <c r="M76" s="111"/>
      <c r="N76" s="167"/>
      <c r="O76" s="127">
        <f t="shared" si="3"/>
        <v>1.9461467093060025E-2</v>
      </c>
      <c r="P76" s="168">
        <f>O76*(1+'Key Data'!F$3)</f>
        <v>2.4326833866325032E-2</v>
      </c>
      <c r="Q76" s="366"/>
      <c r="R76" s="366"/>
      <c r="S76" s="418"/>
    </row>
    <row r="77" spans="1:19" x14ac:dyDescent="0.3">
      <c r="A77" s="367"/>
      <c r="B77" s="367"/>
      <c r="C77" s="367"/>
      <c r="D77" s="367"/>
      <c r="E77" s="108"/>
      <c r="F77" s="108"/>
      <c r="G77" s="367"/>
      <c r="H77" s="94" t="s">
        <v>309</v>
      </c>
      <c r="I77" s="110">
        <v>18</v>
      </c>
      <c r="J77" s="110">
        <f t="shared" si="2"/>
        <v>5.7324840764331206</v>
      </c>
      <c r="K77" s="111"/>
      <c r="L77" s="111"/>
      <c r="M77" s="111"/>
      <c r="N77" s="167"/>
      <c r="O77" s="127">
        <f t="shared" si="3"/>
        <v>2.0750027180037066E-2</v>
      </c>
      <c r="P77" s="168">
        <f>O77*(1+'Key Data'!F$3)</f>
        <v>2.5937533975046334E-2</v>
      </c>
      <c r="Q77" s="366"/>
      <c r="R77" s="366"/>
      <c r="S77" s="418"/>
    </row>
    <row r="78" spans="1:19" x14ac:dyDescent="0.3">
      <c r="A78" s="367"/>
      <c r="B78" s="367"/>
      <c r="C78" s="367"/>
      <c r="D78" s="367"/>
      <c r="E78" s="108"/>
      <c r="F78" s="108"/>
      <c r="G78" s="367"/>
      <c r="H78" s="94" t="s">
        <v>309</v>
      </c>
      <c r="I78" s="110">
        <v>19.8</v>
      </c>
      <c r="J78" s="110">
        <f t="shared" si="2"/>
        <v>6.3057324840764331</v>
      </c>
      <c r="K78" s="111"/>
      <c r="L78" s="111"/>
      <c r="M78" s="111"/>
      <c r="N78" s="167"/>
      <c r="O78" s="127">
        <f t="shared" si="3"/>
        <v>2.268478209332116E-2</v>
      </c>
      <c r="P78" s="168">
        <f>O78*(1+'Key Data'!F$3)</f>
        <v>2.835597761665145E-2</v>
      </c>
      <c r="Q78" s="366"/>
      <c r="R78" s="366"/>
      <c r="S78" s="418"/>
    </row>
    <row r="79" spans="1:19" x14ac:dyDescent="0.3">
      <c r="A79" s="367"/>
      <c r="B79" s="367"/>
      <c r="C79" s="367"/>
      <c r="D79" s="367"/>
      <c r="E79" s="108"/>
      <c r="F79" s="108"/>
      <c r="G79" s="367"/>
      <c r="H79" s="94" t="s">
        <v>309</v>
      </c>
      <c r="I79" s="110">
        <v>19</v>
      </c>
      <c r="J79" s="110">
        <f t="shared" si="2"/>
        <v>6.0509554140127388</v>
      </c>
      <c r="K79" s="111"/>
      <c r="L79" s="111"/>
      <c r="M79" s="111"/>
      <c r="N79" s="167"/>
      <c r="O79" s="127">
        <f t="shared" si="3"/>
        <v>2.1824618411569741E-2</v>
      </c>
      <c r="P79" s="168">
        <f>O79*(1+'Key Data'!F$3)</f>
        <v>2.7280773014462176E-2</v>
      </c>
      <c r="Q79" s="366"/>
      <c r="R79" s="366"/>
      <c r="S79" s="418"/>
    </row>
    <row r="80" spans="1:19" x14ac:dyDescent="0.3">
      <c r="A80" s="367"/>
      <c r="B80" s="367"/>
      <c r="C80" s="367"/>
      <c r="D80" s="367"/>
      <c r="E80" s="108"/>
      <c r="F80" s="108"/>
      <c r="G80" s="367"/>
      <c r="H80" s="94" t="s">
        <v>309</v>
      </c>
      <c r="I80" s="110">
        <v>17</v>
      </c>
      <c r="J80" s="110">
        <f t="shared" si="2"/>
        <v>5.4140127388535033</v>
      </c>
      <c r="K80" s="111"/>
      <c r="L80" s="111"/>
      <c r="M80" s="111"/>
      <c r="N80" s="167"/>
      <c r="O80" s="127">
        <f t="shared" si="3"/>
        <v>1.96761524704244E-2</v>
      </c>
      <c r="P80" s="168">
        <f>O80*(1+'Key Data'!F$3)</f>
        <v>2.4595190588030499E-2</v>
      </c>
      <c r="Q80" s="366"/>
      <c r="R80" s="366"/>
      <c r="S80" s="418"/>
    </row>
    <row r="81" spans="1:19" x14ac:dyDescent="0.3">
      <c r="A81" s="367"/>
      <c r="B81" s="367"/>
      <c r="C81" s="367"/>
      <c r="D81" s="367"/>
      <c r="E81" s="108"/>
      <c r="F81" s="108"/>
      <c r="G81" s="367"/>
      <c r="H81" s="94" t="s">
        <v>309</v>
      </c>
      <c r="I81" s="110">
        <v>16.399999999999999</v>
      </c>
      <c r="J81" s="110">
        <f t="shared" si="2"/>
        <v>5.2229299363057322</v>
      </c>
      <c r="K81" s="111"/>
      <c r="L81" s="111"/>
      <c r="M81" s="111"/>
      <c r="N81" s="167"/>
      <c r="O81" s="127">
        <f t="shared" si="3"/>
        <v>1.9032188706988189E-2</v>
      </c>
      <c r="P81" s="168">
        <f>O81*(1+'Key Data'!F$3)</f>
        <v>2.3790235883735238E-2</v>
      </c>
      <c r="Q81" s="366"/>
      <c r="R81" s="366"/>
      <c r="S81" s="418"/>
    </row>
    <row r="82" spans="1:19" x14ac:dyDescent="0.3">
      <c r="A82" s="367"/>
      <c r="B82" s="367"/>
      <c r="C82" s="367"/>
      <c r="D82" s="367"/>
      <c r="E82" s="108"/>
      <c r="F82" s="108"/>
      <c r="G82" s="367"/>
      <c r="H82" s="94" t="s">
        <v>309</v>
      </c>
      <c r="I82" s="110">
        <v>15.4</v>
      </c>
      <c r="J82" s="110">
        <f t="shared" si="2"/>
        <v>4.9044585987261149</v>
      </c>
      <c r="K82" s="111"/>
      <c r="L82" s="111"/>
      <c r="M82" s="111"/>
      <c r="N82" s="167"/>
      <c r="O82" s="127">
        <f t="shared" si="3"/>
        <v>1.795954923288795E-2</v>
      </c>
      <c r="P82" s="168">
        <f>O82*(1+'Key Data'!F$3)</f>
        <v>2.2449436541109938E-2</v>
      </c>
      <c r="Q82" s="366"/>
      <c r="R82" s="366"/>
      <c r="S82" s="418"/>
    </row>
    <row r="83" spans="1:19" x14ac:dyDescent="0.3">
      <c r="A83" s="367"/>
      <c r="B83" s="367"/>
      <c r="C83" s="367"/>
      <c r="D83" s="367"/>
      <c r="E83" s="108"/>
      <c r="F83" s="108"/>
      <c r="G83" s="367"/>
      <c r="H83" s="94" t="s">
        <v>309</v>
      </c>
      <c r="I83" s="110">
        <v>15</v>
      </c>
      <c r="J83" s="110">
        <f t="shared" si="2"/>
        <v>4.7770700636942669</v>
      </c>
      <c r="K83" s="111"/>
      <c r="L83" s="111"/>
      <c r="M83" s="111"/>
      <c r="N83" s="167"/>
      <c r="O83" s="127">
        <f t="shared" si="3"/>
        <v>1.7530724501215959E-2</v>
      </c>
      <c r="P83" s="168">
        <f>O83*(1+'Key Data'!F$3)</f>
        <v>2.1913405626519947E-2</v>
      </c>
      <c r="Q83" s="366"/>
      <c r="R83" s="366"/>
      <c r="S83" s="418"/>
    </row>
    <row r="84" spans="1:19" x14ac:dyDescent="0.3">
      <c r="A84" s="367"/>
      <c r="B84" s="367"/>
      <c r="C84" s="367"/>
      <c r="D84" s="367"/>
      <c r="E84" s="108"/>
      <c r="F84" s="108"/>
      <c r="G84" s="367"/>
      <c r="H84" s="94" t="s">
        <v>309</v>
      </c>
      <c r="I84" s="110">
        <f>SQRT(19.4^2+11^2)</f>
        <v>22.301569451498249</v>
      </c>
      <c r="J84" s="110">
        <f t="shared" si="2"/>
        <v>7.1024106533433908</v>
      </c>
      <c r="K84" s="111"/>
      <c r="L84" s="111"/>
      <c r="M84" s="111"/>
      <c r="N84" s="167"/>
      <c r="O84" s="127">
        <f t="shared" si="3"/>
        <v>2.5377101676199502E-2</v>
      </c>
      <c r="P84" s="168">
        <f>O84*(1+'Key Data'!F$3)</f>
        <v>3.172137709524938E-2</v>
      </c>
      <c r="Q84" s="366"/>
      <c r="R84" s="366"/>
      <c r="S84" s="418"/>
    </row>
    <row r="85" spans="1:19" x14ac:dyDescent="0.3">
      <c r="A85" s="367"/>
      <c r="B85" s="367"/>
      <c r="C85" s="367"/>
      <c r="D85" s="367"/>
      <c r="E85" s="108"/>
      <c r="F85" s="108"/>
      <c r="G85" s="367"/>
      <c r="H85" s="94" t="s">
        <v>309</v>
      </c>
      <c r="I85" s="110">
        <v>20</v>
      </c>
      <c r="J85" s="110">
        <f t="shared" si="2"/>
        <v>6.3694267515923562</v>
      </c>
      <c r="K85" s="111"/>
      <c r="L85" s="111"/>
      <c r="M85" s="111"/>
      <c r="N85" s="167"/>
      <c r="O85" s="127">
        <f t="shared" si="3"/>
        <v>2.2899888858667769E-2</v>
      </c>
      <c r="P85" s="168">
        <f>O85*(1+'Key Data'!F$3)</f>
        <v>2.8624861073334711E-2</v>
      </c>
      <c r="Q85" s="366"/>
      <c r="R85" s="366"/>
      <c r="S85" s="418"/>
    </row>
    <row r="86" spans="1:19" x14ac:dyDescent="0.3">
      <c r="A86" s="367"/>
      <c r="B86" s="367"/>
      <c r="C86" s="367"/>
      <c r="D86" s="367"/>
      <c r="E86" s="108"/>
      <c r="F86" s="108"/>
      <c r="G86" s="367"/>
      <c r="H86" s="94" t="s">
        <v>309</v>
      </c>
      <c r="I86" s="110">
        <f>SQRT(19.4^2+8.8^2)</f>
        <v>21.302582003128165</v>
      </c>
      <c r="J86" s="110">
        <f t="shared" si="2"/>
        <v>6.7842617844357216</v>
      </c>
      <c r="K86" s="111"/>
      <c r="L86" s="111"/>
      <c r="M86" s="111"/>
      <c r="N86" s="167"/>
      <c r="O86" s="127">
        <f t="shared" si="3"/>
        <v>2.4301480326103651E-2</v>
      </c>
      <c r="P86" s="168">
        <f>O86*(1+'Key Data'!F$3)</f>
        <v>3.0376850407629566E-2</v>
      </c>
      <c r="Q86" s="366"/>
      <c r="R86" s="366"/>
      <c r="S86" s="418"/>
    </row>
    <row r="87" spans="1:19" x14ac:dyDescent="0.3">
      <c r="A87" s="367"/>
      <c r="B87" s="367"/>
      <c r="C87" s="367"/>
      <c r="D87" s="367"/>
      <c r="E87" s="108"/>
      <c r="F87" s="108"/>
      <c r="G87" s="367"/>
      <c r="H87" s="94" t="s">
        <v>309</v>
      </c>
      <c r="I87" s="110">
        <v>18.8</v>
      </c>
      <c r="J87" s="110">
        <f t="shared" si="2"/>
        <v>5.9872611464968148</v>
      </c>
      <c r="K87" s="111"/>
      <c r="L87" s="111"/>
      <c r="M87" s="111"/>
      <c r="N87" s="167"/>
      <c r="O87" s="127">
        <f t="shared" si="3"/>
        <v>2.1609644691431253E-2</v>
      </c>
      <c r="P87" s="168">
        <f>O87*(1+'Key Data'!F$3)</f>
        <v>2.7012055864289067E-2</v>
      </c>
      <c r="Q87" s="366"/>
      <c r="R87" s="366"/>
      <c r="S87" s="418"/>
    </row>
    <row r="88" spans="1:19" x14ac:dyDescent="0.3">
      <c r="A88" s="367"/>
      <c r="B88" s="367"/>
      <c r="C88" s="367"/>
      <c r="D88" s="367"/>
      <c r="E88" s="108"/>
      <c r="F88" s="108"/>
      <c r="G88" s="367"/>
      <c r="H88" s="94" t="s">
        <v>309</v>
      </c>
      <c r="I88" s="110">
        <v>22.8</v>
      </c>
      <c r="J88" s="110">
        <f t="shared" si="2"/>
        <v>7.2611464968152868</v>
      </c>
      <c r="K88" s="111"/>
      <c r="L88" s="111"/>
      <c r="M88" s="111"/>
      <c r="N88" s="167"/>
      <c r="O88" s="127">
        <f t="shared" si="3"/>
        <v>2.5913985533358597E-2</v>
      </c>
      <c r="P88" s="168">
        <f>O88*(1+'Key Data'!F$3)</f>
        <v>3.2392481916698246E-2</v>
      </c>
      <c r="Q88" s="366"/>
      <c r="R88" s="366"/>
      <c r="S88" s="418"/>
    </row>
    <row r="89" spans="1:19" x14ac:dyDescent="0.3">
      <c r="A89" s="367"/>
      <c r="B89" s="367"/>
      <c r="C89" s="367"/>
      <c r="D89" s="367"/>
      <c r="E89" s="108"/>
      <c r="F89" s="108"/>
      <c r="G89" s="367"/>
      <c r="H89" s="94" t="s">
        <v>309</v>
      </c>
      <c r="I89" s="110">
        <f>SQRT(21^2+9.8^2)</f>
        <v>23.174123500145587</v>
      </c>
      <c r="J89" s="110">
        <f t="shared" si="2"/>
        <v>7.3802941083266198</v>
      </c>
      <c r="K89" s="111"/>
      <c r="L89" s="111"/>
      <c r="M89" s="111"/>
      <c r="N89" s="167"/>
      <c r="O89" s="127">
        <f t="shared" si="3"/>
        <v>2.6317064922965972E-2</v>
      </c>
      <c r="P89" s="168">
        <f>O89*(1+'Key Data'!F$3)</f>
        <v>3.2896331153707464E-2</v>
      </c>
      <c r="Q89" s="366"/>
      <c r="R89" s="366"/>
      <c r="S89" s="418"/>
    </row>
    <row r="90" spans="1:19" x14ac:dyDescent="0.3">
      <c r="A90" s="367"/>
      <c r="B90" s="367"/>
      <c r="C90" s="367"/>
      <c r="D90" s="367"/>
      <c r="E90" s="108"/>
      <c r="F90" s="108"/>
      <c r="G90" s="367"/>
      <c r="H90" s="94" t="s">
        <v>309</v>
      </c>
      <c r="I90" s="110">
        <v>20</v>
      </c>
      <c r="J90" s="110">
        <f t="shared" si="2"/>
        <v>6.3694267515923562</v>
      </c>
      <c r="K90" s="111"/>
      <c r="L90" s="111"/>
      <c r="M90" s="111"/>
      <c r="N90" s="167"/>
      <c r="O90" s="127">
        <f t="shared" si="3"/>
        <v>2.2899888858667769E-2</v>
      </c>
      <c r="P90" s="168">
        <f>O90*(1+'Key Data'!F$3)</f>
        <v>2.8624861073334711E-2</v>
      </c>
      <c r="Q90" s="366"/>
      <c r="R90" s="366"/>
      <c r="S90" s="418"/>
    </row>
    <row r="91" spans="1:19" x14ac:dyDescent="0.3">
      <c r="A91" s="367"/>
      <c r="B91" s="367"/>
      <c r="C91" s="367"/>
      <c r="D91" s="367"/>
      <c r="E91" s="108"/>
      <c r="F91" s="108"/>
      <c r="G91" s="367"/>
      <c r="H91" s="94" t="s">
        <v>309</v>
      </c>
      <c r="I91" s="110">
        <f>SQRT(19.4^2+16^2)</f>
        <v>25.146769176178477</v>
      </c>
      <c r="J91" s="110">
        <f t="shared" si="2"/>
        <v>8.0085252153434645</v>
      </c>
      <c r="K91" s="111"/>
      <c r="L91" s="111"/>
      <c r="M91" s="111"/>
      <c r="N91" s="167"/>
      <c r="O91" s="127">
        <f t="shared" si="3"/>
        <v>2.844365004974149E-2</v>
      </c>
      <c r="P91" s="168">
        <f>O91*(1+'Key Data'!F$3)</f>
        <v>3.5554562562176859E-2</v>
      </c>
      <c r="Q91" s="366"/>
      <c r="R91" s="366"/>
      <c r="S91" s="418"/>
    </row>
    <row r="92" spans="1:19" x14ac:dyDescent="0.3">
      <c r="A92" s="367"/>
      <c r="B92" s="367"/>
      <c r="C92" s="367"/>
      <c r="D92" s="367"/>
      <c r="E92" s="108"/>
      <c r="F92" s="108"/>
      <c r="G92" s="367"/>
      <c r="H92" s="94" t="s">
        <v>309</v>
      </c>
      <c r="I92" s="110">
        <f>SQRT(13.4^2+10.2^2)</f>
        <v>16.840427548016709</v>
      </c>
      <c r="J92" s="110">
        <f t="shared" si="2"/>
        <v>5.363193486629525</v>
      </c>
      <c r="K92" s="111"/>
      <c r="L92" s="111"/>
      <c r="M92" s="111"/>
      <c r="N92" s="167"/>
      <c r="O92" s="127">
        <f t="shared" si="3"/>
        <v>1.9504860648684043E-2</v>
      </c>
      <c r="P92" s="168">
        <f>O92*(1+'Key Data'!F$3)</f>
        <v>2.4381075810855052E-2</v>
      </c>
      <c r="Q92" s="366"/>
      <c r="R92" s="366"/>
      <c r="S92" s="418"/>
    </row>
    <row r="93" spans="1:19" x14ac:dyDescent="0.3">
      <c r="A93" s="367"/>
      <c r="B93" s="367"/>
      <c r="C93" s="367"/>
      <c r="D93" s="367"/>
      <c r="E93" s="108"/>
      <c r="F93" s="108"/>
      <c r="G93" s="367"/>
      <c r="H93" s="94" t="s">
        <v>309</v>
      </c>
      <c r="I93" s="110">
        <v>17</v>
      </c>
      <c r="J93" s="110">
        <f t="shared" si="2"/>
        <v>5.4140127388535033</v>
      </c>
      <c r="K93" s="111"/>
      <c r="L93" s="111"/>
      <c r="M93" s="111"/>
      <c r="N93" s="167"/>
      <c r="O93" s="127">
        <f t="shared" si="3"/>
        <v>1.96761524704244E-2</v>
      </c>
      <c r="P93" s="168">
        <f>O93*(1+'Key Data'!F$3)</f>
        <v>2.4595190588030499E-2</v>
      </c>
      <c r="Q93" s="366"/>
      <c r="R93" s="366"/>
      <c r="S93" s="418"/>
    </row>
    <row r="94" spans="1:19" x14ac:dyDescent="0.3">
      <c r="A94" s="367"/>
      <c r="B94" s="367"/>
      <c r="C94" s="367"/>
      <c r="D94" s="367"/>
      <c r="E94" s="108"/>
      <c r="F94" s="108"/>
      <c r="G94" s="367"/>
      <c r="H94" s="94" t="s">
        <v>309</v>
      </c>
      <c r="I94" s="110">
        <f>SQRT(12.8^2+6.8^2+14.4^2+9.8^2)</f>
        <v>22.660097087170655</v>
      </c>
      <c r="J94" s="110">
        <f t="shared" si="2"/>
        <v>7.2165914290352404</v>
      </c>
      <c r="K94" s="111"/>
      <c r="L94" s="111"/>
      <c r="M94" s="111"/>
      <c r="N94" s="167"/>
      <c r="O94" s="127">
        <f t="shared" si="3"/>
        <v>2.5763274928884503E-2</v>
      </c>
      <c r="P94" s="168">
        <f>O94*(1+'Key Data'!F$3)</f>
        <v>3.2204093661105632E-2</v>
      </c>
      <c r="Q94" s="366"/>
      <c r="R94" s="366"/>
      <c r="S94" s="418"/>
    </row>
    <row r="95" spans="1:19" x14ac:dyDescent="0.3">
      <c r="A95" s="367"/>
      <c r="B95" s="367"/>
      <c r="C95" s="367"/>
      <c r="D95" s="367"/>
      <c r="E95" s="108"/>
      <c r="F95" s="108"/>
      <c r="G95" s="367"/>
      <c r="H95" s="94" t="s">
        <v>309</v>
      </c>
      <c r="I95" s="110">
        <v>19.8</v>
      </c>
      <c r="J95" s="110">
        <f t="shared" si="2"/>
        <v>6.3057324840764331</v>
      </c>
      <c r="K95" s="111"/>
      <c r="L95" s="111"/>
      <c r="M95" s="111"/>
      <c r="N95" s="167"/>
      <c r="O95" s="127">
        <f t="shared" si="3"/>
        <v>2.268478209332116E-2</v>
      </c>
      <c r="P95" s="168">
        <f>O95*(1+'Key Data'!F$3)</f>
        <v>2.835597761665145E-2</v>
      </c>
      <c r="Q95" s="366"/>
      <c r="R95" s="366"/>
      <c r="S95" s="418"/>
    </row>
    <row r="96" spans="1:19" x14ac:dyDescent="0.3">
      <c r="A96" s="367"/>
      <c r="B96" s="367"/>
      <c r="C96" s="367"/>
      <c r="D96" s="367"/>
      <c r="E96" s="108"/>
      <c r="F96" s="108"/>
      <c r="G96" s="367"/>
      <c r="H96" s="94" t="s">
        <v>309</v>
      </c>
      <c r="I96" s="110">
        <f>SQRT(11^2+14.8^2+10.8^2)</f>
        <v>21.370072531463247</v>
      </c>
      <c r="J96" s="110">
        <f t="shared" si="2"/>
        <v>6.8057555832685495</v>
      </c>
      <c r="K96" s="111"/>
      <c r="L96" s="111"/>
      <c r="M96" s="111"/>
      <c r="N96" s="167"/>
      <c r="O96" s="127">
        <f t="shared" si="3"/>
        <v>2.4374129406365234E-2</v>
      </c>
      <c r="P96" s="168">
        <f>O96*(1+'Key Data'!F$3)</f>
        <v>3.0467661757956545E-2</v>
      </c>
      <c r="Q96" s="366"/>
      <c r="R96" s="366"/>
      <c r="S96" s="418"/>
    </row>
    <row r="97" spans="1:19" x14ac:dyDescent="0.3">
      <c r="A97" s="367"/>
      <c r="B97" s="367"/>
      <c r="C97" s="367"/>
      <c r="D97" s="367"/>
      <c r="E97" s="108"/>
      <c r="F97" s="108"/>
      <c r="G97" s="367"/>
      <c r="H97" s="94" t="s">
        <v>309</v>
      </c>
      <c r="I97" s="110">
        <v>18.2</v>
      </c>
      <c r="J97" s="110">
        <f t="shared" si="2"/>
        <v>5.7961783439490437</v>
      </c>
      <c r="K97" s="111"/>
      <c r="L97" s="111"/>
      <c r="M97" s="111"/>
      <c r="N97" s="167"/>
      <c r="O97" s="127">
        <f t="shared" si="3"/>
        <v>2.0964889356730434E-2</v>
      </c>
      <c r="P97" s="168">
        <f>O97*(1+'Key Data'!F$3)</f>
        <v>2.6206111695913043E-2</v>
      </c>
      <c r="Q97" s="366"/>
      <c r="R97" s="366"/>
      <c r="S97" s="418"/>
    </row>
    <row r="98" spans="1:19" x14ac:dyDescent="0.3">
      <c r="A98" s="367"/>
      <c r="B98" s="367"/>
      <c r="C98" s="367"/>
      <c r="D98" s="367"/>
      <c r="E98" s="108"/>
      <c r="F98" s="108"/>
      <c r="G98" s="367"/>
      <c r="H98" s="94" t="s">
        <v>309</v>
      </c>
      <c r="I98" s="110">
        <f>SQRT(15^2+14.8^2+15^2)</f>
        <v>25.865807545870283</v>
      </c>
      <c r="J98" s="110">
        <f t="shared" si="2"/>
        <v>8.2375183267102816</v>
      </c>
      <c r="K98" s="111"/>
      <c r="L98" s="111"/>
      <c r="M98" s="111"/>
      <c r="N98" s="167"/>
      <c r="O98" s="127">
        <f t="shared" si="3"/>
        <v>2.9219306701954592E-2</v>
      </c>
      <c r="P98" s="168">
        <f>O98*(1+'Key Data'!F$3)</f>
        <v>3.6524133377443244E-2</v>
      </c>
      <c r="Q98" s="366"/>
      <c r="R98" s="366"/>
      <c r="S98" s="418"/>
    </row>
    <row r="99" spans="1:19" x14ac:dyDescent="0.3">
      <c r="A99" s="367"/>
      <c r="B99" s="367"/>
      <c r="C99" s="367"/>
      <c r="D99" s="367"/>
      <c r="E99" s="108"/>
      <c r="F99" s="108"/>
      <c r="G99" s="367"/>
      <c r="H99" s="94" t="s">
        <v>309</v>
      </c>
      <c r="I99" s="110">
        <f>SQRT(15.4^2+10.5^2+16.4^2)</f>
        <v>24.826800035445569</v>
      </c>
      <c r="J99" s="110">
        <f t="shared" si="2"/>
        <v>7.9066242151100532</v>
      </c>
      <c r="K99" s="111"/>
      <c r="L99" s="111"/>
      <c r="M99" s="111"/>
      <c r="N99" s="167"/>
      <c r="O99" s="127">
        <f t="shared" si="3"/>
        <v>2.8098571119488679E-2</v>
      </c>
      <c r="P99" s="168">
        <f>O99*(1+'Key Data'!F$3)</f>
        <v>3.512321389936085E-2</v>
      </c>
      <c r="Q99" s="366"/>
      <c r="R99" s="366"/>
      <c r="S99" s="418"/>
    </row>
    <row r="100" spans="1:19" x14ac:dyDescent="0.3">
      <c r="A100" s="367"/>
      <c r="B100" s="367"/>
      <c r="C100" s="367"/>
      <c r="D100" s="367"/>
      <c r="E100" s="108"/>
      <c r="F100" s="108"/>
      <c r="G100" s="367"/>
      <c r="H100" s="94" t="s">
        <v>309</v>
      </c>
      <c r="I100" s="110">
        <f>SQRT(9.6^2+11.2^2+11.4^2)</f>
        <v>18.642961138188319</v>
      </c>
      <c r="J100" s="110">
        <f t="shared" si="2"/>
        <v>5.9372487701236683</v>
      </c>
      <c r="K100" s="111"/>
      <c r="L100" s="111"/>
      <c r="M100" s="111"/>
      <c r="N100" s="167"/>
      <c r="O100" s="127">
        <f t="shared" si="3"/>
        <v>2.1440867768458615E-2</v>
      </c>
      <c r="P100" s="168">
        <f>O100*(1+'Key Data'!F$3)</f>
        <v>2.680108471057327E-2</v>
      </c>
      <c r="Q100" s="366"/>
      <c r="R100" s="366"/>
      <c r="S100" s="418"/>
    </row>
    <row r="101" spans="1:19" x14ac:dyDescent="0.3">
      <c r="A101" s="367"/>
      <c r="B101" s="367"/>
      <c r="C101" s="367"/>
      <c r="D101" s="367"/>
      <c r="E101" s="108"/>
      <c r="F101" s="108"/>
      <c r="G101" s="367"/>
      <c r="H101" s="94" t="s">
        <v>309</v>
      </c>
      <c r="I101" s="110">
        <f>SQRT(13.2^2+15^2)</f>
        <v>19.980990966416055</v>
      </c>
      <c r="J101" s="110">
        <f t="shared" si="2"/>
        <v>6.3633729192407813</v>
      </c>
      <c r="K101" s="111"/>
      <c r="L101" s="111"/>
      <c r="M101" s="111"/>
      <c r="N101" s="167"/>
      <c r="O101" s="127">
        <f t="shared" si="3"/>
        <v>2.2879442885843655E-2</v>
      </c>
      <c r="P101" s="168">
        <f>O101*(1+'Key Data'!F$3)</f>
        <v>2.8599303607304567E-2</v>
      </c>
      <c r="Q101" s="366"/>
      <c r="R101" s="366"/>
      <c r="S101" s="418"/>
    </row>
    <row r="102" spans="1:19" x14ac:dyDescent="0.3">
      <c r="A102" s="367"/>
      <c r="B102" s="367"/>
      <c r="C102" s="367"/>
      <c r="D102" s="367"/>
      <c r="E102" s="108"/>
      <c r="F102" s="108"/>
      <c r="G102" s="367"/>
      <c r="H102" s="94" t="s">
        <v>309</v>
      </c>
      <c r="I102" s="110">
        <v>18.2</v>
      </c>
      <c r="J102" s="110">
        <f t="shared" si="2"/>
        <v>5.7961783439490437</v>
      </c>
      <c r="K102" s="111"/>
      <c r="L102" s="111"/>
      <c r="M102" s="111"/>
      <c r="N102" s="167"/>
      <c r="O102" s="127">
        <f t="shared" si="3"/>
        <v>2.0964889356730434E-2</v>
      </c>
      <c r="P102" s="168">
        <f>O102*(1+'Key Data'!F$3)</f>
        <v>2.6206111695913043E-2</v>
      </c>
      <c r="Q102" s="366"/>
      <c r="R102" s="366"/>
      <c r="S102" s="418"/>
    </row>
    <row r="103" spans="1:19" x14ac:dyDescent="0.3">
      <c r="A103" s="374">
        <v>2</v>
      </c>
      <c r="B103" s="374" t="s">
        <v>411</v>
      </c>
      <c r="C103" s="374" t="s">
        <v>433</v>
      </c>
      <c r="D103" s="374" t="s">
        <v>270</v>
      </c>
      <c r="E103" s="415">
        <v>14.0427</v>
      </c>
      <c r="F103" s="415">
        <v>77.819950000000006</v>
      </c>
      <c r="G103" s="374">
        <v>2022</v>
      </c>
      <c r="H103" s="72" t="s">
        <v>264</v>
      </c>
      <c r="I103" s="73"/>
      <c r="J103" s="170"/>
      <c r="K103" s="73">
        <v>27.5</v>
      </c>
      <c r="L103" s="73">
        <f>K103/3.14/100</f>
        <v>8.7579617834394913E-2</v>
      </c>
      <c r="M103" s="73"/>
      <c r="N103" s="171"/>
      <c r="O103" s="129">
        <f>(0.17994-2.78776*L103+14.44961*L103^2)*'Key Data'!$I$18*'Key Data'!$F$18</f>
        <v>2.9370783272901532E-2</v>
      </c>
      <c r="P103" s="169">
        <f>O103*(1+'Key Data'!F$3)</f>
        <v>3.6713479091126919E-2</v>
      </c>
      <c r="Q103" s="379">
        <f>SUM(P103:P258)</f>
        <v>6.8072024309052654</v>
      </c>
      <c r="R103" s="379">
        <f>Q103*10000/900</f>
        <v>75.635582565614058</v>
      </c>
      <c r="S103" s="418"/>
    </row>
    <row r="104" spans="1:19" x14ac:dyDescent="0.3">
      <c r="A104" s="374"/>
      <c r="B104" s="374"/>
      <c r="C104" s="374"/>
      <c r="D104" s="374"/>
      <c r="E104" s="415"/>
      <c r="F104" s="415"/>
      <c r="G104" s="374"/>
      <c r="H104" s="72" t="s">
        <v>264</v>
      </c>
      <c r="I104" s="73"/>
      <c r="J104" s="170"/>
      <c r="K104" s="73">
        <v>29.2</v>
      </c>
      <c r="L104" s="73">
        <f t="shared" ref="L104:L167" si="4">K104/3.14/100</f>
        <v>9.2993630573248401E-2</v>
      </c>
      <c r="M104" s="73"/>
      <c r="N104" s="171"/>
      <c r="O104" s="129">
        <f>(0.17994-2.78776*L104+14.44961*L104^2)*'Key Data'!$I$18*'Key Data'!$F$18</f>
        <v>2.8761790215749098E-2</v>
      </c>
      <c r="P104" s="169">
        <f>O104*(1+'Key Data'!F$3)</f>
        <v>3.5952237769686375E-2</v>
      </c>
      <c r="Q104" s="379"/>
      <c r="R104" s="379"/>
      <c r="S104" s="418"/>
    </row>
    <row r="105" spans="1:19" x14ac:dyDescent="0.3">
      <c r="A105" s="374"/>
      <c r="B105" s="374"/>
      <c r="C105" s="374"/>
      <c r="D105" s="374"/>
      <c r="E105" s="415"/>
      <c r="F105" s="415"/>
      <c r="G105" s="374"/>
      <c r="H105" s="72" t="s">
        <v>264</v>
      </c>
      <c r="I105" s="73"/>
      <c r="J105" s="170"/>
      <c r="K105" s="73">
        <v>29</v>
      </c>
      <c r="L105" s="73">
        <f t="shared" si="4"/>
        <v>9.2356687898089179E-2</v>
      </c>
      <c r="M105" s="73"/>
      <c r="N105" s="171"/>
      <c r="O105" s="129">
        <f>(0.17994-2.78776*L105+14.44961*L105^2)*'Key Data'!$I$18*'Key Data'!$F$18</f>
        <v>2.8805737805793343E-2</v>
      </c>
      <c r="P105" s="169">
        <f>O105*(1+'Key Data'!F$3)</f>
        <v>3.6007172257241676E-2</v>
      </c>
      <c r="Q105" s="379"/>
      <c r="R105" s="379"/>
      <c r="S105" s="418"/>
    </row>
    <row r="106" spans="1:19" x14ac:dyDescent="0.3">
      <c r="A106" s="374"/>
      <c r="B106" s="374"/>
      <c r="C106" s="374"/>
      <c r="D106" s="374"/>
      <c r="E106" s="415"/>
      <c r="F106" s="415"/>
      <c r="G106" s="374"/>
      <c r="H106" s="72" t="s">
        <v>264</v>
      </c>
      <c r="I106" s="73"/>
      <c r="J106" s="170"/>
      <c r="K106" s="73">
        <v>24.5</v>
      </c>
      <c r="L106" s="73">
        <f t="shared" si="4"/>
        <v>7.8025477707006366E-2</v>
      </c>
      <c r="M106" s="73"/>
      <c r="N106" s="171"/>
      <c r="O106" s="129">
        <f>(0.17994-2.78776*L106+14.44961*L106^2)*'Key Data'!$I$18*'Key Data'!$F$18</f>
        <v>3.1747313545934928E-2</v>
      </c>
      <c r="P106" s="169">
        <f>O106*(1+'Key Data'!F$3)</f>
        <v>3.9684141932418662E-2</v>
      </c>
      <c r="Q106" s="379"/>
      <c r="R106" s="379"/>
      <c r="S106" s="418"/>
    </row>
    <row r="107" spans="1:19" x14ac:dyDescent="0.3">
      <c r="A107" s="374"/>
      <c r="B107" s="374"/>
      <c r="C107" s="374"/>
      <c r="D107" s="374"/>
      <c r="E107" s="415"/>
      <c r="F107" s="415"/>
      <c r="G107" s="374"/>
      <c r="H107" s="72" t="s">
        <v>264</v>
      </c>
      <c r="I107" s="73"/>
      <c r="J107" s="170"/>
      <c r="K107" s="73">
        <v>31.5</v>
      </c>
      <c r="L107" s="73">
        <f t="shared" si="4"/>
        <v>0.10031847133757962</v>
      </c>
      <c r="M107" s="73"/>
      <c r="N107" s="171"/>
      <c r="O107" s="129">
        <f>(0.17994-2.78776*L107+14.44961*L107^2)*'Key Data'!$I$18*'Key Data'!$F$18</f>
        <v>2.8787283759736694E-2</v>
      </c>
      <c r="P107" s="169">
        <f>O107*(1+'Key Data'!F$3)</f>
        <v>3.5984104699670866E-2</v>
      </c>
      <c r="Q107" s="379"/>
      <c r="R107" s="379"/>
      <c r="S107" s="418"/>
    </row>
    <row r="108" spans="1:19" x14ac:dyDescent="0.3">
      <c r="A108" s="374"/>
      <c r="B108" s="374"/>
      <c r="C108" s="374"/>
      <c r="D108" s="374"/>
      <c r="E108" s="415"/>
      <c r="F108" s="415"/>
      <c r="G108" s="374"/>
      <c r="H108" s="72" t="s">
        <v>264</v>
      </c>
      <c r="I108" s="73"/>
      <c r="J108" s="170"/>
      <c r="K108" s="73">
        <v>23.3</v>
      </c>
      <c r="L108" s="73">
        <f t="shared" si="4"/>
        <v>7.4203821656050953E-2</v>
      </c>
      <c r="M108" s="73"/>
      <c r="N108" s="171"/>
      <c r="O108" s="129">
        <f>(0.17994-2.78776*L108+14.44961*L108^2)*'Key Data'!$I$18*'Key Data'!$F$18</f>
        <v>3.3163263008306625E-2</v>
      </c>
      <c r="P108" s="169">
        <f>O108*(1+'Key Data'!F$3)</f>
        <v>4.1454078760383282E-2</v>
      </c>
      <c r="Q108" s="379"/>
      <c r="R108" s="379"/>
      <c r="S108" s="418"/>
    </row>
    <row r="109" spans="1:19" x14ac:dyDescent="0.3">
      <c r="A109" s="374"/>
      <c r="B109" s="374"/>
      <c r="C109" s="374"/>
      <c r="D109" s="374"/>
      <c r="E109" s="415"/>
      <c r="F109" s="415"/>
      <c r="G109" s="374"/>
      <c r="H109" s="72" t="s">
        <v>264</v>
      </c>
      <c r="I109" s="73"/>
      <c r="J109" s="170"/>
      <c r="K109" s="73">
        <v>23</v>
      </c>
      <c r="L109" s="73">
        <f t="shared" si="4"/>
        <v>7.32484076433121E-2</v>
      </c>
      <c r="M109" s="73"/>
      <c r="N109" s="171"/>
      <c r="O109" s="129">
        <f>(0.17994-2.78776*L109+14.44961*L109^2)*'Key Data'!$I$18*'Key Data'!$F$18</f>
        <v>3.3558798351860118E-2</v>
      </c>
      <c r="P109" s="169">
        <f>O109*(1+'Key Data'!F$3)</f>
        <v>4.194849793982515E-2</v>
      </c>
      <c r="Q109" s="379"/>
      <c r="R109" s="379"/>
      <c r="S109" s="418"/>
    </row>
    <row r="110" spans="1:19" x14ac:dyDescent="0.3">
      <c r="A110" s="374"/>
      <c r="B110" s="374"/>
      <c r="C110" s="374"/>
      <c r="D110" s="374"/>
      <c r="E110" s="415"/>
      <c r="F110" s="415"/>
      <c r="G110" s="374"/>
      <c r="H110" s="72" t="s">
        <v>264</v>
      </c>
      <c r="I110" s="73"/>
      <c r="J110" s="170"/>
      <c r="K110" s="73">
        <f>SQRT(30.1*30.1+12*12)</f>
        <v>32.403857795021878</v>
      </c>
      <c r="L110" s="73">
        <f t="shared" si="4"/>
        <v>0.10319699934720344</v>
      </c>
      <c r="M110" s="73"/>
      <c r="N110" s="171"/>
      <c r="O110" s="129">
        <f>(0.17994-2.78776*L110+14.44961*L110^2)*'Key Data'!$I$18*'Key Data'!$F$18</f>
        <v>2.9064671049286589E-2</v>
      </c>
      <c r="P110" s="169">
        <f>O110*(1+'Key Data'!F$3)</f>
        <v>3.6330838811608236E-2</v>
      </c>
      <c r="Q110" s="379"/>
      <c r="R110" s="379"/>
      <c r="S110" s="418"/>
    </row>
    <row r="111" spans="1:19" x14ac:dyDescent="0.3">
      <c r="A111" s="374"/>
      <c r="B111" s="374"/>
      <c r="C111" s="374"/>
      <c r="D111" s="374"/>
      <c r="E111" s="415"/>
      <c r="F111" s="415"/>
      <c r="G111" s="374"/>
      <c r="H111" s="72" t="s">
        <v>264</v>
      </c>
      <c r="I111" s="73"/>
      <c r="J111" s="170"/>
      <c r="K111" s="73">
        <f>SQRT(29.5*29.5+18*18)</f>
        <v>34.557922391254948</v>
      </c>
      <c r="L111" s="73">
        <f t="shared" si="4"/>
        <v>0.11005707767915589</v>
      </c>
      <c r="M111" s="73"/>
      <c r="N111" s="171"/>
      <c r="O111" s="129">
        <f>(0.17994-2.78776*L111+14.44961*L111^2)*'Key Data'!$I$18*'Key Data'!$F$18</f>
        <v>3.0333904176716008E-2</v>
      </c>
      <c r="P111" s="169">
        <f>O111*(1+'Key Data'!F$3)</f>
        <v>3.7917380220895011E-2</v>
      </c>
      <c r="Q111" s="379"/>
      <c r="R111" s="379"/>
      <c r="S111" s="418"/>
    </row>
    <row r="112" spans="1:19" x14ac:dyDescent="0.3">
      <c r="A112" s="374"/>
      <c r="B112" s="374"/>
      <c r="C112" s="374"/>
      <c r="D112" s="374"/>
      <c r="E112" s="415"/>
      <c r="F112" s="415"/>
      <c r="G112" s="374"/>
      <c r="H112" s="72" t="s">
        <v>264</v>
      </c>
      <c r="I112" s="73"/>
      <c r="J112" s="170"/>
      <c r="K112" s="73">
        <f>SQRT(25.5*25.5+24.4*24.4)</f>
        <v>35.293200478279097</v>
      </c>
      <c r="L112" s="73">
        <f t="shared" si="4"/>
        <v>0.1123987276378315</v>
      </c>
      <c r="M112" s="73"/>
      <c r="N112" s="171"/>
      <c r="O112" s="129">
        <f>(0.17994-2.78776*L112+14.44961*L112^2)*'Key Data'!$I$18*'Key Data'!$F$18</f>
        <v>3.0963299798672819E-2</v>
      </c>
      <c r="P112" s="169">
        <f>O112*(1+'Key Data'!F$3)</f>
        <v>3.8704124748341021E-2</v>
      </c>
      <c r="Q112" s="379"/>
      <c r="R112" s="379"/>
      <c r="S112" s="418"/>
    </row>
    <row r="113" spans="1:19" x14ac:dyDescent="0.3">
      <c r="A113" s="374"/>
      <c r="B113" s="374"/>
      <c r="C113" s="374"/>
      <c r="D113" s="374"/>
      <c r="E113" s="415"/>
      <c r="F113" s="415"/>
      <c r="G113" s="374"/>
      <c r="H113" s="72" t="s">
        <v>264</v>
      </c>
      <c r="I113" s="73"/>
      <c r="J113" s="170"/>
      <c r="K113" s="73">
        <v>36</v>
      </c>
      <c r="L113" s="73">
        <f t="shared" si="4"/>
        <v>0.11464968152866241</v>
      </c>
      <c r="M113" s="73"/>
      <c r="N113" s="171"/>
      <c r="O113" s="129">
        <f>(0.17994-2.78776*L113+14.44961*L113^2)*'Key Data'!$I$18*'Key Data'!$F$18</f>
        <v>3.1662424934074389E-2</v>
      </c>
      <c r="P113" s="169">
        <f>O113*(1+'Key Data'!F$3)</f>
        <v>3.9578031167592988E-2</v>
      </c>
      <c r="Q113" s="379"/>
      <c r="R113" s="379"/>
      <c r="S113" s="418"/>
    </row>
    <row r="114" spans="1:19" x14ac:dyDescent="0.3">
      <c r="A114" s="374"/>
      <c r="B114" s="374"/>
      <c r="C114" s="374"/>
      <c r="D114" s="374"/>
      <c r="E114" s="415"/>
      <c r="F114" s="415"/>
      <c r="G114" s="374"/>
      <c r="H114" s="72" t="s">
        <v>264</v>
      </c>
      <c r="I114" s="73"/>
      <c r="J114" s="170"/>
      <c r="K114" s="73">
        <v>36</v>
      </c>
      <c r="L114" s="73">
        <f t="shared" si="4"/>
        <v>0.11464968152866241</v>
      </c>
      <c r="M114" s="73"/>
      <c r="N114" s="171"/>
      <c r="O114" s="129">
        <f>(0.17994-2.78776*L114+14.44961*L114^2)*'Key Data'!$I$18*'Key Data'!$F$18</f>
        <v>3.1662424934074389E-2</v>
      </c>
      <c r="P114" s="169">
        <f>O114*(1+'Key Data'!F$3)</f>
        <v>3.9578031167592988E-2</v>
      </c>
      <c r="Q114" s="379"/>
      <c r="R114" s="379"/>
      <c r="S114" s="418"/>
    </row>
    <row r="115" spans="1:19" x14ac:dyDescent="0.3">
      <c r="A115" s="374"/>
      <c r="B115" s="374"/>
      <c r="C115" s="374"/>
      <c r="D115" s="374"/>
      <c r="E115" s="415"/>
      <c r="F115" s="415"/>
      <c r="G115" s="374"/>
      <c r="H115" s="72" t="s">
        <v>264</v>
      </c>
      <c r="I115" s="73"/>
      <c r="J115" s="170"/>
      <c r="K115" s="73">
        <v>25</v>
      </c>
      <c r="L115" s="73">
        <f t="shared" si="4"/>
        <v>7.9617834394904455E-2</v>
      </c>
      <c r="M115" s="73"/>
      <c r="N115" s="171"/>
      <c r="O115" s="129">
        <f>(0.17994-2.78776*L115+14.44961*L115^2)*'Key Data'!$I$18*'Key Data'!$F$18</f>
        <v>3.1235814117205555E-2</v>
      </c>
      <c r="P115" s="169">
        <f>O115*(1+'Key Data'!F$3)</f>
        <v>3.9044767646506946E-2</v>
      </c>
      <c r="Q115" s="379"/>
      <c r="R115" s="379"/>
      <c r="S115" s="418"/>
    </row>
    <row r="116" spans="1:19" x14ac:dyDescent="0.3">
      <c r="A116" s="374"/>
      <c r="B116" s="374"/>
      <c r="C116" s="374"/>
      <c r="D116" s="374"/>
      <c r="E116" s="415"/>
      <c r="F116" s="415"/>
      <c r="G116" s="374"/>
      <c r="H116" s="72" t="s">
        <v>264</v>
      </c>
      <c r="I116" s="73"/>
      <c r="J116" s="170"/>
      <c r="K116" s="73">
        <v>29</v>
      </c>
      <c r="L116" s="73">
        <f t="shared" si="4"/>
        <v>9.2356687898089179E-2</v>
      </c>
      <c r="M116" s="73"/>
      <c r="N116" s="171"/>
      <c r="O116" s="129">
        <f>(0.17994-2.78776*L116+14.44961*L116^2)*'Key Data'!$I$18*'Key Data'!$F$18</f>
        <v>2.8805737805793343E-2</v>
      </c>
      <c r="P116" s="169">
        <f>O116*(1+'Key Data'!F$3)</f>
        <v>3.6007172257241676E-2</v>
      </c>
      <c r="Q116" s="379"/>
      <c r="R116" s="379"/>
      <c r="S116" s="418"/>
    </row>
    <row r="117" spans="1:19" x14ac:dyDescent="0.3">
      <c r="A117" s="374"/>
      <c r="B117" s="374"/>
      <c r="C117" s="374"/>
      <c r="D117" s="374"/>
      <c r="E117" s="415"/>
      <c r="F117" s="415"/>
      <c r="G117" s="374"/>
      <c r="H117" s="72" t="s">
        <v>264</v>
      </c>
      <c r="I117" s="73"/>
      <c r="J117" s="170"/>
      <c r="K117" s="73">
        <v>25</v>
      </c>
      <c r="L117" s="73">
        <f t="shared" si="4"/>
        <v>7.9617834394904455E-2</v>
      </c>
      <c r="M117" s="73"/>
      <c r="N117" s="171"/>
      <c r="O117" s="129">
        <f>(0.17994-2.78776*L117+14.44961*L117^2)*'Key Data'!$I$18*'Key Data'!$F$18</f>
        <v>3.1235814117205555E-2</v>
      </c>
      <c r="P117" s="169">
        <f>O117*(1+'Key Data'!F$3)</f>
        <v>3.9044767646506946E-2</v>
      </c>
      <c r="Q117" s="379"/>
      <c r="R117" s="379"/>
      <c r="S117" s="418"/>
    </row>
    <row r="118" spans="1:19" x14ac:dyDescent="0.3">
      <c r="A118" s="374"/>
      <c r="B118" s="374"/>
      <c r="C118" s="374"/>
      <c r="D118" s="374"/>
      <c r="E118" s="415"/>
      <c r="F118" s="415"/>
      <c r="G118" s="374"/>
      <c r="H118" s="72" t="s">
        <v>264</v>
      </c>
      <c r="I118" s="73"/>
      <c r="J118" s="170"/>
      <c r="K118" s="73">
        <f>SQRT(26*26+29*29)</f>
        <v>38.948684188300895</v>
      </c>
      <c r="L118" s="73">
        <f t="shared" si="4"/>
        <v>0.12404039550414296</v>
      </c>
      <c r="M118" s="73"/>
      <c r="N118" s="171"/>
      <c r="O118" s="129">
        <f>(0.17994-2.78776*L118+14.44961*L118^2)*'Key Data'!$I$18*'Key Data'!$F$18</f>
        <v>3.5574292775568145E-2</v>
      </c>
      <c r="P118" s="169">
        <f>O118*(1+'Key Data'!F$3)</f>
        <v>4.4467865969460181E-2</v>
      </c>
      <c r="Q118" s="379"/>
      <c r="R118" s="379"/>
      <c r="S118" s="418"/>
    </row>
    <row r="119" spans="1:19" x14ac:dyDescent="0.3">
      <c r="A119" s="374"/>
      <c r="B119" s="374"/>
      <c r="C119" s="374"/>
      <c r="D119" s="374"/>
      <c r="E119" s="415"/>
      <c r="F119" s="415"/>
      <c r="G119" s="374"/>
      <c r="H119" s="72" t="s">
        <v>264</v>
      </c>
      <c r="I119" s="73"/>
      <c r="J119" s="170"/>
      <c r="K119" s="73">
        <v>17</v>
      </c>
      <c r="L119" s="73">
        <f t="shared" si="4"/>
        <v>5.4140127388535034E-2</v>
      </c>
      <c r="M119" s="73"/>
      <c r="N119" s="171"/>
      <c r="O119" s="129">
        <f>(0.17994-2.78776*L119+14.44961*L119^2)*'Key Data'!$I$18*'Key Data'!$F$18</f>
        <v>4.4959535371617509E-2</v>
      </c>
      <c r="P119" s="169">
        <f>O119*(1+'Key Data'!F$3)</f>
        <v>5.6199419214521887E-2</v>
      </c>
      <c r="Q119" s="379"/>
      <c r="R119" s="379"/>
      <c r="S119" s="418"/>
    </row>
    <row r="120" spans="1:19" x14ac:dyDescent="0.3">
      <c r="A120" s="374"/>
      <c r="B120" s="374"/>
      <c r="C120" s="374"/>
      <c r="D120" s="374"/>
      <c r="E120" s="415"/>
      <c r="F120" s="415"/>
      <c r="G120" s="374"/>
      <c r="H120" s="72" t="s">
        <v>264</v>
      </c>
      <c r="I120" s="73"/>
      <c r="J120" s="170"/>
      <c r="K120" s="73">
        <v>30.1</v>
      </c>
      <c r="L120" s="73">
        <f t="shared" si="4"/>
        <v>9.5859872611464975E-2</v>
      </c>
      <c r="M120" s="73"/>
      <c r="N120" s="171"/>
      <c r="O120" s="129">
        <f>(0.17994-2.78776*L120+14.44961*L120^2)*'Key Data'!$I$18*'Key Data'!$F$18</f>
        <v>2.865543161206335E-2</v>
      </c>
      <c r="P120" s="169">
        <f>O120*(1+'Key Data'!F$3)</f>
        <v>3.5819289515079185E-2</v>
      </c>
      <c r="Q120" s="379"/>
      <c r="R120" s="379"/>
      <c r="S120" s="418"/>
    </row>
    <row r="121" spans="1:19" x14ac:dyDescent="0.3">
      <c r="A121" s="374"/>
      <c r="B121" s="374"/>
      <c r="C121" s="374"/>
      <c r="D121" s="374"/>
      <c r="E121" s="415"/>
      <c r="F121" s="415"/>
      <c r="G121" s="374"/>
      <c r="H121" s="72" t="s">
        <v>264</v>
      </c>
      <c r="I121" s="73"/>
      <c r="J121" s="170"/>
      <c r="K121" s="73">
        <v>29</v>
      </c>
      <c r="L121" s="73">
        <f t="shared" si="4"/>
        <v>9.2356687898089179E-2</v>
      </c>
      <c r="M121" s="73"/>
      <c r="N121" s="171"/>
      <c r="O121" s="129">
        <f>(0.17994-2.78776*L121+14.44961*L121^2)*'Key Data'!$I$18*'Key Data'!$F$18</f>
        <v>2.8805737805793343E-2</v>
      </c>
      <c r="P121" s="169">
        <f>O121*(1+'Key Data'!F$3)</f>
        <v>3.6007172257241676E-2</v>
      </c>
      <c r="Q121" s="379"/>
      <c r="R121" s="379"/>
      <c r="S121" s="418"/>
    </row>
    <row r="122" spans="1:19" x14ac:dyDescent="0.3">
      <c r="A122" s="374"/>
      <c r="B122" s="374"/>
      <c r="C122" s="374"/>
      <c r="D122" s="374"/>
      <c r="E122" s="415"/>
      <c r="F122" s="415"/>
      <c r="G122" s="374"/>
      <c r="H122" s="72" t="s">
        <v>264</v>
      </c>
      <c r="I122" s="73"/>
      <c r="J122" s="170"/>
      <c r="K122" s="73">
        <f>SQRT(30*30+23*23)</f>
        <v>37.802116342871599</v>
      </c>
      <c r="L122" s="73">
        <f t="shared" si="4"/>
        <v>0.1203889055505465</v>
      </c>
      <c r="M122" s="73"/>
      <c r="N122" s="171"/>
      <c r="O122" s="129">
        <f>(0.17994-2.78776*L122+14.44961*L122^2)*'Key Data'!$I$18*'Key Data'!$F$18</f>
        <v>3.3862425772093627E-2</v>
      </c>
      <c r="P122" s="169">
        <f>O122*(1+'Key Data'!F$3)</f>
        <v>4.2328032215117037E-2</v>
      </c>
      <c r="Q122" s="379"/>
      <c r="R122" s="379"/>
      <c r="S122" s="418"/>
    </row>
    <row r="123" spans="1:19" x14ac:dyDescent="0.3">
      <c r="A123" s="374"/>
      <c r="B123" s="374"/>
      <c r="C123" s="374"/>
      <c r="D123" s="374"/>
      <c r="E123" s="415"/>
      <c r="F123" s="415"/>
      <c r="G123" s="374"/>
      <c r="H123" s="72" t="s">
        <v>264</v>
      </c>
      <c r="I123" s="73"/>
      <c r="J123" s="170"/>
      <c r="K123" s="73">
        <v>34</v>
      </c>
      <c r="L123" s="73">
        <f t="shared" si="4"/>
        <v>0.10828025477707007</v>
      </c>
      <c r="M123" s="73"/>
      <c r="N123" s="171"/>
      <c r="O123" s="129">
        <f>(0.17994-2.78776*L123+14.44961*L123^2)*'Key Data'!$I$18*'Key Data'!$F$18</f>
        <v>2.9922940212584695E-2</v>
      </c>
      <c r="P123" s="169">
        <f>O123*(1+'Key Data'!F$3)</f>
        <v>3.7403675265730865E-2</v>
      </c>
      <c r="Q123" s="379"/>
      <c r="R123" s="379"/>
      <c r="S123" s="418"/>
    </row>
    <row r="124" spans="1:19" x14ac:dyDescent="0.3">
      <c r="A124" s="374"/>
      <c r="B124" s="374"/>
      <c r="C124" s="374"/>
      <c r="D124" s="374"/>
      <c r="E124" s="415"/>
      <c r="F124" s="415"/>
      <c r="G124" s="374"/>
      <c r="H124" s="72" t="s">
        <v>264</v>
      </c>
      <c r="I124" s="73"/>
      <c r="J124" s="170"/>
      <c r="K124" s="73">
        <v>33.799999999999997</v>
      </c>
      <c r="L124" s="73">
        <f t="shared" si="4"/>
        <v>0.1076433121019108</v>
      </c>
      <c r="M124" s="73"/>
      <c r="N124" s="171"/>
      <c r="O124" s="129">
        <f>(0.17994-2.78776*L124+14.44961*L124^2)*'Key Data'!$I$18*'Key Data'!$F$18</f>
        <v>2.978961642999715E-2</v>
      </c>
      <c r="P124" s="169">
        <f>O124*(1+'Key Data'!F$3)</f>
        <v>3.7237020537496439E-2</v>
      </c>
      <c r="Q124" s="379"/>
      <c r="R124" s="379"/>
      <c r="S124" s="418"/>
    </row>
    <row r="125" spans="1:19" x14ac:dyDescent="0.3">
      <c r="A125" s="374"/>
      <c r="B125" s="374"/>
      <c r="C125" s="374"/>
      <c r="D125" s="374"/>
      <c r="E125" s="415"/>
      <c r="F125" s="415"/>
      <c r="G125" s="374"/>
      <c r="H125" s="72" t="s">
        <v>264</v>
      </c>
      <c r="I125" s="73"/>
      <c r="J125" s="170"/>
      <c r="K125" s="73">
        <v>42</v>
      </c>
      <c r="L125" s="73">
        <f t="shared" si="4"/>
        <v>0.13375796178343949</v>
      </c>
      <c r="M125" s="73"/>
      <c r="N125" s="171"/>
      <c r="O125" s="129">
        <f>(0.17994-2.78776*L125+14.44961*L125^2)*'Key Data'!$I$18*'Key Data'!$F$18</f>
        <v>4.1312663414337293E-2</v>
      </c>
      <c r="P125" s="169">
        <f>O125*(1+'Key Data'!F$3)</f>
        <v>5.1640829267921615E-2</v>
      </c>
      <c r="Q125" s="379"/>
      <c r="R125" s="379"/>
      <c r="S125" s="418"/>
    </row>
    <row r="126" spans="1:19" x14ac:dyDescent="0.3">
      <c r="A126" s="374"/>
      <c r="B126" s="374"/>
      <c r="C126" s="374"/>
      <c r="D126" s="374"/>
      <c r="E126" s="415"/>
      <c r="F126" s="415"/>
      <c r="G126" s="374"/>
      <c r="H126" s="72" t="s">
        <v>264</v>
      </c>
      <c r="I126" s="73"/>
      <c r="J126" s="170"/>
      <c r="K126" s="73">
        <v>31</v>
      </c>
      <c r="L126" s="73">
        <f t="shared" si="4"/>
        <v>9.8726114649681521E-2</v>
      </c>
      <c r="M126" s="73"/>
      <c r="N126" s="171"/>
      <c r="O126" s="129">
        <f>(0.17994-2.78776*L126+14.44961*L126^2)*'Key Data'!$I$18*'Key Data'!$F$18</f>
        <v>2.869864572903565E-2</v>
      </c>
      <c r="P126" s="169">
        <f>O126*(1+'Key Data'!F$3)</f>
        <v>3.5873307161294561E-2</v>
      </c>
      <c r="Q126" s="379"/>
      <c r="R126" s="379"/>
      <c r="S126" s="418"/>
    </row>
    <row r="127" spans="1:19" x14ac:dyDescent="0.3">
      <c r="A127" s="374"/>
      <c r="B127" s="374"/>
      <c r="C127" s="374"/>
      <c r="D127" s="374"/>
      <c r="E127" s="415"/>
      <c r="F127" s="415"/>
      <c r="G127" s="374"/>
      <c r="H127" s="72" t="s">
        <v>264</v>
      </c>
      <c r="I127" s="73"/>
      <c r="J127" s="170"/>
      <c r="K127" s="73">
        <v>29</v>
      </c>
      <c r="L127" s="73">
        <f t="shared" si="4"/>
        <v>9.2356687898089179E-2</v>
      </c>
      <c r="M127" s="73"/>
      <c r="N127" s="171"/>
      <c r="O127" s="129">
        <f>(0.17994-2.78776*L127+14.44961*L127^2)*'Key Data'!$I$18*'Key Data'!$F$18</f>
        <v>2.8805737805793343E-2</v>
      </c>
      <c r="P127" s="169">
        <f>O127*(1+'Key Data'!F$3)</f>
        <v>3.6007172257241676E-2</v>
      </c>
      <c r="Q127" s="379"/>
      <c r="R127" s="379"/>
      <c r="S127" s="418"/>
    </row>
    <row r="128" spans="1:19" x14ac:dyDescent="0.3">
      <c r="A128" s="374"/>
      <c r="B128" s="374"/>
      <c r="C128" s="374"/>
      <c r="D128" s="374"/>
      <c r="E128" s="415"/>
      <c r="F128" s="415"/>
      <c r="G128" s="374"/>
      <c r="H128" s="72" t="s">
        <v>264</v>
      </c>
      <c r="I128" s="73"/>
      <c r="J128" s="170"/>
      <c r="K128" s="73">
        <v>33</v>
      </c>
      <c r="L128" s="73">
        <f t="shared" si="4"/>
        <v>0.10509554140127389</v>
      </c>
      <c r="M128" s="73"/>
      <c r="N128" s="171"/>
      <c r="O128" s="129">
        <f>(0.17994-2.78776*L128+14.44961*L128^2)*'Key Data'!$I$18*'Key Data'!$F$18</f>
        <v>2.9330184371576955E-2</v>
      </c>
      <c r="P128" s="169">
        <f>O128*(1+'Key Data'!F$3)</f>
        <v>3.6662730464471195E-2</v>
      </c>
      <c r="Q128" s="379"/>
      <c r="R128" s="379"/>
      <c r="S128" s="418"/>
    </row>
    <row r="129" spans="1:19" x14ac:dyDescent="0.3">
      <c r="A129" s="374"/>
      <c r="B129" s="374"/>
      <c r="C129" s="374"/>
      <c r="D129" s="374"/>
      <c r="E129" s="415"/>
      <c r="F129" s="415"/>
      <c r="G129" s="374"/>
      <c r="H129" s="72" t="s">
        <v>264</v>
      </c>
      <c r="I129" s="73"/>
      <c r="J129" s="170"/>
      <c r="K129" s="73">
        <f>SQRT(18.5*18.5+26*26)</f>
        <v>31.910029771217701</v>
      </c>
      <c r="L129" s="73">
        <f t="shared" si="4"/>
        <v>0.10162429863445127</v>
      </c>
      <c r="M129" s="73"/>
      <c r="N129" s="171"/>
      <c r="O129" s="129">
        <f>(0.17994-2.78776*L129+14.44961*L129^2)*'Key Data'!$I$18*'Key Data'!$F$18</f>
        <v>2.8894423741228331E-2</v>
      </c>
      <c r="P129" s="169">
        <f>O129*(1+'Key Data'!F$3)</f>
        <v>3.6118029676535414E-2</v>
      </c>
      <c r="Q129" s="379"/>
      <c r="R129" s="379"/>
      <c r="S129" s="418"/>
    </row>
    <row r="130" spans="1:19" x14ac:dyDescent="0.3">
      <c r="A130" s="374"/>
      <c r="B130" s="374"/>
      <c r="C130" s="374"/>
      <c r="D130" s="374"/>
      <c r="E130" s="415"/>
      <c r="F130" s="415"/>
      <c r="G130" s="374"/>
      <c r="H130" s="72" t="s">
        <v>264</v>
      </c>
      <c r="I130" s="73"/>
      <c r="J130" s="170"/>
      <c r="K130" s="73">
        <v>32</v>
      </c>
      <c r="L130" s="73">
        <f t="shared" si="4"/>
        <v>0.1019108280254777</v>
      </c>
      <c r="M130" s="73"/>
      <c r="N130" s="171"/>
      <c r="O130" s="129">
        <f>(0.17994-2.78776*L130+14.44961*L130^2)*'Key Data'!$I$18*'Key Data'!$F$18</f>
        <v>2.892208621039391E-2</v>
      </c>
      <c r="P130" s="169">
        <f>O130*(1+'Key Data'!F$3)</f>
        <v>3.6152607762992388E-2</v>
      </c>
      <c r="Q130" s="379"/>
      <c r="R130" s="379"/>
      <c r="S130" s="418"/>
    </row>
    <row r="131" spans="1:19" x14ac:dyDescent="0.3">
      <c r="A131" s="374"/>
      <c r="B131" s="374"/>
      <c r="C131" s="374"/>
      <c r="D131" s="374"/>
      <c r="E131" s="415"/>
      <c r="F131" s="415"/>
      <c r="G131" s="374"/>
      <c r="H131" s="72" t="s">
        <v>264</v>
      </c>
      <c r="I131" s="73"/>
      <c r="J131" s="170"/>
      <c r="K131" s="73">
        <f>SQRT(19.5*19.5+11*11)</f>
        <v>22.38861317723811</v>
      </c>
      <c r="L131" s="73">
        <f t="shared" si="4"/>
        <v>7.1301315851076782E-2</v>
      </c>
      <c r="M131" s="73"/>
      <c r="N131" s="171"/>
      <c r="O131" s="129">
        <f>(0.17994-2.78776*L131+14.44961*L131^2)*'Key Data'!$I$18*'Key Data'!$F$18</f>
        <v>3.4416328551566656E-2</v>
      </c>
      <c r="P131" s="169">
        <f>O131*(1+'Key Data'!F$3)</f>
        <v>4.3020410689458319E-2</v>
      </c>
      <c r="Q131" s="379"/>
      <c r="R131" s="379"/>
      <c r="S131" s="418"/>
    </row>
    <row r="132" spans="1:19" x14ac:dyDescent="0.3">
      <c r="A132" s="374"/>
      <c r="B132" s="374"/>
      <c r="C132" s="374"/>
      <c r="D132" s="374"/>
      <c r="E132" s="415"/>
      <c r="F132" s="415"/>
      <c r="G132" s="374"/>
      <c r="H132" s="72" t="s">
        <v>264</v>
      </c>
      <c r="I132" s="73"/>
      <c r="J132" s="170"/>
      <c r="K132" s="73">
        <v>37</v>
      </c>
      <c r="L132" s="73">
        <f t="shared" si="4"/>
        <v>0.1178343949044586</v>
      </c>
      <c r="M132" s="73"/>
      <c r="N132" s="171"/>
      <c r="O132" s="129">
        <f>(0.17994-2.78776*L132+14.44961*L132^2)*'Key Data'!$I$18*'Key Data'!$F$18</f>
        <v>3.280915381455634E-2</v>
      </c>
      <c r="P132" s="169">
        <f>O132*(1+'Key Data'!F$3)</f>
        <v>4.1011442268195426E-2</v>
      </c>
      <c r="Q132" s="379"/>
      <c r="R132" s="379"/>
      <c r="S132" s="418"/>
    </row>
    <row r="133" spans="1:19" x14ac:dyDescent="0.3">
      <c r="A133" s="374"/>
      <c r="B133" s="374"/>
      <c r="C133" s="374"/>
      <c r="D133" s="374"/>
      <c r="E133" s="415"/>
      <c r="F133" s="415"/>
      <c r="G133" s="374"/>
      <c r="H133" s="72" t="s">
        <v>264</v>
      </c>
      <c r="I133" s="73"/>
      <c r="J133" s="170"/>
      <c r="K133" s="73">
        <f>SQRT(23*23+25*25)</f>
        <v>33.97057550292606</v>
      </c>
      <c r="L133" s="73">
        <f t="shared" si="4"/>
        <v>0.1081865461876626</v>
      </c>
      <c r="M133" s="73"/>
      <c r="N133" s="171"/>
      <c r="O133" s="129">
        <f>(0.17994-2.78776*L133+14.44961*L133^2)*'Key Data'!$I$18*'Key Data'!$F$18</f>
        <v>2.9902861878800049E-2</v>
      </c>
      <c r="P133" s="169">
        <f>O133*(1+'Key Data'!F$3)</f>
        <v>3.7378577348500058E-2</v>
      </c>
      <c r="Q133" s="379"/>
      <c r="R133" s="379"/>
      <c r="S133" s="418"/>
    </row>
    <row r="134" spans="1:19" x14ac:dyDescent="0.3">
      <c r="A134" s="374"/>
      <c r="B134" s="374"/>
      <c r="C134" s="374"/>
      <c r="D134" s="374"/>
      <c r="E134" s="415"/>
      <c r="F134" s="415"/>
      <c r="G134" s="374"/>
      <c r="H134" s="72" t="s">
        <v>264</v>
      </c>
      <c r="I134" s="73"/>
      <c r="J134" s="170"/>
      <c r="K134" s="73">
        <f>SQRT(18*18+31.5*31.5)</f>
        <v>36.280159867343471</v>
      </c>
      <c r="L134" s="73">
        <f t="shared" si="4"/>
        <v>0.11554191040555245</v>
      </c>
      <c r="M134" s="73"/>
      <c r="N134" s="171"/>
      <c r="O134" s="129">
        <f>(0.17994-2.78776*L134+14.44961*L134^2)*'Key Data'!$I$18*'Key Data'!$F$18</f>
        <v>3.1965072358781321E-2</v>
      </c>
      <c r="P134" s="169">
        <f>O134*(1+'Key Data'!F$3)</f>
        <v>3.9956340448476652E-2</v>
      </c>
      <c r="Q134" s="379"/>
      <c r="R134" s="379"/>
      <c r="S134" s="418"/>
    </row>
    <row r="135" spans="1:19" x14ac:dyDescent="0.3">
      <c r="A135" s="374"/>
      <c r="B135" s="374"/>
      <c r="C135" s="374"/>
      <c r="D135" s="374"/>
      <c r="E135" s="415"/>
      <c r="F135" s="415"/>
      <c r="G135" s="374"/>
      <c r="H135" s="72" t="s">
        <v>264</v>
      </c>
      <c r="I135" s="73"/>
      <c r="J135" s="170"/>
      <c r="K135" s="73">
        <v>26.2</v>
      </c>
      <c r="L135" s="73">
        <f t="shared" si="4"/>
        <v>8.3439490445859868E-2</v>
      </c>
      <c r="M135" s="73"/>
      <c r="N135" s="171"/>
      <c r="O135" s="129">
        <f>(0.17994-2.78776*L135+14.44961*L135^2)*'Key Data'!$I$18*'Key Data'!$F$18</f>
        <v>3.0196566321676332E-2</v>
      </c>
      <c r="P135" s="169">
        <f>O135*(1+'Key Data'!F$3)</f>
        <v>3.7745707902095416E-2</v>
      </c>
      <c r="Q135" s="379"/>
      <c r="R135" s="379"/>
      <c r="S135" s="418"/>
    </row>
    <row r="136" spans="1:19" x14ac:dyDescent="0.3">
      <c r="A136" s="374"/>
      <c r="B136" s="374"/>
      <c r="C136" s="374"/>
      <c r="D136" s="374"/>
      <c r="E136" s="415"/>
      <c r="F136" s="415"/>
      <c r="G136" s="374"/>
      <c r="H136" s="72" t="s">
        <v>264</v>
      </c>
      <c r="I136" s="73"/>
      <c r="J136" s="170"/>
      <c r="K136" s="73">
        <f>SQRT(21.8*21.8+21*21)</f>
        <v>30.269456552769494</v>
      </c>
      <c r="L136" s="73">
        <f t="shared" si="4"/>
        <v>9.639954316168628E-2</v>
      </c>
      <c r="M136" s="73"/>
      <c r="N136" s="171"/>
      <c r="O136" s="129">
        <f>(0.17994-2.78776*L136+14.44961*L136^2)*'Key Data'!$I$18*'Key Data'!$F$18</f>
        <v>2.8652138301323349E-2</v>
      </c>
      <c r="P136" s="169">
        <f>O136*(1+'Key Data'!F$3)</f>
        <v>3.5815172876654186E-2</v>
      </c>
      <c r="Q136" s="379"/>
      <c r="R136" s="379"/>
      <c r="S136" s="418"/>
    </row>
    <row r="137" spans="1:19" x14ac:dyDescent="0.3">
      <c r="A137" s="374"/>
      <c r="B137" s="374"/>
      <c r="C137" s="374"/>
      <c r="D137" s="374"/>
      <c r="E137" s="415"/>
      <c r="F137" s="415"/>
      <c r="G137" s="374"/>
      <c r="H137" s="72" t="s">
        <v>264</v>
      </c>
      <c r="I137" s="73"/>
      <c r="J137" s="170"/>
      <c r="K137" s="73">
        <v>23.8</v>
      </c>
      <c r="L137" s="73">
        <f t="shared" si="4"/>
        <v>7.5796178343949042E-2</v>
      </c>
      <c r="M137" s="73"/>
      <c r="N137" s="171"/>
      <c r="O137" s="129">
        <f>(0.17994-2.78776*L137+14.44961*L137^2)*'Key Data'!$I$18*'Key Data'!$F$18</f>
        <v>3.2540968971682412E-2</v>
      </c>
      <c r="P137" s="169">
        <f>O137*(1+'Key Data'!F$3)</f>
        <v>4.0676211214603013E-2</v>
      </c>
      <c r="Q137" s="379"/>
      <c r="R137" s="379"/>
      <c r="S137" s="418"/>
    </row>
    <row r="138" spans="1:19" x14ac:dyDescent="0.3">
      <c r="A138" s="374"/>
      <c r="B138" s="374"/>
      <c r="C138" s="374"/>
      <c r="D138" s="374"/>
      <c r="E138" s="415"/>
      <c r="F138" s="415"/>
      <c r="G138" s="374"/>
      <c r="H138" s="72" t="s">
        <v>264</v>
      </c>
      <c r="I138" s="73"/>
      <c r="J138" s="170"/>
      <c r="K138" s="73">
        <v>21.5</v>
      </c>
      <c r="L138" s="73">
        <f t="shared" si="4"/>
        <v>6.8471337579617833E-2</v>
      </c>
      <c r="M138" s="73"/>
      <c r="N138" s="171"/>
      <c r="O138" s="129">
        <f>(0.17994-2.78776*L138+14.44961*L138^2)*'Key Data'!$I$18*'Key Data'!$F$18</f>
        <v>3.5785762937390962E-2</v>
      </c>
      <c r="P138" s="169">
        <f>O138*(1+'Key Data'!F$3)</f>
        <v>4.4732203671738704E-2</v>
      </c>
      <c r="Q138" s="379"/>
      <c r="R138" s="379"/>
      <c r="S138" s="418"/>
    </row>
    <row r="139" spans="1:19" x14ac:dyDescent="0.3">
      <c r="A139" s="374"/>
      <c r="B139" s="374"/>
      <c r="C139" s="374"/>
      <c r="D139" s="374"/>
      <c r="E139" s="415"/>
      <c r="F139" s="415"/>
      <c r="G139" s="374"/>
      <c r="H139" s="72" t="s">
        <v>264</v>
      </c>
      <c r="I139" s="73"/>
      <c r="J139" s="170"/>
      <c r="K139" s="73">
        <v>32.6</v>
      </c>
      <c r="L139" s="73">
        <f t="shared" si="4"/>
        <v>0.10382165605095542</v>
      </c>
      <c r="M139" s="73"/>
      <c r="N139" s="171"/>
      <c r="O139" s="129">
        <f>(0.17994-2.78776*L139+14.44961*L139^2)*'Key Data'!$I$18*'Key Data'!$F$18</f>
        <v>2.9144786185524754E-2</v>
      </c>
      <c r="P139" s="169">
        <f>O139*(1+'Key Data'!F$3)</f>
        <v>3.6430982731905939E-2</v>
      </c>
      <c r="Q139" s="379"/>
      <c r="R139" s="379"/>
      <c r="S139" s="418"/>
    </row>
    <row r="140" spans="1:19" x14ac:dyDescent="0.3">
      <c r="A140" s="374"/>
      <c r="B140" s="374"/>
      <c r="C140" s="374"/>
      <c r="D140" s="374"/>
      <c r="E140" s="415"/>
      <c r="F140" s="415"/>
      <c r="G140" s="374"/>
      <c r="H140" s="72" t="s">
        <v>264</v>
      </c>
      <c r="I140" s="73"/>
      <c r="J140" s="170"/>
      <c r="K140" s="73">
        <v>13.3</v>
      </c>
      <c r="L140" s="73">
        <f t="shared" si="4"/>
        <v>4.2356687898089176E-2</v>
      </c>
      <c r="M140" s="73"/>
      <c r="N140" s="171"/>
      <c r="O140" s="129">
        <f>(0.17994-2.78776*L140+14.44961*L140^2)*'Key Data'!$I$18*'Key Data'!$F$18</f>
        <v>5.5303671931589513E-2</v>
      </c>
      <c r="P140" s="169">
        <f>O140*(1+'Key Data'!F$3)</f>
        <v>6.9129589914486894E-2</v>
      </c>
      <c r="Q140" s="379"/>
      <c r="R140" s="379"/>
      <c r="S140" s="418"/>
    </row>
    <row r="141" spans="1:19" x14ac:dyDescent="0.3">
      <c r="A141" s="374"/>
      <c r="B141" s="374"/>
      <c r="C141" s="374"/>
      <c r="D141" s="374"/>
      <c r="E141" s="415"/>
      <c r="F141" s="415"/>
      <c r="G141" s="374"/>
      <c r="H141" s="72" t="s">
        <v>264</v>
      </c>
      <c r="I141" s="73"/>
      <c r="J141" s="170"/>
      <c r="K141" s="73">
        <f>SQRT(17.5*17.5+31.5*31.5)</f>
        <v>36.034705493454503</v>
      </c>
      <c r="L141" s="73">
        <f t="shared" si="4"/>
        <v>0.11476020857788058</v>
      </c>
      <c r="M141" s="73"/>
      <c r="N141" s="171"/>
      <c r="O141" s="129">
        <f>(0.17994-2.78776*L141+14.44961*L141^2)*'Key Data'!$I$18*'Key Data'!$F$18</f>
        <v>3.1699129615216426E-2</v>
      </c>
      <c r="P141" s="169">
        <f>O141*(1+'Key Data'!F$3)</f>
        <v>3.9623912019020532E-2</v>
      </c>
      <c r="Q141" s="379"/>
      <c r="R141" s="379"/>
      <c r="S141" s="418"/>
    </row>
    <row r="142" spans="1:19" x14ac:dyDescent="0.3">
      <c r="A142" s="374"/>
      <c r="B142" s="374"/>
      <c r="C142" s="374"/>
      <c r="D142" s="374"/>
      <c r="E142" s="415"/>
      <c r="F142" s="415"/>
      <c r="G142" s="374"/>
      <c r="H142" s="72" t="s">
        <v>264</v>
      </c>
      <c r="I142" s="73"/>
      <c r="J142" s="170"/>
      <c r="K142" s="73">
        <v>23.7</v>
      </c>
      <c r="L142" s="73">
        <f t="shared" si="4"/>
        <v>7.5477707006369424E-2</v>
      </c>
      <c r="M142" s="73"/>
      <c r="N142" s="171"/>
      <c r="O142" s="129">
        <f>(0.17994-2.78776*L142+14.44961*L142^2)*'Key Data'!$I$18*'Key Data'!$F$18</f>
        <v>3.2661734625410756E-2</v>
      </c>
      <c r="P142" s="169">
        <f>O142*(1+'Key Data'!F$3)</f>
        <v>4.0827168281763443E-2</v>
      </c>
      <c r="Q142" s="379"/>
      <c r="R142" s="379"/>
      <c r="S142" s="418"/>
    </row>
    <row r="143" spans="1:19" x14ac:dyDescent="0.3">
      <c r="A143" s="374"/>
      <c r="B143" s="374"/>
      <c r="C143" s="374"/>
      <c r="D143" s="374"/>
      <c r="E143" s="415"/>
      <c r="F143" s="415"/>
      <c r="G143" s="374"/>
      <c r="H143" s="72" t="s">
        <v>264</v>
      </c>
      <c r="I143" s="73"/>
      <c r="J143" s="170"/>
      <c r="K143" s="73">
        <v>31</v>
      </c>
      <c r="L143" s="73">
        <f t="shared" si="4"/>
        <v>9.8726114649681521E-2</v>
      </c>
      <c r="M143" s="73"/>
      <c r="N143" s="171"/>
      <c r="O143" s="129">
        <f>(0.17994-2.78776*L143+14.44961*L143^2)*'Key Data'!$I$18*'Key Data'!$F$18</f>
        <v>2.869864572903565E-2</v>
      </c>
      <c r="P143" s="169">
        <f>O143*(1+'Key Data'!F$3)</f>
        <v>3.5873307161294561E-2</v>
      </c>
      <c r="Q143" s="379"/>
      <c r="R143" s="379"/>
      <c r="S143" s="418"/>
    </row>
    <row r="144" spans="1:19" x14ac:dyDescent="0.3">
      <c r="A144" s="374"/>
      <c r="B144" s="374"/>
      <c r="C144" s="374"/>
      <c r="D144" s="374"/>
      <c r="E144" s="415"/>
      <c r="F144" s="415"/>
      <c r="G144" s="374"/>
      <c r="H144" s="72" t="s">
        <v>264</v>
      </c>
      <c r="I144" s="73"/>
      <c r="J144" s="170"/>
      <c r="K144" s="73">
        <v>27</v>
      </c>
      <c r="L144" s="73">
        <f t="shared" si="4"/>
        <v>8.598726114649681E-2</v>
      </c>
      <c r="M144" s="73"/>
      <c r="N144" s="171"/>
      <c r="O144" s="129">
        <f>(0.17994-2.78776*L144+14.44961*L144^2)*'Key Data'!$I$18*'Key Data'!$F$18</f>
        <v>2.9651460601849967E-2</v>
      </c>
      <c r="P144" s="169">
        <f>O144*(1+'Key Data'!F$3)</f>
        <v>3.7064325752312458E-2</v>
      </c>
      <c r="Q144" s="379"/>
      <c r="R144" s="379"/>
      <c r="S144" s="418"/>
    </row>
    <row r="145" spans="1:19" x14ac:dyDescent="0.3">
      <c r="A145" s="374"/>
      <c r="B145" s="374"/>
      <c r="C145" s="374"/>
      <c r="D145" s="374"/>
      <c r="E145" s="415"/>
      <c r="F145" s="415"/>
      <c r="G145" s="374"/>
      <c r="H145" s="72" t="s">
        <v>264</v>
      </c>
      <c r="I145" s="73"/>
      <c r="J145" s="170"/>
      <c r="K145" s="73">
        <v>23</v>
      </c>
      <c r="L145" s="73">
        <f t="shared" si="4"/>
        <v>7.32484076433121E-2</v>
      </c>
      <c r="M145" s="73"/>
      <c r="N145" s="171"/>
      <c r="O145" s="129">
        <f>(0.17994-2.78776*L145+14.44961*L145^2)*'Key Data'!$I$18*'Key Data'!$F$18</f>
        <v>3.3558798351860118E-2</v>
      </c>
      <c r="P145" s="169">
        <f>O145*(1+'Key Data'!F$3)</f>
        <v>4.194849793982515E-2</v>
      </c>
      <c r="Q145" s="379"/>
      <c r="R145" s="379"/>
      <c r="S145" s="418"/>
    </row>
    <row r="146" spans="1:19" x14ac:dyDescent="0.3">
      <c r="A146" s="374"/>
      <c r="B146" s="374"/>
      <c r="C146" s="374"/>
      <c r="D146" s="374"/>
      <c r="E146" s="415"/>
      <c r="F146" s="415"/>
      <c r="G146" s="374"/>
      <c r="H146" s="72" t="s">
        <v>264</v>
      </c>
      <c r="I146" s="73"/>
      <c r="J146" s="170"/>
      <c r="K146" s="73">
        <v>17.5</v>
      </c>
      <c r="L146" s="73">
        <f t="shared" si="4"/>
        <v>5.5732484076433116E-2</v>
      </c>
      <c r="M146" s="73"/>
      <c r="N146" s="171"/>
      <c r="O146" s="129">
        <f>(0.17994-2.78776*L146+14.44961*L146^2)*'Key Data'!$I$18*'Key Data'!$F$18</f>
        <v>4.3755569643545371E-2</v>
      </c>
      <c r="P146" s="169">
        <f>O146*(1+'Key Data'!F$3)</f>
        <v>5.4694462054431715E-2</v>
      </c>
      <c r="Q146" s="379"/>
      <c r="R146" s="379"/>
      <c r="S146" s="418"/>
    </row>
    <row r="147" spans="1:19" x14ac:dyDescent="0.3">
      <c r="A147" s="374"/>
      <c r="B147" s="374"/>
      <c r="C147" s="374"/>
      <c r="D147" s="374"/>
      <c r="E147" s="415"/>
      <c r="F147" s="415"/>
      <c r="G147" s="374"/>
      <c r="H147" s="72" t="s">
        <v>264</v>
      </c>
      <c r="I147" s="73"/>
      <c r="J147" s="170"/>
      <c r="K147" s="73">
        <v>24.5</v>
      </c>
      <c r="L147" s="73">
        <f t="shared" si="4"/>
        <v>7.8025477707006366E-2</v>
      </c>
      <c r="M147" s="73"/>
      <c r="N147" s="171"/>
      <c r="O147" s="129">
        <f>(0.17994-2.78776*L147+14.44961*L147^2)*'Key Data'!$I$18*'Key Data'!$F$18</f>
        <v>3.1747313545934928E-2</v>
      </c>
      <c r="P147" s="169">
        <f>O147*(1+'Key Data'!F$3)</f>
        <v>3.9684141932418662E-2</v>
      </c>
      <c r="Q147" s="379"/>
      <c r="R147" s="379"/>
      <c r="S147" s="418"/>
    </row>
    <row r="148" spans="1:19" x14ac:dyDescent="0.3">
      <c r="A148" s="374"/>
      <c r="B148" s="374"/>
      <c r="C148" s="374"/>
      <c r="D148" s="374"/>
      <c r="E148" s="415"/>
      <c r="F148" s="415"/>
      <c r="G148" s="374"/>
      <c r="H148" s="72" t="s">
        <v>264</v>
      </c>
      <c r="I148" s="73"/>
      <c r="J148" s="170"/>
      <c r="K148" s="73">
        <v>33</v>
      </c>
      <c r="L148" s="73">
        <f t="shared" si="4"/>
        <v>0.10509554140127389</v>
      </c>
      <c r="M148" s="73"/>
      <c r="N148" s="171"/>
      <c r="O148" s="129">
        <f>(0.17994-2.78776*L148+14.44961*L148^2)*'Key Data'!$I$18*'Key Data'!$F$18</f>
        <v>2.9330184371576955E-2</v>
      </c>
      <c r="P148" s="169">
        <f>O148*(1+'Key Data'!F$3)</f>
        <v>3.6662730464471195E-2</v>
      </c>
      <c r="Q148" s="379"/>
      <c r="R148" s="379"/>
      <c r="S148" s="418"/>
    </row>
    <row r="149" spans="1:19" x14ac:dyDescent="0.3">
      <c r="A149" s="374"/>
      <c r="B149" s="374"/>
      <c r="C149" s="374"/>
      <c r="D149" s="374"/>
      <c r="E149" s="415"/>
      <c r="F149" s="415"/>
      <c r="G149" s="374"/>
      <c r="H149" s="72" t="s">
        <v>264</v>
      </c>
      <c r="I149" s="73"/>
      <c r="J149" s="170"/>
      <c r="K149" s="73">
        <v>28</v>
      </c>
      <c r="L149" s="73">
        <f t="shared" si="4"/>
        <v>8.9171974522292988E-2</v>
      </c>
      <c r="M149" s="73"/>
      <c r="N149" s="171"/>
      <c r="O149" s="129">
        <f>(0.17994-2.78776*L149+14.44961*L149^2)*'Key Data'!$I$18*'Key Data'!$F$18</f>
        <v>2.913627036390929E-2</v>
      </c>
      <c r="P149" s="169">
        <f>O149*(1+'Key Data'!F$3)</f>
        <v>3.6420337954886611E-2</v>
      </c>
      <c r="Q149" s="379"/>
      <c r="R149" s="379"/>
      <c r="S149" s="418"/>
    </row>
    <row r="150" spans="1:19" x14ac:dyDescent="0.3">
      <c r="A150" s="374"/>
      <c r="B150" s="374"/>
      <c r="C150" s="374"/>
      <c r="D150" s="374"/>
      <c r="E150" s="415"/>
      <c r="F150" s="415"/>
      <c r="G150" s="374"/>
      <c r="H150" s="72" t="s">
        <v>264</v>
      </c>
      <c r="I150" s="73"/>
      <c r="J150" s="170"/>
      <c r="K150" s="73">
        <v>23</v>
      </c>
      <c r="L150" s="73">
        <f t="shared" si="4"/>
        <v>7.32484076433121E-2</v>
      </c>
      <c r="M150" s="73"/>
      <c r="N150" s="171"/>
      <c r="O150" s="129">
        <f>(0.17994-2.78776*L150+14.44961*L150^2)*'Key Data'!$I$18*'Key Data'!$F$18</f>
        <v>3.3558798351860118E-2</v>
      </c>
      <c r="P150" s="169">
        <f>O150*(1+'Key Data'!F$3)</f>
        <v>4.194849793982515E-2</v>
      </c>
      <c r="Q150" s="379"/>
      <c r="R150" s="379"/>
      <c r="S150" s="418"/>
    </row>
    <row r="151" spans="1:19" x14ac:dyDescent="0.3">
      <c r="A151" s="374"/>
      <c r="B151" s="374"/>
      <c r="C151" s="374"/>
      <c r="D151" s="374"/>
      <c r="E151" s="415"/>
      <c r="F151" s="415"/>
      <c r="G151" s="374"/>
      <c r="H151" s="72" t="s">
        <v>264</v>
      </c>
      <c r="I151" s="73"/>
      <c r="J151" s="170"/>
      <c r="K151" s="73">
        <f>SQRT(32.5*32.5+18.2*18.2)</f>
        <v>37.249026832925445</v>
      </c>
      <c r="L151" s="73">
        <f t="shared" si="4"/>
        <v>0.11862747399020841</v>
      </c>
      <c r="M151" s="73"/>
      <c r="N151" s="171"/>
      <c r="O151" s="129">
        <f>(0.17994-2.78776*L151+14.44961*L151^2)*'Key Data'!$I$18*'Key Data'!$F$18</f>
        <v>3.3123438148719424E-2</v>
      </c>
      <c r="P151" s="169">
        <f>O151*(1+'Key Data'!F$3)</f>
        <v>4.1404297685899281E-2</v>
      </c>
      <c r="Q151" s="379"/>
      <c r="R151" s="379"/>
      <c r="S151" s="418"/>
    </row>
    <row r="152" spans="1:19" x14ac:dyDescent="0.3">
      <c r="A152" s="374"/>
      <c r="B152" s="374"/>
      <c r="C152" s="374"/>
      <c r="D152" s="374"/>
      <c r="E152" s="415"/>
      <c r="F152" s="415"/>
      <c r="G152" s="374"/>
      <c r="H152" s="72" t="s">
        <v>264</v>
      </c>
      <c r="I152" s="73"/>
      <c r="J152" s="170"/>
      <c r="K152" s="73">
        <v>33.200000000000003</v>
      </c>
      <c r="L152" s="73">
        <f t="shared" si="4"/>
        <v>0.10573248407643313</v>
      </c>
      <c r="M152" s="73"/>
      <c r="N152" s="171"/>
      <c r="O152" s="129">
        <f>(0.17994-2.78776*L152+14.44961*L152^2)*'Key Data'!$I$18*'Key Data'!$F$18</f>
        <v>2.9433962925392489E-2</v>
      </c>
      <c r="P152" s="169">
        <f>O152*(1+'Key Data'!F$3)</f>
        <v>3.6792453656740609E-2</v>
      </c>
      <c r="Q152" s="379"/>
      <c r="R152" s="379"/>
      <c r="S152" s="418"/>
    </row>
    <row r="153" spans="1:19" x14ac:dyDescent="0.3">
      <c r="A153" s="374"/>
      <c r="B153" s="374"/>
      <c r="C153" s="374"/>
      <c r="D153" s="374"/>
      <c r="E153" s="415"/>
      <c r="F153" s="415"/>
      <c r="G153" s="374"/>
      <c r="H153" s="72" t="s">
        <v>264</v>
      </c>
      <c r="I153" s="73"/>
      <c r="J153" s="170"/>
      <c r="K153" s="73">
        <v>32.200000000000003</v>
      </c>
      <c r="L153" s="73">
        <f t="shared" si="4"/>
        <v>0.10254777070063695</v>
      </c>
      <c r="M153" s="73"/>
      <c r="N153" s="171"/>
      <c r="O153" s="129">
        <f>(0.17994-2.78776*L153+14.44961*L153^2)*'Key Data'!$I$18*'Key Data'!$F$18</f>
        <v>2.8988933228244543E-2</v>
      </c>
      <c r="P153" s="169">
        <f>O153*(1+'Key Data'!F$3)</f>
        <v>3.6236166535305675E-2</v>
      </c>
      <c r="Q153" s="379"/>
      <c r="R153" s="379"/>
      <c r="S153" s="418"/>
    </row>
    <row r="154" spans="1:19" x14ac:dyDescent="0.3">
      <c r="A154" s="374"/>
      <c r="B154" s="374"/>
      <c r="C154" s="374"/>
      <c r="D154" s="374"/>
      <c r="E154" s="415"/>
      <c r="F154" s="415"/>
      <c r="G154" s="374"/>
      <c r="H154" s="72" t="s">
        <v>264</v>
      </c>
      <c r="I154" s="73"/>
      <c r="J154" s="170"/>
      <c r="K154" s="73">
        <v>46</v>
      </c>
      <c r="L154" s="73">
        <f t="shared" si="4"/>
        <v>0.1464968152866242</v>
      </c>
      <c r="M154" s="73"/>
      <c r="N154" s="171"/>
      <c r="O154" s="129">
        <f>(0.17994-2.78776*L154+14.44961*L154^2)*'Key Data'!$I$18*'Key Data'!$F$18</f>
        <v>5.1439309331007342E-2</v>
      </c>
      <c r="P154" s="169">
        <f>O154*(1+'Key Data'!F$3)</f>
        <v>6.4299136663759179E-2</v>
      </c>
      <c r="Q154" s="379"/>
      <c r="R154" s="379"/>
      <c r="S154" s="418"/>
    </row>
    <row r="155" spans="1:19" x14ac:dyDescent="0.3">
      <c r="A155" s="374"/>
      <c r="B155" s="374"/>
      <c r="C155" s="374"/>
      <c r="D155" s="374"/>
      <c r="E155" s="415"/>
      <c r="F155" s="415"/>
      <c r="G155" s="374"/>
      <c r="H155" s="72" t="s">
        <v>264</v>
      </c>
      <c r="I155" s="73"/>
      <c r="J155" s="170"/>
      <c r="K155" s="73">
        <v>20.5</v>
      </c>
      <c r="L155" s="73">
        <f t="shared" si="4"/>
        <v>6.5286624203821655E-2</v>
      </c>
      <c r="M155" s="73"/>
      <c r="N155" s="171"/>
      <c r="O155" s="129">
        <f>(0.17994-2.78776*L155+14.44961*L155^2)*'Key Data'!$I$18*'Key Data'!$F$18</f>
        <v>3.750122809419245E-2</v>
      </c>
      <c r="P155" s="169">
        <f>O155*(1+'Key Data'!F$3)</f>
        <v>4.6876535117740564E-2</v>
      </c>
      <c r="Q155" s="379"/>
      <c r="R155" s="379"/>
      <c r="S155" s="418"/>
    </row>
    <row r="156" spans="1:19" x14ac:dyDescent="0.3">
      <c r="A156" s="374"/>
      <c r="B156" s="374"/>
      <c r="C156" s="374"/>
      <c r="D156" s="374"/>
      <c r="E156" s="415"/>
      <c r="F156" s="415"/>
      <c r="G156" s="374"/>
      <c r="H156" s="72" t="s">
        <v>264</v>
      </c>
      <c r="I156" s="73"/>
      <c r="J156" s="170"/>
      <c r="K156" s="73">
        <v>16</v>
      </c>
      <c r="L156" s="73">
        <f t="shared" si="4"/>
        <v>5.0955414012738849E-2</v>
      </c>
      <c r="M156" s="73"/>
      <c r="N156" s="171"/>
      <c r="O156" s="129">
        <f>(0.17994-2.78776*L156+14.44961*L156^2)*'Key Data'!$I$18*'Key Data'!$F$18</f>
        <v>4.750596008763032E-2</v>
      </c>
      <c r="P156" s="169">
        <f>O156*(1+'Key Data'!F$3)</f>
        <v>5.9382450109537896E-2</v>
      </c>
      <c r="Q156" s="379"/>
      <c r="R156" s="379"/>
      <c r="S156" s="418"/>
    </row>
    <row r="157" spans="1:19" x14ac:dyDescent="0.3">
      <c r="A157" s="374"/>
      <c r="B157" s="374"/>
      <c r="C157" s="374"/>
      <c r="D157" s="374"/>
      <c r="E157" s="415"/>
      <c r="F157" s="415"/>
      <c r="G157" s="374"/>
      <c r="H157" s="72" t="s">
        <v>264</v>
      </c>
      <c r="I157" s="73"/>
      <c r="J157" s="170"/>
      <c r="K157" s="73">
        <v>18</v>
      </c>
      <c r="L157" s="73">
        <f t="shared" si="4"/>
        <v>5.7324840764331204E-2</v>
      </c>
      <c r="M157" s="73"/>
      <c r="N157" s="171"/>
      <c r="O157" s="129">
        <f>(0.17994-2.78776*L157+14.44961*L157^2)*'Key Data'!$I$18*'Key Data'!$F$18</f>
        <v>4.2597768335429428E-2</v>
      </c>
      <c r="P157" s="169">
        <f>O157*(1+'Key Data'!F$3)</f>
        <v>5.3247210419286789E-2</v>
      </c>
      <c r="Q157" s="379"/>
      <c r="R157" s="379"/>
      <c r="S157" s="418"/>
    </row>
    <row r="158" spans="1:19" x14ac:dyDescent="0.3">
      <c r="A158" s="374"/>
      <c r="B158" s="374"/>
      <c r="C158" s="374"/>
      <c r="D158" s="374"/>
      <c r="E158" s="415"/>
      <c r="F158" s="415"/>
      <c r="G158" s="374"/>
      <c r="H158" s="72" t="s">
        <v>264</v>
      </c>
      <c r="I158" s="73"/>
      <c r="J158" s="170"/>
      <c r="K158" s="73">
        <v>25</v>
      </c>
      <c r="L158" s="73">
        <f t="shared" si="4"/>
        <v>7.9617834394904455E-2</v>
      </c>
      <c r="M158" s="73"/>
      <c r="N158" s="171"/>
      <c r="O158" s="129">
        <f>(0.17994-2.78776*L158+14.44961*L158^2)*'Key Data'!$I$18*'Key Data'!$F$18</f>
        <v>3.1235814117205555E-2</v>
      </c>
      <c r="P158" s="169">
        <f>O158*(1+'Key Data'!F$3)</f>
        <v>3.9044767646506946E-2</v>
      </c>
      <c r="Q158" s="379"/>
      <c r="R158" s="379"/>
      <c r="S158" s="418"/>
    </row>
    <row r="159" spans="1:19" x14ac:dyDescent="0.3">
      <c r="A159" s="374"/>
      <c r="B159" s="374"/>
      <c r="C159" s="374"/>
      <c r="D159" s="374"/>
      <c r="E159" s="415"/>
      <c r="F159" s="415"/>
      <c r="G159" s="374"/>
      <c r="H159" s="72" t="s">
        <v>264</v>
      </c>
      <c r="I159" s="73"/>
      <c r="J159" s="170"/>
      <c r="K159" s="73">
        <v>28</v>
      </c>
      <c r="L159" s="73">
        <f t="shared" si="4"/>
        <v>8.9171974522292988E-2</v>
      </c>
      <c r="M159" s="73"/>
      <c r="N159" s="171"/>
      <c r="O159" s="129">
        <f>(0.17994-2.78776*L159+14.44961*L159^2)*'Key Data'!$I$18*'Key Data'!$F$18</f>
        <v>2.913627036390929E-2</v>
      </c>
      <c r="P159" s="169">
        <f>O159*(1+'Key Data'!F$3)</f>
        <v>3.6420337954886611E-2</v>
      </c>
      <c r="Q159" s="379"/>
      <c r="R159" s="379"/>
      <c r="S159" s="418"/>
    </row>
    <row r="160" spans="1:19" x14ac:dyDescent="0.3">
      <c r="A160" s="374"/>
      <c r="B160" s="374"/>
      <c r="C160" s="374"/>
      <c r="D160" s="374"/>
      <c r="E160" s="415"/>
      <c r="F160" s="415"/>
      <c r="G160" s="374"/>
      <c r="H160" s="72" t="s">
        <v>264</v>
      </c>
      <c r="I160" s="73"/>
      <c r="J160" s="170"/>
      <c r="K160" s="73">
        <v>36</v>
      </c>
      <c r="L160" s="73">
        <f t="shared" si="4"/>
        <v>0.11464968152866241</v>
      </c>
      <c r="M160" s="73"/>
      <c r="N160" s="171"/>
      <c r="O160" s="129">
        <f>(0.17994-2.78776*L160+14.44961*L160^2)*'Key Data'!$I$18*'Key Data'!$F$18</f>
        <v>3.1662424934074389E-2</v>
      </c>
      <c r="P160" s="169">
        <f>O160*(1+'Key Data'!F$3)</f>
        <v>3.9578031167592988E-2</v>
      </c>
      <c r="Q160" s="379"/>
      <c r="R160" s="379"/>
      <c r="S160" s="418"/>
    </row>
    <row r="161" spans="1:19" x14ac:dyDescent="0.3">
      <c r="A161" s="374"/>
      <c r="B161" s="374"/>
      <c r="C161" s="374"/>
      <c r="D161" s="374"/>
      <c r="E161" s="415"/>
      <c r="F161" s="415"/>
      <c r="G161" s="374"/>
      <c r="H161" s="72" t="s">
        <v>264</v>
      </c>
      <c r="I161" s="73"/>
      <c r="J161" s="170"/>
      <c r="K161" s="73">
        <f>SQRT(21.4*21.4+24.4*24.4+14.5*14.5)</f>
        <v>35.546729807395778</v>
      </c>
      <c r="L161" s="73">
        <f t="shared" si="4"/>
        <v>0.11320614588342603</v>
      </c>
      <c r="M161" s="73"/>
      <c r="N161" s="171"/>
      <c r="O161" s="129">
        <f>(0.17994-2.78776*L161+14.44961*L161^2)*'Key Data'!$I$18*'Key Data'!$F$18</f>
        <v>3.1203466141845611E-2</v>
      </c>
      <c r="P161" s="169">
        <f>O161*(1+'Key Data'!F$3)</f>
        <v>3.9004332677307012E-2</v>
      </c>
      <c r="Q161" s="379"/>
      <c r="R161" s="379"/>
      <c r="S161" s="418"/>
    </row>
    <row r="162" spans="1:19" x14ac:dyDescent="0.3">
      <c r="A162" s="374"/>
      <c r="B162" s="374"/>
      <c r="C162" s="374"/>
      <c r="D162" s="374"/>
      <c r="E162" s="415"/>
      <c r="F162" s="415"/>
      <c r="G162" s="374"/>
      <c r="H162" s="72" t="s">
        <v>264</v>
      </c>
      <c r="I162" s="73"/>
      <c r="J162" s="170"/>
      <c r="K162" s="73">
        <v>25.2</v>
      </c>
      <c r="L162" s="73">
        <f t="shared" si="4"/>
        <v>8.025477707006369E-2</v>
      </c>
      <c r="M162" s="73"/>
      <c r="N162" s="171"/>
      <c r="O162" s="129">
        <f>(0.17994-2.78776*L162+14.44961*L162^2)*'Key Data'!$I$18*'Key Data'!$F$18</f>
        <v>3.1044140383301555E-2</v>
      </c>
      <c r="P162" s="169">
        <f>O162*(1+'Key Data'!F$3)</f>
        <v>3.8805175479126944E-2</v>
      </c>
      <c r="Q162" s="379"/>
      <c r="R162" s="379"/>
      <c r="S162" s="418"/>
    </row>
    <row r="163" spans="1:19" x14ac:dyDescent="0.3">
      <c r="A163" s="374"/>
      <c r="B163" s="374"/>
      <c r="C163" s="374"/>
      <c r="D163" s="374"/>
      <c r="E163" s="415"/>
      <c r="F163" s="415"/>
      <c r="G163" s="374"/>
      <c r="H163" s="72" t="s">
        <v>264</v>
      </c>
      <c r="I163" s="73"/>
      <c r="J163" s="170"/>
      <c r="K163" s="73">
        <v>14</v>
      </c>
      <c r="L163" s="73">
        <f t="shared" si="4"/>
        <v>4.4585987261146494E-2</v>
      </c>
      <c r="M163" s="73"/>
      <c r="N163" s="171"/>
      <c r="O163" s="129">
        <f>(0.17994-2.78776*L163+14.44961*L163^2)*'Key Data'!$I$18*'Key Data'!$F$18</f>
        <v>5.3152782559130182E-2</v>
      </c>
      <c r="P163" s="169">
        <f>O163*(1+'Key Data'!F$3)</f>
        <v>6.6440978198912731E-2</v>
      </c>
      <c r="Q163" s="379"/>
      <c r="R163" s="379"/>
      <c r="S163" s="418"/>
    </row>
    <row r="164" spans="1:19" x14ac:dyDescent="0.3">
      <c r="A164" s="374"/>
      <c r="B164" s="374"/>
      <c r="C164" s="374"/>
      <c r="D164" s="374"/>
      <c r="E164" s="415"/>
      <c r="F164" s="415"/>
      <c r="G164" s="374"/>
      <c r="H164" s="72" t="s">
        <v>264</v>
      </c>
      <c r="I164" s="73"/>
      <c r="J164" s="170"/>
      <c r="K164" s="73">
        <f>SQRT(23*23+29.5*29.5)</f>
        <v>37.406550228536176</v>
      </c>
      <c r="L164" s="73">
        <f t="shared" si="4"/>
        <v>0.11912914085521076</v>
      </c>
      <c r="M164" s="73"/>
      <c r="N164" s="171"/>
      <c r="O164" s="129">
        <f>(0.17994-2.78776*L164+14.44961*L164^2)*'Key Data'!$I$18*'Key Data'!$F$18</f>
        <v>3.3328153409754174E-2</v>
      </c>
      <c r="P164" s="169">
        <f>O164*(1+'Key Data'!F$3)</f>
        <v>4.1660191762192718E-2</v>
      </c>
      <c r="Q164" s="379"/>
      <c r="R164" s="379"/>
      <c r="S164" s="418"/>
    </row>
    <row r="165" spans="1:19" x14ac:dyDescent="0.3">
      <c r="A165" s="374"/>
      <c r="B165" s="374"/>
      <c r="C165" s="374"/>
      <c r="D165" s="374"/>
      <c r="E165" s="415"/>
      <c r="F165" s="415"/>
      <c r="G165" s="374"/>
      <c r="H165" s="72" t="s">
        <v>264</v>
      </c>
      <c r="I165" s="73"/>
      <c r="J165" s="170"/>
      <c r="K165" s="73">
        <v>17</v>
      </c>
      <c r="L165" s="73">
        <f t="shared" si="4"/>
        <v>5.4140127388535034E-2</v>
      </c>
      <c r="M165" s="73"/>
      <c r="N165" s="171"/>
      <c r="O165" s="129">
        <f>(0.17994-2.78776*L165+14.44961*L165^2)*'Key Data'!$I$18*'Key Data'!$F$18</f>
        <v>4.4959535371617509E-2</v>
      </c>
      <c r="P165" s="169">
        <f>O165*(1+'Key Data'!F$3)</f>
        <v>5.6199419214521887E-2</v>
      </c>
      <c r="Q165" s="379"/>
      <c r="R165" s="379"/>
      <c r="S165" s="418"/>
    </row>
    <row r="166" spans="1:19" x14ac:dyDescent="0.3">
      <c r="A166" s="374"/>
      <c r="B166" s="374"/>
      <c r="C166" s="374"/>
      <c r="D166" s="374"/>
      <c r="E166" s="415"/>
      <c r="F166" s="415"/>
      <c r="G166" s="374"/>
      <c r="H166" s="72" t="s">
        <v>264</v>
      </c>
      <c r="I166" s="73"/>
      <c r="J166" s="170"/>
      <c r="K166" s="73">
        <f>SQRT(25*25+20.3*20.3)</f>
        <v>32.203881753602317</v>
      </c>
      <c r="L166" s="73">
        <f t="shared" si="4"/>
        <v>0.10256013297325578</v>
      </c>
      <c r="M166" s="73"/>
      <c r="N166" s="171"/>
      <c r="O166" s="129">
        <f>(0.17994-2.78776*L166+14.44961*L166^2)*'Key Data'!$I$18*'Key Data'!$F$18</f>
        <v>2.8990303717279644E-2</v>
      </c>
      <c r="P166" s="169">
        <f>O166*(1+'Key Data'!F$3)</f>
        <v>3.6237879646599552E-2</v>
      </c>
      <c r="Q166" s="379"/>
      <c r="R166" s="379"/>
      <c r="S166" s="418"/>
    </row>
    <row r="167" spans="1:19" x14ac:dyDescent="0.3">
      <c r="A167" s="374"/>
      <c r="B167" s="374"/>
      <c r="C167" s="374"/>
      <c r="D167" s="374"/>
      <c r="E167" s="415"/>
      <c r="F167" s="415"/>
      <c r="G167" s="374"/>
      <c r="H167" s="72" t="s">
        <v>264</v>
      </c>
      <c r="I167" s="73"/>
      <c r="J167" s="170"/>
      <c r="K167" s="73">
        <v>23</v>
      </c>
      <c r="L167" s="73">
        <f t="shared" si="4"/>
        <v>7.32484076433121E-2</v>
      </c>
      <c r="M167" s="73"/>
      <c r="N167" s="171"/>
      <c r="O167" s="129">
        <f>(0.17994-2.78776*L167+14.44961*L167^2)*'Key Data'!$I$18*'Key Data'!$F$18</f>
        <v>3.3558798351860118E-2</v>
      </c>
      <c r="P167" s="169">
        <f>O167*(1+'Key Data'!F$3)</f>
        <v>4.194849793982515E-2</v>
      </c>
      <c r="Q167" s="379"/>
      <c r="R167" s="379"/>
      <c r="S167" s="418"/>
    </row>
    <row r="168" spans="1:19" x14ac:dyDescent="0.3">
      <c r="A168" s="374"/>
      <c r="B168" s="374"/>
      <c r="C168" s="374"/>
      <c r="D168" s="374"/>
      <c r="E168" s="415"/>
      <c r="F168" s="415"/>
      <c r="G168" s="374"/>
      <c r="H168" s="72" t="s">
        <v>264</v>
      </c>
      <c r="I168" s="73"/>
      <c r="J168" s="170"/>
      <c r="K168" s="73">
        <v>24</v>
      </c>
      <c r="L168" s="73">
        <f t="shared" ref="L168:L231" si="5">K168/3.14/100</f>
        <v>7.6433121019108277E-2</v>
      </c>
      <c r="M168" s="73"/>
      <c r="N168" s="171"/>
      <c r="O168" s="129">
        <f>(0.17994-2.78776*L168+14.44961*L168^2)*'Key Data'!$I$18*'Key Data'!$F$18</f>
        <v>3.230497739462046E-2</v>
      </c>
      <c r="P168" s="169">
        <f>O168*(1+'Key Data'!F$3)</f>
        <v>4.0381221743275575E-2</v>
      </c>
      <c r="Q168" s="379"/>
      <c r="R168" s="379"/>
      <c r="S168" s="418"/>
    </row>
    <row r="169" spans="1:19" x14ac:dyDescent="0.3">
      <c r="A169" s="374"/>
      <c r="B169" s="374"/>
      <c r="C169" s="374"/>
      <c r="D169" s="374"/>
      <c r="E169" s="415"/>
      <c r="F169" s="415"/>
      <c r="G169" s="374"/>
      <c r="H169" s="72" t="s">
        <v>264</v>
      </c>
      <c r="I169" s="73"/>
      <c r="J169" s="170"/>
      <c r="K169" s="73">
        <f>SQRT(29.5*29.5+10*10+7.2*7.2)</f>
        <v>31.970142320609085</v>
      </c>
      <c r="L169" s="73">
        <f t="shared" si="5"/>
        <v>0.10181573987455123</v>
      </c>
      <c r="M169" s="73"/>
      <c r="N169" s="171"/>
      <c r="O169" s="129">
        <f>(0.17994-2.78776*L169+14.44961*L169^2)*'Key Data'!$I$18*'Key Data'!$F$18</f>
        <v>2.8912740380646177E-2</v>
      </c>
      <c r="P169" s="169">
        <f>O169*(1+'Key Data'!F$3)</f>
        <v>3.6140925475807724E-2</v>
      </c>
      <c r="Q169" s="379"/>
      <c r="R169" s="379"/>
      <c r="S169" s="418"/>
    </row>
    <row r="170" spans="1:19" x14ac:dyDescent="0.3">
      <c r="A170" s="374"/>
      <c r="B170" s="374"/>
      <c r="C170" s="374"/>
      <c r="D170" s="374"/>
      <c r="E170" s="415"/>
      <c r="F170" s="415"/>
      <c r="G170" s="374"/>
      <c r="H170" s="72" t="s">
        <v>264</v>
      </c>
      <c r="I170" s="73"/>
      <c r="J170" s="170"/>
      <c r="K170" s="73">
        <v>38.5</v>
      </c>
      <c r="L170" s="73">
        <f t="shared" si="5"/>
        <v>0.12261146496815285</v>
      </c>
      <c r="M170" s="73"/>
      <c r="N170" s="171"/>
      <c r="O170" s="129">
        <f>(0.17994-2.78776*L170+14.44961*L170^2)*'Key Data'!$I$18*'Key Data'!$F$18</f>
        <v>3.4875480284950688E-2</v>
      </c>
      <c r="P170" s="169">
        <f>O170*(1+'Key Data'!F$3)</f>
        <v>4.3594350356188361E-2</v>
      </c>
      <c r="Q170" s="379"/>
      <c r="R170" s="379"/>
      <c r="S170" s="418"/>
    </row>
    <row r="171" spans="1:19" x14ac:dyDescent="0.3">
      <c r="A171" s="374"/>
      <c r="B171" s="374"/>
      <c r="C171" s="374"/>
      <c r="D171" s="374"/>
      <c r="E171" s="415"/>
      <c r="F171" s="415"/>
      <c r="G171" s="374"/>
      <c r="H171" s="72" t="s">
        <v>264</v>
      </c>
      <c r="I171" s="73"/>
      <c r="J171" s="170"/>
      <c r="K171" s="73">
        <v>32.6</v>
      </c>
      <c r="L171" s="73">
        <f t="shared" si="5"/>
        <v>0.10382165605095542</v>
      </c>
      <c r="M171" s="73"/>
      <c r="N171" s="171"/>
      <c r="O171" s="129">
        <f>(0.17994-2.78776*L171+14.44961*L171^2)*'Key Data'!$I$18*'Key Data'!$F$18</f>
        <v>2.9144786185524754E-2</v>
      </c>
      <c r="P171" s="169">
        <f>O171*(1+'Key Data'!F$3)</f>
        <v>3.6430982731905939E-2</v>
      </c>
      <c r="Q171" s="379"/>
      <c r="R171" s="379"/>
      <c r="S171" s="418"/>
    </row>
    <row r="172" spans="1:19" x14ac:dyDescent="0.3">
      <c r="A172" s="374"/>
      <c r="B172" s="374"/>
      <c r="C172" s="374"/>
      <c r="D172" s="374"/>
      <c r="E172" s="415"/>
      <c r="F172" s="415"/>
      <c r="G172" s="374"/>
      <c r="H172" s="72" t="s">
        <v>264</v>
      </c>
      <c r="I172" s="73"/>
      <c r="J172" s="170"/>
      <c r="K172" s="73">
        <v>33</v>
      </c>
      <c r="L172" s="73">
        <f t="shared" si="5"/>
        <v>0.10509554140127389</v>
      </c>
      <c r="M172" s="73"/>
      <c r="N172" s="171"/>
      <c r="O172" s="129">
        <f>(0.17994-2.78776*L172+14.44961*L172^2)*'Key Data'!$I$18*'Key Data'!$F$18</f>
        <v>2.9330184371576955E-2</v>
      </c>
      <c r="P172" s="169">
        <f>O172*(1+'Key Data'!F$3)</f>
        <v>3.6662730464471195E-2</v>
      </c>
      <c r="Q172" s="379"/>
      <c r="R172" s="379"/>
      <c r="S172" s="418"/>
    </row>
    <row r="173" spans="1:19" x14ac:dyDescent="0.3">
      <c r="A173" s="374"/>
      <c r="B173" s="374"/>
      <c r="C173" s="374"/>
      <c r="D173" s="374"/>
      <c r="E173" s="415"/>
      <c r="F173" s="415"/>
      <c r="G173" s="374"/>
      <c r="H173" s="72" t="s">
        <v>264</v>
      </c>
      <c r="I173" s="73"/>
      <c r="J173" s="170"/>
      <c r="K173" s="73">
        <v>32</v>
      </c>
      <c r="L173" s="73">
        <f t="shared" si="5"/>
        <v>0.1019108280254777</v>
      </c>
      <c r="M173" s="73"/>
      <c r="N173" s="171"/>
      <c r="O173" s="129">
        <f>(0.17994-2.78776*L173+14.44961*L173^2)*'Key Data'!$I$18*'Key Data'!$F$18</f>
        <v>2.892208621039391E-2</v>
      </c>
      <c r="P173" s="169">
        <f>O173*(1+'Key Data'!F$3)</f>
        <v>3.6152607762992388E-2</v>
      </c>
      <c r="Q173" s="379"/>
      <c r="R173" s="379"/>
      <c r="S173" s="418"/>
    </row>
    <row r="174" spans="1:19" x14ac:dyDescent="0.3">
      <c r="A174" s="374"/>
      <c r="B174" s="374"/>
      <c r="C174" s="374"/>
      <c r="D174" s="374"/>
      <c r="E174" s="415"/>
      <c r="F174" s="415"/>
      <c r="G174" s="374"/>
      <c r="H174" s="72" t="s">
        <v>264</v>
      </c>
      <c r="I174" s="73"/>
      <c r="J174" s="170"/>
      <c r="K174" s="73">
        <v>35.4</v>
      </c>
      <c r="L174" s="73">
        <f t="shared" si="5"/>
        <v>0.11273885350318472</v>
      </c>
      <c r="M174" s="73"/>
      <c r="N174" s="171"/>
      <c r="O174" s="129">
        <f>(0.17994-2.78776*L174+14.44961*L174^2)*'Key Data'!$I$18*'Key Data'!$F$18</f>
        <v>3.1063023292101102E-2</v>
      </c>
      <c r="P174" s="169">
        <f>O174*(1+'Key Data'!F$3)</f>
        <v>3.8828779115126374E-2</v>
      </c>
      <c r="Q174" s="379"/>
      <c r="R174" s="379"/>
      <c r="S174" s="418"/>
    </row>
    <row r="175" spans="1:19" x14ac:dyDescent="0.3">
      <c r="A175" s="374"/>
      <c r="B175" s="374"/>
      <c r="C175" s="374"/>
      <c r="D175" s="374"/>
      <c r="E175" s="415"/>
      <c r="F175" s="415"/>
      <c r="G175" s="374"/>
      <c r="H175" s="72" t="s">
        <v>264</v>
      </c>
      <c r="I175" s="73"/>
      <c r="J175" s="170"/>
      <c r="K175" s="73">
        <v>19</v>
      </c>
      <c r="L175" s="73">
        <f t="shared" si="5"/>
        <v>6.0509554140127389E-2</v>
      </c>
      <c r="M175" s="73"/>
      <c r="N175" s="171"/>
      <c r="O175" s="129">
        <f>(0.17994-2.78776*L175+14.44961*L175^2)*'Key Data'!$I$18*'Key Data'!$F$18</f>
        <v>4.0420658979066083E-2</v>
      </c>
      <c r="P175" s="169">
        <f>O175*(1+'Key Data'!F$3)</f>
        <v>5.0525823723832602E-2</v>
      </c>
      <c r="Q175" s="379"/>
      <c r="R175" s="379"/>
      <c r="S175" s="418"/>
    </row>
    <row r="176" spans="1:19" x14ac:dyDescent="0.3">
      <c r="A176" s="374"/>
      <c r="B176" s="374"/>
      <c r="C176" s="374"/>
      <c r="D176" s="374"/>
      <c r="E176" s="415"/>
      <c r="F176" s="415"/>
      <c r="G176" s="374"/>
      <c r="H176" s="72" t="s">
        <v>264</v>
      </c>
      <c r="I176" s="73"/>
      <c r="J176" s="170"/>
      <c r="K176" s="73">
        <f>SQRT(25*25+10*10)</f>
        <v>26.92582403567252</v>
      </c>
      <c r="L176" s="73">
        <f t="shared" si="5"/>
        <v>8.5751031960740492E-2</v>
      </c>
      <c r="M176" s="73"/>
      <c r="N176" s="171"/>
      <c r="O176" s="129">
        <f>(0.17994-2.78776*L176+14.44961*L176^2)*'Key Data'!$I$18*'Key Data'!$F$18</f>
        <v>2.9697031915377408E-2</v>
      </c>
      <c r="P176" s="169">
        <f>O176*(1+'Key Data'!F$3)</f>
        <v>3.7121289894221761E-2</v>
      </c>
      <c r="Q176" s="379"/>
      <c r="R176" s="379"/>
      <c r="S176" s="418"/>
    </row>
    <row r="177" spans="1:19" x14ac:dyDescent="0.3">
      <c r="A177" s="374"/>
      <c r="B177" s="374"/>
      <c r="C177" s="374"/>
      <c r="D177" s="374"/>
      <c r="E177" s="415"/>
      <c r="F177" s="415"/>
      <c r="G177" s="374"/>
      <c r="H177" s="72" t="s">
        <v>264</v>
      </c>
      <c r="I177" s="73"/>
      <c r="J177" s="170"/>
      <c r="K177" s="73">
        <v>25.5</v>
      </c>
      <c r="L177" s="73">
        <f t="shared" si="5"/>
        <v>8.1210191082802544E-2</v>
      </c>
      <c r="M177" s="73"/>
      <c r="N177" s="171"/>
      <c r="O177" s="129">
        <f>(0.17994-2.78776*L177+14.44961*L177^2)*'Key Data'!$I$18*'Key Data'!$F$18</f>
        <v>3.0770479108432384E-2</v>
      </c>
      <c r="P177" s="169">
        <f>O177*(1+'Key Data'!F$3)</f>
        <v>3.8463098885540482E-2</v>
      </c>
      <c r="Q177" s="379"/>
      <c r="R177" s="379"/>
      <c r="S177" s="418"/>
    </row>
    <row r="178" spans="1:19" x14ac:dyDescent="0.3">
      <c r="A178" s="374"/>
      <c r="B178" s="374"/>
      <c r="C178" s="374"/>
      <c r="D178" s="374"/>
      <c r="E178" s="415"/>
      <c r="F178" s="415"/>
      <c r="G178" s="374"/>
      <c r="H178" s="72" t="s">
        <v>264</v>
      </c>
      <c r="I178" s="73"/>
      <c r="J178" s="170"/>
      <c r="K178" s="73">
        <v>23.5</v>
      </c>
      <c r="L178" s="73">
        <f t="shared" si="5"/>
        <v>7.4840764331210188E-2</v>
      </c>
      <c r="M178" s="73"/>
      <c r="N178" s="171"/>
      <c r="O178" s="129">
        <f>(0.17994-2.78776*L178+14.44961*L178^2)*'Key Data'!$I$18*'Key Data'!$F$18</f>
        <v>3.2908805663262194E-2</v>
      </c>
      <c r="P178" s="169">
        <f>O178*(1+'Key Data'!F$3)</f>
        <v>4.1136007079077747E-2</v>
      </c>
      <c r="Q178" s="379"/>
      <c r="R178" s="379"/>
      <c r="S178" s="418"/>
    </row>
    <row r="179" spans="1:19" x14ac:dyDescent="0.3">
      <c r="A179" s="374"/>
      <c r="B179" s="374"/>
      <c r="C179" s="374"/>
      <c r="D179" s="374"/>
      <c r="E179" s="415"/>
      <c r="F179" s="415"/>
      <c r="G179" s="374"/>
      <c r="H179" s="72" t="s">
        <v>264</v>
      </c>
      <c r="I179" s="73"/>
      <c r="J179" s="170"/>
      <c r="K179" s="73">
        <f>SQRT(30*30+9.4*9.4)</f>
        <v>31.438193332314757</v>
      </c>
      <c r="L179" s="73">
        <f t="shared" si="5"/>
        <v>0.10012163481628904</v>
      </c>
      <c r="M179" s="73"/>
      <c r="N179" s="171"/>
      <c r="O179" s="129">
        <f>(0.17994-2.78776*L179+14.44961*L179^2)*'Key Data'!$I$18*'Key Data'!$F$18</f>
        <v>2.8773826350251198E-2</v>
      </c>
      <c r="P179" s="169">
        <f>O179*(1+'Key Data'!F$3)</f>
        <v>3.5967282937813996E-2</v>
      </c>
      <c r="Q179" s="379"/>
      <c r="R179" s="379"/>
      <c r="S179" s="418"/>
    </row>
    <row r="180" spans="1:19" x14ac:dyDescent="0.3">
      <c r="A180" s="374"/>
      <c r="B180" s="374"/>
      <c r="C180" s="374"/>
      <c r="D180" s="374"/>
      <c r="E180" s="415"/>
      <c r="F180" s="415"/>
      <c r="G180" s="374"/>
      <c r="H180" s="72" t="s">
        <v>264</v>
      </c>
      <c r="I180" s="73"/>
      <c r="J180" s="170"/>
      <c r="K180" s="73">
        <v>27</v>
      </c>
      <c r="L180" s="73">
        <f t="shared" si="5"/>
        <v>8.598726114649681E-2</v>
      </c>
      <c r="M180" s="73"/>
      <c r="N180" s="171"/>
      <c r="O180" s="129">
        <f>(0.17994-2.78776*L180+14.44961*L180^2)*'Key Data'!$I$18*'Key Data'!$F$18</f>
        <v>2.9651460601849967E-2</v>
      </c>
      <c r="P180" s="169">
        <f>O180*(1+'Key Data'!F$3)</f>
        <v>3.7064325752312458E-2</v>
      </c>
      <c r="Q180" s="379"/>
      <c r="R180" s="379"/>
      <c r="S180" s="418"/>
    </row>
    <row r="181" spans="1:19" x14ac:dyDescent="0.3">
      <c r="A181" s="374"/>
      <c r="B181" s="374"/>
      <c r="C181" s="374"/>
      <c r="D181" s="374"/>
      <c r="E181" s="415"/>
      <c r="F181" s="415"/>
      <c r="G181" s="374"/>
      <c r="H181" s="72" t="s">
        <v>264</v>
      </c>
      <c r="I181" s="73"/>
      <c r="J181" s="170"/>
      <c r="K181" s="73">
        <v>19</v>
      </c>
      <c r="L181" s="73">
        <f t="shared" si="5"/>
        <v>6.0509554140127389E-2</v>
      </c>
      <c r="M181" s="73"/>
      <c r="N181" s="171"/>
      <c r="O181" s="129">
        <f>(0.17994-2.78776*L181+14.44961*L181^2)*'Key Data'!$I$18*'Key Data'!$F$18</f>
        <v>4.0420658979066083E-2</v>
      </c>
      <c r="P181" s="169">
        <f>O181*(1+'Key Data'!F$3)</f>
        <v>5.0525823723832602E-2</v>
      </c>
      <c r="Q181" s="379"/>
      <c r="R181" s="379"/>
      <c r="S181" s="418"/>
    </row>
    <row r="182" spans="1:19" x14ac:dyDescent="0.3">
      <c r="A182" s="374"/>
      <c r="B182" s="374"/>
      <c r="C182" s="374"/>
      <c r="D182" s="374"/>
      <c r="E182" s="415"/>
      <c r="F182" s="415"/>
      <c r="G182" s="374"/>
      <c r="H182" s="72" t="s">
        <v>264</v>
      </c>
      <c r="I182" s="73"/>
      <c r="J182" s="170"/>
      <c r="K182" s="73">
        <f>SQRT(29.3*29.3+21.8*21.8+27.2*27.2)</f>
        <v>45.536468901310293</v>
      </c>
      <c r="L182" s="73">
        <f t="shared" si="5"/>
        <v>0.1450206015965296</v>
      </c>
      <c r="M182" s="73"/>
      <c r="N182" s="171"/>
      <c r="O182" s="129">
        <f>(0.17994-2.78776*L182+14.44961*L182^2)*'Key Data'!$I$18*'Key Data'!$F$18</f>
        <v>5.0114454223845264E-2</v>
      </c>
      <c r="P182" s="169">
        <f>O182*(1+'Key Data'!F$3)</f>
        <v>6.2643067779806577E-2</v>
      </c>
      <c r="Q182" s="379"/>
      <c r="R182" s="379"/>
      <c r="S182" s="418"/>
    </row>
    <row r="183" spans="1:19" x14ac:dyDescent="0.3">
      <c r="A183" s="374"/>
      <c r="B183" s="374"/>
      <c r="C183" s="374"/>
      <c r="D183" s="374"/>
      <c r="E183" s="415"/>
      <c r="F183" s="415"/>
      <c r="G183" s="374"/>
      <c r="H183" s="72" t="s">
        <v>264</v>
      </c>
      <c r="I183" s="73"/>
      <c r="J183" s="170"/>
      <c r="K183" s="73">
        <v>14.5</v>
      </c>
      <c r="L183" s="73">
        <f t="shared" si="5"/>
        <v>4.617834394904459E-2</v>
      </c>
      <c r="M183" s="73"/>
      <c r="N183" s="171"/>
      <c r="O183" s="129">
        <f>(0.17994-2.78776*L183+14.44961*L183^2)*'Key Data'!$I$18*'Key Data'!$F$18</f>
        <v>5.1671830311320943E-2</v>
      </c>
      <c r="P183" s="169">
        <f>O183*(1+'Key Data'!F$3)</f>
        <v>6.4589787889151179E-2</v>
      </c>
      <c r="Q183" s="379"/>
      <c r="R183" s="379"/>
      <c r="S183" s="418"/>
    </row>
    <row r="184" spans="1:19" x14ac:dyDescent="0.3">
      <c r="A184" s="374"/>
      <c r="B184" s="374"/>
      <c r="C184" s="374"/>
      <c r="D184" s="374"/>
      <c r="E184" s="415"/>
      <c r="F184" s="415"/>
      <c r="G184" s="374"/>
      <c r="H184" s="72" t="s">
        <v>264</v>
      </c>
      <c r="I184" s="73"/>
      <c r="J184" s="170"/>
      <c r="K184" s="73">
        <f>SQRT(9.2*9.2+27*27)</f>
        <v>28.524375540929903</v>
      </c>
      <c r="L184" s="73">
        <f t="shared" si="5"/>
        <v>9.084196032143281E-2</v>
      </c>
      <c r="M184" s="73"/>
      <c r="N184" s="171"/>
      <c r="O184" s="129">
        <f>(0.17994-2.78776*L184+14.44961*L184^2)*'Key Data'!$I$18*'Key Data'!$F$18</f>
        <v>2.8939919823723612E-2</v>
      </c>
      <c r="P184" s="169">
        <f>O184*(1+'Key Data'!F$3)</f>
        <v>3.6174899779654518E-2</v>
      </c>
      <c r="Q184" s="379"/>
      <c r="R184" s="379"/>
      <c r="S184" s="418"/>
    </row>
    <row r="185" spans="1:19" x14ac:dyDescent="0.3">
      <c r="A185" s="374"/>
      <c r="B185" s="374"/>
      <c r="C185" s="374"/>
      <c r="D185" s="374"/>
      <c r="E185" s="415"/>
      <c r="F185" s="415"/>
      <c r="G185" s="374"/>
      <c r="H185" s="72" t="s">
        <v>264</v>
      </c>
      <c r="I185" s="73"/>
      <c r="J185" s="170"/>
      <c r="K185" s="73">
        <v>42.5</v>
      </c>
      <c r="L185" s="73">
        <f t="shared" si="5"/>
        <v>0.13535031847133758</v>
      </c>
      <c r="M185" s="73"/>
      <c r="N185" s="171"/>
      <c r="O185" s="129">
        <f>(0.17994-2.78776*L185+14.44961*L185^2)*'Key Data'!$I$18*'Key Data'!$F$18</f>
        <v>4.2416918684074399E-2</v>
      </c>
      <c r="P185" s="169">
        <f>O185*(1+'Key Data'!F$3)</f>
        <v>5.3021148355093001E-2</v>
      </c>
      <c r="Q185" s="379"/>
      <c r="R185" s="379"/>
      <c r="S185" s="418"/>
    </row>
    <row r="186" spans="1:19" x14ac:dyDescent="0.3">
      <c r="A186" s="374"/>
      <c r="B186" s="374"/>
      <c r="C186" s="374"/>
      <c r="D186" s="374"/>
      <c r="E186" s="415"/>
      <c r="F186" s="415"/>
      <c r="G186" s="374"/>
      <c r="H186" s="72" t="s">
        <v>264</v>
      </c>
      <c r="I186" s="73"/>
      <c r="J186" s="170"/>
      <c r="K186" s="73">
        <v>21</v>
      </c>
      <c r="L186" s="73">
        <f t="shared" si="5"/>
        <v>6.6878980891719744E-2</v>
      </c>
      <c r="M186" s="73"/>
      <c r="N186" s="171"/>
      <c r="O186" s="129">
        <f>(0.17994-2.78776*L186+14.44961*L186^2)*'Key Data'!$I$18*'Key Data'!$F$18</f>
        <v>3.6620413305813622E-2</v>
      </c>
      <c r="P186" s="169">
        <f>O186*(1+'Key Data'!F$3)</f>
        <v>4.5775516632267026E-2</v>
      </c>
      <c r="Q186" s="379"/>
      <c r="R186" s="379"/>
      <c r="S186" s="418"/>
    </row>
    <row r="187" spans="1:19" x14ac:dyDescent="0.3">
      <c r="A187" s="374"/>
      <c r="B187" s="374"/>
      <c r="C187" s="374"/>
      <c r="D187" s="374"/>
      <c r="E187" s="415"/>
      <c r="F187" s="415"/>
      <c r="G187" s="374"/>
      <c r="H187" s="72" t="s">
        <v>264</v>
      </c>
      <c r="I187" s="73"/>
      <c r="J187" s="170"/>
      <c r="K187" s="73">
        <v>15.4</v>
      </c>
      <c r="L187" s="73">
        <f t="shared" si="5"/>
        <v>4.9044585987261149E-2</v>
      </c>
      <c r="M187" s="73"/>
      <c r="N187" s="171"/>
      <c r="O187" s="129">
        <f>(0.17994-2.78776*L187+14.44961*L187^2)*'Key Data'!$I$18*'Key Data'!$F$18</f>
        <v>4.9122450603553885E-2</v>
      </c>
      <c r="P187" s="169">
        <f>O187*(1+'Key Data'!F$3)</f>
        <v>6.1403063254442357E-2</v>
      </c>
      <c r="Q187" s="379"/>
      <c r="R187" s="379"/>
      <c r="S187" s="418"/>
    </row>
    <row r="188" spans="1:19" x14ac:dyDescent="0.3">
      <c r="A188" s="374"/>
      <c r="B188" s="374"/>
      <c r="C188" s="374"/>
      <c r="D188" s="374"/>
      <c r="E188" s="415"/>
      <c r="F188" s="415"/>
      <c r="G188" s="374"/>
      <c r="H188" s="72" t="s">
        <v>264</v>
      </c>
      <c r="I188" s="73"/>
      <c r="J188" s="170"/>
      <c r="K188" s="73">
        <v>30</v>
      </c>
      <c r="L188" s="73">
        <f t="shared" si="5"/>
        <v>9.5541401273885343E-2</v>
      </c>
      <c r="M188" s="73"/>
      <c r="N188" s="171"/>
      <c r="O188" s="129">
        <f>(0.17994-2.78776*L188+14.44961*L188^2)*'Key Data'!$I$18*'Key Data'!$F$18</f>
        <v>2.8659862927502115E-2</v>
      </c>
      <c r="P188" s="169">
        <f>O188*(1+'Key Data'!F$3)</f>
        <v>3.5824828659377646E-2</v>
      </c>
      <c r="Q188" s="379"/>
      <c r="R188" s="379"/>
      <c r="S188" s="418"/>
    </row>
    <row r="189" spans="1:19" x14ac:dyDescent="0.3">
      <c r="A189" s="374"/>
      <c r="B189" s="374"/>
      <c r="C189" s="374"/>
      <c r="D189" s="374"/>
      <c r="E189" s="415"/>
      <c r="F189" s="415"/>
      <c r="G189" s="374"/>
      <c r="H189" s="72" t="s">
        <v>264</v>
      </c>
      <c r="I189" s="73"/>
      <c r="J189" s="170"/>
      <c r="K189" s="73">
        <v>25.6</v>
      </c>
      <c r="L189" s="73">
        <f t="shared" si="5"/>
        <v>8.1528662420382161E-2</v>
      </c>
      <c r="M189" s="73"/>
      <c r="N189" s="171"/>
      <c r="O189" s="129">
        <f>(0.17994-2.78776*L189+14.44961*L189^2)*'Key Data'!$I$18*'Key Data'!$F$18</f>
        <v>3.0682951837072502E-2</v>
      </c>
      <c r="P189" s="169">
        <f>O189*(1+'Key Data'!F$3)</f>
        <v>3.8353689796340629E-2</v>
      </c>
      <c r="Q189" s="379"/>
      <c r="R189" s="379"/>
      <c r="S189" s="418"/>
    </row>
    <row r="190" spans="1:19" x14ac:dyDescent="0.3">
      <c r="A190" s="374"/>
      <c r="B190" s="374"/>
      <c r="C190" s="374"/>
      <c r="D190" s="374"/>
      <c r="E190" s="415"/>
      <c r="F190" s="415"/>
      <c r="G190" s="374"/>
      <c r="H190" s="72" t="s">
        <v>264</v>
      </c>
      <c r="I190" s="73"/>
      <c r="J190" s="170"/>
      <c r="K190" s="73">
        <v>22.5</v>
      </c>
      <c r="L190" s="73">
        <f t="shared" si="5"/>
        <v>7.1656050955414011E-2</v>
      </c>
      <c r="M190" s="73"/>
      <c r="N190" s="171"/>
      <c r="O190" s="129">
        <f>(0.17994-2.78776*L190+14.44961*L190^2)*'Key Data'!$I$18*'Key Data'!$F$18</f>
        <v>3.425495546041421E-2</v>
      </c>
      <c r="P190" s="169">
        <f>O190*(1+'Key Data'!F$3)</f>
        <v>4.2818694325517763E-2</v>
      </c>
      <c r="Q190" s="379"/>
      <c r="R190" s="379"/>
      <c r="S190" s="418"/>
    </row>
    <row r="191" spans="1:19" x14ac:dyDescent="0.3">
      <c r="A191" s="374"/>
      <c r="B191" s="374"/>
      <c r="C191" s="374"/>
      <c r="D191" s="374"/>
      <c r="E191" s="415"/>
      <c r="F191" s="415"/>
      <c r="G191" s="374"/>
      <c r="H191" s="72" t="s">
        <v>264</v>
      </c>
      <c r="I191" s="73"/>
      <c r="J191" s="170"/>
      <c r="K191" s="73">
        <v>26.5</v>
      </c>
      <c r="L191" s="73">
        <f t="shared" si="5"/>
        <v>8.4394904458598721E-2</v>
      </c>
      <c r="M191" s="73"/>
      <c r="N191" s="171"/>
      <c r="O191" s="129">
        <f>(0.17994-2.78776*L191+14.44961*L191^2)*'Key Data'!$I$18*'Key Data'!$F$18</f>
        <v>2.9978302350754594E-2</v>
      </c>
      <c r="P191" s="169">
        <f>O191*(1+'Key Data'!F$3)</f>
        <v>3.7472877938443241E-2</v>
      </c>
      <c r="Q191" s="379"/>
      <c r="R191" s="379"/>
      <c r="S191" s="418"/>
    </row>
    <row r="192" spans="1:19" x14ac:dyDescent="0.3">
      <c r="A192" s="374"/>
      <c r="B192" s="374"/>
      <c r="C192" s="374"/>
      <c r="D192" s="374"/>
      <c r="E192" s="415"/>
      <c r="F192" s="415"/>
      <c r="G192" s="374"/>
      <c r="H192" s="72" t="s">
        <v>264</v>
      </c>
      <c r="I192" s="73"/>
      <c r="J192" s="170"/>
      <c r="K192" s="73">
        <v>42</v>
      </c>
      <c r="L192" s="73">
        <f t="shared" si="5"/>
        <v>0.13375796178343949</v>
      </c>
      <c r="M192" s="73"/>
      <c r="N192" s="171"/>
      <c r="O192" s="129">
        <f>(0.17994-2.78776*L192+14.44961*L192^2)*'Key Data'!$I$18*'Key Data'!$F$18</f>
        <v>4.1312663414337293E-2</v>
      </c>
      <c r="P192" s="169">
        <f>O192*(1+'Key Data'!F$3)</f>
        <v>5.1640829267921615E-2</v>
      </c>
      <c r="Q192" s="379"/>
      <c r="R192" s="379"/>
      <c r="S192" s="418"/>
    </row>
    <row r="193" spans="1:19" x14ac:dyDescent="0.3">
      <c r="A193" s="374"/>
      <c r="B193" s="374"/>
      <c r="C193" s="374"/>
      <c r="D193" s="374"/>
      <c r="E193" s="415"/>
      <c r="F193" s="415"/>
      <c r="G193" s="374"/>
      <c r="H193" s="72" t="s">
        <v>264</v>
      </c>
      <c r="I193" s="73"/>
      <c r="J193" s="170"/>
      <c r="K193" s="73">
        <v>20.3</v>
      </c>
      <c r="L193" s="73">
        <f t="shared" si="5"/>
        <v>6.464968152866242E-2</v>
      </c>
      <c r="M193" s="73"/>
      <c r="N193" s="171"/>
      <c r="O193" s="129">
        <f>(0.17994-2.78776*L193+14.44961*L193^2)*'Key Data'!$I$18*'Key Data'!$F$18</f>
        <v>3.7866480047131723E-2</v>
      </c>
      <c r="P193" s="169">
        <f>O193*(1+'Key Data'!F$3)</f>
        <v>4.7333100058914654E-2</v>
      </c>
      <c r="Q193" s="379"/>
      <c r="R193" s="379"/>
      <c r="S193" s="418"/>
    </row>
    <row r="194" spans="1:19" x14ac:dyDescent="0.3">
      <c r="A194" s="374"/>
      <c r="B194" s="374"/>
      <c r="C194" s="374"/>
      <c r="D194" s="374"/>
      <c r="E194" s="415"/>
      <c r="F194" s="415"/>
      <c r="G194" s="374"/>
      <c r="H194" s="72" t="s">
        <v>264</v>
      </c>
      <c r="I194" s="73"/>
      <c r="J194" s="170"/>
      <c r="K194" s="73">
        <v>23.4</v>
      </c>
      <c r="L194" s="73">
        <f t="shared" si="5"/>
        <v>7.4522292993630571E-2</v>
      </c>
      <c r="M194" s="73"/>
      <c r="N194" s="171"/>
      <c r="O194" s="129">
        <f>(0.17994-2.78776*L194+14.44961*L194^2)*'Key Data'!$I$18*'Key Data'!$F$18</f>
        <v>3.3035111047385282E-2</v>
      </c>
      <c r="P194" s="169">
        <f>O194*(1+'Key Data'!F$3)</f>
        <v>4.1293888809231599E-2</v>
      </c>
      <c r="Q194" s="379"/>
      <c r="R194" s="379"/>
      <c r="S194" s="418"/>
    </row>
    <row r="195" spans="1:19" x14ac:dyDescent="0.3">
      <c r="A195" s="374"/>
      <c r="B195" s="374"/>
      <c r="C195" s="374"/>
      <c r="D195" s="374"/>
      <c r="E195" s="415"/>
      <c r="F195" s="415"/>
      <c r="G195" s="374"/>
      <c r="H195" s="72" t="s">
        <v>264</v>
      </c>
      <c r="I195" s="73"/>
      <c r="J195" s="170"/>
      <c r="K195" s="73">
        <v>26</v>
      </c>
      <c r="L195" s="73">
        <f t="shared" si="5"/>
        <v>8.2802547770700632E-2</v>
      </c>
      <c r="M195" s="73"/>
      <c r="N195" s="171"/>
      <c r="O195" s="129">
        <f>(0.17994-2.78776*L195+14.44961*L195^2)*'Key Data'!$I$18*'Key Data'!$F$18</f>
        <v>3.0351308519615389E-2</v>
      </c>
      <c r="P195" s="169">
        <f>O195*(1+'Key Data'!F$3)</f>
        <v>3.7939135649519236E-2</v>
      </c>
      <c r="Q195" s="379"/>
      <c r="R195" s="379"/>
      <c r="S195" s="418"/>
    </row>
    <row r="196" spans="1:19" x14ac:dyDescent="0.3">
      <c r="A196" s="374"/>
      <c r="B196" s="374"/>
      <c r="C196" s="374"/>
      <c r="D196" s="374"/>
      <c r="E196" s="415"/>
      <c r="F196" s="415"/>
      <c r="G196" s="374"/>
      <c r="H196" s="72" t="s">
        <v>264</v>
      </c>
      <c r="I196" s="73"/>
      <c r="J196" s="170"/>
      <c r="K196" s="73">
        <f>SQRT(13*13+20.5*20.5)</f>
        <v>24.274472187876711</v>
      </c>
      <c r="L196" s="73">
        <f t="shared" si="5"/>
        <v>7.7307236267123269E-2</v>
      </c>
      <c r="M196" s="73"/>
      <c r="N196" s="171"/>
      <c r="O196" s="129">
        <f>(0.17994-2.78776*L196+14.44961*L196^2)*'Key Data'!$I$18*'Key Data'!$F$18</f>
        <v>3.1993135703461392E-2</v>
      </c>
      <c r="P196" s="169">
        <f>O196*(1+'Key Data'!F$3)</f>
        <v>3.9991419629326744E-2</v>
      </c>
      <c r="Q196" s="379"/>
      <c r="R196" s="379"/>
      <c r="S196" s="418"/>
    </row>
    <row r="197" spans="1:19" x14ac:dyDescent="0.3">
      <c r="A197" s="374"/>
      <c r="B197" s="374"/>
      <c r="C197" s="374"/>
      <c r="D197" s="374"/>
      <c r="E197" s="415"/>
      <c r="F197" s="415"/>
      <c r="G197" s="374"/>
      <c r="H197" s="72" t="s">
        <v>264</v>
      </c>
      <c r="I197" s="73"/>
      <c r="J197" s="170"/>
      <c r="K197" s="73">
        <v>24</v>
      </c>
      <c r="L197" s="73">
        <f t="shared" si="5"/>
        <v>7.6433121019108277E-2</v>
      </c>
      <c r="M197" s="73"/>
      <c r="N197" s="171"/>
      <c r="O197" s="129">
        <f>(0.17994-2.78776*L197+14.44961*L197^2)*'Key Data'!$I$18*'Key Data'!$F$18</f>
        <v>3.230497739462046E-2</v>
      </c>
      <c r="P197" s="169">
        <f>O197*(1+'Key Data'!F$3)</f>
        <v>4.0381221743275575E-2</v>
      </c>
      <c r="Q197" s="379"/>
      <c r="R197" s="379"/>
      <c r="S197" s="418"/>
    </row>
    <row r="198" spans="1:19" x14ac:dyDescent="0.3">
      <c r="A198" s="374"/>
      <c r="B198" s="374"/>
      <c r="C198" s="374"/>
      <c r="D198" s="374"/>
      <c r="E198" s="415"/>
      <c r="F198" s="415"/>
      <c r="G198" s="374"/>
      <c r="H198" s="72" t="s">
        <v>264</v>
      </c>
      <c r="I198" s="73"/>
      <c r="J198" s="170"/>
      <c r="K198" s="73">
        <v>40.299999999999997</v>
      </c>
      <c r="L198" s="73">
        <f t="shared" si="5"/>
        <v>0.12834394904458596</v>
      </c>
      <c r="M198" s="73"/>
      <c r="N198" s="171"/>
      <c r="O198" s="129">
        <f>(0.17994-2.78776*L198+14.44961*L198^2)*'Key Data'!$I$18*'Key Data'!$F$18</f>
        <v>3.7903505358503349E-2</v>
      </c>
      <c r="P198" s="169">
        <f>O198*(1+'Key Data'!F$3)</f>
        <v>4.7379381698129185E-2</v>
      </c>
      <c r="Q198" s="379"/>
      <c r="R198" s="379"/>
      <c r="S198" s="418"/>
    </row>
    <row r="199" spans="1:19" x14ac:dyDescent="0.3">
      <c r="A199" s="374"/>
      <c r="B199" s="374"/>
      <c r="C199" s="374"/>
      <c r="D199" s="374"/>
      <c r="E199" s="415"/>
      <c r="F199" s="415"/>
      <c r="G199" s="374"/>
      <c r="H199" s="72" t="s">
        <v>264</v>
      </c>
      <c r="I199" s="73"/>
      <c r="J199" s="170"/>
      <c r="K199" s="73">
        <v>15.5</v>
      </c>
      <c r="L199" s="73">
        <f t="shared" si="5"/>
        <v>4.936305732484076E-2</v>
      </c>
      <c r="M199" s="73"/>
      <c r="N199" s="171"/>
      <c r="O199" s="129">
        <f>(0.17994-2.78776*L199+14.44961*L199^2)*'Key Data'!$I$18*'Key Data'!$F$18</f>
        <v>4.8848419075571012E-2</v>
      </c>
      <c r="P199" s="169">
        <f>O199*(1+'Key Data'!F$3)</f>
        <v>6.1060523844463768E-2</v>
      </c>
      <c r="Q199" s="379"/>
      <c r="R199" s="379"/>
      <c r="S199" s="418"/>
    </row>
    <row r="200" spans="1:19" x14ac:dyDescent="0.3">
      <c r="A200" s="374"/>
      <c r="B200" s="374"/>
      <c r="C200" s="374"/>
      <c r="D200" s="374"/>
      <c r="E200" s="415"/>
      <c r="F200" s="415"/>
      <c r="G200" s="374"/>
      <c r="H200" s="72" t="s">
        <v>264</v>
      </c>
      <c r="I200" s="73"/>
      <c r="J200" s="170"/>
      <c r="K200" s="73">
        <v>30.2</v>
      </c>
      <c r="L200" s="73">
        <f t="shared" si="5"/>
        <v>9.6178343949044579E-2</v>
      </c>
      <c r="M200" s="73"/>
      <c r="N200" s="171"/>
      <c r="O200" s="129">
        <f>(0.17994-2.78776*L200+14.44961*L200^2)*'Key Data'!$I$18*'Key Data'!$F$18</f>
        <v>2.8652846873422851E-2</v>
      </c>
      <c r="P200" s="169">
        <f>O200*(1+'Key Data'!F$3)</f>
        <v>3.5816058591778561E-2</v>
      </c>
      <c r="Q200" s="379"/>
      <c r="R200" s="379"/>
      <c r="S200" s="418"/>
    </row>
    <row r="201" spans="1:19" x14ac:dyDescent="0.3">
      <c r="A201" s="374"/>
      <c r="B201" s="374"/>
      <c r="C201" s="374"/>
      <c r="D201" s="374"/>
      <c r="E201" s="415"/>
      <c r="F201" s="415"/>
      <c r="G201" s="374"/>
      <c r="H201" s="72" t="s">
        <v>264</v>
      </c>
      <c r="I201" s="73"/>
      <c r="J201" s="170"/>
      <c r="K201" s="73">
        <v>36</v>
      </c>
      <c r="L201" s="73">
        <f t="shared" si="5"/>
        <v>0.11464968152866241</v>
      </c>
      <c r="M201" s="73"/>
      <c r="N201" s="171"/>
      <c r="O201" s="129">
        <f>(0.17994-2.78776*L201+14.44961*L201^2)*'Key Data'!$I$18*'Key Data'!$F$18</f>
        <v>3.1662424934074389E-2</v>
      </c>
      <c r="P201" s="169">
        <f>O201*(1+'Key Data'!F$3)</f>
        <v>3.9578031167592988E-2</v>
      </c>
      <c r="Q201" s="379"/>
      <c r="R201" s="379"/>
      <c r="S201" s="418"/>
    </row>
    <row r="202" spans="1:19" x14ac:dyDescent="0.3">
      <c r="A202" s="374"/>
      <c r="B202" s="374"/>
      <c r="C202" s="374"/>
      <c r="D202" s="374"/>
      <c r="E202" s="415"/>
      <c r="F202" s="415"/>
      <c r="G202" s="374"/>
      <c r="H202" s="72" t="s">
        <v>264</v>
      </c>
      <c r="I202" s="73"/>
      <c r="J202" s="170"/>
      <c r="K202" s="73">
        <v>38</v>
      </c>
      <c r="L202" s="73">
        <f t="shared" si="5"/>
        <v>0.12101910828025478</v>
      </c>
      <c r="M202" s="73"/>
      <c r="N202" s="171"/>
      <c r="O202" s="129">
        <f>(0.17994-2.78776*L202+14.44961*L202^2)*'Key Data'!$I$18*'Key Data'!$F$18</f>
        <v>3.4140540374863061E-2</v>
      </c>
      <c r="P202" s="169">
        <f>O202*(1+'Key Data'!F$3)</f>
        <v>4.2675675468578825E-2</v>
      </c>
      <c r="Q202" s="379"/>
      <c r="R202" s="379"/>
      <c r="S202" s="418"/>
    </row>
    <row r="203" spans="1:19" x14ac:dyDescent="0.3">
      <c r="A203" s="374"/>
      <c r="B203" s="374"/>
      <c r="C203" s="374"/>
      <c r="D203" s="374"/>
      <c r="E203" s="415"/>
      <c r="F203" s="415"/>
      <c r="G203" s="374"/>
      <c r="H203" s="72" t="s">
        <v>264</v>
      </c>
      <c r="I203" s="73"/>
      <c r="J203" s="170"/>
      <c r="K203" s="73">
        <v>29.5</v>
      </c>
      <c r="L203" s="73">
        <f t="shared" si="5"/>
        <v>9.3949044585987254E-2</v>
      </c>
      <c r="M203" s="73"/>
      <c r="N203" s="171"/>
      <c r="O203" s="129">
        <f>(0.17994-2.78776*L203+14.44961*L203^2)*'Key Data'!$I$18*'Key Data'!$F$18</f>
        <v>2.8709718156669645E-2</v>
      </c>
      <c r="P203" s="169">
        <f>O203*(1+'Key Data'!F$3)</f>
        <v>3.5887147695837056E-2</v>
      </c>
      <c r="Q203" s="379"/>
      <c r="R203" s="379"/>
      <c r="S203" s="418"/>
    </row>
    <row r="204" spans="1:19" x14ac:dyDescent="0.3">
      <c r="A204" s="374"/>
      <c r="B204" s="374"/>
      <c r="C204" s="374"/>
      <c r="D204" s="374"/>
      <c r="E204" s="415"/>
      <c r="F204" s="415"/>
      <c r="G204" s="374"/>
      <c r="H204" s="72" t="s">
        <v>264</v>
      </c>
      <c r="I204" s="73"/>
      <c r="J204" s="170"/>
      <c r="K204" s="73">
        <v>17.5</v>
      </c>
      <c r="L204" s="73">
        <f t="shared" si="5"/>
        <v>5.5732484076433116E-2</v>
      </c>
      <c r="M204" s="73"/>
      <c r="N204" s="171"/>
      <c r="O204" s="129">
        <f>(0.17994-2.78776*L204+14.44961*L204^2)*'Key Data'!$I$18*'Key Data'!$F$18</f>
        <v>4.3755569643545371E-2</v>
      </c>
      <c r="P204" s="169">
        <f>O204*(1+'Key Data'!F$3)</f>
        <v>5.4694462054431715E-2</v>
      </c>
      <c r="Q204" s="379"/>
      <c r="R204" s="379"/>
      <c r="S204" s="418"/>
    </row>
    <row r="205" spans="1:19" x14ac:dyDescent="0.3">
      <c r="A205" s="374"/>
      <c r="B205" s="374"/>
      <c r="C205" s="374"/>
      <c r="D205" s="374"/>
      <c r="E205" s="415"/>
      <c r="F205" s="415"/>
      <c r="G205" s="374"/>
      <c r="H205" s="72" t="s">
        <v>264</v>
      </c>
      <c r="I205" s="73"/>
      <c r="J205" s="170"/>
      <c r="K205" s="73">
        <v>27</v>
      </c>
      <c r="L205" s="73">
        <f t="shared" si="5"/>
        <v>8.598726114649681E-2</v>
      </c>
      <c r="M205" s="73"/>
      <c r="N205" s="171"/>
      <c r="O205" s="129">
        <f>(0.17994-2.78776*L205+14.44961*L205^2)*'Key Data'!$I$18*'Key Data'!$F$18</f>
        <v>2.9651460601849967E-2</v>
      </c>
      <c r="P205" s="169">
        <f>O205*(1+'Key Data'!F$3)</f>
        <v>3.7064325752312458E-2</v>
      </c>
      <c r="Q205" s="379"/>
      <c r="R205" s="379"/>
      <c r="S205" s="418"/>
    </row>
    <row r="206" spans="1:19" x14ac:dyDescent="0.3">
      <c r="A206" s="374"/>
      <c r="B206" s="374"/>
      <c r="C206" s="374"/>
      <c r="D206" s="374"/>
      <c r="E206" s="415"/>
      <c r="F206" s="415"/>
      <c r="G206" s="374"/>
      <c r="H206" s="72" t="s">
        <v>264</v>
      </c>
      <c r="I206" s="73"/>
      <c r="J206" s="170"/>
      <c r="K206" s="73">
        <v>9.5</v>
      </c>
      <c r="L206" s="73">
        <f t="shared" si="5"/>
        <v>3.0254777070063694E-2</v>
      </c>
      <c r="M206" s="73"/>
      <c r="N206" s="171"/>
      <c r="O206" s="129">
        <f>(0.17994-2.78776*L206+14.44961*L206^2)*'Key Data'!$I$18*'Key Data'!$F$18</f>
        <v>6.8558751687441674E-2</v>
      </c>
      <c r="P206" s="169">
        <f>O206*(1+'Key Data'!F$3)</f>
        <v>8.5698439609302096E-2</v>
      </c>
      <c r="Q206" s="379"/>
      <c r="R206" s="379"/>
      <c r="S206" s="418"/>
    </row>
    <row r="207" spans="1:19" x14ac:dyDescent="0.3">
      <c r="A207" s="374"/>
      <c r="B207" s="374"/>
      <c r="C207" s="374"/>
      <c r="D207" s="374"/>
      <c r="E207" s="415"/>
      <c r="F207" s="415"/>
      <c r="G207" s="374"/>
      <c r="H207" s="72" t="s">
        <v>264</v>
      </c>
      <c r="I207" s="73"/>
      <c r="J207" s="170"/>
      <c r="K207" s="73">
        <v>19</v>
      </c>
      <c r="L207" s="73">
        <f t="shared" si="5"/>
        <v>6.0509554140127389E-2</v>
      </c>
      <c r="M207" s="73"/>
      <c r="N207" s="171"/>
      <c r="O207" s="129">
        <f>(0.17994-2.78776*L207+14.44961*L207^2)*'Key Data'!$I$18*'Key Data'!$F$18</f>
        <v>4.0420658979066083E-2</v>
      </c>
      <c r="P207" s="169">
        <f>O207*(1+'Key Data'!F$3)</f>
        <v>5.0525823723832602E-2</v>
      </c>
      <c r="Q207" s="379"/>
      <c r="R207" s="379"/>
      <c r="S207" s="418"/>
    </row>
    <row r="208" spans="1:19" x14ac:dyDescent="0.3">
      <c r="A208" s="374"/>
      <c r="B208" s="374"/>
      <c r="C208" s="374"/>
      <c r="D208" s="374"/>
      <c r="E208" s="415"/>
      <c r="F208" s="415"/>
      <c r="G208" s="374"/>
      <c r="H208" s="72" t="s">
        <v>264</v>
      </c>
      <c r="I208" s="73"/>
      <c r="J208" s="170"/>
      <c r="K208" s="73">
        <v>32.200000000000003</v>
      </c>
      <c r="L208" s="73">
        <f t="shared" si="5"/>
        <v>0.10254777070063695</v>
      </c>
      <c r="M208" s="73"/>
      <c r="N208" s="171"/>
      <c r="O208" s="129">
        <f>(0.17994-2.78776*L208+14.44961*L208^2)*'Key Data'!$I$18*'Key Data'!$F$18</f>
        <v>2.8988933228244543E-2</v>
      </c>
      <c r="P208" s="169">
        <f>O208*(1+'Key Data'!F$3)</f>
        <v>3.6236166535305675E-2</v>
      </c>
      <c r="Q208" s="379"/>
      <c r="R208" s="379"/>
      <c r="S208" s="418"/>
    </row>
    <row r="209" spans="1:19" x14ac:dyDescent="0.3">
      <c r="A209" s="374"/>
      <c r="B209" s="374"/>
      <c r="C209" s="374"/>
      <c r="D209" s="374"/>
      <c r="E209" s="415"/>
      <c r="F209" s="415"/>
      <c r="G209" s="374"/>
      <c r="H209" s="72" t="s">
        <v>264</v>
      </c>
      <c r="I209" s="73"/>
      <c r="J209" s="170"/>
      <c r="K209" s="73">
        <v>30.5</v>
      </c>
      <c r="L209" s="73">
        <f t="shared" si="5"/>
        <v>9.7133757961783432E-2</v>
      </c>
      <c r="M209" s="73"/>
      <c r="N209" s="171"/>
      <c r="O209" s="129">
        <f>(0.17994-2.78776*L209+14.44961*L209^2)*'Key Data'!$I$18*'Key Data'!$F$18</f>
        <v>2.8656172118290787E-2</v>
      </c>
      <c r="P209" s="169">
        <f>O209*(1+'Key Data'!F$3)</f>
        <v>3.5820215147863488E-2</v>
      </c>
      <c r="Q209" s="379"/>
      <c r="R209" s="379"/>
      <c r="S209" s="418"/>
    </row>
    <row r="210" spans="1:19" x14ac:dyDescent="0.3">
      <c r="A210" s="374"/>
      <c r="B210" s="374"/>
      <c r="C210" s="374"/>
      <c r="D210" s="374"/>
      <c r="E210" s="415"/>
      <c r="F210" s="415"/>
      <c r="G210" s="374"/>
      <c r="H210" s="72" t="s">
        <v>264</v>
      </c>
      <c r="I210" s="73"/>
      <c r="J210" s="170"/>
      <c r="K210" s="73">
        <v>27.5</v>
      </c>
      <c r="L210" s="73">
        <f t="shared" si="5"/>
        <v>8.7579617834394913E-2</v>
      </c>
      <c r="M210" s="73"/>
      <c r="N210" s="171"/>
      <c r="O210" s="129">
        <f>(0.17994-2.78776*L210+14.44961*L210^2)*'Key Data'!$I$18*'Key Data'!$F$18</f>
        <v>2.9370783272901532E-2</v>
      </c>
      <c r="P210" s="169">
        <f>O210*(1+'Key Data'!F$3)</f>
        <v>3.6713479091126919E-2</v>
      </c>
      <c r="Q210" s="379"/>
      <c r="R210" s="379"/>
      <c r="S210" s="418"/>
    </row>
    <row r="211" spans="1:19" x14ac:dyDescent="0.3">
      <c r="A211" s="374"/>
      <c r="B211" s="374"/>
      <c r="C211" s="374"/>
      <c r="D211" s="374"/>
      <c r="E211" s="415"/>
      <c r="F211" s="415"/>
      <c r="G211" s="374"/>
      <c r="H211" s="72" t="s">
        <v>264</v>
      </c>
      <c r="I211" s="73"/>
      <c r="J211" s="170"/>
      <c r="K211" s="73">
        <v>27.2</v>
      </c>
      <c r="L211" s="73">
        <f t="shared" si="5"/>
        <v>8.6624203821656046E-2</v>
      </c>
      <c r="M211" s="73"/>
      <c r="N211" s="171"/>
      <c r="O211" s="129">
        <f>(0.17994-2.78776*L211+14.44961*L211^2)*'Key Data'!$I$18*'Key Data'!$F$18</f>
        <v>2.9533649939875856E-2</v>
      </c>
      <c r="P211" s="169">
        <f>O211*(1+'Key Data'!F$3)</f>
        <v>3.691706242484482E-2</v>
      </c>
      <c r="Q211" s="379"/>
      <c r="R211" s="379"/>
      <c r="S211" s="418"/>
    </row>
    <row r="212" spans="1:19" x14ac:dyDescent="0.3">
      <c r="A212" s="374"/>
      <c r="B212" s="374"/>
      <c r="C212" s="374"/>
      <c r="D212" s="374"/>
      <c r="E212" s="415"/>
      <c r="F212" s="415"/>
      <c r="G212" s="374"/>
      <c r="H212" s="72" t="s">
        <v>264</v>
      </c>
      <c r="I212" s="73"/>
      <c r="J212" s="170"/>
      <c r="K212" s="73">
        <v>25</v>
      </c>
      <c r="L212" s="73">
        <f t="shared" si="5"/>
        <v>7.9617834394904455E-2</v>
      </c>
      <c r="M212" s="73"/>
      <c r="N212" s="171"/>
      <c r="O212" s="129">
        <f>(0.17994-2.78776*L212+14.44961*L212^2)*'Key Data'!$I$18*'Key Data'!$F$18</f>
        <v>3.1235814117205555E-2</v>
      </c>
      <c r="P212" s="169">
        <f>O212*(1+'Key Data'!F$3)</f>
        <v>3.9044767646506946E-2</v>
      </c>
      <c r="Q212" s="379"/>
      <c r="R212" s="379"/>
      <c r="S212" s="418"/>
    </row>
    <row r="213" spans="1:19" x14ac:dyDescent="0.3">
      <c r="A213" s="374"/>
      <c r="B213" s="374"/>
      <c r="C213" s="374"/>
      <c r="D213" s="374"/>
      <c r="E213" s="415"/>
      <c r="F213" s="415"/>
      <c r="G213" s="374"/>
      <c r="H213" s="72" t="s">
        <v>264</v>
      </c>
      <c r="I213" s="73"/>
      <c r="J213" s="170"/>
      <c r="K213" s="73">
        <v>26.1</v>
      </c>
      <c r="L213" s="73">
        <f t="shared" si="5"/>
        <v>8.312101910828025E-2</v>
      </c>
      <c r="M213" s="73"/>
      <c r="N213" s="171"/>
      <c r="O213" s="129">
        <f>(0.17994-2.78776*L213+14.44961*L213^2)*'Key Data'!$I$18*'Key Data'!$F$18</f>
        <v>3.0273014132246739E-2</v>
      </c>
      <c r="P213" s="169">
        <f>O213*(1+'Key Data'!F$3)</f>
        <v>3.7841267665308424E-2</v>
      </c>
      <c r="Q213" s="379"/>
      <c r="R213" s="379"/>
      <c r="S213" s="418"/>
    </row>
    <row r="214" spans="1:19" x14ac:dyDescent="0.3">
      <c r="A214" s="374"/>
      <c r="B214" s="374"/>
      <c r="C214" s="374"/>
      <c r="D214" s="374"/>
      <c r="E214" s="415"/>
      <c r="F214" s="415"/>
      <c r="G214" s="374"/>
      <c r="H214" s="72" t="s">
        <v>264</v>
      </c>
      <c r="I214" s="73"/>
      <c r="J214" s="170"/>
      <c r="K214" s="73">
        <v>25</v>
      </c>
      <c r="L214" s="73">
        <f t="shared" si="5"/>
        <v>7.9617834394904455E-2</v>
      </c>
      <c r="M214" s="73"/>
      <c r="N214" s="171"/>
      <c r="O214" s="129">
        <f>(0.17994-2.78776*L214+14.44961*L214^2)*'Key Data'!$I$18*'Key Data'!$F$18</f>
        <v>3.1235814117205555E-2</v>
      </c>
      <c r="P214" s="169">
        <f>O214*(1+'Key Data'!F$3)</f>
        <v>3.9044767646506946E-2</v>
      </c>
      <c r="Q214" s="379"/>
      <c r="R214" s="379"/>
      <c r="S214" s="418"/>
    </row>
    <row r="215" spans="1:19" x14ac:dyDescent="0.3">
      <c r="A215" s="374"/>
      <c r="B215" s="374"/>
      <c r="C215" s="374"/>
      <c r="D215" s="374"/>
      <c r="E215" s="415"/>
      <c r="F215" s="415"/>
      <c r="G215" s="374"/>
      <c r="H215" s="72" t="s">
        <v>264</v>
      </c>
      <c r="I215" s="73"/>
      <c r="J215" s="170"/>
      <c r="K215" s="73">
        <v>23.5</v>
      </c>
      <c r="L215" s="73">
        <f t="shared" si="5"/>
        <v>7.4840764331210188E-2</v>
      </c>
      <c r="M215" s="73"/>
      <c r="N215" s="171"/>
      <c r="O215" s="129">
        <f>(0.17994-2.78776*L215+14.44961*L215^2)*'Key Data'!$I$18*'Key Data'!$F$18</f>
        <v>3.2908805663262194E-2</v>
      </c>
      <c r="P215" s="169">
        <f>O215*(1+'Key Data'!F$3)</f>
        <v>4.1136007079077747E-2</v>
      </c>
      <c r="Q215" s="379"/>
      <c r="R215" s="379"/>
      <c r="S215" s="418"/>
    </row>
    <row r="216" spans="1:19" x14ac:dyDescent="0.3">
      <c r="A216" s="374"/>
      <c r="B216" s="374"/>
      <c r="C216" s="374"/>
      <c r="D216" s="374"/>
      <c r="E216" s="415"/>
      <c r="F216" s="415"/>
      <c r="G216" s="374"/>
      <c r="H216" s="72" t="s">
        <v>264</v>
      </c>
      <c r="I216" s="73"/>
      <c r="J216" s="170"/>
      <c r="K216" s="73">
        <v>22</v>
      </c>
      <c r="L216" s="73">
        <f t="shared" si="5"/>
        <v>7.0063694267515922E-2</v>
      </c>
      <c r="M216" s="73"/>
      <c r="N216" s="171"/>
      <c r="O216" s="129">
        <f>(0.17994-2.78776*L216+14.44961*L216^2)*'Key Data'!$I$18*'Key Data'!$F$18</f>
        <v>3.4997276988924499E-2</v>
      </c>
      <c r="P216" s="169">
        <f>O216*(1+'Key Data'!F$3)</f>
        <v>4.3746596236155622E-2</v>
      </c>
      <c r="Q216" s="379"/>
      <c r="R216" s="379"/>
      <c r="S216" s="418"/>
    </row>
    <row r="217" spans="1:19" x14ac:dyDescent="0.3">
      <c r="A217" s="374"/>
      <c r="B217" s="374"/>
      <c r="C217" s="374"/>
      <c r="D217" s="374"/>
      <c r="E217" s="415"/>
      <c r="F217" s="415"/>
      <c r="G217" s="374"/>
      <c r="H217" s="72" t="s">
        <v>264</v>
      </c>
      <c r="I217" s="73"/>
      <c r="J217" s="170"/>
      <c r="K217" s="73">
        <v>16.8</v>
      </c>
      <c r="L217" s="73">
        <f t="shared" si="5"/>
        <v>5.3503184713375791E-2</v>
      </c>
      <c r="M217" s="73"/>
      <c r="N217" s="171"/>
      <c r="O217" s="129">
        <f>(0.17994-2.78776*L217+14.44961*L217^2)*'Key Data'!$I$18*'Key Data'!$F$18</f>
        <v>4.5454047700434083E-2</v>
      </c>
      <c r="P217" s="169">
        <f>O217*(1+'Key Data'!F$3)</f>
        <v>5.6817559625542607E-2</v>
      </c>
      <c r="Q217" s="379"/>
      <c r="R217" s="379"/>
      <c r="S217" s="418"/>
    </row>
    <row r="218" spans="1:19" x14ac:dyDescent="0.3">
      <c r="A218" s="374"/>
      <c r="B218" s="374"/>
      <c r="C218" s="374"/>
      <c r="D218" s="374"/>
      <c r="E218" s="415"/>
      <c r="F218" s="415"/>
      <c r="G218" s="374"/>
      <c r="H218" s="72" t="s">
        <v>264</v>
      </c>
      <c r="I218" s="73"/>
      <c r="J218" s="170"/>
      <c r="K218" s="73">
        <v>33</v>
      </c>
      <c r="L218" s="73">
        <f t="shared" si="5"/>
        <v>0.10509554140127389</v>
      </c>
      <c r="M218" s="73"/>
      <c r="N218" s="171"/>
      <c r="O218" s="129">
        <f>(0.17994-2.78776*L218+14.44961*L218^2)*'Key Data'!$I$18*'Key Data'!$F$18</f>
        <v>2.9330184371576955E-2</v>
      </c>
      <c r="P218" s="169">
        <f>O218*(1+'Key Data'!F$3)</f>
        <v>3.6662730464471195E-2</v>
      </c>
      <c r="Q218" s="379"/>
      <c r="R218" s="379"/>
      <c r="S218" s="418"/>
    </row>
    <row r="219" spans="1:19" x14ac:dyDescent="0.3">
      <c r="A219" s="374"/>
      <c r="B219" s="374"/>
      <c r="C219" s="374"/>
      <c r="D219" s="374"/>
      <c r="E219" s="415"/>
      <c r="F219" s="415"/>
      <c r="G219" s="374"/>
      <c r="H219" s="72" t="s">
        <v>264</v>
      </c>
      <c r="I219" s="73"/>
      <c r="J219" s="170"/>
      <c r="K219" s="73">
        <v>30.5</v>
      </c>
      <c r="L219" s="73">
        <f t="shared" si="5"/>
        <v>9.7133757961783432E-2</v>
      </c>
      <c r="M219" s="73"/>
      <c r="N219" s="171"/>
      <c r="O219" s="129">
        <f>(0.17994-2.78776*L219+14.44961*L219^2)*'Key Data'!$I$18*'Key Data'!$F$18</f>
        <v>2.8656172118290787E-2</v>
      </c>
      <c r="P219" s="169">
        <f>O219*(1+'Key Data'!F$3)</f>
        <v>3.5820215147863488E-2</v>
      </c>
      <c r="Q219" s="379"/>
      <c r="R219" s="379"/>
      <c r="S219" s="418"/>
    </row>
    <row r="220" spans="1:19" x14ac:dyDescent="0.3">
      <c r="A220" s="374"/>
      <c r="B220" s="374"/>
      <c r="C220" s="374"/>
      <c r="D220" s="374"/>
      <c r="E220" s="415"/>
      <c r="F220" s="415"/>
      <c r="G220" s="374"/>
      <c r="H220" s="72" t="s">
        <v>264</v>
      </c>
      <c r="I220" s="73"/>
      <c r="J220" s="170"/>
      <c r="K220" s="73">
        <v>38</v>
      </c>
      <c r="L220" s="73">
        <f t="shared" si="5"/>
        <v>0.12101910828025478</v>
      </c>
      <c r="M220" s="73"/>
      <c r="N220" s="171"/>
      <c r="O220" s="129">
        <f>(0.17994-2.78776*L220+14.44961*L220^2)*'Key Data'!$I$18*'Key Data'!$F$18</f>
        <v>3.4140540374863061E-2</v>
      </c>
      <c r="P220" s="169">
        <f>O220*(1+'Key Data'!F$3)</f>
        <v>4.2675675468578825E-2</v>
      </c>
      <c r="Q220" s="379"/>
      <c r="R220" s="379"/>
      <c r="S220" s="418"/>
    </row>
    <row r="221" spans="1:19" x14ac:dyDescent="0.3">
      <c r="A221" s="374"/>
      <c r="B221" s="374"/>
      <c r="C221" s="374"/>
      <c r="D221" s="374"/>
      <c r="E221" s="415"/>
      <c r="F221" s="415"/>
      <c r="G221" s="374"/>
      <c r="H221" s="72" t="s">
        <v>264</v>
      </c>
      <c r="I221" s="73"/>
      <c r="J221" s="170"/>
      <c r="K221" s="73">
        <v>45.8</v>
      </c>
      <c r="L221" s="73">
        <f t="shared" si="5"/>
        <v>0.14585987261146496</v>
      </c>
      <c r="M221" s="73"/>
      <c r="N221" s="171"/>
      <c r="O221" s="129">
        <f>(0.17994-2.78776*L221+14.44961*L221^2)*'Key Data'!$I$18*'Key Data'!$F$18</f>
        <v>5.0862807116840443E-2</v>
      </c>
      <c r="P221" s="169">
        <f>O221*(1+'Key Data'!F$3)</f>
        <v>6.3578508896050559E-2</v>
      </c>
      <c r="Q221" s="379"/>
      <c r="R221" s="379"/>
      <c r="S221" s="418"/>
    </row>
    <row r="222" spans="1:19" x14ac:dyDescent="0.3">
      <c r="A222" s="374"/>
      <c r="B222" s="374"/>
      <c r="C222" s="374"/>
      <c r="D222" s="374"/>
      <c r="E222" s="415"/>
      <c r="F222" s="415"/>
      <c r="G222" s="374"/>
      <c r="H222" s="72" t="s">
        <v>264</v>
      </c>
      <c r="I222" s="73"/>
      <c r="J222" s="170"/>
      <c r="K222" s="73">
        <v>7.5</v>
      </c>
      <c r="L222" s="73">
        <f t="shared" si="5"/>
        <v>2.3885350318471336E-2</v>
      </c>
      <c r="M222" s="73"/>
      <c r="N222" s="171"/>
      <c r="O222" s="129">
        <f>(0.17994-2.78776*L222+14.44961*L222^2)*'Key Data'!$I$18*'Key Data'!$F$18</f>
        <v>7.6606123996663153E-2</v>
      </c>
      <c r="P222" s="169">
        <f>O222*(1+'Key Data'!F$3)</f>
        <v>9.5757654995828945E-2</v>
      </c>
      <c r="Q222" s="379"/>
      <c r="R222" s="379"/>
      <c r="S222" s="418"/>
    </row>
    <row r="223" spans="1:19" x14ac:dyDescent="0.3">
      <c r="A223" s="374"/>
      <c r="B223" s="374"/>
      <c r="C223" s="374"/>
      <c r="D223" s="374"/>
      <c r="E223" s="415"/>
      <c r="F223" s="415"/>
      <c r="G223" s="374"/>
      <c r="H223" s="72" t="s">
        <v>264</v>
      </c>
      <c r="I223" s="73"/>
      <c r="J223" s="170"/>
      <c r="K223" s="73">
        <v>25.3</v>
      </c>
      <c r="L223" s="73">
        <f t="shared" si="5"/>
        <v>8.0573248407643308E-2</v>
      </c>
      <c r="M223" s="73"/>
      <c r="N223" s="171"/>
      <c r="O223" s="129">
        <f>(0.17994-2.78776*L223+14.44961*L223^2)*'Key Data'!$I$18*'Key Data'!$F$18</f>
        <v>3.0951073381546911E-2</v>
      </c>
      <c r="P223" s="169">
        <f>O223*(1+'Key Data'!F$3)</f>
        <v>3.868884172693364E-2</v>
      </c>
      <c r="Q223" s="379"/>
      <c r="R223" s="379"/>
      <c r="S223" s="418"/>
    </row>
    <row r="224" spans="1:19" x14ac:dyDescent="0.3">
      <c r="A224" s="374"/>
      <c r="B224" s="374"/>
      <c r="C224" s="374"/>
      <c r="D224" s="374"/>
      <c r="E224" s="415"/>
      <c r="F224" s="415"/>
      <c r="G224" s="374"/>
      <c r="H224" s="72" t="s">
        <v>264</v>
      </c>
      <c r="I224" s="73"/>
      <c r="J224" s="170"/>
      <c r="K224" s="73">
        <v>32</v>
      </c>
      <c r="L224" s="73">
        <f t="shared" si="5"/>
        <v>0.1019108280254777</v>
      </c>
      <c r="M224" s="73"/>
      <c r="N224" s="171"/>
      <c r="O224" s="129">
        <f>(0.17994-2.78776*L224+14.44961*L224^2)*'Key Data'!$I$18*'Key Data'!$F$18</f>
        <v>2.892208621039391E-2</v>
      </c>
      <c r="P224" s="169">
        <f>O224*(1+'Key Data'!F$3)</f>
        <v>3.6152607762992388E-2</v>
      </c>
      <c r="Q224" s="379"/>
      <c r="R224" s="379"/>
      <c r="S224" s="418"/>
    </row>
    <row r="225" spans="1:19" x14ac:dyDescent="0.3">
      <c r="A225" s="374"/>
      <c r="B225" s="374"/>
      <c r="C225" s="374"/>
      <c r="D225" s="374"/>
      <c r="E225" s="415"/>
      <c r="F225" s="415"/>
      <c r="G225" s="374"/>
      <c r="H225" s="72" t="s">
        <v>264</v>
      </c>
      <c r="I225" s="73"/>
      <c r="J225" s="170"/>
      <c r="K225" s="73">
        <v>15.2</v>
      </c>
      <c r="L225" s="73">
        <f t="shared" si="5"/>
        <v>4.8407643312101907E-2</v>
      </c>
      <c r="M225" s="73"/>
      <c r="N225" s="171"/>
      <c r="O225" s="129">
        <f>(0.17994-2.78776*L225+14.44961*L225^2)*'Key Data'!$I$18*'Key Data'!$F$18</f>
        <v>4.9676053389914383E-2</v>
      </c>
      <c r="P225" s="169">
        <f>O225*(1+'Key Data'!F$3)</f>
        <v>6.2095066737392977E-2</v>
      </c>
      <c r="Q225" s="379"/>
      <c r="R225" s="379"/>
      <c r="S225" s="418"/>
    </row>
    <row r="226" spans="1:19" x14ac:dyDescent="0.3">
      <c r="A226" s="374"/>
      <c r="B226" s="374"/>
      <c r="C226" s="374"/>
      <c r="D226" s="374"/>
      <c r="E226" s="415"/>
      <c r="F226" s="415"/>
      <c r="G226" s="374"/>
      <c r="H226" s="72" t="s">
        <v>264</v>
      </c>
      <c r="I226" s="73"/>
      <c r="J226" s="170"/>
      <c r="K226" s="73">
        <f>SQRT(22.2*22.2+15*15)</f>
        <v>26.792536274119325</v>
      </c>
      <c r="L226" s="73">
        <f t="shared" si="5"/>
        <v>8.5326548643692116E-2</v>
      </c>
      <c r="M226" s="73"/>
      <c r="N226" s="171"/>
      <c r="O226" s="129">
        <f>(0.17994-2.78776*L226+14.44961*L226^2)*'Key Data'!$I$18*'Key Data'!$F$18</f>
        <v>2.9781472717123763E-2</v>
      </c>
      <c r="P226" s="169">
        <f>O226*(1+'Key Data'!F$3)</f>
        <v>3.7226840896404705E-2</v>
      </c>
      <c r="Q226" s="379"/>
      <c r="R226" s="379"/>
      <c r="S226" s="418"/>
    </row>
    <row r="227" spans="1:19" x14ac:dyDescent="0.3">
      <c r="A227" s="374"/>
      <c r="B227" s="374"/>
      <c r="C227" s="374"/>
      <c r="D227" s="374"/>
      <c r="E227" s="415"/>
      <c r="F227" s="415"/>
      <c r="G227" s="374"/>
      <c r="H227" s="72" t="s">
        <v>264</v>
      </c>
      <c r="I227" s="73"/>
      <c r="J227" s="170"/>
      <c r="K227" s="73">
        <v>26</v>
      </c>
      <c r="L227" s="73">
        <f t="shared" si="5"/>
        <v>8.2802547770700632E-2</v>
      </c>
      <c r="M227" s="73"/>
      <c r="N227" s="171"/>
      <c r="O227" s="129">
        <f>(0.17994-2.78776*L227+14.44961*L227^2)*'Key Data'!$I$18*'Key Data'!$F$18</f>
        <v>3.0351308519615389E-2</v>
      </c>
      <c r="P227" s="169">
        <f>O227*(1+'Key Data'!F$3)</f>
        <v>3.7939135649519236E-2</v>
      </c>
      <c r="Q227" s="379"/>
      <c r="R227" s="379"/>
      <c r="S227" s="418"/>
    </row>
    <row r="228" spans="1:19" x14ac:dyDescent="0.3">
      <c r="A228" s="374"/>
      <c r="B228" s="374"/>
      <c r="C228" s="374"/>
      <c r="D228" s="374"/>
      <c r="E228" s="415"/>
      <c r="F228" s="415"/>
      <c r="G228" s="374"/>
      <c r="H228" s="72" t="s">
        <v>264</v>
      </c>
      <c r="I228" s="73"/>
      <c r="J228" s="170"/>
      <c r="K228" s="73">
        <v>26</v>
      </c>
      <c r="L228" s="73">
        <f t="shared" si="5"/>
        <v>8.2802547770700632E-2</v>
      </c>
      <c r="M228" s="73"/>
      <c r="N228" s="171"/>
      <c r="O228" s="129">
        <f>(0.17994-2.78776*L228+14.44961*L228^2)*'Key Data'!$I$18*'Key Data'!$F$18</f>
        <v>3.0351308519615389E-2</v>
      </c>
      <c r="P228" s="169">
        <f>O228*(1+'Key Data'!F$3)</f>
        <v>3.7939135649519236E-2</v>
      </c>
      <c r="Q228" s="379"/>
      <c r="R228" s="379"/>
      <c r="S228" s="418"/>
    </row>
    <row r="229" spans="1:19" x14ac:dyDescent="0.3">
      <c r="A229" s="374"/>
      <c r="B229" s="374"/>
      <c r="C229" s="374"/>
      <c r="D229" s="374"/>
      <c r="E229" s="415"/>
      <c r="F229" s="415"/>
      <c r="G229" s="374"/>
      <c r="H229" s="72" t="s">
        <v>264</v>
      </c>
      <c r="I229" s="73"/>
      <c r="J229" s="170"/>
      <c r="K229" s="73">
        <v>27</v>
      </c>
      <c r="L229" s="73">
        <f t="shared" si="5"/>
        <v>8.598726114649681E-2</v>
      </c>
      <c r="M229" s="73"/>
      <c r="N229" s="171"/>
      <c r="O229" s="129">
        <f>(0.17994-2.78776*L229+14.44961*L229^2)*'Key Data'!$I$18*'Key Data'!$F$18</f>
        <v>2.9651460601849967E-2</v>
      </c>
      <c r="P229" s="169">
        <f>O229*(1+'Key Data'!F$3)</f>
        <v>3.7064325752312458E-2</v>
      </c>
      <c r="Q229" s="379"/>
      <c r="R229" s="379"/>
      <c r="S229" s="418"/>
    </row>
    <row r="230" spans="1:19" x14ac:dyDescent="0.3">
      <c r="A230" s="374"/>
      <c r="B230" s="374"/>
      <c r="C230" s="374"/>
      <c r="D230" s="374"/>
      <c r="E230" s="415"/>
      <c r="F230" s="415"/>
      <c r="G230" s="374"/>
      <c r="H230" s="72" t="s">
        <v>264</v>
      </c>
      <c r="I230" s="73"/>
      <c r="J230" s="170"/>
      <c r="K230" s="73">
        <v>15.3</v>
      </c>
      <c r="L230" s="73">
        <f t="shared" si="5"/>
        <v>4.8726114649681532E-2</v>
      </c>
      <c r="M230" s="73"/>
      <c r="N230" s="171"/>
      <c r="O230" s="129">
        <f>(0.17994-2.78776*L230+14.44961*L230^2)*'Key Data'!$I$18*'Key Data'!$F$18</f>
        <v>4.9398328708335007E-2</v>
      </c>
      <c r="P230" s="169">
        <f>O230*(1+'Key Data'!F$3)</f>
        <v>6.1747910885418755E-2</v>
      </c>
      <c r="Q230" s="379"/>
      <c r="R230" s="379"/>
      <c r="S230" s="418"/>
    </row>
    <row r="231" spans="1:19" x14ac:dyDescent="0.3">
      <c r="A231" s="374"/>
      <c r="B231" s="374"/>
      <c r="C231" s="374"/>
      <c r="D231" s="374"/>
      <c r="E231" s="415"/>
      <c r="F231" s="415"/>
      <c r="G231" s="374"/>
      <c r="H231" s="72" t="s">
        <v>264</v>
      </c>
      <c r="I231" s="73"/>
      <c r="J231" s="170"/>
      <c r="K231" s="73">
        <f>SQRT(20*20+7*7)</f>
        <v>21.189620100417091</v>
      </c>
      <c r="L231" s="73">
        <f t="shared" si="5"/>
        <v>6.748286656183787E-2</v>
      </c>
      <c r="M231" s="73"/>
      <c r="N231" s="171"/>
      <c r="O231" s="129">
        <f>(0.17994-2.78776*L231+14.44961*L231^2)*'Key Data'!$I$18*'Key Data'!$F$18</f>
        <v>3.6298446386203623E-2</v>
      </c>
      <c r="P231" s="169">
        <f>O231*(1+'Key Data'!F$3)</f>
        <v>4.5373057982754525E-2</v>
      </c>
      <c r="Q231" s="379"/>
      <c r="R231" s="379"/>
      <c r="S231" s="418"/>
    </row>
    <row r="232" spans="1:19" x14ac:dyDescent="0.3">
      <c r="A232" s="374"/>
      <c r="B232" s="374"/>
      <c r="C232" s="374"/>
      <c r="D232" s="374"/>
      <c r="E232" s="415"/>
      <c r="F232" s="415"/>
      <c r="G232" s="374"/>
      <c r="H232" s="72" t="s">
        <v>264</v>
      </c>
      <c r="I232" s="73"/>
      <c r="J232" s="170"/>
      <c r="K232" s="73">
        <v>17</v>
      </c>
      <c r="L232" s="73">
        <f t="shared" ref="L232:L258" si="6">K232/3.14/100</f>
        <v>5.4140127388535034E-2</v>
      </c>
      <c r="M232" s="73"/>
      <c r="N232" s="171"/>
      <c r="O232" s="129">
        <f>(0.17994-2.78776*L232+14.44961*L232^2)*'Key Data'!$I$18*'Key Data'!$F$18</f>
        <v>4.4959535371617509E-2</v>
      </c>
      <c r="P232" s="169">
        <f>O232*(1+'Key Data'!F$3)</f>
        <v>5.6199419214521887E-2</v>
      </c>
      <c r="Q232" s="379"/>
      <c r="R232" s="379"/>
      <c r="S232" s="418"/>
    </row>
    <row r="233" spans="1:19" x14ac:dyDescent="0.3">
      <c r="A233" s="374"/>
      <c r="B233" s="374"/>
      <c r="C233" s="374"/>
      <c r="D233" s="374"/>
      <c r="E233" s="415"/>
      <c r="F233" s="415"/>
      <c r="G233" s="374"/>
      <c r="H233" s="72" t="s">
        <v>264</v>
      </c>
      <c r="I233" s="73"/>
      <c r="J233" s="170"/>
      <c r="K233" s="73">
        <v>16.5</v>
      </c>
      <c r="L233" s="73">
        <f t="shared" si="6"/>
        <v>5.2547770700636945E-2</v>
      </c>
      <c r="M233" s="73"/>
      <c r="N233" s="171"/>
      <c r="O233" s="129">
        <f>(0.17994-2.78776*L233+14.44961*L233^2)*'Key Data'!$I$18*'Key Data'!$F$18</f>
        <v>4.6209665519645823E-2</v>
      </c>
      <c r="P233" s="169">
        <f>O233*(1+'Key Data'!F$3)</f>
        <v>5.7762081899557283E-2</v>
      </c>
      <c r="Q233" s="379"/>
      <c r="R233" s="379"/>
      <c r="S233" s="418"/>
    </row>
    <row r="234" spans="1:19" x14ac:dyDescent="0.3">
      <c r="A234" s="374"/>
      <c r="B234" s="374"/>
      <c r="C234" s="374"/>
      <c r="D234" s="374"/>
      <c r="E234" s="415"/>
      <c r="F234" s="415"/>
      <c r="G234" s="374"/>
      <c r="H234" s="72" t="s">
        <v>264</v>
      </c>
      <c r="I234" s="73"/>
      <c r="J234" s="170"/>
      <c r="K234" s="73">
        <v>18</v>
      </c>
      <c r="L234" s="73">
        <f t="shared" si="6"/>
        <v>5.7324840764331204E-2</v>
      </c>
      <c r="M234" s="73"/>
      <c r="N234" s="171"/>
      <c r="O234" s="129">
        <f>(0.17994-2.78776*L234+14.44961*L234^2)*'Key Data'!$I$18*'Key Data'!$F$18</f>
        <v>4.2597768335429428E-2</v>
      </c>
      <c r="P234" s="169">
        <f>O234*(1+'Key Data'!F$3)</f>
        <v>5.3247210419286789E-2</v>
      </c>
      <c r="Q234" s="379"/>
      <c r="R234" s="379"/>
      <c r="S234" s="418"/>
    </row>
    <row r="235" spans="1:19" x14ac:dyDescent="0.3">
      <c r="A235" s="374"/>
      <c r="B235" s="374"/>
      <c r="C235" s="374"/>
      <c r="D235" s="374"/>
      <c r="E235" s="415"/>
      <c r="F235" s="415"/>
      <c r="G235" s="374"/>
      <c r="H235" s="72" t="s">
        <v>264</v>
      </c>
      <c r="I235" s="73"/>
      <c r="J235" s="170"/>
      <c r="K235" s="73">
        <v>30</v>
      </c>
      <c r="L235" s="73">
        <f t="shared" si="6"/>
        <v>9.5541401273885343E-2</v>
      </c>
      <c r="M235" s="73"/>
      <c r="N235" s="171"/>
      <c r="O235" s="129">
        <f>(0.17994-2.78776*L235+14.44961*L235^2)*'Key Data'!$I$18*'Key Data'!$F$18</f>
        <v>2.8659862927502115E-2</v>
      </c>
      <c r="P235" s="169">
        <f>O235*(1+'Key Data'!F$3)</f>
        <v>3.5824828659377646E-2</v>
      </c>
      <c r="Q235" s="379"/>
      <c r="R235" s="379"/>
      <c r="S235" s="418"/>
    </row>
    <row r="236" spans="1:19" x14ac:dyDescent="0.3">
      <c r="A236" s="374"/>
      <c r="B236" s="374"/>
      <c r="C236" s="374"/>
      <c r="D236" s="374"/>
      <c r="E236" s="415"/>
      <c r="F236" s="415"/>
      <c r="G236" s="374"/>
      <c r="H236" s="72" t="s">
        <v>264</v>
      </c>
      <c r="I236" s="73"/>
      <c r="J236" s="170"/>
      <c r="K236" s="73">
        <v>27.8</v>
      </c>
      <c r="L236" s="73">
        <f t="shared" si="6"/>
        <v>8.8535031847133752E-2</v>
      </c>
      <c r="M236" s="73"/>
      <c r="N236" s="171"/>
      <c r="O236" s="129">
        <f>(0.17994-2.78776*L236+14.44961*L236^2)*'Key Data'!$I$18*'Key Data'!$F$18</f>
        <v>2.9224535797111449E-2</v>
      </c>
      <c r="P236" s="169">
        <f>O236*(1+'Key Data'!F$3)</f>
        <v>3.6530669746389313E-2</v>
      </c>
      <c r="Q236" s="379"/>
      <c r="R236" s="379"/>
      <c r="S236" s="418"/>
    </row>
    <row r="237" spans="1:19" x14ac:dyDescent="0.3">
      <c r="A237" s="374"/>
      <c r="B237" s="374"/>
      <c r="C237" s="374"/>
      <c r="D237" s="374"/>
      <c r="E237" s="415"/>
      <c r="F237" s="415"/>
      <c r="G237" s="374"/>
      <c r="H237" s="72" t="s">
        <v>264</v>
      </c>
      <c r="I237" s="73"/>
      <c r="J237" s="170"/>
      <c r="K237" s="73">
        <f>SQRT(25.3*25.3+13.6*13.6)</f>
        <v>28.723683607782618</v>
      </c>
      <c r="L237" s="73">
        <f t="shared" si="6"/>
        <v>9.1476699387842725E-2</v>
      </c>
      <c r="M237" s="73"/>
      <c r="N237" s="171"/>
      <c r="O237" s="129">
        <f>(0.17994-2.78776*L237+14.44961*L237^2)*'Key Data'!$I$18*'Key Data'!$F$18</f>
        <v>2.8878606773865525E-2</v>
      </c>
      <c r="P237" s="169">
        <f>O237*(1+'Key Data'!F$3)</f>
        <v>3.6098258467331903E-2</v>
      </c>
      <c r="Q237" s="379"/>
      <c r="R237" s="379"/>
      <c r="S237" s="418"/>
    </row>
    <row r="238" spans="1:19" x14ac:dyDescent="0.3">
      <c r="A238" s="374"/>
      <c r="B238" s="374"/>
      <c r="C238" s="374"/>
      <c r="D238" s="374"/>
      <c r="E238" s="415"/>
      <c r="F238" s="415"/>
      <c r="G238" s="374"/>
      <c r="H238" s="72" t="s">
        <v>264</v>
      </c>
      <c r="I238" s="73"/>
      <c r="J238" s="170"/>
      <c r="K238" s="73">
        <f>SQRT(7.7*7.7+21*21)</f>
        <v>22.367163432138639</v>
      </c>
      <c r="L238" s="73">
        <f t="shared" si="6"/>
        <v>7.123300456095108E-2</v>
      </c>
      <c r="M238" s="73"/>
      <c r="N238" s="171"/>
      <c r="O238" s="129">
        <f>(0.17994-2.78776*L238+14.44961*L238^2)*'Key Data'!$I$18*'Key Data'!$F$18</f>
        <v>3.4447667219012108E-2</v>
      </c>
      <c r="P238" s="169">
        <f>O238*(1+'Key Data'!F$3)</f>
        <v>4.3059584023765134E-2</v>
      </c>
      <c r="Q238" s="379"/>
      <c r="R238" s="379"/>
      <c r="S238" s="418"/>
    </row>
    <row r="239" spans="1:19" x14ac:dyDescent="0.3">
      <c r="A239" s="374"/>
      <c r="B239" s="374"/>
      <c r="C239" s="374"/>
      <c r="D239" s="374"/>
      <c r="E239" s="415"/>
      <c r="F239" s="415"/>
      <c r="G239" s="374"/>
      <c r="H239" s="72" t="s">
        <v>264</v>
      </c>
      <c r="I239" s="73"/>
      <c r="J239" s="170"/>
      <c r="K239" s="73">
        <v>20</v>
      </c>
      <c r="L239" s="73">
        <f t="shared" si="6"/>
        <v>6.3694267515923567E-2</v>
      </c>
      <c r="M239" s="73"/>
      <c r="N239" s="171"/>
      <c r="O239" s="129">
        <f>(0.17994-2.78776*L239+14.44961*L239^2)*'Key Data'!$I$18*'Key Data'!$F$18</f>
        <v>3.8428207302527488E-2</v>
      </c>
      <c r="P239" s="169">
        <f>O239*(1+'Key Data'!F$3)</f>
        <v>4.8035259128159362E-2</v>
      </c>
      <c r="Q239" s="379"/>
      <c r="R239" s="379"/>
      <c r="S239" s="418"/>
    </row>
    <row r="240" spans="1:19" x14ac:dyDescent="0.3">
      <c r="A240" s="374"/>
      <c r="B240" s="374"/>
      <c r="C240" s="374"/>
      <c r="D240" s="374"/>
      <c r="E240" s="415"/>
      <c r="F240" s="415"/>
      <c r="G240" s="374"/>
      <c r="H240" s="72" t="s">
        <v>264</v>
      </c>
      <c r="I240" s="73"/>
      <c r="J240" s="170"/>
      <c r="K240" s="73">
        <v>10.8</v>
      </c>
      <c r="L240" s="73">
        <f t="shared" si="6"/>
        <v>3.4394904458598725E-2</v>
      </c>
      <c r="M240" s="73"/>
      <c r="N240" s="171"/>
      <c r="O240" s="129">
        <f>(0.17994-2.78776*L240+14.44961*L240^2)*'Key Data'!$I$18*'Key Data'!$F$18</f>
        <v>6.3724050409671787E-2</v>
      </c>
      <c r="P240" s="169">
        <f>O240*(1+'Key Data'!F$3)</f>
        <v>7.965506301208973E-2</v>
      </c>
      <c r="Q240" s="379"/>
      <c r="R240" s="379"/>
      <c r="S240" s="418"/>
    </row>
    <row r="241" spans="1:19" x14ac:dyDescent="0.3">
      <c r="A241" s="374"/>
      <c r="B241" s="374"/>
      <c r="C241" s="374"/>
      <c r="D241" s="374"/>
      <c r="E241" s="415"/>
      <c r="F241" s="415"/>
      <c r="G241" s="374"/>
      <c r="H241" s="72" t="s">
        <v>264</v>
      </c>
      <c r="I241" s="73"/>
      <c r="J241" s="170"/>
      <c r="K241" s="73">
        <v>32</v>
      </c>
      <c r="L241" s="73">
        <f t="shared" si="6"/>
        <v>0.1019108280254777</v>
      </c>
      <c r="M241" s="73"/>
      <c r="N241" s="171"/>
      <c r="O241" s="129">
        <f>(0.17994-2.78776*L241+14.44961*L241^2)*'Key Data'!$I$18*'Key Data'!$F$18</f>
        <v>2.892208621039391E-2</v>
      </c>
      <c r="P241" s="169">
        <f>O241*(1+'Key Data'!F$3)</f>
        <v>3.6152607762992388E-2</v>
      </c>
      <c r="Q241" s="379"/>
      <c r="R241" s="379"/>
      <c r="S241" s="418"/>
    </row>
    <row r="242" spans="1:19" x14ac:dyDescent="0.3">
      <c r="A242" s="374"/>
      <c r="B242" s="374"/>
      <c r="C242" s="374"/>
      <c r="D242" s="374"/>
      <c r="E242" s="415"/>
      <c r="F242" s="415"/>
      <c r="G242" s="374"/>
      <c r="H242" s="72" t="s">
        <v>264</v>
      </c>
      <c r="I242" s="73"/>
      <c r="J242" s="170"/>
      <c r="K242" s="73">
        <f>SQRT(22*22+12.2*12.2)</f>
        <v>25.156311335328951</v>
      </c>
      <c r="L242" s="73">
        <f t="shared" si="6"/>
        <v>8.011564119531514E-2</v>
      </c>
      <c r="M242" s="73"/>
      <c r="N242" s="171"/>
      <c r="O242" s="129">
        <f>(0.17994-2.78776*L242+14.44961*L242^2)*'Key Data'!$I$18*'Key Data'!$F$18</f>
        <v>3.108537971399342E-2</v>
      </c>
      <c r="P242" s="169">
        <f>O242*(1+'Key Data'!F$3)</f>
        <v>3.8856724642491777E-2</v>
      </c>
      <c r="Q242" s="379"/>
      <c r="R242" s="379"/>
      <c r="S242" s="418"/>
    </row>
    <row r="243" spans="1:19" x14ac:dyDescent="0.3">
      <c r="A243" s="374"/>
      <c r="B243" s="374"/>
      <c r="C243" s="374"/>
      <c r="D243" s="374"/>
      <c r="E243" s="415"/>
      <c r="F243" s="415"/>
      <c r="G243" s="374"/>
      <c r="H243" s="72" t="s">
        <v>264</v>
      </c>
      <c r="I243" s="73"/>
      <c r="J243" s="170"/>
      <c r="K243" s="73">
        <v>32.9</v>
      </c>
      <c r="L243" s="73">
        <f t="shared" si="6"/>
        <v>0.10477707006369426</v>
      </c>
      <c r="M243" s="73"/>
      <c r="N243" s="171"/>
      <c r="O243" s="129">
        <f>(0.17994-2.78776*L243+14.44961*L243^2)*'Key Data'!$I$18*'Key Data'!$F$18</f>
        <v>2.9281064959866522E-2</v>
      </c>
      <c r="P243" s="169">
        <f>O243*(1+'Key Data'!F$3)</f>
        <v>3.6601331199833151E-2</v>
      </c>
      <c r="Q243" s="379"/>
      <c r="R243" s="379"/>
      <c r="S243" s="418"/>
    </row>
    <row r="244" spans="1:19" x14ac:dyDescent="0.3">
      <c r="A244" s="374"/>
      <c r="B244" s="374"/>
      <c r="C244" s="374"/>
      <c r="D244" s="374"/>
      <c r="E244" s="415"/>
      <c r="F244" s="415"/>
      <c r="G244" s="374"/>
      <c r="H244" s="72" t="s">
        <v>264</v>
      </c>
      <c r="I244" s="73"/>
      <c r="J244" s="170"/>
      <c r="K244" s="73">
        <v>32</v>
      </c>
      <c r="L244" s="73">
        <f t="shared" si="6"/>
        <v>0.1019108280254777</v>
      </c>
      <c r="M244" s="73"/>
      <c r="N244" s="171"/>
      <c r="O244" s="129">
        <f>(0.17994-2.78776*L244+14.44961*L244^2)*'Key Data'!$I$18*'Key Data'!$F$18</f>
        <v>2.892208621039391E-2</v>
      </c>
      <c r="P244" s="169">
        <f>O244*(1+'Key Data'!F$3)</f>
        <v>3.6152607762992388E-2</v>
      </c>
      <c r="Q244" s="379"/>
      <c r="R244" s="379"/>
      <c r="S244" s="418"/>
    </row>
    <row r="245" spans="1:19" x14ac:dyDescent="0.3">
      <c r="A245" s="374"/>
      <c r="B245" s="374"/>
      <c r="C245" s="374"/>
      <c r="D245" s="374"/>
      <c r="E245" s="415"/>
      <c r="F245" s="415"/>
      <c r="G245" s="374"/>
      <c r="H245" s="72" t="s">
        <v>264</v>
      </c>
      <c r="I245" s="73"/>
      <c r="J245" s="170"/>
      <c r="K245" s="73">
        <v>24</v>
      </c>
      <c r="L245" s="73">
        <f t="shared" si="6"/>
        <v>7.6433121019108277E-2</v>
      </c>
      <c r="M245" s="73"/>
      <c r="N245" s="171"/>
      <c r="O245" s="129">
        <f>(0.17994-2.78776*L245+14.44961*L245^2)*'Key Data'!$I$18*'Key Data'!$F$18</f>
        <v>3.230497739462046E-2</v>
      </c>
      <c r="P245" s="169">
        <f>O245*(1+'Key Data'!F$3)</f>
        <v>4.0381221743275575E-2</v>
      </c>
      <c r="Q245" s="379"/>
      <c r="R245" s="379"/>
      <c r="S245" s="418"/>
    </row>
    <row r="246" spans="1:19" x14ac:dyDescent="0.3">
      <c r="A246" s="374"/>
      <c r="B246" s="374"/>
      <c r="C246" s="374"/>
      <c r="D246" s="374"/>
      <c r="E246" s="415"/>
      <c r="F246" s="415"/>
      <c r="G246" s="374"/>
      <c r="H246" s="72" t="s">
        <v>264</v>
      </c>
      <c r="I246" s="73"/>
      <c r="J246" s="170"/>
      <c r="K246" s="73">
        <v>16.5</v>
      </c>
      <c r="L246" s="73">
        <f t="shared" si="6"/>
        <v>5.2547770700636945E-2</v>
      </c>
      <c r="M246" s="73"/>
      <c r="N246" s="171"/>
      <c r="O246" s="129">
        <f>(0.17994-2.78776*L246+14.44961*L246^2)*'Key Data'!$I$18*'Key Data'!$F$18</f>
        <v>4.6209665519645823E-2</v>
      </c>
      <c r="P246" s="169">
        <f>O246*(1+'Key Data'!F$3)</f>
        <v>5.7762081899557283E-2</v>
      </c>
      <c r="Q246" s="379"/>
      <c r="R246" s="379"/>
      <c r="S246" s="418"/>
    </row>
    <row r="247" spans="1:19" x14ac:dyDescent="0.3">
      <c r="A247" s="374"/>
      <c r="B247" s="374"/>
      <c r="C247" s="374"/>
      <c r="D247" s="374"/>
      <c r="E247" s="415"/>
      <c r="F247" s="415"/>
      <c r="G247" s="374"/>
      <c r="H247" s="72" t="s">
        <v>264</v>
      </c>
      <c r="I247" s="73"/>
      <c r="J247" s="170"/>
      <c r="K247" s="73">
        <v>28</v>
      </c>
      <c r="L247" s="73">
        <f t="shared" si="6"/>
        <v>8.9171974522292988E-2</v>
      </c>
      <c r="M247" s="73"/>
      <c r="N247" s="171"/>
      <c r="O247" s="129">
        <f>(0.17994-2.78776*L247+14.44961*L247^2)*'Key Data'!$I$18*'Key Data'!$F$18</f>
        <v>2.913627036390929E-2</v>
      </c>
      <c r="P247" s="169">
        <f>O247*(1+'Key Data'!F$3)</f>
        <v>3.6420337954886611E-2</v>
      </c>
      <c r="Q247" s="379"/>
      <c r="R247" s="379"/>
      <c r="S247" s="418"/>
    </row>
    <row r="248" spans="1:19" x14ac:dyDescent="0.3">
      <c r="A248" s="374"/>
      <c r="B248" s="374"/>
      <c r="C248" s="374"/>
      <c r="D248" s="374"/>
      <c r="E248" s="415"/>
      <c r="F248" s="415"/>
      <c r="G248" s="374"/>
      <c r="H248" s="72" t="s">
        <v>264</v>
      </c>
      <c r="I248" s="73"/>
      <c r="J248" s="170"/>
      <c r="K248" s="73">
        <v>21.4</v>
      </c>
      <c r="L248" s="73">
        <f t="shared" si="6"/>
        <v>6.8152866242038201E-2</v>
      </c>
      <c r="M248" s="73"/>
      <c r="N248" s="171"/>
      <c r="O248" s="129">
        <f>(0.17994-2.78776*L248+14.44961*L248^2)*'Key Data'!$I$18*'Key Data'!$F$18</f>
        <v>3.5948999857479007E-2</v>
      </c>
      <c r="P248" s="169">
        <f>O248*(1+'Key Data'!F$3)</f>
        <v>4.493624982184876E-2</v>
      </c>
      <c r="Q248" s="379"/>
      <c r="R248" s="379"/>
      <c r="S248" s="418"/>
    </row>
    <row r="249" spans="1:19" x14ac:dyDescent="0.3">
      <c r="A249" s="374"/>
      <c r="B249" s="374"/>
      <c r="C249" s="374"/>
      <c r="D249" s="374"/>
      <c r="E249" s="415"/>
      <c r="F249" s="415"/>
      <c r="G249" s="374"/>
      <c r="H249" s="72" t="s">
        <v>264</v>
      </c>
      <c r="I249" s="73"/>
      <c r="J249" s="170"/>
      <c r="K249" s="73">
        <v>22.5</v>
      </c>
      <c r="L249" s="73">
        <f t="shared" si="6"/>
        <v>7.1656050955414011E-2</v>
      </c>
      <c r="M249" s="73"/>
      <c r="N249" s="171"/>
      <c r="O249" s="129">
        <f>(0.17994-2.78776*L249+14.44961*L249^2)*'Key Data'!$I$18*'Key Data'!$F$18</f>
        <v>3.425495546041421E-2</v>
      </c>
      <c r="P249" s="169">
        <f>O249*(1+'Key Data'!F$3)</f>
        <v>4.2818694325517763E-2</v>
      </c>
      <c r="Q249" s="379"/>
      <c r="R249" s="379"/>
      <c r="S249" s="418"/>
    </row>
    <row r="250" spans="1:19" x14ac:dyDescent="0.3">
      <c r="A250" s="374"/>
      <c r="B250" s="374"/>
      <c r="C250" s="374"/>
      <c r="D250" s="374"/>
      <c r="E250" s="415"/>
      <c r="F250" s="415"/>
      <c r="G250" s="374"/>
      <c r="H250" s="72" t="s">
        <v>264</v>
      </c>
      <c r="I250" s="73"/>
      <c r="J250" s="170"/>
      <c r="K250" s="73">
        <v>10</v>
      </c>
      <c r="L250" s="73">
        <f t="shared" si="6"/>
        <v>3.1847133757961783E-2</v>
      </c>
      <c r="M250" s="73"/>
      <c r="N250" s="171"/>
      <c r="O250" s="129">
        <f>(0.17994-2.78776*L250+14.44961*L250^2)*'Key Data'!$I$18*'Key Data'!$F$18</f>
        <v>6.6662319660026767E-2</v>
      </c>
      <c r="P250" s="169">
        <f>O250*(1+'Key Data'!F$3)</f>
        <v>8.3327899575033462E-2</v>
      </c>
      <c r="Q250" s="379"/>
      <c r="R250" s="379"/>
      <c r="S250" s="418"/>
    </row>
    <row r="251" spans="1:19" x14ac:dyDescent="0.3">
      <c r="A251" s="374"/>
      <c r="B251" s="374"/>
      <c r="C251" s="374"/>
      <c r="D251" s="374"/>
      <c r="E251" s="415"/>
      <c r="F251" s="415"/>
      <c r="G251" s="374"/>
      <c r="H251" s="72" t="s">
        <v>264</v>
      </c>
      <c r="I251" s="73"/>
      <c r="J251" s="170"/>
      <c r="K251" s="73">
        <v>34</v>
      </c>
      <c r="L251" s="73">
        <f t="shared" si="6"/>
        <v>0.10828025477707007</v>
      </c>
      <c r="M251" s="73"/>
      <c r="N251" s="171"/>
      <c r="O251" s="129">
        <f>(0.17994-2.78776*L251+14.44961*L251^2)*'Key Data'!$I$18*'Key Data'!$F$18</f>
        <v>2.9922940212584695E-2</v>
      </c>
      <c r="P251" s="169">
        <f>O251*(1+'Key Data'!F$3)</f>
        <v>3.7403675265730865E-2</v>
      </c>
      <c r="Q251" s="379"/>
      <c r="R251" s="379"/>
      <c r="S251" s="418"/>
    </row>
    <row r="252" spans="1:19" x14ac:dyDescent="0.3">
      <c r="A252" s="374"/>
      <c r="B252" s="374"/>
      <c r="C252" s="374"/>
      <c r="D252" s="374"/>
      <c r="E252" s="415"/>
      <c r="F252" s="415"/>
      <c r="G252" s="374"/>
      <c r="H252" s="72" t="s">
        <v>264</v>
      </c>
      <c r="I252" s="73"/>
      <c r="J252" s="170"/>
      <c r="K252" s="73">
        <v>27</v>
      </c>
      <c r="L252" s="73">
        <f t="shared" si="6"/>
        <v>8.598726114649681E-2</v>
      </c>
      <c r="M252" s="73"/>
      <c r="N252" s="171"/>
      <c r="O252" s="129">
        <f>(0.17994-2.78776*L252+14.44961*L252^2)*'Key Data'!$I$18*'Key Data'!$F$18</f>
        <v>2.9651460601849967E-2</v>
      </c>
      <c r="P252" s="169">
        <f>O252*(1+'Key Data'!F$3)</f>
        <v>3.7064325752312458E-2</v>
      </c>
      <c r="Q252" s="379"/>
      <c r="R252" s="379"/>
      <c r="S252" s="418"/>
    </row>
    <row r="253" spans="1:19" x14ac:dyDescent="0.3">
      <c r="A253" s="374"/>
      <c r="B253" s="374"/>
      <c r="C253" s="374"/>
      <c r="D253" s="374"/>
      <c r="E253" s="415"/>
      <c r="F253" s="415"/>
      <c r="G253" s="374"/>
      <c r="H253" s="72" t="s">
        <v>264</v>
      </c>
      <c r="I253" s="73"/>
      <c r="J253" s="170"/>
      <c r="K253" s="73">
        <v>17</v>
      </c>
      <c r="L253" s="73">
        <f t="shared" si="6"/>
        <v>5.4140127388535034E-2</v>
      </c>
      <c r="M253" s="73"/>
      <c r="N253" s="171"/>
      <c r="O253" s="129">
        <f>(0.17994-2.78776*L253+14.44961*L253^2)*'Key Data'!$I$18*'Key Data'!$F$18</f>
        <v>4.4959535371617509E-2</v>
      </c>
      <c r="P253" s="169">
        <f>O253*(1+'Key Data'!F$3)</f>
        <v>5.6199419214521887E-2</v>
      </c>
      <c r="Q253" s="379"/>
      <c r="R253" s="379"/>
      <c r="S253" s="418"/>
    </row>
    <row r="254" spans="1:19" x14ac:dyDescent="0.3">
      <c r="A254" s="374"/>
      <c r="B254" s="374"/>
      <c r="C254" s="374"/>
      <c r="D254" s="374"/>
      <c r="E254" s="415"/>
      <c r="F254" s="415"/>
      <c r="G254" s="374"/>
      <c r="H254" s="72" t="s">
        <v>264</v>
      </c>
      <c r="I254" s="73"/>
      <c r="J254" s="170"/>
      <c r="K254" s="73">
        <v>19</v>
      </c>
      <c r="L254" s="73">
        <f t="shared" si="6"/>
        <v>6.0509554140127389E-2</v>
      </c>
      <c r="M254" s="73"/>
      <c r="N254" s="171"/>
      <c r="O254" s="129">
        <f>(0.17994-2.78776*L254+14.44961*L254^2)*'Key Data'!$I$18*'Key Data'!$F$18</f>
        <v>4.0420658979066083E-2</v>
      </c>
      <c r="P254" s="169">
        <f>O254*(1+'Key Data'!F$3)</f>
        <v>5.0525823723832602E-2</v>
      </c>
      <c r="Q254" s="379"/>
      <c r="R254" s="379"/>
      <c r="S254" s="418"/>
    </row>
    <row r="255" spans="1:19" x14ac:dyDescent="0.3">
      <c r="A255" s="374"/>
      <c r="B255" s="374"/>
      <c r="C255" s="374"/>
      <c r="D255" s="374"/>
      <c r="E255" s="415"/>
      <c r="F255" s="415"/>
      <c r="G255" s="374"/>
      <c r="H255" s="72" t="s">
        <v>264</v>
      </c>
      <c r="I255" s="73"/>
      <c r="J255" s="170"/>
      <c r="K255" s="73">
        <v>25.8</v>
      </c>
      <c r="L255" s="73">
        <f t="shared" si="6"/>
        <v>8.2165605095541411E-2</v>
      </c>
      <c r="M255" s="73"/>
      <c r="N255" s="171"/>
      <c r="O255" s="129">
        <f>(0.17994-2.78776*L255+14.44961*L255^2)*'Key Data'!$I$18*'Key Data'!$F$18</f>
        <v>3.0513437024747455E-2</v>
      </c>
      <c r="P255" s="169">
        <f>O255*(1+'Key Data'!F$3)</f>
        <v>3.8141796280934316E-2</v>
      </c>
      <c r="Q255" s="379"/>
      <c r="R255" s="379"/>
      <c r="S255" s="418"/>
    </row>
    <row r="256" spans="1:19" x14ac:dyDescent="0.3">
      <c r="A256" s="374"/>
      <c r="B256" s="374"/>
      <c r="C256" s="374"/>
      <c r="D256" s="374"/>
      <c r="E256" s="415"/>
      <c r="F256" s="415"/>
      <c r="G256" s="374"/>
      <c r="H256" s="72" t="s">
        <v>264</v>
      </c>
      <c r="I256" s="73"/>
      <c r="J256" s="170"/>
      <c r="K256" s="73">
        <v>26.2</v>
      </c>
      <c r="L256" s="73">
        <f t="shared" si="6"/>
        <v>8.3439490445859868E-2</v>
      </c>
      <c r="M256" s="73"/>
      <c r="N256" s="171"/>
      <c r="O256" s="129">
        <f>(0.17994-2.78776*L256+14.44961*L256^2)*'Key Data'!$I$18*'Key Data'!$F$18</f>
        <v>3.0196566321676332E-2</v>
      </c>
      <c r="P256" s="169">
        <f>O256*(1+'Key Data'!F$3)</f>
        <v>3.7745707902095416E-2</v>
      </c>
      <c r="Q256" s="379"/>
      <c r="R256" s="379"/>
      <c r="S256" s="418"/>
    </row>
    <row r="257" spans="1:19" x14ac:dyDescent="0.3">
      <c r="A257" s="374"/>
      <c r="B257" s="374"/>
      <c r="C257" s="374"/>
      <c r="D257" s="374"/>
      <c r="E257" s="415"/>
      <c r="F257" s="415"/>
      <c r="G257" s="374"/>
      <c r="H257" s="72" t="s">
        <v>264</v>
      </c>
      <c r="I257" s="73"/>
      <c r="J257" s="170"/>
      <c r="K257" s="73">
        <v>28.5</v>
      </c>
      <c r="L257" s="73">
        <f t="shared" si="6"/>
        <v>9.0764331210191077E-2</v>
      </c>
      <c r="M257" s="73"/>
      <c r="N257" s="171"/>
      <c r="O257" s="129">
        <f>(0.17994-2.78776*L257+14.44961*L257^2)*'Key Data'!$I$18*'Key Data'!$F$18</f>
        <v>2.8947921874873217E-2</v>
      </c>
      <c r="P257" s="169">
        <f>O257*(1+'Key Data'!F$3)</f>
        <v>3.6184902343591521E-2</v>
      </c>
      <c r="Q257" s="379"/>
      <c r="R257" s="379"/>
      <c r="S257" s="418"/>
    </row>
    <row r="258" spans="1:19" x14ac:dyDescent="0.3">
      <c r="A258" s="374"/>
      <c r="B258" s="374"/>
      <c r="C258" s="374"/>
      <c r="D258" s="374"/>
      <c r="E258" s="415"/>
      <c r="F258" s="415"/>
      <c r="G258" s="374"/>
      <c r="H258" s="72" t="s">
        <v>264</v>
      </c>
      <c r="I258" s="73"/>
      <c r="J258" s="170"/>
      <c r="K258" s="73">
        <v>43.5</v>
      </c>
      <c r="L258" s="73">
        <f t="shared" si="6"/>
        <v>0.13853503184713375</v>
      </c>
      <c r="M258" s="73"/>
      <c r="N258" s="171"/>
      <c r="O258" s="129">
        <f>(0.17994-2.78776*L258+14.44961*L258^2)*'Key Data'!$I$18*'Key Data'!$F$18</f>
        <v>4.4763922483417158E-2</v>
      </c>
      <c r="P258" s="169">
        <f>O258*(1+'Key Data'!F$3)</f>
        <v>5.5954903104271446E-2</v>
      </c>
      <c r="Q258" s="379"/>
      <c r="R258" s="379"/>
      <c r="S258" s="418"/>
    </row>
    <row r="259" spans="1:19" x14ac:dyDescent="0.3">
      <c r="A259" s="367">
        <v>3</v>
      </c>
      <c r="B259" s="367" t="s">
        <v>412</v>
      </c>
      <c r="C259" s="367" t="s">
        <v>434</v>
      </c>
      <c r="D259" s="367" t="s">
        <v>270</v>
      </c>
      <c r="E259" s="416">
        <v>14.414237</v>
      </c>
      <c r="F259" s="416">
        <v>77.916844999999995</v>
      </c>
      <c r="G259" s="367">
        <v>2022</v>
      </c>
      <c r="H259" s="94" t="s">
        <v>481</v>
      </c>
      <c r="I259" s="165">
        <v>19</v>
      </c>
      <c r="J259" s="165">
        <f t="shared" ref="J259:J322" si="7">I259/3.14</f>
        <v>6.0509554140127388</v>
      </c>
      <c r="K259" s="165"/>
      <c r="L259" s="165"/>
      <c r="M259" s="165"/>
      <c r="N259" s="127">
        <f>3.14*J259/2*J259/2</f>
        <v>28.742038216560509</v>
      </c>
      <c r="O259" s="127">
        <f>(10^(-0.535+LOG10(N259)))/1000</f>
        <v>8.3852798730447587E-3</v>
      </c>
      <c r="P259" s="168">
        <f>O259*(1+'Key Data'!F$3)</f>
        <v>1.0481599841305948E-2</v>
      </c>
      <c r="Q259" s="366">
        <f>SUM(P259:P330)</f>
        <v>1.091035824811083</v>
      </c>
      <c r="R259" s="366">
        <f>Q259*10000/900</f>
        <v>12.122620275678699</v>
      </c>
      <c r="S259" s="418"/>
    </row>
    <row r="260" spans="1:19" x14ac:dyDescent="0.3">
      <c r="A260" s="367"/>
      <c r="B260" s="367"/>
      <c r="C260" s="367"/>
      <c r="D260" s="367"/>
      <c r="E260" s="416"/>
      <c r="F260" s="416"/>
      <c r="G260" s="367"/>
      <c r="H260" s="94" t="s">
        <v>481</v>
      </c>
      <c r="I260" s="165">
        <v>24</v>
      </c>
      <c r="J260" s="165">
        <f t="shared" si="7"/>
        <v>7.6433121019108281</v>
      </c>
      <c r="K260" s="165"/>
      <c r="L260" s="165"/>
      <c r="M260" s="165"/>
      <c r="N260" s="127">
        <f t="shared" ref="N260:N294" si="8">3.14*J260/2*J260/2</f>
        <v>45.859872611464965</v>
      </c>
      <c r="O260" s="127">
        <f t="shared" ref="O260:O323" si="9">(10^(-0.535+LOG10(N260)))/1000</f>
        <v>1.3379283121534021E-2</v>
      </c>
      <c r="P260" s="168">
        <f>O260*(1+'Key Data'!F$3)</f>
        <v>1.6724103901917527E-2</v>
      </c>
      <c r="Q260" s="366"/>
      <c r="R260" s="366"/>
      <c r="S260" s="418"/>
    </row>
    <row r="261" spans="1:19" x14ac:dyDescent="0.3">
      <c r="A261" s="367"/>
      <c r="B261" s="367"/>
      <c r="C261" s="367"/>
      <c r="D261" s="367"/>
      <c r="E261" s="416"/>
      <c r="F261" s="416"/>
      <c r="G261" s="367"/>
      <c r="H261" s="94" t="s">
        <v>481</v>
      </c>
      <c r="I261" s="165">
        <v>29.1</v>
      </c>
      <c r="J261" s="165">
        <f t="shared" si="7"/>
        <v>9.2675159235668794</v>
      </c>
      <c r="K261" s="165"/>
      <c r="L261" s="165"/>
      <c r="M261" s="165"/>
      <c r="N261" s="127">
        <f t="shared" si="8"/>
        <v>67.421178343949052</v>
      </c>
      <c r="O261" s="127">
        <f t="shared" si="9"/>
        <v>1.9669636701642741E-2</v>
      </c>
      <c r="P261" s="168">
        <f>O261*(1+'Key Data'!F$3)</f>
        <v>2.4587045877053425E-2</v>
      </c>
      <c r="Q261" s="366"/>
      <c r="R261" s="366"/>
      <c r="S261" s="418"/>
    </row>
    <row r="262" spans="1:19" x14ac:dyDescent="0.3">
      <c r="A262" s="367"/>
      <c r="B262" s="367"/>
      <c r="C262" s="367"/>
      <c r="D262" s="367"/>
      <c r="E262" s="416"/>
      <c r="F262" s="416"/>
      <c r="G262" s="367"/>
      <c r="H262" s="94" t="s">
        <v>481</v>
      </c>
      <c r="I262" s="165">
        <v>30.5</v>
      </c>
      <c r="J262" s="165">
        <f t="shared" si="7"/>
        <v>9.7133757961783438</v>
      </c>
      <c r="K262" s="165"/>
      <c r="L262" s="165"/>
      <c r="M262" s="165"/>
      <c r="N262" s="127">
        <f t="shared" si="8"/>
        <v>74.064490445859875</v>
      </c>
      <c r="O262" s="127">
        <f t="shared" si="9"/>
        <v>2.16077745204983E-2</v>
      </c>
      <c r="P262" s="168">
        <f>O262*(1+'Key Data'!F$3)</f>
        <v>2.7009718150622877E-2</v>
      </c>
      <c r="Q262" s="366"/>
      <c r="R262" s="366"/>
      <c r="S262" s="418"/>
    </row>
    <row r="263" spans="1:19" x14ac:dyDescent="0.3">
      <c r="A263" s="367"/>
      <c r="B263" s="367"/>
      <c r="C263" s="367"/>
      <c r="D263" s="367"/>
      <c r="E263" s="416"/>
      <c r="F263" s="416"/>
      <c r="G263" s="367"/>
      <c r="H263" s="94" t="s">
        <v>481</v>
      </c>
      <c r="I263" s="165">
        <v>23.5</v>
      </c>
      <c r="J263" s="165">
        <f t="shared" si="7"/>
        <v>7.484076433121019</v>
      </c>
      <c r="K263" s="165"/>
      <c r="L263" s="165"/>
      <c r="M263" s="165"/>
      <c r="N263" s="127">
        <f t="shared" si="8"/>
        <v>43.968949044585983</v>
      </c>
      <c r="O263" s="127">
        <f t="shared" si="9"/>
        <v>1.2827619971991593E-2</v>
      </c>
      <c r="P263" s="168">
        <f>O263*(1+'Key Data'!F$3)</f>
        <v>1.6034524964989492E-2</v>
      </c>
      <c r="Q263" s="366"/>
      <c r="R263" s="366"/>
      <c r="S263" s="418"/>
    </row>
    <row r="264" spans="1:19" x14ac:dyDescent="0.3">
      <c r="A264" s="367"/>
      <c r="B264" s="367"/>
      <c r="C264" s="367"/>
      <c r="D264" s="367"/>
      <c r="E264" s="416"/>
      <c r="F264" s="416"/>
      <c r="G264" s="367"/>
      <c r="H264" s="94" t="s">
        <v>481</v>
      </c>
      <c r="I264" s="165">
        <v>21</v>
      </c>
      <c r="J264" s="165">
        <f t="shared" si="7"/>
        <v>6.6878980891719744</v>
      </c>
      <c r="K264" s="165"/>
      <c r="L264" s="165"/>
      <c r="M264" s="165"/>
      <c r="N264" s="127">
        <f t="shared" si="8"/>
        <v>35.111464968152866</v>
      </c>
      <c r="O264" s="127">
        <f t="shared" si="9"/>
        <v>1.0243513639924477E-2</v>
      </c>
      <c r="P264" s="168">
        <f>O264*(1+'Key Data'!F$3)</f>
        <v>1.2804392049905597E-2</v>
      </c>
      <c r="Q264" s="366"/>
      <c r="R264" s="366"/>
      <c r="S264" s="418"/>
    </row>
    <row r="265" spans="1:19" x14ac:dyDescent="0.3">
      <c r="A265" s="367"/>
      <c r="B265" s="367"/>
      <c r="C265" s="367"/>
      <c r="D265" s="367"/>
      <c r="E265" s="416"/>
      <c r="F265" s="416"/>
      <c r="G265" s="367"/>
      <c r="H265" s="94" t="s">
        <v>481</v>
      </c>
      <c r="I265" s="165">
        <v>27</v>
      </c>
      <c r="J265" s="165">
        <f t="shared" si="7"/>
        <v>8.598726114649681</v>
      </c>
      <c r="K265" s="165"/>
      <c r="L265" s="165"/>
      <c r="M265" s="165"/>
      <c r="N265" s="127">
        <f t="shared" si="8"/>
        <v>58.041401273885349</v>
      </c>
      <c r="O265" s="127">
        <f t="shared" si="9"/>
        <v>1.6933155200691483E-2</v>
      </c>
      <c r="P265" s="168">
        <f>O265*(1+'Key Data'!F$3)</f>
        <v>2.1166444000864353E-2</v>
      </c>
      <c r="Q265" s="366"/>
      <c r="R265" s="366"/>
      <c r="S265" s="418"/>
    </row>
    <row r="266" spans="1:19" x14ac:dyDescent="0.3">
      <c r="A266" s="367"/>
      <c r="B266" s="367"/>
      <c r="C266" s="367"/>
      <c r="D266" s="367"/>
      <c r="E266" s="416"/>
      <c r="F266" s="416"/>
      <c r="G266" s="367"/>
      <c r="H266" s="94" t="s">
        <v>481</v>
      </c>
      <c r="I266" s="165">
        <v>26</v>
      </c>
      <c r="J266" s="165">
        <f t="shared" si="7"/>
        <v>8.2802547770700627</v>
      </c>
      <c r="K266" s="165"/>
      <c r="L266" s="165"/>
      <c r="M266" s="165"/>
      <c r="N266" s="127">
        <f t="shared" si="8"/>
        <v>53.821656050955397</v>
      </c>
      <c r="O266" s="127">
        <f t="shared" si="9"/>
        <v>1.570207533013367E-2</v>
      </c>
      <c r="P266" s="168">
        <f>O266*(1+'Key Data'!F$3)</f>
        <v>1.9627594162667086E-2</v>
      </c>
      <c r="Q266" s="366"/>
      <c r="R266" s="366"/>
      <c r="S266" s="418"/>
    </row>
    <row r="267" spans="1:19" x14ac:dyDescent="0.3">
      <c r="A267" s="367"/>
      <c r="B267" s="367"/>
      <c r="C267" s="367"/>
      <c r="D267" s="367"/>
      <c r="E267" s="416"/>
      <c r="F267" s="416"/>
      <c r="G267" s="367"/>
      <c r="H267" s="94" t="s">
        <v>481</v>
      </c>
      <c r="I267" s="165">
        <v>21</v>
      </c>
      <c r="J267" s="165">
        <f t="shared" si="7"/>
        <v>6.6878980891719744</v>
      </c>
      <c r="K267" s="165"/>
      <c r="L267" s="165"/>
      <c r="M267" s="165"/>
      <c r="N267" s="127">
        <f t="shared" si="8"/>
        <v>35.111464968152866</v>
      </c>
      <c r="O267" s="127">
        <f t="shared" si="9"/>
        <v>1.0243513639924477E-2</v>
      </c>
      <c r="P267" s="168">
        <f>O267*(1+'Key Data'!F$3)</f>
        <v>1.2804392049905597E-2</v>
      </c>
      <c r="Q267" s="366"/>
      <c r="R267" s="366"/>
      <c r="S267" s="418"/>
    </row>
    <row r="268" spans="1:19" x14ac:dyDescent="0.3">
      <c r="A268" s="367"/>
      <c r="B268" s="367"/>
      <c r="C268" s="367"/>
      <c r="D268" s="367"/>
      <c r="E268" s="416"/>
      <c r="F268" s="416"/>
      <c r="G268" s="367"/>
      <c r="H268" s="94" t="s">
        <v>481</v>
      </c>
      <c r="I268" s="165">
        <v>27</v>
      </c>
      <c r="J268" s="165">
        <f t="shared" si="7"/>
        <v>8.598726114649681</v>
      </c>
      <c r="K268" s="165"/>
      <c r="L268" s="165"/>
      <c r="M268" s="165"/>
      <c r="N268" s="127">
        <f t="shared" si="8"/>
        <v>58.041401273885349</v>
      </c>
      <c r="O268" s="127">
        <f t="shared" si="9"/>
        <v>1.6933155200691483E-2</v>
      </c>
      <c r="P268" s="168">
        <f>O268*(1+'Key Data'!F$3)</f>
        <v>2.1166444000864353E-2</v>
      </c>
      <c r="Q268" s="366"/>
      <c r="R268" s="366"/>
      <c r="S268" s="418"/>
    </row>
    <row r="269" spans="1:19" x14ac:dyDescent="0.3">
      <c r="A269" s="367"/>
      <c r="B269" s="367"/>
      <c r="C269" s="367"/>
      <c r="D269" s="367"/>
      <c r="E269" s="416"/>
      <c r="F269" s="416"/>
      <c r="G269" s="367"/>
      <c r="H269" s="94" t="s">
        <v>481</v>
      </c>
      <c r="I269" s="165">
        <v>29.5</v>
      </c>
      <c r="J269" s="165">
        <f t="shared" si="7"/>
        <v>9.3949044585987256</v>
      </c>
      <c r="K269" s="165"/>
      <c r="L269" s="165"/>
      <c r="M269" s="165"/>
      <c r="N269" s="127">
        <f t="shared" si="8"/>
        <v>69.287420382165607</v>
      </c>
      <c r="O269" s="127">
        <f t="shared" si="9"/>
        <v>2.0214099195338495E-2</v>
      </c>
      <c r="P269" s="168">
        <f>O269*(1+'Key Data'!F$3)</f>
        <v>2.5267623994173118E-2</v>
      </c>
      <c r="Q269" s="366"/>
      <c r="R269" s="366"/>
      <c r="S269" s="418"/>
    </row>
    <row r="270" spans="1:19" x14ac:dyDescent="0.3">
      <c r="A270" s="367"/>
      <c r="B270" s="367"/>
      <c r="C270" s="367"/>
      <c r="D270" s="367"/>
      <c r="E270" s="416"/>
      <c r="F270" s="416"/>
      <c r="G270" s="367"/>
      <c r="H270" s="94" t="s">
        <v>481</v>
      </c>
      <c r="I270" s="165">
        <v>23.2</v>
      </c>
      <c r="J270" s="165">
        <f t="shared" si="7"/>
        <v>7.388535031847133</v>
      </c>
      <c r="K270" s="165"/>
      <c r="L270" s="165"/>
      <c r="M270" s="165"/>
      <c r="N270" s="127">
        <f t="shared" si="8"/>
        <v>42.853503184713368</v>
      </c>
      <c r="O270" s="127">
        <f t="shared" si="9"/>
        <v>1.2502196783566781E-2</v>
      </c>
      <c r="P270" s="168">
        <f>O270*(1+'Key Data'!F$3)</f>
        <v>1.5627745979458478E-2</v>
      </c>
      <c r="Q270" s="366"/>
      <c r="R270" s="366"/>
      <c r="S270" s="418"/>
    </row>
    <row r="271" spans="1:19" x14ac:dyDescent="0.3">
      <c r="A271" s="367"/>
      <c r="B271" s="367"/>
      <c r="C271" s="367"/>
      <c r="D271" s="367"/>
      <c r="E271" s="416"/>
      <c r="F271" s="416"/>
      <c r="G271" s="367"/>
      <c r="H271" s="94" t="s">
        <v>481</v>
      </c>
      <c r="I271" s="165">
        <v>23.5</v>
      </c>
      <c r="J271" s="165">
        <f t="shared" si="7"/>
        <v>7.484076433121019</v>
      </c>
      <c r="K271" s="165"/>
      <c r="L271" s="165"/>
      <c r="M271" s="165"/>
      <c r="N271" s="127">
        <f t="shared" si="8"/>
        <v>43.968949044585983</v>
      </c>
      <c r="O271" s="127">
        <f t="shared" si="9"/>
        <v>1.2827619971991593E-2</v>
      </c>
      <c r="P271" s="168">
        <f>O271*(1+'Key Data'!F$3)</f>
        <v>1.6034524964989492E-2</v>
      </c>
      <c r="Q271" s="366"/>
      <c r="R271" s="366"/>
      <c r="S271" s="418"/>
    </row>
    <row r="272" spans="1:19" x14ac:dyDescent="0.3">
      <c r="A272" s="367"/>
      <c r="B272" s="367"/>
      <c r="C272" s="367"/>
      <c r="D272" s="367"/>
      <c r="E272" s="416"/>
      <c r="F272" s="416"/>
      <c r="G272" s="367"/>
      <c r="H272" s="94" t="s">
        <v>481</v>
      </c>
      <c r="I272" s="165">
        <v>24.5</v>
      </c>
      <c r="J272" s="165">
        <f t="shared" si="7"/>
        <v>7.8025477707006363</v>
      </c>
      <c r="K272" s="165"/>
      <c r="L272" s="165"/>
      <c r="M272" s="165"/>
      <c r="N272" s="127">
        <f t="shared" si="8"/>
        <v>47.790605095541395</v>
      </c>
      <c r="O272" s="127">
        <f t="shared" si="9"/>
        <v>1.3942560232119433E-2</v>
      </c>
      <c r="P272" s="168">
        <f>O272*(1+'Key Data'!F$3)</f>
        <v>1.7428200290149291E-2</v>
      </c>
      <c r="Q272" s="366"/>
      <c r="R272" s="366"/>
      <c r="S272" s="418"/>
    </row>
    <row r="273" spans="1:19" x14ac:dyDescent="0.3">
      <c r="A273" s="367"/>
      <c r="B273" s="367"/>
      <c r="C273" s="367"/>
      <c r="D273" s="367"/>
      <c r="E273" s="416"/>
      <c r="F273" s="416"/>
      <c r="G273" s="367"/>
      <c r="H273" s="94" t="s">
        <v>481</v>
      </c>
      <c r="I273" s="165">
        <v>26.5</v>
      </c>
      <c r="J273" s="165">
        <f t="shared" si="7"/>
        <v>8.4394904458598727</v>
      </c>
      <c r="K273" s="165"/>
      <c r="L273" s="165"/>
      <c r="M273" s="165"/>
      <c r="N273" s="127">
        <f t="shared" si="8"/>
        <v>55.91162420382166</v>
      </c>
      <c r="O273" s="127">
        <f t="shared" si="9"/>
        <v>1.631180828489108E-2</v>
      </c>
      <c r="P273" s="168">
        <f>O273*(1+'Key Data'!F$3)</f>
        <v>2.038976035611385E-2</v>
      </c>
      <c r="Q273" s="366"/>
      <c r="R273" s="366"/>
      <c r="S273" s="418"/>
    </row>
    <row r="274" spans="1:19" x14ac:dyDescent="0.3">
      <c r="A274" s="367"/>
      <c r="B274" s="367"/>
      <c r="C274" s="367"/>
      <c r="D274" s="367"/>
      <c r="E274" s="416"/>
      <c r="F274" s="416"/>
      <c r="G274" s="367"/>
      <c r="H274" s="94" t="s">
        <v>481</v>
      </c>
      <c r="I274" s="165">
        <v>30.5</v>
      </c>
      <c r="J274" s="165">
        <f t="shared" si="7"/>
        <v>9.7133757961783438</v>
      </c>
      <c r="K274" s="165"/>
      <c r="L274" s="165"/>
      <c r="M274" s="165"/>
      <c r="N274" s="127">
        <f t="shared" si="8"/>
        <v>74.064490445859875</v>
      </c>
      <c r="O274" s="127">
        <f t="shared" si="9"/>
        <v>2.16077745204983E-2</v>
      </c>
      <c r="P274" s="168">
        <f>O274*(1+'Key Data'!F$3)</f>
        <v>2.7009718150622877E-2</v>
      </c>
      <c r="Q274" s="366"/>
      <c r="R274" s="366"/>
      <c r="S274" s="418"/>
    </row>
    <row r="275" spans="1:19" x14ac:dyDescent="0.3">
      <c r="A275" s="367"/>
      <c r="B275" s="367"/>
      <c r="C275" s="367"/>
      <c r="D275" s="367"/>
      <c r="E275" s="416"/>
      <c r="F275" s="416"/>
      <c r="G275" s="367"/>
      <c r="H275" s="94" t="s">
        <v>481</v>
      </c>
      <c r="I275" s="165">
        <v>28</v>
      </c>
      <c r="J275" s="165">
        <f t="shared" si="7"/>
        <v>8.9171974522292992</v>
      </c>
      <c r="K275" s="165"/>
      <c r="L275" s="165"/>
      <c r="M275" s="165"/>
      <c r="N275" s="127">
        <f t="shared" si="8"/>
        <v>62.420382165605091</v>
      </c>
      <c r="O275" s="127">
        <f t="shared" si="9"/>
        <v>1.8210690915421299E-2</v>
      </c>
      <c r="P275" s="168">
        <f>O275*(1+'Key Data'!F$3)</f>
        <v>2.2763363644276623E-2</v>
      </c>
      <c r="Q275" s="366"/>
      <c r="R275" s="366"/>
      <c r="S275" s="418"/>
    </row>
    <row r="276" spans="1:19" x14ac:dyDescent="0.3">
      <c r="A276" s="367"/>
      <c r="B276" s="367"/>
      <c r="C276" s="367"/>
      <c r="D276" s="367"/>
      <c r="E276" s="416"/>
      <c r="F276" s="416"/>
      <c r="G276" s="367"/>
      <c r="H276" s="94" t="s">
        <v>481</v>
      </c>
      <c r="I276" s="165">
        <v>24</v>
      </c>
      <c r="J276" s="165">
        <f t="shared" si="7"/>
        <v>7.6433121019108281</v>
      </c>
      <c r="K276" s="165"/>
      <c r="L276" s="165"/>
      <c r="M276" s="165"/>
      <c r="N276" s="127">
        <f t="shared" si="8"/>
        <v>45.859872611464965</v>
      </c>
      <c r="O276" s="127">
        <f t="shared" si="9"/>
        <v>1.3379283121534021E-2</v>
      </c>
      <c r="P276" s="168">
        <f>O276*(1+'Key Data'!F$3)</f>
        <v>1.6724103901917527E-2</v>
      </c>
      <c r="Q276" s="366"/>
      <c r="R276" s="366"/>
      <c r="S276" s="418"/>
    </row>
    <row r="277" spans="1:19" x14ac:dyDescent="0.3">
      <c r="A277" s="367"/>
      <c r="B277" s="367"/>
      <c r="C277" s="367"/>
      <c r="D277" s="367"/>
      <c r="E277" s="416"/>
      <c r="F277" s="416"/>
      <c r="G277" s="367"/>
      <c r="H277" s="94" t="s">
        <v>481</v>
      </c>
      <c r="I277" s="165">
        <v>27</v>
      </c>
      <c r="J277" s="165">
        <f t="shared" si="7"/>
        <v>8.598726114649681</v>
      </c>
      <c r="K277" s="165"/>
      <c r="L277" s="165"/>
      <c r="M277" s="165"/>
      <c r="N277" s="127">
        <f t="shared" si="8"/>
        <v>58.041401273885349</v>
      </c>
      <c r="O277" s="127">
        <f t="shared" si="9"/>
        <v>1.6933155200691483E-2</v>
      </c>
      <c r="P277" s="168">
        <f>O277*(1+'Key Data'!F$3)</f>
        <v>2.1166444000864353E-2</v>
      </c>
      <c r="Q277" s="366"/>
      <c r="R277" s="366"/>
      <c r="S277" s="418"/>
    </row>
    <row r="278" spans="1:19" x14ac:dyDescent="0.3">
      <c r="A278" s="367"/>
      <c r="B278" s="367"/>
      <c r="C278" s="367"/>
      <c r="D278" s="367"/>
      <c r="E278" s="416"/>
      <c r="F278" s="416"/>
      <c r="G278" s="367"/>
      <c r="H278" s="94" t="s">
        <v>481</v>
      </c>
      <c r="I278" s="165">
        <v>19.5</v>
      </c>
      <c r="J278" s="165">
        <f t="shared" si="7"/>
        <v>6.2101910828025479</v>
      </c>
      <c r="K278" s="165"/>
      <c r="L278" s="165"/>
      <c r="M278" s="165"/>
      <c r="N278" s="127">
        <f t="shared" si="8"/>
        <v>30.27468152866242</v>
      </c>
      <c r="O278" s="127">
        <f t="shared" si="9"/>
        <v>8.8324173732001882E-3</v>
      </c>
      <c r="P278" s="168">
        <f>O278*(1+'Key Data'!F$3)</f>
        <v>1.1040521716500235E-2</v>
      </c>
      <c r="Q278" s="366"/>
      <c r="R278" s="366"/>
      <c r="S278" s="418"/>
    </row>
    <row r="279" spans="1:19" x14ac:dyDescent="0.3">
      <c r="A279" s="367"/>
      <c r="B279" s="367"/>
      <c r="C279" s="367"/>
      <c r="D279" s="367"/>
      <c r="E279" s="416"/>
      <c r="F279" s="416"/>
      <c r="G279" s="367"/>
      <c r="H279" s="94" t="s">
        <v>481</v>
      </c>
      <c r="I279" s="165">
        <v>25</v>
      </c>
      <c r="J279" s="165">
        <f t="shared" si="7"/>
        <v>7.9617834394904454</v>
      </c>
      <c r="K279" s="165"/>
      <c r="L279" s="165"/>
      <c r="M279" s="165"/>
      <c r="N279" s="127">
        <f t="shared" si="8"/>
        <v>49.761146496815286</v>
      </c>
      <c r="O279" s="127">
        <f t="shared" si="9"/>
        <v>1.4517451303747849E-2</v>
      </c>
      <c r="P279" s="168">
        <f>O279*(1+'Key Data'!F$3)</f>
        <v>1.8146814129684812E-2</v>
      </c>
      <c r="Q279" s="366"/>
      <c r="R279" s="366"/>
      <c r="S279" s="418"/>
    </row>
    <row r="280" spans="1:19" x14ac:dyDescent="0.3">
      <c r="A280" s="367"/>
      <c r="B280" s="367"/>
      <c r="C280" s="367"/>
      <c r="D280" s="367"/>
      <c r="E280" s="416"/>
      <c r="F280" s="416"/>
      <c r="G280" s="367"/>
      <c r="H280" s="94" t="s">
        <v>481</v>
      </c>
      <c r="I280" s="165">
        <v>26.5</v>
      </c>
      <c r="J280" s="165">
        <f t="shared" si="7"/>
        <v>8.4394904458598727</v>
      </c>
      <c r="K280" s="165"/>
      <c r="L280" s="165"/>
      <c r="M280" s="165"/>
      <c r="N280" s="127">
        <f t="shared" si="8"/>
        <v>55.91162420382166</v>
      </c>
      <c r="O280" s="127">
        <f t="shared" si="9"/>
        <v>1.631180828489108E-2</v>
      </c>
      <c r="P280" s="168">
        <f>O280*(1+'Key Data'!F$3)</f>
        <v>2.038976035611385E-2</v>
      </c>
      <c r="Q280" s="366"/>
      <c r="R280" s="366"/>
      <c r="S280" s="418"/>
    </row>
    <row r="281" spans="1:19" x14ac:dyDescent="0.3">
      <c r="A281" s="367"/>
      <c r="B281" s="367"/>
      <c r="C281" s="367"/>
      <c r="D281" s="367"/>
      <c r="E281" s="416"/>
      <c r="F281" s="416"/>
      <c r="G281" s="367"/>
      <c r="H281" s="94" t="s">
        <v>481</v>
      </c>
      <c r="I281" s="165">
        <v>27</v>
      </c>
      <c r="J281" s="165">
        <f t="shared" si="7"/>
        <v>8.598726114649681</v>
      </c>
      <c r="K281" s="165"/>
      <c r="L281" s="165"/>
      <c r="M281" s="165"/>
      <c r="N281" s="127">
        <f t="shared" si="8"/>
        <v>58.041401273885349</v>
      </c>
      <c r="O281" s="127">
        <f t="shared" si="9"/>
        <v>1.6933155200691483E-2</v>
      </c>
      <c r="P281" s="168">
        <f>O281*(1+'Key Data'!F$3)</f>
        <v>2.1166444000864353E-2</v>
      </c>
      <c r="Q281" s="366"/>
      <c r="R281" s="366"/>
      <c r="S281" s="418"/>
    </row>
    <row r="282" spans="1:19" x14ac:dyDescent="0.3">
      <c r="A282" s="367"/>
      <c r="B282" s="367"/>
      <c r="C282" s="367"/>
      <c r="D282" s="367"/>
      <c r="E282" s="416"/>
      <c r="F282" s="416"/>
      <c r="G282" s="367"/>
      <c r="H282" s="94" t="s">
        <v>481</v>
      </c>
      <c r="I282" s="165">
        <v>29</v>
      </c>
      <c r="J282" s="165">
        <f t="shared" si="7"/>
        <v>9.2356687898089174</v>
      </c>
      <c r="K282" s="165"/>
      <c r="L282" s="165"/>
      <c r="M282" s="165"/>
      <c r="N282" s="127">
        <f t="shared" si="8"/>
        <v>66.958598726114644</v>
      </c>
      <c r="O282" s="127">
        <f t="shared" si="9"/>
        <v>1.9534682474323103E-2</v>
      </c>
      <c r="P282" s="168">
        <f>O282*(1+'Key Data'!F$3)</f>
        <v>2.4418353092903879E-2</v>
      </c>
      <c r="Q282" s="366"/>
      <c r="R282" s="366"/>
      <c r="S282" s="418"/>
    </row>
    <row r="283" spans="1:19" x14ac:dyDescent="0.3">
      <c r="A283" s="367"/>
      <c r="B283" s="367"/>
      <c r="C283" s="367"/>
      <c r="D283" s="367"/>
      <c r="E283" s="416"/>
      <c r="F283" s="416"/>
      <c r="G283" s="367"/>
      <c r="H283" s="94" t="s">
        <v>481</v>
      </c>
      <c r="I283" s="165">
        <f>SQRT(15*15+23*23)</f>
        <v>27.459060435491963</v>
      </c>
      <c r="J283" s="165">
        <f t="shared" si="7"/>
        <v>8.7449237055706881</v>
      </c>
      <c r="K283" s="165"/>
      <c r="L283" s="165"/>
      <c r="M283" s="165"/>
      <c r="N283" s="127">
        <f t="shared" si="8"/>
        <v>60.031847133757964</v>
      </c>
      <c r="O283" s="127">
        <f t="shared" si="9"/>
        <v>1.7513853252841407E-2</v>
      </c>
      <c r="P283" s="168">
        <f>O283*(1+'Key Data'!F$3)</f>
        <v>2.1892316566051759E-2</v>
      </c>
      <c r="Q283" s="366"/>
      <c r="R283" s="366"/>
      <c r="S283" s="418"/>
    </row>
    <row r="284" spans="1:19" x14ac:dyDescent="0.3">
      <c r="A284" s="367"/>
      <c r="B284" s="367"/>
      <c r="C284" s="367"/>
      <c r="D284" s="367"/>
      <c r="E284" s="416"/>
      <c r="F284" s="416"/>
      <c r="G284" s="367"/>
      <c r="H284" s="94" t="s">
        <v>481</v>
      </c>
      <c r="I284" s="165">
        <v>26</v>
      </c>
      <c r="J284" s="165">
        <f t="shared" si="7"/>
        <v>8.2802547770700627</v>
      </c>
      <c r="K284" s="165"/>
      <c r="L284" s="165"/>
      <c r="M284" s="165"/>
      <c r="N284" s="127">
        <f t="shared" si="8"/>
        <v>53.821656050955397</v>
      </c>
      <c r="O284" s="127">
        <f t="shared" si="9"/>
        <v>1.570207533013367E-2</v>
      </c>
      <c r="P284" s="168">
        <f>O284*(1+'Key Data'!F$3)</f>
        <v>1.9627594162667086E-2</v>
      </c>
      <c r="Q284" s="366"/>
      <c r="R284" s="366"/>
      <c r="S284" s="418"/>
    </row>
    <row r="285" spans="1:19" x14ac:dyDescent="0.3">
      <c r="A285" s="367"/>
      <c r="B285" s="367"/>
      <c r="C285" s="367"/>
      <c r="D285" s="367"/>
      <c r="E285" s="416"/>
      <c r="F285" s="416"/>
      <c r="G285" s="367"/>
      <c r="H285" s="94" t="s">
        <v>481</v>
      </c>
      <c r="I285" s="165">
        <v>29.5</v>
      </c>
      <c r="J285" s="165">
        <f t="shared" si="7"/>
        <v>9.3949044585987256</v>
      </c>
      <c r="K285" s="165"/>
      <c r="L285" s="165"/>
      <c r="M285" s="165"/>
      <c r="N285" s="127">
        <f t="shared" si="8"/>
        <v>69.287420382165607</v>
      </c>
      <c r="O285" s="127">
        <f t="shared" si="9"/>
        <v>2.0214099195338495E-2</v>
      </c>
      <c r="P285" s="168">
        <f>O285*(1+'Key Data'!F$3)</f>
        <v>2.5267623994173118E-2</v>
      </c>
      <c r="Q285" s="366"/>
      <c r="R285" s="366"/>
      <c r="S285" s="418"/>
    </row>
    <row r="286" spans="1:19" x14ac:dyDescent="0.3">
      <c r="A286" s="367"/>
      <c r="B286" s="367"/>
      <c r="C286" s="367"/>
      <c r="D286" s="367"/>
      <c r="E286" s="416"/>
      <c r="F286" s="416"/>
      <c r="G286" s="367"/>
      <c r="H286" s="94" t="s">
        <v>481</v>
      </c>
      <c r="I286" s="165">
        <v>20</v>
      </c>
      <c r="J286" s="165">
        <f t="shared" si="7"/>
        <v>6.3694267515923562</v>
      </c>
      <c r="K286" s="165"/>
      <c r="L286" s="165"/>
      <c r="M286" s="165"/>
      <c r="N286" s="127">
        <f t="shared" si="8"/>
        <v>31.847133757961782</v>
      </c>
      <c r="O286" s="127">
        <f t="shared" si="9"/>
        <v>9.2911688343986203E-3</v>
      </c>
      <c r="P286" s="168">
        <f>O286*(1+'Key Data'!F$3)</f>
        <v>1.1613961042998276E-2</v>
      </c>
      <c r="Q286" s="366"/>
      <c r="R286" s="366"/>
      <c r="S286" s="418"/>
    </row>
    <row r="287" spans="1:19" x14ac:dyDescent="0.3">
      <c r="A287" s="367"/>
      <c r="B287" s="367"/>
      <c r="C287" s="367"/>
      <c r="D287" s="367"/>
      <c r="E287" s="416"/>
      <c r="F287" s="416"/>
      <c r="G287" s="367"/>
      <c r="H287" s="94" t="s">
        <v>481</v>
      </c>
      <c r="I287" s="165">
        <v>27.2</v>
      </c>
      <c r="J287" s="165">
        <f t="shared" si="7"/>
        <v>8.6624203821656049</v>
      </c>
      <c r="K287" s="165"/>
      <c r="L287" s="165"/>
      <c r="M287" s="165"/>
      <c r="N287" s="127">
        <f t="shared" si="8"/>
        <v>58.904458598726109</v>
      </c>
      <c r="O287" s="127">
        <f t="shared" si="9"/>
        <v>1.7184945876103686E-2</v>
      </c>
      <c r="P287" s="168">
        <f>O287*(1+'Key Data'!F$3)</f>
        <v>2.1481182345129607E-2</v>
      </c>
      <c r="Q287" s="366"/>
      <c r="R287" s="366"/>
      <c r="S287" s="418"/>
    </row>
    <row r="288" spans="1:19" x14ac:dyDescent="0.3">
      <c r="A288" s="367"/>
      <c r="B288" s="367"/>
      <c r="C288" s="367"/>
      <c r="D288" s="367"/>
      <c r="E288" s="416"/>
      <c r="F288" s="416"/>
      <c r="G288" s="367"/>
      <c r="H288" s="94" t="s">
        <v>481</v>
      </c>
      <c r="I288" s="165">
        <v>25.2</v>
      </c>
      <c r="J288" s="165">
        <f t="shared" si="7"/>
        <v>8.0254777070063685</v>
      </c>
      <c r="K288" s="165"/>
      <c r="L288" s="165"/>
      <c r="M288" s="165"/>
      <c r="N288" s="127">
        <f t="shared" si="8"/>
        <v>50.560509554140118</v>
      </c>
      <c r="O288" s="127">
        <f t="shared" si="9"/>
        <v>1.4750659641491257E-2</v>
      </c>
      <c r="P288" s="168">
        <f>O288*(1+'Key Data'!F$3)</f>
        <v>1.8438324551864071E-2</v>
      </c>
      <c r="Q288" s="366"/>
      <c r="R288" s="366"/>
      <c r="S288" s="418"/>
    </row>
    <row r="289" spans="1:19" x14ac:dyDescent="0.3">
      <c r="A289" s="367"/>
      <c r="B289" s="367"/>
      <c r="C289" s="367"/>
      <c r="D289" s="367"/>
      <c r="E289" s="416"/>
      <c r="F289" s="416"/>
      <c r="G289" s="367"/>
      <c r="H289" s="94" t="s">
        <v>481</v>
      </c>
      <c r="I289" s="165">
        <v>23.8</v>
      </c>
      <c r="J289" s="165">
        <f t="shared" si="7"/>
        <v>7.5796178343949041</v>
      </c>
      <c r="K289" s="165"/>
      <c r="L289" s="165"/>
      <c r="M289" s="165"/>
      <c r="N289" s="127">
        <f t="shared" si="8"/>
        <v>45.098726114649679</v>
      </c>
      <c r="O289" s="127">
        <f t="shared" si="9"/>
        <v>1.3157224186391894E-2</v>
      </c>
      <c r="P289" s="168">
        <f>O289*(1+'Key Data'!F$3)</f>
        <v>1.6446530232989868E-2</v>
      </c>
      <c r="Q289" s="366"/>
      <c r="R289" s="366"/>
      <c r="S289" s="418"/>
    </row>
    <row r="290" spans="1:19" x14ac:dyDescent="0.3">
      <c r="A290" s="367"/>
      <c r="B290" s="367"/>
      <c r="C290" s="367"/>
      <c r="D290" s="367"/>
      <c r="E290" s="416"/>
      <c r="F290" s="416"/>
      <c r="G290" s="367"/>
      <c r="H290" s="94" t="s">
        <v>481</v>
      </c>
      <c r="I290" s="165">
        <v>26</v>
      </c>
      <c r="J290" s="165">
        <f t="shared" si="7"/>
        <v>8.2802547770700627</v>
      </c>
      <c r="K290" s="165"/>
      <c r="L290" s="165"/>
      <c r="M290" s="165"/>
      <c r="N290" s="127">
        <f t="shared" si="8"/>
        <v>53.821656050955397</v>
      </c>
      <c r="O290" s="127">
        <f t="shared" si="9"/>
        <v>1.570207533013367E-2</v>
      </c>
      <c r="P290" s="168">
        <f>O290*(1+'Key Data'!F$3)</f>
        <v>1.9627594162667086E-2</v>
      </c>
      <c r="Q290" s="366"/>
      <c r="R290" s="366"/>
      <c r="S290" s="418"/>
    </row>
    <row r="291" spans="1:19" x14ac:dyDescent="0.3">
      <c r="A291" s="367"/>
      <c r="B291" s="367"/>
      <c r="C291" s="367"/>
      <c r="D291" s="367"/>
      <c r="E291" s="416"/>
      <c r="F291" s="416"/>
      <c r="G291" s="367"/>
      <c r="H291" s="94" t="s">
        <v>481</v>
      </c>
      <c r="I291" s="165">
        <v>25</v>
      </c>
      <c r="J291" s="165">
        <f t="shared" si="7"/>
        <v>7.9617834394904454</v>
      </c>
      <c r="K291" s="165"/>
      <c r="L291" s="165"/>
      <c r="M291" s="165"/>
      <c r="N291" s="127">
        <f t="shared" si="8"/>
        <v>49.761146496815286</v>
      </c>
      <c r="O291" s="127">
        <f t="shared" si="9"/>
        <v>1.4517451303747849E-2</v>
      </c>
      <c r="P291" s="168">
        <f>O291*(1+'Key Data'!F$3)</f>
        <v>1.8146814129684812E-2</v>
      </c>
      <c r="Q291" s="366"/>
      <c r="R291" s="366"/>
      <c r="S291" s="418"/>
    </row>
    <row r="292" spans="1:19" x14ac:dyDescent="0.3">
      <c r="A292" s="367"/>
      <c r="B292" s="367"/>
      <c r="C292" s="367"/>
      <c r="D292" s="367"/>
      <c r="E292" s="416"/>
      <c r="F292" s="416"/>
      <c r="G292" s="367"/>
      <c r="H292" s="94" t="s">
        <v>481</v>
      </c>
      <c r="I292" s="165">
        <v>28.2</v>
      </c>
      <c r="J292" s="165">
        <f t="shared" si="7"/>
        <v>8.9808917197452232</v>
      </c>
      <c r="K292" s="165"/>
      <c r="L292" s="165"/>
      <c r="M292" s="165"/>
      <c r="N292" s="127">
        <f t="shared" si="8"/>
        <v>63.315286624203829</v>
      </c>
      <c r="O292" s="127">
        <f t="shared" si="9"/>
        <v>1.8471772759667902E-2</v>
      </c>
      <c r="P292" s="168">
        <f>O292*(1+'Key Data'!F$3)</f>
        <v>2.308971594958488E-2</v>
      </c>
      <c r="Q292" s="366"/>
      <c r="R292" s="366"/>
      <c r="S292" s="418"/>
    </row>
    <row r="293" spans="1:19" x14ac:dyDescent="0.3">
      <c r="A293" s="367"/>
      <c r="B293" s="367"/>
      <c r="C293" s="367"/>
      <c r="D293" s="367"/>
      <c r="E293" s="416"/>
      <c r="F293" s="416"/>
      <c r="G293" s="367"/>
      <c r="H293" s="94" t="s">
        <v>481</v>
      </c>
      <c r="I293" s="165">
        <v>27</v>
      </c>
      <c r="J293" s="165">
        <f t="shared" si="7"/>
        <v>8.598726114649681</v>
      </c>
      <c r="K293" s="165"/>
      <c r="L293" s="165"/>
      <c r="M293" s="165"/>
      <c r="N293" s="127">
        <f t="shared" si="8"/>
        <v>58.041401273885349</v>
      </c>
      <c r="O293" s="127">
        <f t="shared" si="9"/>
        <v>1.6933155200691483E-2</v>
      </c>
      <c r="P293" s="168">
        <f>O293*(1+'Key Data'!F$3)</f>
        <v>2.1166444000864353E-2</v>
      </c>
      <c r="Q293" s="366"/>
      <c r="R293" s="366"/>
      <c r="S293" s="418"/>
    </row>
    <row r="294" spans="1:19" x14ac:dyDescent="0.3">
      <c r="A294" s="367"/>
      <c r="B294" s="367"/>
      <c r="C294" s="367"/>
      <c r="D294" s="367"/>
      <c r="E294" s="416"/>
      <c r="F294" s="416"/>
      <c r="G294" s="367"/>
      <c r="H294" s="94" t="s">
        <v>481</v>
      </c>
      <c r="I294" s="165">
        <v>25</v>
      </c>
      <c r="J294" s="165">
        <f t="shared" si="7"/>
        <v>7.9617834394904454</v>
      </c>
      <c r="K294" s="165"/>
      <c r="L294" s="165"/>
      <c r="M294" s="165"/>
      <c r="N294" s="127">
        <f t="shared" si="8"/>
        <v>49.761146496815286</v>
      </c>
      <c r="O294" s="127">
        <f t="shared" si="9"/>
        <v>1.4517451303747849E-2</v>
      </c>
      <c r="P294" s="168">
        <f>O294*(1+'Key Data'!F$3)</f>
        <v>1.8146814129684812E-2</v>
      </c>
      <c r="Q294" s="366"/>
      <c r="R294" s="366"/>
      <c r="S294" s="418"/>
    </row>
    <row r="295" spans="1:19" x14ac:dyDescent="0.3">
      <c r="A295" s="374">
        <v>4</v>
      </c>
      <c r="B295" s="374" t="s">
        <v>413</v>
      </c>
      <c r="C295" s="374" t="s">
        <v>434</v>
      </c>
      <c r="D295" s="374" t="s">
        <v>270</v>
      </c>
      <c r="E295" s="415">
        <v>14.418417</v>
      </c>
      <c r="F295" s="415">
        <v>77.918807000000001</v>
      </c>
      <c r="G295" s="374">
        <v>2022</v>
      </c>
      <c r="H295" s="72" t="s">
        <v>481</v>
      </c>
      <c r="I295" s="73">
        <f>SQRT(18.2*18.2+13.2*13.2)</f>
        <v>22.482882377488878</v>
      </c>
      <c r="J295" s="73">
        <f t="shared" si="7"/>
        <v>7.160153623404101</v>
      </c>
      <c r="K295" s="73"/>
      <c r="L295" s="73"/>
      <c r="M295" s="73"/>
      <c r="N295" s="129">
        <f t="shared" ref="N295:N313" si="10">3.14*J295/2*J295/2</f>
        <v>40.245222929936297</v>
      </c>
      <c r="O295" s="129">
        <f t="shared" si="9"/>
        <v>1.1741250056029537E-2</v>
      </c>
      <c r="P295" s="169">
        <f>O295*(1+'Key Data'!F$3)</f>
        <v>1.4676562570036921E-2</v>
      </c>
      <c r="Q295" s="379">
        <f>SUM(P295:P330)</f>
        <v>0.3961112719639947</v>
      </c>
      <c r="R295" s="379">
        <f>Q295*10000/900</f>
        <v>4.4012363551554969</v>
      </c>
      <c r="S295" s="418"/>
    </row>
    <row r="296" spans="1:19" x14ac:dyDescent="0.3">
      <c r="A296" s="374"/>
      <c r="B296" s="374"/>
      <c r="C296" s="374"/>
      <c r="D296" s="374"/>
      <c r="E296" s="415"/>
      <c r="F296" s="415"/>
      <c r="G296" s="374"/>
      <c r="H296" s="72" t="s">
        <v>481</v>
      </c>
      <c r="I296" s="73">
        <v>18</v>
      </c>
      <c r="J296" s="73">
        <f t="shared" si="7"/>
        <v>5.7324840764331206</v>
      </c>
      <c r="K296" s="73"/>
      <c r="L296" s="73"/>
      <c r="M296" s="73"/>
      <c r="N296" s="129">
        <f t="shared" si="10"/>
        <v>25.796178343949045</v>
      </c>
      <c r="O296" s="129">
        <f t="shared" si="9"/>
        <v>7.5258467558628854E-3</v>
      </c>
      <c r="P296" s="169">
        <f>O296*(1+'Key Data'!F$3)</f>
        <v>9.4073084448286076E-3</v>
      </c>
      <c r="Q296" s="379"/>
      <c r="R296" s="379"/>
      <c r="S296" s="418"/>
    </row>
    <row r="297" spans="1:19" x14ac:dyDescent="0.3">
      <c r="A297" s="374"/>
      <c r="B297" s="374"/>
      <c r="C297" s="374"/>
      <c r="D297" s="374"/>
      <c r="E297" s="415"/>
      <c r="F297" s="415"/>
      <c r="G297" s="374"/>
      <c r="H297" s="72" t="s">
        <v>481</v>
      </c>
      <c r="I297" s="73">
        <v>17</v>
      </c>
      <c r="J297" s="73">
        <f t="shared" si="7"/>
        <v>5.4140127388535033</v>
      </c>
      <c r="K297" s="73"/>
      <c r="L297" s="73"/>
      <c r="M297" s="73"/>
      <c r="N297" s="129">
        <f t="shared" si="10"/>
        <v>23.009554140127388</v>
      </c>
      <c r="O297" s="129">
        <f t="shared" si="9"/>
        <v>6.7128694828530022E-3</v>
      </c>
      <c r="P297" s="169">
        <f>O297*(1+'Key Data'!F$3)</f>
        <v>8.3910868535662531E-3</v>
      </c>
      <c r="Q297" s="379"/>
      <c r="R297" s="379"/>
      <c r="S297" s="418"/>
    </row>
    <row r="298" spans="1:19" x14ac:dyDescent="0.3">
      <c r="A298" s="374"/>
      <c r="B298" s="374"/>
      <c r="C298" s="374"/>
      <c r="D298" s="374"/>
      <c r="E298" s="415"/>
      <c r="F298" s="415"/>
      <c r="G298" s="374"/>
      <c r="H298" s="72" t="s">
        <v>481</v>
      </c>
      <c r="I298" s="73">
        <v>19</v>
      </c>
      <c r="J298" s="73">
        <f t="shared" si="7"/>
        <v>6.0509554140127388</v>
      </c>
      <c r="K298" s="73"/>
      <c r="L298" s="73"/>
      <c r="M298" s="73"/>
      <c r="N298" s="129">
        <f t="shared" si="10"/>
        <v>28.742038216560509</v>
      </c>
      <c r="O298" s="129">
        <f t="shared" si="9"/>
        <v>8.3852798730447587E-3</v>
      </c>
      <c r="P298" s="169">
        <f>O298*(1+'Key Data'!F$3)</f>
        <v>1.0481599841305948E-2</v>
      </c>
      <c r="Q298" s="379"/>
      <c r="R298" s="379"/>
      <c r="S298" s="418"/>
    </row>
    <row r="299" spans="1:19" x14ac:dyDescent="0.3">
      <c r="A299" s="374"/>
      <c r="B299" s="374"/>
      <c r="C299" s="374"/>
      <c r="D299" s="374"/>
      <c r="E299" s="415"/>
      <c r="F299" s="415"/>
      <c r="G299" s="374"/>
      <c r="H299" s="72" t="s">
        <v>481</v>
      </c>
      <c r="I299" s="73">
        <v>18</v>
      </c>
      <c r="J299" s="73">
        <f t="shared" si="7"/>
        <v>5.7324840764331206</v>
      </c>
      <c r="K299" s="73"/>
      <c r="L299" s="73"/>
      <c r="M299" s="73"/>
      <c r="N299" s="129">
        <f t="shared" si="10"/>
        <v>25.796178343949045</v>
      </c>
      <c r="O299" s="129">
        <f t="shared" si="9"/>
        <v>7.5258467558628854E-3</v>
      </c>
      <c r="P299" s="169">
        <f>O299*(1+'Key Data'!F$3)</f>
        <v>9.4073084448286076E-3</v>
      </c>
      <c r="Q299" s="379"/>
      <c r="R299" s="379"/>
      <c r="S299" s="418"/>
    </row>
    <row r="300" spans="1:19" x14ac:dyDescent="0.3">
      <c r="A300" s="374"/>
      <c r="B300" s="374"/>
      <c r="C300" s="374"/>
      <c r="D300" s="374"/>
      <c r="E300" s="415"/>
      <c r="F300" s="415"/>
      <c r="G300" s="374"/>
      <c r="H300" s="72" t="s">
        <v>481</v>
      </c>
      <c r="I300" s="73">
        <v>26.6</v>
      </c>
      <c r="J300" s="73">
        <f t="shared" si="7"/>
        <v>8.4713375796178347</v>
      </c>
      <c r="K300" s="73"/>
      <c r="L300" s="73"/>
      <c r="M300" s="73"/>
      <c r="N300" s="129">
        <f t="shared" si="10"/>
        <v>56.334394904458605</v>
      </c>
      <c r="O300" s="129">
        <f t="shared" si="9"/>
        <v>1.6435148551167719E-2</v>
      </c>
      <c r="P300" s="169">
        <f>O300*(1+'Key Data'!F$3)</f>
        <v>2.0543935688959649E-2</v>
      </c>
      <c r="Q300" s="379"/>
      <c r="R300" s="379"/>
      <c r="S300" s="418"/>
    </row>
    <row r="301" spans="1:19" x14ac:dyDescent="0.3">
      <c r="A301" s="374"/>
      <c r="B301" s="374"/>
      <c r="C301" s="374"/>
      <c r="D301" s="374"/>
      <c r="E301" s="415"/>
      <c r="F301" s="415"/>
      <c r="G301" s="374"/>
      <c r="H301" s="72" t="s">
        <v>481</v>
      </c>
      <c r="I301" s="73">
        <v>20.7</v>
      </c>
      <c r="J301" s="73">
        <f t="shared" si="7"/>
        <v>6.5923566878980884</v>
      </c>
      <c r="K301" s="73"/>
      <c r="L301" s="73"/>
      <c r="M301" s="73"/>
      <c r="N301" s="129">
        <f t="shared" si="10"/>
        <v>34.115445859872608</v>
      </c>
      <c r="O301" s="129">
        <f t="shared" si="9"/>
        <v>9.9529323346286593E-3</v>
      </c>
      <c r="P301" s="169">
        <f>O301*(1+'Key Data'!F$3)</f>
        <v>1.2441165418285823E-2</v>
      </c>
      <c r="Q301" s="379"/>
      <c r="R301" s="379"/>
      <c r="S301" s="418"/>
    </row>
    <row r="302" spans="1:19" x14ac:dyDescent="0.3">
      <c r="A302" s="374"/>
      <c r="B302" s="374"/>
      <c r="C302" s="374"/>
      <c r="D302" s="374"/>
      <c r="E302" s="415"/>
      <c r="F302" s="415"/>
      <c r="G302" s="374"/>
      <c r="H302" s="72" t="s">
        <v>481</v>
      </c>
      <c r="I302" s="73">
        <v>20</v>
      </c>
      <c r="J302" s="73">
        <f t="shared" si="7"/>
        <v>6.3694267515923562</v>
      </c>
      <c r="K302" s="73"/>
      <c r="L302" s="73"/>
      <c r="M302" s="73"/>
      <c r="N302" s="129">
        <f t="shared" si="10"/>
        <v>31.847133757961782</v>
      </c>
      <c r="O302" s="129">
        <f t="shared" si="9"/>
        <v>9.2911688343986203E-3</v>
      </c>
      <c r="P302" s="169">
        <f>O302*(1+'Key Data'!F$3)</f>
        <v>1.1613961042998276E-2</v>
      </c>
      <c r="Q302" s="379"/>
      <c r="R302" s="379"/>
      <c r="S302" s="418"/>
    </row>
    <row r="303" spans="1:19" x14ac:dyDescent="0.3">
      <c r="A303" s="374"/>
      <c r="B303" s="374"/>
      <c r="C303" s="374"/>
      <c r="D303" s="374"/>
      <c r="E303" s="415"/>
      <c r="F303" s="415"/>
      <c r="G303" s="374"/>
      <c r="H303" s="72" t="s">
        <v>481</v>
      </c>
      <c r="I303" s="73">
        <v>17.399999999999999</v>
      </c>
      <c r="J303" s="73">
        <f t="shared" si="7"/>
        <v>5.5414012738853495</v>
      </c>
      <c r="K303" s="73"/>
      <c r="L303" s="73"/>
      <c r="M303" s="73"/>
      <c r="N303" s="129">
        <f t="shared" si="10"/>
        <v>24.105095541401269</v>
      </c>
      <c r="O303" s="129">
        <f t="shared" si="9"/>
        <v>7.0324856907563165E-3</v>
      </c>
      <c r="P303" s="169">
        <f>O303*(1+'Key Data'!F$3)</f>
        <v>8.7906071134453961E-3</v>
      </c>
      <c r="Q303" s="379"/>
      <c r="R303" s="379"/>
      <c r="S303" s="418"/>
    </row>
    <row r="304" spans="1:19" x14ac:dyDescent="0.3">
      <c r="A304" s="374"/>
      <c r="B304" s="374"/>
      <c r="C304" s="374"/>
      <c r="D304" s="374"/>
      <c r="E304" s="415"/>
      <c r="F304" s="415"/>
      <c r="G304" s="374"/>
      <c r="H304" s="72" t="s">
        <v>481</v>
      </c>
      <c r="I304" s="73">
        <f>SQRT(8.5*8.5+18.5*18.5+13*13)</f>
        <v>24.155744658362327</v>
      </c>
      <c r="J304" s="73">
        <f t="shared" si="7"/>
        <v>7.6929123115803586</v>
      </c>
      <c r="K304" s="73"/>
      <c r="L304" s="73"/>
      <c r="M304" s="73"/>
      <c r="N304" s="129">
        <f t="shared" si="10"/>
        <v>46.457006369426757</v>
      </c>
      <c r="O304" s="129">
        <f t="shared" si="9"/>
        <v>1.3553492537178989E-2</v>
      </c>
      <c r="P304" s="169">
        <f>O304*(1+'Key Data'!F$3)</f>
        <v>1.6941865671473738E-2</v>
      </c>
      <c r="Q304" s="379"/>
      <c r="R304" s="379"/>
      <c r="S304" s="418"/>
    </row>
    <row r="305" spans="1:19" x14ac:dyDescent="0.3">
      <c r="A305" s="374"/>
      <c r="B305" s="374"/>
      <c r="C305" s="374"/>
      <c r="D305" s="374"/>
      <c r="E305" s="415"/>
      <c r="F305" s="415"/>
      <c r="G305" s="374"/>
      <c r="H305" s="72" t="s">
        <v>481</v>
      </c>
      <c r="I305" s="73">
        <v>20</v>
      </c>
      <c r="J305" s="73">
        <f t="shared" si="7"/>
        <v>6.3694267515923562</v>
      </c>
      <c r="K305" s="73"/>
      <c r="L305" s="73"/>
      <c r="M305" s="73"/>
      <c r="N305" s="129">
        <f t="shared" si="10"/>
        <v>31.847133757961782</v>
      </c>
      <c r="O305" s="129">
        <f t="shared" si="9"/>
        <v>9.2911688343986203E-3</v>
      </c>
      <c r="P305" s="169">
        <f>O305*(1+'Key Data'!F$3)</f>
        <v>1.1613961042998276E-2</v>
      </c>
      <c r="Q305" s="379"/>
      <c r="R305" s="379"/>
      <c r="S305" s="418"/>
    </row>
    <row r="306" spans="1:19" x14ac:dyDescent="0.3">
      <c r="A306" s="374"/>
      <c r="B306" s="374"/>
      <c r="C306" s="374"/>
      <c r="D306" s="374"/>
      <c r="E306" s="415"/>
      <c r="F306" s="415"/>
      <c r="G306" s="374"/>
      <c r="H306" s="72" t="s">
        <v>481</v>
      </c>
      <c r="I306" s="73">
        <v>20.100000000000001</v>
      </c>
      <c r="J306" s="73">
        <f t="shared" si="7"/>
        <v>6.401273885350319</v>
      </c>
      <c r="K306" s="73"/>
      <c r="L306" s="73"/>
      <c r="M306" s="73"/>
      <c r="N306" s="129">
        <f t="shared" si="10"/>
        <v>32.166401273885356</v>
      </c>
      <c r="O306" s="129">
        <f t="shared" si="9"/>
        <v>9.3843128019634701E-3</v>
      </c>
      <c r="P306" s="169">
        <f>O306*(1+'Key Data'!F$3)</f>
        <v>1.1730391002454339E-2</v>
      </c>
      <c r="Q306" s="379"/>
      <c r="R306" s="379"/>
      <c r="S306" s="418"/>
    </row>
    <row r="307" spans="1:19" x14ac:dyDescent="0.3">
      <c r="A307" s="374"/>
      <c r="B307" s="374"/>
      <c r="C307" s="374"/>
      <c r="D307" s="374"/>
      <c r="E307" s="415"/>
      <c r="F307" s="415"/>
      <c r="G307" s="374"/>
      <c r="H307" s="72" t="s">
        <v>481</v>
      </c>
      <c r="I307" s="73">
        <f>SQRT(19.5*19.5+14*14)</f>
        <v>24.005207768315607</v>
      </c>
      <c r="J307" s="73">
        <f t="shared" si="7"/>
        <v>7.6449706268521043</v>
      </c>
      <c r="K307" s="73"/>
      <c r="L307" s="73"/>
      <c r="M307" s="73"/>
      <c r="N307" s="129">
        <f t="shared" si="10"/>
        <v>45.879777070063696</v>
      </c>
      <c r="O307" s="129">
        <f t="shared" si="9"/>
        <v>1.3385090102055517E-2</v>
      </c>
      <c r="P307" s="169">
        <f>O307*(1+'Key Data'!F$3)</f>
        <v>1.6731362627569395E-2</v>
      </c>
      <c r="Q307" s="379"/>
      <c r="R307" s="379"/>
      <c r="S307" s="418"/>
    </row>
    <row r="308" spans="1:19" x14ac:dyDescent="0.3">
      <c r="A308" s="374"/>
      <c r="B308" s="374"/>
      <c r="C308" s="374"/>
      <c r="D308" s="374"/>
      <c r="E308" s="415"/>
      <c r="F308" s="415"/>
      <c r="G308" s="374"/>
      <c r="H308" s="72" t="s">
        <v>481</v>
      </c>
      <c r="I308" s="73">
        <v>15.8</v>
      </c>
      <c r="J308" s="73">
        <f t="shared" si="7"/>
        <v>5.031847133757962</v>
      </c>
      <c r="K308" s="73"/>
      <c r="L308" s="73"/>
      <c r="M308" s="73"/>
      <c r="N308" s="129">
        <f t="shared" si="10"/>
        <v>19.875796178343951</v>
      </c>
      <c r="O308" s="129">
        <f t="shared" si="9"/>
        <v>5.7986184695481792E-3</v>
      </c>
      <c r="P308" s="169">
        <f>O308*(1+'Key Data'!F$3)</f>
        <v>7.2482730869352242E-3</v>
      </c>
      <c r="Q308" s="379"/>
      <c r="R308" s="379"/>
      <c r="S308" s="418"/>
    </row>
    <row r="309" spans="1:19" x14ac:dyDescent="0.3">
      <c r="A309" s="374"/>
      <c r="B309" s="374"/>
      <c r="C309" s="374"/>
      <c r="D309" s="374"/>
      <c r="E309" s="415"/>
      <c r="F309" s="415"/>
      <c r="G309" s="374"/>
      <c r="H309" s="72" t="s">
        <v>481</v>
      </c>
      <c r="I309" s="73">
        <v>20</v>
      </c>
      <c r="J309" s="73">
        <f t="shared" si="7"/>
        <v>6.3694267515923562</v>
      </c>
      <c r="K309" s="73"/>
      <c r="L309" s="73"/>
      <c r="M309" s="73"/>
      <c r="N309" s="129">
        <f t="shared" si="10"/>
        <v>31.847133757961782</v>
      </c>
      <c r="O309" s="129">
        <f t="shared" si="9"/>
        <v>9.2911688343986203E-3</v>
      </c>
      <c r="P309" s="169">
        <f>O309*(1+'Key Data'!F$3)</f>
        <v>1.1613961042998276E-2</v>
      </c>
      <c r="Q309" s="379"/>
      <c r="R309" s="379"/>
      <c r="S309" s="418"/>
    </row>
    <row r="310" spans="1:19" x14ac:dyDescent="0.3">
      <c r="A310" s="374"/>
      <c r="B310" s="374"/>
      <c r="C310" s="374"/>
      <c r="D310" s="374"/>
      <c r="E310" s="415"/>
      <c r="F310" s="415"/>
      <c r="G310" s="374"/>
      <c r="H310" s="72" t="s">
        <v>481</v>
      </c>
      <c r="I310" s="73">
        <v>19</v>
      </c>
      <c r="J310" s="73">
        <f t="shared" si="7"/>
        <v>6.0509554140127388</v>
      </c>
      <c r="K310" s="73"/>
      <c r="L310" s="73"/>
      <c r="M310" s="73"/>
      <c r="N310" s="129">
        <f t="shared" si="10"/>
        <v>28.742038216560509</v>
      </c>
      <c r="O310" s="129">
        <f t="shared" si="9"/>
        <v>8.3852798730447587E-3</v>
      </c>
      <c r="P310" s="169">
        <f>O310*(1+'Key Data'!F$3)</f>
        <v>1.0481599841305948E-2</v>
      </c>
      <c r="Q310" s="379"/>
      <c r="R310" s="379"/>
      <c r="S310" s="418"/>
    </row>
    <row r="311" spans="1:19" x14ac:dyDescent="0.3">
      <c r="A311" s="374"/>
      <c r="B311" s="374"/>
      <c r="C311" s="374"/>
      <c r="D311" s="374"/>
      <c r="E311" s="415"/>
      <c r="F311" s="415"/>
      <c r="G311" s="374"/>
      <c r="H311" s="72" t="s">
        <v>481</v>
      </c>
      <c r="I311" s="73">
        <v>19.5</v>
      </c>
      <c r="J311" s="73">
        <f t="shared" si="7"/>
        <v>6.2101910828025479</v>
      </c>
      <c r="K311" s="73"/>
      <c r="L311" s="73"/>
      <c r="M311" s="73"/>
      <c r="N311" s="129">
        <f t="shared" si="10"/>
        <v>30.27468152866242</v>
      </c>
      <c r="O311" s="129">
        <f t="shared" si="9"/>
        <v>8.8324173732001882E-3</v>
      </c>
      <c r="P311" s="169">
        <f>O311*(1+'Key Data'!F$3)</f>
        <v>1.1040521716500235E-2</v>
      </c>
      <c r="Q311" s="379"/>
      <c r="R311" s="379"/>
      <c r="S311" s="418"/>
    </row>
    <row r="312" spans="1:19" x14ac:dyDescent="0.3">
      <c r="A312" s="374"/>
      <c r="B312" s="374"/>
      <c r="C312" s="374"/>
      <c r="D312" s="374"/>
      <c r="E312" s="415"/>
      <c r="F312" s="415"/>
      <c r="G312" s="374"/>
      <c r="H312" s="72" t="s">
        <v>481</v>
      </c>
      <c r="I312" s="73">
        <v>15</v>
      </c>
      <c r="J312" s="73">
        <f t="shared" si="7"/>
        <v>4.7770700636942669</v>
      </c>
      <c r="K312" s="73"/>
      <c r="L312" s="73"/>
      <c r="M312" s="73"/>
      <c r="N312" s="129">
        <f t="shared" si="10"/>
        <v>17.914012738853497</v>
      </c>
      <c r="O312" s="129">
        <f t="shared" si="9"/>
        <v>5.2262824693492214E-3</v>
      </c>
      <c r="P312" s="169">
        <f>O312*(1+'Key Data'!F$3)</f>
        <v>6.5328530866865268E-3</v>
      </c>
      <c r="Q312" s="379"/>
      <c r="R312" s="379"/>
      <c r="S312" s="418"/>
    </row>
    <row r="313" spans="1:19" x14ac:dyDescent="0.3">
      <c r="A313" s="374"/>
      <c r="B313" s="374"/>
      <c r="C313" s="374"/>
      <c r="D313" s="374"/>
      <c r="E313" s="415"/>
      <c r="F313" s="415"/>
      <c r="G313" s="374"/>
      <c r="H313" s="72" t="s">
        <v>481</v>
      </c>
      <c r="I313" s="73">
        <v>17.399999999999999</v>
      </c>
      <c r="J313" s="73">
        <f t="shared" si="7"/>
        <v>5.5414012738853495</v>
      </c>
      <c r="K313" s="73"/>
      <c r="L313" s="73"/>
      <c r="M313" s="73"/>
      <c r="N313" s="129">
        <f t="shared" si="10"/>
        <v>24.105095541401269</v>
      </c>
      <c r="O313" s="129">
        <f t="shared" si="9"/>
        <v>7.0324856907563165E-3</v>
      </c>
      <c r="P313" s="169">
        <f>O313*(1+'Key Data'!F$3)</f>
        <v>8.7906071134453961E-3</v>
      </c>
      <c r="Q313" s="379"/>
      <c r="R313" s="379"/>
      <c r="S313" s="418"/>
    </row>
    <row r="314" spans="1:19" x14ac:dyDescent="0.3">
      <c r="A314" s="374"/>
      <c r="B314" s="374"/>
      <c r="C314" s="374"/>
      <c r="D314" s="374"/>
      <c r="E314" s="415"/>
      <c r="F314" s="415"/>
      <c r="G314" s="374"/>
      <c r="H314" s="72" t="s">
        <v>481</v>
      </c>
      <c r="I314" s="73">
        <v>17</v>
      </c>
      <c r="J314" s="73">
        <f t="shared" si="7"/>
        <v>5.4140127388535033</v>
      </c>
      <c r="K314" s="73"/>
      <c r="L314" s="73"/>
      <c r="M314" s="73"/>
      <c r="N314" s="129">
        <f t="shared" ref="N314:N377" si="11">3.14*J314/2*J314/2</f>
        <v>23.009554140127388</v>
      </c>
      <c r="O314" s="129">
        <f t="shared" si="9"/>
        <v>6.7128694828530022E-3</v>
      </c>
      <c r="P314" s="169">
        <f>O314*(1+'Key Data'!F$3)</f>
        <v>8.3910868535662531E-3</v>
      </c>
      <c r="Q314" s="379"/>
      <c r="R314" s="379"/>
      <c r="S314" s="418"/>
    </row>
    <row r="315" spans="1:19" x14ac:dyDescent="0.3">
      <c r="A315" s="374"/>
      <c r="B315" s="374"/>
      <c r="C315" s="374"/>
      <c r="D315" s="374"/>
      <c r="E315" s="415"/>
      <c r="F315" s="415"/>
      <c r="G315" s="374"/>
      <c r="H315" s="72" t="s">
        <v>481</v>
      </c>
      <c r="I315" s="73">
        <v>21.8</v>
      </c>
      <c r="J315" s="73">
        <f t="shared" si="7"/>
        <v>6.9426751592356686</v>
      </c>
      <c r="K315" s="73"/>
      <c r="L315" s="73"/>
      <c r="M315" s="73"/>
      <c r="N315" s="129">
        <f t="shared" si="11"/>
        <v>37.837579617834393</v>
      </c>
      <c r="O315" s="129">
        <f t="shared" si="9"/>
        <v>1.1038837692149001E-2</v>
      </c>
      <c r="P315" s="169">
        <f>O315*(1+'Key Data'!F$3)</f>
        <v>1.3798547115186251E-2</v>
      </c>
      <c r="Q315" s="379"/>
      <c r="R315" s="379"/>
      <c r="S315" s="418"/>
    </row>
    <row r="316" spans="1:19" x14ac:dyDescent="0.3">
      <c r="A316" s="374"/>
      <c r="B316" s="374"/>
      <c r="C316" s="374"/>
      <c r="D316" s="374"/>
      <c r="E316" s="415"/>
      <c r="F316" s="415"/>
      <c r="G316" s="374"/>
      <c r="H316" s="72" t="s">
        <v>481</v>
      </c>
      <c r="I316" s="73">
        <v>17</v>
      </c>
      <c r="J316" s="73">
        <f t="shared" si="7"/>
        <v>5.4140127388535033</v>
      </c>
      <c r="K316" s="73"/>
      <c r="L316" s="73"/>
      <c r="M316" s="73"/>
      <c r="N316" s="129">
        <f t="shared" si="11"/>
        <v>23.009554140127388</v>
      </c>
      <c r="O316" s="129">
        <f t="shared" si="9"/>
        <v>6.7128694828530022E-3</v>
      </c>
      <c r="P316" s="169">
        <f>O316*(1+'Key Data'!F$3)</f>
        <v>8.3910868535662531E-3</v>
      </c>
      <c r="Q316" s="379"/>
      <c r="R316" s="379"/>
      <c r="S316" s="418"/>
    </row>
    <row r="317" spans="1:19" x14ac:dyDescent="0.3">
      <c r="A317" s="374"/>
      <c r="B317" s="374"/>
      <c r="C317" s="374"/>
      <c r="D317" s="374"/>
      <c r="E317" s="415"/>
      <c r="F317" s="415"/>
      <c r="G317" s="374"/>
      <c r="H317" s="72" t="s">
        <v>481</v>
      </c>
      <c r="I317" s="73">
        <v>16</v>
      </c>
      <c r="J317" s="73">
        <f t="shared" si="7"/>
        <v>5.0955414012738851</v>
      </c>
      <c r="K317" s="73"/>
      <c r="L317" s="73"/>
      <c r="M317" s="73"/>
      <c r="N317" s="129">
        <f t="shared" si="11"/>
        <v>20.38216560509554</v>
      </c>
      <c r="O317" s="129">
        <f t="shared" si="9"/>
        <v>5.9463480540151185E-3</v>
      </c>
      <c r="P317" s="169">
        <f>O317*(1+'Key Data'!F$3)</f>
        <v>7.4329350675188983E-3</v>
      </c>
      <c r="Q317" s="379"/>
      <c r="R317" s="379"/>
      <c r="S317" s="418"/>
    </row>
    <row r="318" spans="1:19" x14ac:dyDescent="0.3">
      <c r="A318" s="374"/>
      <c r="B318" s="374"/>
      <c r="C318" s="374"/>
      <c r="D318" s="374"/>
      <c r="E318" s="415"/>
      <c r="F318" s="415"/>
      <c r="G318" s="374"/>
      <c r="H318" s="72" t="s">
        <v>481</v>
      </c>
      <c r="I318" s="73">
        <v>19.3</v>
      </c>
      <c r="J318" s="73">
        <f t="shared" si="7"/>
        <v>6.1464968152866239</v>
      </c>
      <c r="K318" s="73"/>
      <c r="L318" s="73"/>
      <c r="M318" s="73"/>
      <c r="N318" s="129">
        <f t="shared" si="11"/>
        <v>29.65684713375796</v>
      </c>
      <c r="O318" s="129">
        <f t="shared" si="9"/>
        <v>8.6521686978128561E-3</v>
      </c>
      <c r="P318" s="169">
        <f>O318*(1+'Key Data'!F$3)</f>
        <v>1.0815210872266071E-2</v>
      </c>
      <c r="Q318" s="379"/>
      <c r="R318" s="379"/>
      <c r="S318" s="418"/>
    </row>
    <row r="319" spans="1:19" x14ac:dyDescent="0.3">
      <c r="A319" s="374"/>
      <c r="B319" s="374"/>
      <c r="C319" s="374"/>
      <c r="D319" s="374"/>
      <c r="E319" s="415"/>
      <c r="F319" s="415"/>
      <c r="G319" s="374"/>
      <c r="H319" s="72" t="s">
        <v>481</v>
      </c>
      <c r="I319" s="73">
        <f>SQRT(15*15+17*17)</f>
        <v>22.671568097509269</v>
      </c>
      <c r="J319" s="73">
        <f t="shared" si="7"/>
        <v>7.2202446170411685</v>
      </c>
      <c r="K319" s="73"/>
      <c r="L319" s="73"/>
      <c r="M319" s="73"/>
      <c r="N319" s="129">
        <f t="shared" si="11"/>
        <v>40.923566878980893</v>
      </c>
      <c r="O319" s="129">
        <f t="shared" si="9"/>
        <v>1.1939151952202231E-2</v>
      </c>
      <c r="P319" s="169">
        <f>O319*(1+'Key Data'!F$3)</f>
        <v>1.4923939940252788E-2</v>
      </c>
      <c r="Q319" s="379"/>
      <c r="R319" s="379"/>
      <c r="S319" s="418"/>
    </row>
    <row r="320" spans="1:19" x14ac:dyDescent="0.3">
      <c r="A320" s="374"/>
      <c r="B320" s="374"/>
      <c r="C320" s="374"/>
      <c r="D320" s="374"/>
      <c r="E320" s="415"/>
      <c r="F320" s="415"/>
      <c r="G320" s="374"/>
      <c r="H320" s="72" t="s">
        <v>481</v>
      </c>
      <c r="I320" s="73">
        <f>SQRT(15.1*15.1+15*15)</f>
        <v>21.284031572989175</v>
      </c>
      <c r="J320" s="73">
        <f t="shared" si="7"/>
        <v>6.7783540041366797</v>
      </c>
      <c r="K320" s="73"/>
      <c r="L320" s="73"/>
      <c r="M320" s="73"/>
      <c r="N320" s="129">
        <f t="shared" si="11"/>
        <v>36.067675159235669</v>
      </c>
      <c r="O320" s="129">
        <f t="shared" si="9"/>
        <v>1.0522480984177296E-2</v>
      </c>
      <c r="P320" s="169">
        <f>O320*(1+'Key Data'!F$3)</f>
        <v>1.315310123022162E-2</v>
      </c>
      <c r="Q320" s="379"/>
      <c r="R320" s="379"/>
      <c r="S320" s="418"/>
    </row>
    <row r="321" spans="1:19" x14ac:dyDescent="0.3">
      <c r="A321" s="374"/>
      <c r="B321" s="374"/>
      <c r="C321" s="374"/>
      <c r="D321" s="374"/>
      <c r="E321" s="415"/>
      <c r="F321" s="415"/>
      <c r="G321" s="374"/>
      <c r="H321" s="72" t="s">
        <v>481</v>
      </c>
      <c r="I321" s="73">
        <v>21.5</v>
      </c>
      <c r="J321" s="73">
        <f t="shared" si="7"/>
        <v>6.8471337579617835</v>
      </c>
      <c r="K321" s="73"/>
      <c r="L321" s="73"/>
      <c r="M321" s="73"/>
      <c r="N321" s="129">
        <f t="shared" si="11"/>
        <v>36.803343949044589</v>
      </c>
      <c r="O321" s="129">
        <f t="shared" si="9"/>
        <v>1.0737106984251907E-2</v>
      </c>
      <c r="P321" s="169">
        <f>O321*(1+'Key Data'!F$3)</f>
        <v>1.3421383730314883E-2</v>
      </c>
      <c r="Q321" s="379"/>
      <c r="R321" s="379"/>
      <c r="S321" s="418"/>
    </row>
    <row r="322" spans="1:19" x14ac:dyDescent="0.3">
      <c r="A322" s="374"/>
      <c r="B322" s="374"/>
      <c r="C322" s="374"/>
      <c r="D322" s="374"/>
      <c r="E322" s="415"/>
      <c r="F322" s="415"/>
      <c r="G322" s="374"/>
      <c r="H322" s="72" t="s">
        <v>481</v>
      </c>
      <c r="I322" s="73">
        <v>18.5</v>
      </c>
      <c r="J322" s="73">
        <f t="shared" si="7"/>
        <v>5.8917197452229297</v>
      </c>
      <c r="K322" s="73"/>
      <c r="L322" s="73"/>
      <c r="M322" s="73"/>
      <c r="N322" s="129">
        <f t="shared" si="11"/>
        <v>27.249203821656049</v>
      </c>
      <c r="O322" s="129">
        <f t="shared" si="9"/>
        <v>7.9497563339323233E-3</v>
      </c>
      <c r="P322" s="169">
        <f>O322*(1+'Key Data'!F$3)</f>
        <v>9.9371954174154037E-3</v>
      </c>
      <c r="Q322" s="379"/>
      <c r="R322" s="379"/>
      <c r="S322" s="418"/>
    </row>
    <row r="323" spans="1:19" x14ac:dyDescent="0.3">
      <c r="A323" s="374"/>
      <c r="B323" s="374"/>
      <c r="C323" s="374"/>
      <c r="D323" s="374"/>
      <c r="E323" s="415"/>
      <c r="F323" s="415"/>
      <c r="G323" s="374"/>
      <c r="H323" s="72" t="s">
        <v>481</v>
      </c>
      <c r="I323" s="73">
        <v>18</v>
      </c>
      <c r="J323" s="73">
        <f t="shared" ref="J323:J386" si="12">I323/3.14</f>
        <v>5.7324840764331206</v>
      </c>
      <c r="K323" s="73"/>
      <c r="L323" s="73"/>
      <c r="M323" s="73"/>
      <c r="N323" s="129">
        <f t="shared" si="11"/>
        <v>25.796178343949045</v>
      </c>
      <c r="O323" s="129">
        <f t="shared" si="9"/>
        <v>7.5258467558628854E-3</v>
      </c>
      <c r="P323" s="169">
        <f>O323*(1+'Key Data'!F$3)</f>
        <v>9.4073084448286076E-3</v>
      </c>
      <c r="Q323" s="379"/>
      <c r="R323" s="379"/>
      <c r="S323" s="418"/>
    </row>
    <row r="324" spans="1:19" x14ac:dyDescent="0.3">
      <c r="A324" s="374"/>
      <c r="B324" s="374"/>
      <c r="C324" s="374"/>
      <c r="D324" s="374"/>
      <c r="E324" s="415"/>
      <c r="F324" s="415"/>
      <c r="G324" s="374"/>
      <c r="H324" s="72" t="s">
        <v>481</v>
      </c>
      <c r="I324" s="73">
        <v>18</v>
      </c>
      <c r="J324" s="73">
        <f t="shared" si="12"/>
        <v>5.7324840764331206</v>
      </c>
      <c r="K324" s="73"/>
      <c r="L324" s="73"/>
      <c r="M324" s="73"/>
      <c r="N324" s="129">
        <f t="shared" si="11"/>
        <v>25.796178343949045</v>
      </c>
      <c r="O324" s="129">
        <f t="shared" ref="O324:O387" si="13">(10^(-0.535+LOG10(N324)))/1000</f>
        <v>7.5258467558628854E-3</v>
      </c>
      <c r="P324" s="169">
        <f>O324*(1+'Key Data'!F$3)</f>
        <v>9.4073084448286076E-3</v>
      </c>
      <c r="Q324" s="379"/>
      <c r="R324" s="379"/>
      <c r="S324" s="418"/>
    </row>
    <row r="325" spans="1:19" x14ac:dyDescent="0.3">
      <c r="A325" s="374"/>
      <c r="B325" s="374"/>
      <c r="C325" s="374"/>
      <c r="D325" s="374"/>
      <c r="E325" s="415"/>
      <c r="F325" s="415"/>
      <c r="G325" s="374"/>
      <c r="H325" s="72" t="s">
        <v>481</v>
      </c>
      <c r="I325" s="73">
        <v>20</v>
      </c>
      <c r="J325" s="73">
        <f t="shared" si="12"/>
        <v>6.3694267515923562</v>
      </c>
      <c r="K325" s="73"/>
      <c r="L325" s="73"/>
      <c r="M325" s="73"/>
      <c r="N325" s="129">
        <f t="shared" si="11"/>
        <v>31.847133757961782</v>
      </c>
      <c r="O325" s="129">
        <f t="shared" si="13"/>
        <v>9.2911688343986203E-3</v>
      </c>
      <c r="P325" s="169">
        <f>O325*(1+'Key Data'!F$3)</f>
        <v>1.1613961042998276E-2</v>
      </c>
      <c r="Q325" s="379"/>
      <c r="R325" s="379"/>
      <c r="S325" s="418"/>
    </row>
    <row r="326" spans="1:19" x14ac:dyDescent="0.3">
      <c r="A326" s="374"/>
      <c r="B326" s="374"/>
      <c r="C326" s="374"/>
      <c r="D326" s="374"/>
      <c r="E326" s="415"/>
      <c r="F326" s="415"/>
      <c r="G326" s="374"/>
      <c r="H326" s="72" t="s">
        <v>481</v>
      </c>
      <c r="I326" s="73">
        <v>18.100000000000001</v>
      </c>
      <c r="J326" s="73">
        <f t="shared" si="12"/>
        <v>5.7643312101910826</v>
      </c>
      <c r="K326" s="73"/>
      <c r="L326" s="73"/>
      <c r="M326" s="73"/>
      <c r="N326" s="129">
        <f t="shared" si="11"/>
        <v>26.083598726114651</v>
      </c>
      <c r="O326" s="129">
        <f t="shared" si="13"/>
        <v>7.6096995545933315E-3</v>
      </c>
      <c r="P326" s="169">
        <f>O326*(1+'Key Data'!F$3)</f>
        <v>9.5121244432416641E-3</v>
      </c>
      <c r="Q326" s="379"/>
      <c r="R326" s="379"/>
      <c r="S326" s="418"/>
    </row>
    <row r="327" spans="1:19" x14ac:dyDescent="0.3">
      <c r="A327" s="374"/>
      <c r="B327" s="374"/>
      <c r="C327" s="374"/>
      <c r="D327" s="374"/>
      <c r="E327" s="415"/>
      <c r="F327" s="415"/>
      <c r="G327" s="374"/>
      <c r="H327" s="72" t="s">
        <v>481</v>
      </c>
      <c r="I327" s="73">
        <v>19</v>
      </c>
      <c r="J327" s="73">
        <f t="shared" si="12"/>
        <v>6.0509554140127388</v>
      </c>
      <c r="K327" s="73"/>
      <c r="L327" s="73"/>
      <c r="M327" s="73"/>
      <c r="N327" s="129">
        <f t="shared" si="11"/>
        <v>28.742038216560509</v>
      </c>
      <c r="O327" s="129">
        <f t="shared" si="13"/>
        <v>8.3852798730447587E-3</v>
      </c>
      <c r="P327" s="169">
        <f>O327*(1+'Key Data'!F$3)</f>
        <v>1.0481599841305948E-2</v>
      </c>
      <c r="Q327" s="379"/>
      <c r="R327" s="379"/>
      <c r="S327" s="418"/>
    </row>
    <row r="328" spans="1:19" x14ac:dyDescent="0.3">
      <c r="A328" s="374"/>
      <c r="B328" s="374"/>
      <c r="C328" s="374"/>
      <c r="D328" s="374"/>
      <c r="E328" s="415"/>
      <c r="F328" s="415"/>
      <c r="G328" s="374"/>
      <c r="H328" s="72" t="s">
        <v>481</v>
      </c>
      <c r="I328" s="73">
        <v>22</v>
      </c>
      <c r="J328" s="73">
        <f t="shared" si="12"/>
        <v>7.0063694267515917</v>
      </c>
      <c r="K328" s="73"/>
      <c r="L328" s="73"/>
      <c r="M328" s="73"/>
      <c r="N328" s="129">
        <f t="shared" si="11"/>
        <v>38.535031847133752</v>
      </c>
      <c r="O328" s="129">
        <f t="shared" si="13"/>
        <v>1.1242314289622324E-2</v>
      </c>
      <c r="P328" s="169">
        <f>O328*(1+'Key Data'!F$3)</f>
        <v>1.4052892862027905E-2</v>
      </c>
      <c r="Q328" s="379"/>
      <c r="R328" s="379"/>
      <c r="S328" s="418"/>
    </row>
    <row r="329" spans="1:19" x14ac:dyDescent="0.3">
      <c r="A329" s="374"/>
      <c r="B329" s="374"/>
      <c r="C329" s="374"/>
      <c r="D329" s="374"/>
      <c r="E329" s="415"/>
      <c r="F329" s="415"/>
      <c r="G329" s="374"/>
      <c r="H329" s="72" t="s">
        <v>481</v>
      </c>
      <c r="I329" s="73">
        <v>10.199999999999999</v>
      </c>
      <c r="J329" s="73">
        <f t="shared" si="12"/>
        <v>3.2484076433121016</v>
      </c>
      <c r="K329" s="73"/>
      <c r="L329" s="73"/>
      <c r="M329" s="73"/>
      <c r="N329" s="129">
        <f t="shared" si="11"/>
        <v>8.2834394904458577</v>
      </c>
      <c r="O329" s="129">
        <f t="shared" si="13"/>
        <v>2.416633013827081E-3</v>
      </c>
      <c r="P329" s="169">
        <f>O329*(1+'Key Data'!F$3)</f>
        <v>3.0207912672838514E-3</v>
      </c>
      <c r="Q329" s="379"/>
      <c r="R329" s="379"/>
      <c r="S329" s="418"/>
    </row>
    <row r="330" spans="1:19" x14ac:dyDescent="0.3">
      <c r="A330" s="374"/>
      <c r="B330" s="374"/>
      <c r="C330" s="374"/>
      <c r="D330" s="374"/>
      <c r="E330" s="415"/>
      <c r="F330" s="415"/>
      <c r="G330" s="374"/>
      <c r="H330" s="72" t="s">
        <v>481</v>
      </c>
      <c r="I330" s="73">
        <f>SQRT(12*12+14*14)</f>
        <v>18.439088914585774</v>
      </c>
      <c r="J330" s="73">
        <f t="shared" si="12"/>
        <v>5.8723213103776351</v>
      </c>
      <c r="K330" s="73"/>
      <c r="L330" s="73"/>
      <c r="M330" s="73"/>
      <c r="N330" s="129">
        <f t="shared" si="11"/>
        <v>27.070063694267514</v>
      </c>
      <c r="O330" s="129">
        <f t="shared" si="13"/>
        <v>7.8974935092388301E-3</v>
      </c>
      <c r="P330" s="169">
        <f>O330*(1+'Key Data'!F$3)</f>
        <v>9.8718668865485377E-3</v>
      </c>
      <c r="Q330" s="379"/>
      <c r="R330" s="379"/>
      <c r="S330" s="418"/>
    </row>
    <row r="331" spans="1:19" x14ac:dyDescent="0.3">
      <c r="A331" s="367">
        <v>5</v>
      </c>
      <c r="B331" s="367" t="s">
        <v>414</v>
      </c>
      <c r="C331" s="367" t="s">
        <v>435</v>
      </c>
      <c r="D331" s="367" t="s">
        <v>270</v>
      </c>
      <c r="E331" s="416">
        <v>14.198758</v>
      </c>
      <c r="F331" s="416">
        <v>78.269627999999997</v>
      </c>
      <c r="G331" s="367">
        <v>2022</v>
      </c>
      <c r="H331" s="94" t="s">
        <v>481</v>
      </c>
      <c r="I331" s="165">
        <v>12.8</v>
      </c>
      <c r="J331" s="165">
        <f t="shared" si="12"/>
        <v>4.0764331210191083</v>
      </c>
      <c r="K331" s="165"/>
      <c r="L331" s="165"/>
      <c r="M331" s="165"/>
      <c r="N331" s="127">
        <f t="shared" si="11"/>
        <v>13.044585987261147</v>
      </c>
      <c r="O331" s="127">
        <f t="shared" si="13"/>
        <v>3.8056627545696741E-3</v>
      </c>
      <c r="P331" s="168">
        <f>O331*(1+'Key Data'!F$3)</f>
        <v>4.7570784432120925E-3</v>
      </c>
      <c r="Q331" s="366">
        <f>SUM(P331:P411)</f>
        <v>1.4439737790010474</v>
      </c>
      <c r="R331" s="366">
        <f>Q331*10000/900</f>
        <v>16.044153100011638</v>
      </c>
      <c r="S331" s="418"/>
    </row>
    <row r="332" spans="1:19" x14ac:dyDescent="0.3">
      <c r="A332" s="367"/>
      <c r="B332" s="367"/>
      <c r="C332" s="367"/>
      <c r="D332" s="367"/>
      <c r="E332" s="416"/>
      <c r="F332" s="416"/>
      <c r="G332" s="367"/>
      <c r="H332" s="94" t="s">
        <v>481</v>
      </c>
      <c r="I332" s="165">
        <v>14.2</v>
      </c>
      <c r="J332" s="165">
        <f t="shared" si="12"/>
        <v>4.5222929936305727</v>
      </c>
      <c r="K332" s="165"/>
      <c r="L332" s="165"/>
      <c r="M332" s="165"/>
      <c r="N332" s="127">
        <f t="shared" si="11"/>
        <v>16.054140127388532</v>
      </c>
      <c r="O332" s="127">
        <f t="shared" si="13"/>
        <v>4.6836782094203458E-3</v>
      </c>
      <c r="P332" s="168">
        <f>O332*(1+'Key Data'!F$3)</f>
        <v>5.8545977617754322E-3</v>
      </c>
      <c r="Q332" s="366"/>
      <c r="R332" s="366"/>
      <c r="S332" s="418"/>
    </row>
    <row r="333" spans="1:19" x14ac:dyDescent="0.3">
      <c r="A333" s="367"/>
      <c r="B333" s="367"/>
      <c r="C333" s="367"/>
      <c r="D333" s="367"/>
      <c r="E333" s="416"/>
      <c r="F333" s="416"/>
      <c r="G333" s="367"/>
      <c r="H333" s="94" t="s">
        <v>481</v>
      </c>
      <c r="I333" s="165">
        <v>15</v>
      </c>
      <c r="J333" s="165">
        <f t="shared" si="12"/>
        <v>4.7770700636942669</v>
      </c>
      <c r="K333" s="165"/>
      <c r="L333" s="165"/>
      <c r="M333" s="165"/>
      <c r="N333" s="127">
        <f t="shared" si="11"/>
        <v>17.914012738853497</v>
      </c>
      <c r="O333" s="127">
        <f t="shared" si="13"/>
        <v>5.2262824693492214E-3</v>
      </c>
      <c r="P333" s="168">
        <f>O333*(1+'Key Data'!F$3)</f>
        <v>6.5328530866865268E-3</v>
      </c>
      <c r="Q333" s="366"/>
      <c r="R333" s="366"/>
      <c r="S333" s="418"/>
    </row>
    <row r="334" spans="1:19" x14ac:dyDescent="0.3">
      <c r="A334" s="367"/>
      <c r="B334" s="367"/>
      <c r="C334" s="367"/>
      <c r="D334" s="367"/>
      <c r="E334" s="416"/>
      <c r="F334" s="416"/>
      <c r="G334" s="367"/>
      <c r="H334" s="94" t="s">
        <v>481</v>
      </c>
      <c r="I334" s="165">
        <v>14</v>
      </c>
      <c r="J334" s="165">
        <f t="shared" si="12"/>
        <v>4.4585987261146496</v>
      </c>
      <c r="K334" s="165"/>
      <c r="L334" s="165"/>
      <c r="M334" s="165"/>
      <c r="N334" s="127">
        <f t="shared" si="11"/>
        <v>15.605095541401273</v>
      </c>
      <c r="O334" s="127">
        <f t="shared" si="13"/>
        <v>4.5526727288553257E-3</v>
      </c>
      <c r="P334" s="168">
        <f>O334*(1+'Key Data'!F$3)</f>
        <v>5.6908409110691567E-3</v>
      </c>
      <c r="Q334" s="366"/>
      <c r="R334" s="366"/>
      <c r="S334" s="418"/>
    </row>
    <row r="335" spans="1:19" x14ac:dyDescent="0.3">
      <c r="A335" s="367"/>
      <c r="B335" s="367"/>
      <c r="C335" s="367"/>
      <c r="D335" s="367"/>
      <c r="E335" s="416"/>
      <c r="F335" s="416"/>
      <c r="G335" s="367"/>
      <c r="H335" s="94" t="s">
        <v>481</v>
      </c>
      <c r="I335" s="165">
        <v>14.5</v>
      </c>
      <c r="J335" s="165">
        <f t="shared" si="12"/>
        <v>4.6178343949044587</v>
      </c>
      <c r="K335" s="165"/>
      <c r="L335" s="165"/>
      <c r="M335" s="165"/>
      <c r="N335" s="127">
        <f t="shared" si="11"/>
        <v>16.739649681528661</v>
      </c>
      <c r="O335" s="127">
        <f t="shared" si="13"/>
        <v>4.883670618580774E-3</v>
      </c>
      <c r="P335" s="168">
        <f>O335*(1+'Key Data'!F$3)</f>
        <v>6.1045882732259672E-3</v>
      </c>
      <c r="Q335" s="366"/>
      <c r="R335" s="366"/>
      <c r="S335" s="418"/>
    </row>
    <row r="336" spans="1:19" x14ac:dyDescent="0.3">
      <c r="A336" s="367"/>
      <c r="B336" s="367"/>
      <c r="C336" s="367"/>
      <c r="D336" s="367"/>
      <c r="E336" s="416"/>
      <c r="F336" s="416"/>
      <c r="G336" s="367"/>
      <c r="H336" s="94" t="s">
        <v>481</v>
      </c>
      <c r="I336" s="165">
        <v>13.5</v>
      </c>
      <c r="J336" s="165">
        <f t="shared" si="12"/>
        <v>4.2993630573248405</v>
      </c>
      <c r="K336" s="165"/>
      <c r="L336" s="165"/>
      <c r="M336" s="165"/>
      <c r="N336" s="127">
        <f t="shared" si="11"/>
        <v>14.510350318471337</v>
      </c>
      <c r="O336" s="127">
        <f t="shared" si="13"/>
        <v>4.2332888001728715E-3</v>
      </c>
      <c r="P336" s="168">
        <f>O336*(1+'Key Data'!F$3)</f>
        <v>5.2916110002160892E-3</v>
      </c>
      <c r="Q336" s="366"/>
      <c r="R336" s="366"/>
      <c r="S336" s="418"/>
    </row>
    <row r="337" spans="1:19" x14ac:dyDescent="0.3">
      <c r="A337" s="367"/>
      <c r="B337" s="367"/>
      <c r="C337" s="367"/>
      <c r="D337" s="367"/>
      <c r="E337" s="416"/>
      <c r="F337" s="416"/>
      <c r="G337" s="367"/>
      <c r="H337" s="94" t="s">
        <v>481</v>
      </c>
      <c r="I337" s="165">
        <v>9</v>
      </c>
      <c r="J337" s="165">
        <f t="shared" si="12"/>
        <v>2.8662420382165603</v>
      </c>
      <c r="K337" s="165"/>
      <c r="L337" s="165"/>
      <c r="M337" s="165"/>
      <c r="N337" s="127">
        <f t="shared" si="11"/>
        <v>6.4490445859872612</v>
      </c>
      <c r="O337" s="127">
        <f t="shared" si="13"/>
        <v>1.8814616889657205E-3</v>
      </c>
      <c r="P337" s="168">
        <f>O337*(1+'Key Data'!F$3)</f>
        <v>2.3518271112071506E-3</v>
      </c>
      <c r="Q337" s="366"/>
      <c r="R337" s="366"/>
      <c r="S337" s="418"/>
    </row>
    <row r="338" spans="1:19" x14ac:dyDescent="0.3">
      <c r="A338" s="367"/>
      <c r="B338" s="367"/>
      <c r="C338" s="367"/>
      <c r="D338" s="367"/>
      <c r="E338" s="416"/>
      <c r="F338" s="416"/>
      <c r="G338" s="367"/>
      <c r="H338" s="94" t="s">
        <v>481</v>
      </c>
      <c r="I338" s="165">
        <v>13.9</v>
      </c>
      <c r="J338" s="165">
        <f t="shared" si="12"/>
        <v>4.4267515923566876</v>
      </c>
      <c r="K338" s="165"/>
      <c r="L338" s="165"/>
      <c r="M338" s="165"/>
      <c r="N338" s="127">
        <f t="shared" si="11"/>
        <v>15.382961783439489</v>
      </c>
      <c r="O338" s="127">
        <f t="shared" si="13"/>
        <v>4.4878668262353935E-3</v>
      </c>
      <c r="P338" s="168">
        <f>O338*(1+'Key Data'!F$3)</f>
        <v>5.6098335327942417E-3</v>
      </c>
      <c r="Q338" s="366"/>
      <c r="R338" s="366"/>
      <c r="S338" s="418"/>
    </row>
    <row r="339" spans="1:19" x14ac:dyDescent="0.3">
      <c r="A339" s="367"/>
      <c r="B339" s="367"/>
      <c r="C339" s="367"/>
      <c r="D339" s="367"/>
      <c r="E339" s="416"/>
      <c r="F339" s="416"/>
      <c r="G339" s="367"/>
      <c r="H339" s="94" t="s">
        <v>481</v>
      </c>
      <c r="I339" s="165">
        <v>14.6</v>
      </c>
      <c r="J339" s="165">
        <f t="shared" si="12"/>
        <v>4.6496815286624198</v>
      </c>
      <c r="K339" s="165"/>
      <c r="L339" s="165"/>
      <c r="M339" s="165"/>
      <c r="N339" s="127">
        <f t="shared" si="11"/>
        <v>16.971337579617831</v>
      </c>
      <c r="O339" s="127">
        <f t="shared" si="13"/>
        <v>4.9512638718510237E-3</v>
      </c>
      <c r="P339" s="168">
        <f>O339*(1+'Key Data'!F$3)</f>
        <v>6.1890798398137794E-3</v>
      </c>
      <c r="Q339" s="366"/>
      <c r="R339" s="366"/>
      <c r="S339" s="418"/>
    </row>
    <row r="340" spans="1:19" x14ac:dyDescent="0.3">
      <c r="A340" s="367"/>
      <c r="B340" s="367"/>
      <c r="C340" s="367"/>
      <c r="D340" s="367"/>
      <c r="E340" s="416"/>
      <c r="F340" s="416"/>
      <c r="G340" s="367"/>
      <c r="H340" s="94" t="s">
        <v>481</v>
      </c>
      <c r="I340" s="165">
        <v>16.2</v>
      </c>
      <c r="J340" s="165">
        <f t="shared" si="12"/>
        <v>5.1592356687898082</v>
      </c>
      <c r="K340" s="165"/>
      <c r="L340" s="165"/>
      <c r="M340" s="165"/>
      <c r="N340" s="127">
        <f t="shared" si="11"/>
        <v>20.894904458598724</v>
      </c>
      <c r="O340" s="127">
        <f t="shared" si="13"/>
        <v>6.0959358722489339E-3</v>
      </c>
      <c r="P340" s="168">
        <f>O340*(1+'Key Data'!F$3)</f>
        <v>7.6199198403111672E-3</v>
      </c>
      <c r="Q340" s="366"/>
      <c r="R340" s="366"/>
      <c r="S340" s="418"/>
    </row>
    <row r="341" spans="1:19" x14ac:dyDescent="0.3">
      <c r="A341" s="367"/>
      <c r="B341" s="367"/>
      <c r="C341" s="367"/>
      <c r="D341" s="367"/>
      <c r="E341" s="416"/>
      <c r="F341" s="416"/>
      <c r="G341" s="367"/>
      <c r="H341" s="94" t="s">
        <v>481</v>
      </c>
      <c r="I341" s="165">
        <v>16.2</v>
      </c>
      <c r="J341" s="165">
        <f t="shared" si="12"/>
        <v>5.1592356687898082</v>
      </c>
      <c r="K341" s="165"/>
      <c r="L341" s="165"/>
      <c r="M341" s="165"/>
      <c r="N341" s="127">
        <f t="shared" si="11"/>
        <v>20.894904458598724</v>
      </c>
      <c r="O341" s="127">
        <f t="shared" si="13"/>
        <v>6.0959358722489339E-3</v>
      </c>
      <c r="P341" s="168">
        <f>O341*(1+'Key Data'!F$3)</f>
        <v>7.6199198403111672E-3</v>
      </c>
      <c r="Q341" s="366"/>
      <c r="R341" s="366"/>
      <c r="S341" s="418"/>
    </row>
    <row r="342" spans="1:19" x14ac:dyDescent="0.3">
      <c r="A342" s="367"/>
      <c r="B342" s="367"/>
      <c r="C342" s="367"/>
      <c r="D342" s="367"/>
      <c r="E342" s="416"/>
      <c r="F342" s="416"/>
      <c r="G342" s="367"/>
      <c r="H342" s="94" t="s">
        <v>481</v>
      </c>
      <c r="I342" s="165">
        <v>16.3</v>
      </c>
      <c r="J342" s="165">
        <f t="shared" si="12"/>
        <v>5.1910828025477711</v>
      </c>
      <c r="K342" s="165"/>
      <c r="L342" s="165"/>
      <c r="M342" s="165"/>
      <c r="N342" s="127">
        <f t="shared" si="11"/>
        <v>21.153662420382169</v>
      </c>
      <c r="O342" s="127">
        <f t="shared" si="13"/>
        <v>6.1714266190284273E-3</v>
      </c>
      <c r="P342" s="168">
        <f>O342*(1+'Key Data'!F$3)</f>
        <v>7.7142832737855339E-3</v>
      </c>
      <c r="Q342" s="366"/>
      <c r="R342" s="366"/>
      <c r="S342" s="418"/>
    </row>
    <row r="343" spans="1:19" x14ac:dyDescent="0.3">
      <c r="A343" s="367"/>
      <c r="B343" s="367"/>
      <c r="C343" s="367"/>
      <c r="D343" s="367"/>
      <c r="E343" s="416"/>
      <c r="F343" s="416"/>
      <c r="G343" s="367"/>
      <c r="H343" s="94" t="s">
        <v>481</v>
      </c>
      <c r="I343" s="165">
        <v>14</v>
      </c>
      <c r="J343" s="165">
        <f t="shared" si="12"/>
        <v>4.4585987261146496</v>
      </c>
      <c r="K343" s="165"/>
      <c r="L343" s="165"/>
      <c r="M343" s="165"/>
      <c r="N343" s="127">
        <f t="shared" si="11"/>
        <v>15.605095541401273</v>
      </c>
      <c r="O343" s="127">
        <f t="shared" si="13"/>
        <v>4.5526727288553257E-3</v>
      </c>
      <c r="P343" s="168">
        <f>O343*(1+'Key Data'!F$3)</f>
        <v>5.6908409110691567E-3</v>
      </c>
      <c r="Q343" s="366"/>
      <c r="R343" s="366"/>
      <c r="S343" s="418"/>
    </row>
    <row r="344" spans="1:19" x14ac:dyDescent="0.3">
      <c r="A344" s="367"/>
      <c r="B344" s="367"/>
      <c r="C344" s="367"/>
      <c r="D344" s="367"/>
      <c r="E344" s="416"/>
      <c r="F344" s="416"/>
      <c r="G344" s="367"/>
      <c r="H344" s="94" t="s">
        <v>481</v>
      </c>
      <c r="I344" s="165">
        <v>16.2</v>
      </c>
      <c r="J344" s="165">
        <f t="shared" si="12"/>
        <v>5.1592356687898082</v>
      </c>
      <c r="K344" s="165"/>
      <c r="L344" s="165"/>
      <c r="M344" s="165"/>
      <c r="N344" s="127">
        <f t="shared" si="11"/>
        <v>20.894904458598724</v>
      </c>
      <c r="O344" s="127">
        <f t="shared" si="13"/>
        <v>6.0959358722489339E-3</v>
      </c>
      <c r="P344" s="168">
        <f>O344*(1+'Key Data'!F$3)</f>
        <v>7.6199198403111672E-3</v>
      </c>
      <c r="Q344" s="366"/>
      <c r="R344" s="366"/>
      <c r="S344" s="418"/>
    </row>
    <row r="345" spans="1:19" x14ac:dyDescent="0.3">
      <c r="A345" s="367"/>
      <c r="B345" s="367"/>
      <c r="C345" s="367"/>
      <c r="D345" s="367"/>
      <c r="E345" s="416"/>
      <c r="F345" s="416"/>
      <c r="G345" s="367"/>
      <c r="H345" s="94" t="s">
        <v>481</v>
      </c>
      <c r="I345" s="165">
        <v>15.2</v>
      </c>
      <c r="J345" s="165">
        <f t="shared" si="12"/>
        <v>4.8407643312101909</v>
      </c>
      <c r="K345" s="165"/>
      <c r="L345" s="165"/>
      <c r="M345" s="165"/>
      <c r="N345" s="127">
        <f t="shared" si="11"/>
        <v>18.394904458598724</v>
      </c>
      <c r="O345" s="127">
        <f t="shared" si="13"/>
        <v>5.3665791187486435E-3</v>
      </c>
      <c r="P345" s="168">
        <f>O345*(1+'Key Data'!F$3)</f>
        <v>6.7082238984358042E-3</v>
      </c>
      <c r="Q345" s="366"/>
      <c r="R345" s="366"/>
      <c r="S345" s="418"/>
    </row>
    <row r="346" spans="1:19" x14ac:dyDescent="0.3">
      <c r="A346" s="367"/>
      <c r="B346" s="367"/>
      <c r="C346" s="367"/>
      <c r="D346" s="367"/>
      <c r="E346" s="416"/>
      <c r="F346" s="416"/>
      <c r="G346" s="367"/>
      <c r="H346" s="94" t="s">
        <v>481</v>
      </c>
      <c r="I346" s="165">
        <v>15</v>
      </c>
      <c r="J346" s="165">
        <f t="shared" si="12"/>
        <v>4.7770700636942669</v>
      </c>
      <c r="K346" s="165"/>
      <c r="L346" s="165"/>
      <c r="M346" s="165"/>
      <c r="N346" s="127">
        <f t="shared" si="11"/>
        <v>17.914012738853497</v>
      </c>
      <c r="O346" s="127">
        <f t="shared" si="13"/>
        <v>5.2262824693492214E-3</v>
      </c>
      <c r="P346" s="168">
        <f>O346*(1+'Key Data'!F$3)</f>
        <v>6.5328530866865268E-3</v>
      </c>
      <c r="Q346" s="366"/>
      <c r="R346" s="366"/>
      <c r="S346" s="418"/>
    </row>
    <row r="347" spans="1:19" x14ac:dyDescent="0.3">
      <c r="A347" s="367"/>
      <c r="B347" s="367"/>
      <c r="C347" s="367"/>
      <c r="D347" s="367"/>
      <c r="E347" s="416"/>
      <c r="F347" s="416"/>
      <c r="G347" s="367"/>
      <c r="H347" s="94" t="s">
        <v>481</v>
      </c>
      <c r="I347" s="165">
        <v>15.5</v>
      </c>
      <c r="J347" s="165">
        <f t="shared" si="12"/>
        <v>4.936305732484076</v>
      </c>
      <c r="K347" s="165"/>
      <c r="L347" s="165"/>
      <c r="M347" s="165"/>
      <c r="N347" s="127">
        <f t="shared" si="11"/>
        <v>19.128184713375795</v>
      </c>
      <c r="O347" s="127">
        <f t="shared" si="13"/>
        <v>5.5805082811606725E-3</v>
      </c>
      <c r="P347" s="168">
        <f>O347*(1+'Key Data'!F$3)</f>
        <v>6.9756353514508406E-3</v>
      </c>
      <c r="Q347" s="366"/>
      <c r="R347" s="366"/>
      <c r="S347" s="418"/>
    </row>
    <row r="348" spans="1:19" x14ac:dyDescent="0.3">
      <c r="A348" s="367"/>
      <c r="B348" s="367"/>
      <c r="C348" s="367"/>
      <c r="D348" s="367"/>
      <c r="E348" s="416"/>
      <c r="F348" s="416"/>
      <c r="G348" s="367"/>
      <c r="H348" s="94" t="s">
        <v>481</v>
      </c>
      <c r="I348" s="165">
        <v>15.6</v>
      </c>
      <c r="J348" s="165">
        <f t="shared" si="12"/>
        <v>4.968152866242038</v>
      </c>
      <c r="K348" s="165"/>
      <c r="L348" s="165"/>
      <c r="M348" s="165"/>
      <c r="N348" s="127">
        <f t="shared" si="11"/>
        <v>19.375796178343947</v>
      </c>
      <c r="O348" s="127">
        <f t="shared" si="13"/>
        <v>5.6527471188481219E-3</v>
      </c>
      <c r="P348" s="168">
        <f>O348*(1+'Key Data'!F$3)</f>
        <v>7.0659338985601524E-3</v>
      </c>
      <c r="Q348" s="366"/>
      <c r="R348" s="366"/>
      <c r="S348" s="418"/>
    </row>
    <row r="349" spans="1:19" x14ac:dyDescent="0.3">
      <c r="A349" s="367"/>
      <c r="B349" s="367"/>
      <c r="C349" s="367"/>
      <c r="D349" s="367"/>
      <c r="E349" s="416"/>
      <c r="F349" s="416"/>
      <c r="G349" s="367"/>
      <c r="H349" s="94" t="s">
        <v>481</v>
      </c>
      <c r="I349" s="165">
        <v>17.2</v>
      </c>
      <c r="J349" s="165">
        <f t="shared" si="12"/>
        <v>5.4777070063694264</v>
      </c>
      <c r="K349" s="165"/>
      <c r="L349" s="165"/>
      <c r="M349" s="165"/>
      <c r="N349" s="127">
        <f t="shared" si="11"/>
        <v>23.554140127388532</v>
      </c>
      <c r="O349" s="127">
        <f t="shared" si="13"/>
        <v>6.8717484699212213E-3</v>
      </c>
      <c r="P349" s="168">
        <f>O349*(1+'Key Data'!F$3)</f>
        <v>8.5896855874015264E-3</v>
      </c>
      <c r="Q349" s="366"/>
      <c r="R349" s="366"/>
      <c r="S349" s="418"/>
    </row>
    <row r="350" spans="1:19" x14ac:dyDescent="0.3">
      <c r="A350" s="367"/>
      <c r="B350" s="367"/>
      <c r="C350" s="367"/>
      <c r="D350" s="367"/>
      <c r="E350" s="416"/>
      <c r="F350" s="416"/>
      <c r="G350" s="367"/>
      <c r="H350" s="94" t="s">
        <v>481</v>
      </c>
      <c r="I350" s="165">
        <v>15.6</v>
      </c>
      <c r="J350" s="165">
        <f t="shared" si="12"/>
        <v>4.968152866242038</v>
      </c>
      <c r="K350" s="165"/>
      <c r="L350" s="165"/>
      <c r="M350" s="165"/>
      <c r="N350" s="127">
        <f t="shared" si="11"/>
        <v>19.375796178343947</v>
      </c>
      <c r="O350" s="127">
        <f t="shared" si="13"/>
        <v>5.6527471188481219E-3</v>
      </c>
      <c r="P350" s="168">
        <f>O350*(1+'Key Data'!F$3)</f>
        <v>7.0659338985601524E-3</v>
      </c>
      <c r="Q350" s="366"/>
      <c r="R350" s="366"/>
      <c r="S350" s="418"/>
    </row>
    <row r="351" spans="1:19" x14ac:dyDescent="0.3">
      <c r="A351" s="367"/>
      <c r="B351" s="367"/>
      <c r="C351" s="367"/>
      <c r="D351" s="367"/>
      <c r="E351" s="416"/>
      <c r="F351" s="416"/>
      <c r="G351" s="367"/>
      <c r="H351" s="94" t="s">
        <v>481</v>
      </c>
      <c r="I351" s="165">
        <v>16.5</v>
      </c>
      <c r="J351" s="165">
        <f t="shared" si="12"/>
        <v>5.2547770700636942</v>
      </c>
      <c r="K351" s="165"/>
      <c r="L351" s="165"/>
      <c r="M351" s="165"/>
      <c r="N351" s="127">
        <f t="shared" si="11"/>
        <v>21.675955414012737</v>
      </c>
      <c r="O351" s="127">
        <f t="shared" si="13"/>
        <v>6.3238017879125603E-3</v>
      </c>
      <c r="P351" s="168">
        <f>O351*(1+'Key Data'!F$3)</f>
        <v>7.9047522348906999E-3</v>
      </c>
      <c r="Q351" s="366"/>
      <c r="R351" s="366"/>
      <c r="S351" s="418"/>
    </row>
    <row r="352" spans="1:19" x14ac:dyDescent="0.3">
      <c r="A352" s="367"/>
      <c r="B352" s="367"/>
      <c r="C352" s="367"/>
      <c r="D352" s="367"/>
      <c r="E352" s="416"/>
      <c r="F352" s="416"/>
      <c r="G352" s="367"/>
      <c r="H352" s="94" t="s">
        <v>481</v>
      </c>
      <c r="I352" s="165">
        <v>14.5</v>
      </c>
      <c r="J352" s="165">
        <f t="shared" si="12"/>
        <v>4.6178343949044587</v>
      </c>
      <c r="K352" s="165"/>
      <c r="L352" s="165"/>
      <c r="M352" s="165"/>
      <c r="N352" s="127">
        <f t="shared" si="11"/>
        <v>16.739649681528661</v>
      </c>
      <c r="O352" s="127">
        <f t="shared" si="13"/>
        <v>4.883670618580774E-3</v>
      </c>
      <c r="P352" s="168">
        <f>O352*(1+'Key Data'!F$3)</f>
        <v>6.1045882732259672E-3</v>
      </c>
      <c r="Q352" s="366"/>
      <c r="R352" s="366"/>
      <c r="S352" s="418"/>
    </row>
    <row r="353" spans="1:19" x14ac:dyDescent="0.3">
      <c r="A353" s="367"/>
      <c r="B353" s="367"/>
      <c r="C353" s="367"/>
      <c r="D353" s="367"/>
      <c r="E353" s="416"/>
      <c r="F353" s="416"/>
      <c r="G353" s="367"/>
      <c r="H353" s="94" t="s">
        <v>481</v>
      </c>
      <c r="I353" s="165">
        <v>15.4</v>
      </c>
      <c r="J353" s="165">
        <f t="shared" si="12"/>
        <v>4.9044585987261149</v>
      </c>
      <c r="K353" s="165"/>
      <c r="L353" s="165"/>
      <c r="M353" s="165"/>
      <c r="N353" s="127">
        <f t="shared" si="11"/>
        <v>18.882165605095544</v>
      </c>
      <c r="O353" s="127">
        <f t="shared" si="13"/>
        <v>5.5087340019149434E-3</v>
      </c>
      <c r="P353" s="168">
        <f>O353*(1+'Key Data'!F$3)</f>
        <v>6.8859175023936788E-3</v>
      </c>
      <c r="Q353" s="366"/>
      <c r="R353" s="366"/>
      <c r="S353" s="418"/>
    </row>
    <row r="354" spans="1:19" x14ac:dyDescent="0.3">
      <c r="A354" s="367"/>
      <c r="B354" s="367"/>
      <c r="C354" s="367"/>
      <c r="D354" s="367"/>
      <c r="E354" s="416"/>
      <c r="F354" s="416"/>
      <c r="G354" s="367"/>
      <c r="H354" s="94" t="s">
        <v>481</v>
      </c>
      <c r="I354" s="165">
        <v>15.1</v>
      </c>
      <c r="J354" s="165">
        <f t="shared" si="12"/>
        <v>4.8089171974522289</v>
      </c>
      <c r="K354" s="165"/>
      <c r="L354" s="165"/>
      <c r="M354" s="165"/>
      <c r="N354" s="127">
        <f t="shared" si="11"/>
        <v>18.153662420382165</v>
      </c>
      <c r="O354" s="127">
        <f t="shared" si="13"/>
        <v>5.2961985148280745E-3</v>
      </c>
      <c r="P354" s="168">
        <f>O354*(1+'Key Data'!F$3)</f>
        <v>6.6202481435350931E-3</v>
      </c>
      <c r="Q354" s="366"/>
      <c r="R354" s="366"/>
      <c r="S354" s="418"/>
    </row>
    <row r="355" spans="1:19" x14ac:dyDescent="0.3">
      <c r="A355" s="367"/>
      <c r="B355" s="367"/>
      <c r="C355" s="367"/>
      <c r="D355" s="367"/>
      <c r="E355" s="416"/>
      <c r="F355" s="416"/>
      <c r="G355" s="367"/>
      <c r="H355" s="94" t="s">
        <v>481</v>
      </c>
      <c r="I355" s="165">
        <v>15</v>
      </c>
      <c r="J355" s="165">
        <f t="shared" si="12"/>
        <v>4.7770700636942669</v>
      </c>
      <c r="K355" s="165"/>
      <c r="L355" s="165"/>
      <c r="M355" s="165"/>
      <c r="N355" s="127">
        <f t="shared" si="11"/>
        <v>17.914012738853497</v>
      </c>
      <c r="O355" s="127">
        <f t="shared" si="13"/>
        <v>5.2262824693492214E-3</v>
      </c>
      <c r="P355" s="168">
        <f>O355*(1+'Key Data'!F$3)</f>
        <v>6.5328530866865268E-3</v>
      </c>
      <c r="Q355" s="366"/>
      <c r="R355" s="366"/>
      <c r="S355" s="418"/>
    </row>
    <row r="356" spans="1:19" x14ac:dyDescent="0.3">
      <c r="A356" s="367"/>
      <c r="B356" s="367"/>
      <c r="C356" s="367"/>
      <c r="D356" s="367"/>
      <c r="E356" s="416"/>
      <c r="F356" s="416"/>
      <c r="G356" s="367"/>
      <c r="H356" s="94" t="s">
        <v>481</v>
      </c>
      <c r="I356" s="165">
        <v>15</v>
      </c>
      <c r="J356" s="165">
        <f t="shared" si="12"/>
        <v>4.7770700636942669</v>
      </c>
      <c r="K356" s="165"/>
      <c r="L356" s="165"/>
      <c r="M356" s="165"/>
      <c r="N356" s="127">
        <f t="shared" si="11"/>
        <v>17.914012738853497</v>
      </c>
      <c r="O356" s="127">
        <f t="shared" si="13"/>
        <v>5.2262824693492214E-3</v>
      </c>
      <c r="P356" s="168">
        <f>O356*(1+'Key Data'!F$3)</f>
        <v>6.5328530866865268E-3</v>
      </c>
      <c r="Q356" s="366"/>
      <c r="R356" s="366"/>
      <c r="S356" s="418"/>
    </row>
    <row r="357" spans="1:19" x14ac:dyDescent="0.3">
      <c r="A357" s="367"/>
      <c r="B357" s="367"/>
      <c r="C357" s="367"/>
      <c r="D357" s="367"/>
      <c r="E357" s="416"/>
      <c r="F357" s="416"/>
      <c r="G357" s="367"/>
      <c r="H357" s="94" t="s">
        <v>481</v>
      </c>
      <c r="I357" s="165">
        <v>14.9</v>
      </c>
      <c r="J357" s="165">
        <f t="shared" si="12"/>
        <v>4.7452229299363058</v>
      </c>
      <c r="K357" s="165"/>
      <c r="L357" s="165"/>
      <c r="M357" s="165"/>
      <c r="N357" s="127">
        <f t="shared" si="11"/>
        <v>17.675955414012741</v>
      </c>
      <c r="O357" s="127">
        <f t="shared" si="13"/>
        <v>5.1568309823120939E-3</v>
      </c>
      <c r="P357" s="168">
        <f>O357*(1+'Key Data'!F$3)</f>
        <v>6.4460387278901174E-3</v>
      </c>
      <c r="Q357" s="366"/>
      <c r="R357" s="366"/>
      <c r="S357" s="418"/>
    </row>
    <row r="358" spans="1:19" x14ac:dyDescent="0.3">
      <c r="A358" s="367"/>
      <c r="B358" s="367"/>
      <c r="C358" s="367"/>
      <c r="D358" s="367"/>
      <c r="E358" s="416"/>
      <c r="F358" s="416"/>
      <c r="G358" s="367"/>
      <c r="H358" s="94" t="s">
        <v>481</v>
      </c>
      <c r="I358" s="165">
        <v>15.8</v>
      </c>
      <c r="J358" s="165">
        <f t="shared" si="12"/>
        <v>5.031847133757962</v>
      </c>
      <c r="K358" s="165"/>
      <c r="L358" s="165"/>
      <c r="M358" s="165"/>
      <c r="N358" s="127">
        <f t="shared" si="11"/>
        <v>19.875796178343951</v>
      </c>
      <c r="O358" s="127">
        <f t="shared" si="13"/>
        <v>5.7986184695481792E-3</v>
      </c>
      <c r="P358" s="168">
        <f>O358*(1+'Key Data'!F$3)</f>
        <v>7.2482730869352242E-3</v>
      </c>
      <c r="Q358" s="366"/>
      <c r="R358" s="366"/>
      <c r="S358" s="418"/>
    </row>
    <row r="359" spans="1:19" x14ac:dyDescent="0.3">
      <c r="A359" s="367"/>
      <c r="B359" s="367"/>
      <c r="C359" s="367"/>
      <c r="D359" s="367"/>
      <c r="E359" s="416"/>
      <c r="F359" s="416"/>
      <c r="G359" s="367"/>
      <c r="H359" s="94" t="s">
        <v>481</v>
      </c>
      <c r="I359" s="165">
        <v>16</v>
      </c>
      <c r="J359" s="165">
        <f t="shared" si="12"/>
        <v>5.0955414012738851</v>
      </c>
      <c r="K359" s="165"/>
      <c r="L359" s="165"/>
      <c r="M359" s="165"/>
      <c r="N359" s="127">
        <f t="shared" si="11"/>
        <v>20.38216560509554</v>
      </c>
      <c r="O359" s="127">
        <f t="shared" si="13"/>
        <v>5.9463480540151185E-3</v>
      </c>
      <c r="P359" s="168">
        <f>O359*(1+'Key Data'!F$3)</f>
        <v>7.4329350675188983E-3</v>
      </c>
      <c r="Q359" s="366"/>
      <c r="R359" s="366"/>
      <c r="S359" s="418"/>
    </row>
    <row r="360" spans="1:19" x14ac:dyDescent="0.3">
      <c r="A360" s="367"/>
      <c r="B360" s="367"/>
      <c r="C360" s="367"/>
      <c r="D360" s="367"/>
      <c r="E360" s="416"/>
      <c r="F360" s="416"/>
      <c r="G360" s="367"/>
      <c r="H360" s="94" t="s">
        <v>481</v>
      </c>
      <c r="I360" s="165">
        <v>17</v>
      </c>
      <c r="J360" s="165">
        <f t="shared" si="12"/>
        <v>5.4140127388535033</v>
      </c>
      <c r="K360" s="165"/>
      <c r="L360" s="165"/>
      <c r="M360" s="165"/>
      <c r="N360" s="127">
        <f t="shared" si="11"/>
        <v>23.009554140127388</v>
      </c>
      <c r="O360" s="127">
        <f t="shared" si="13"/>
        <v>6.7128694828530022E-3</v>
      </c>
      <c r="P360" s="168">
        <f>O360*(1+'Key Data'!F$3)</f>
        <v>8.3910868535662531E-3</v>
      </c>
      <c r="Q360" s="366"/>
      <c r="R360" s="366"/>
      <c r="S360" s="418"/>
    </row>
    <row r="361" spans="1:19" x14ac:dyDescent="0.3">
      <c r="A361" s="367"/>
      <c r="B361" s="367"/>
      <c r="C361" s="367"/>
      <c r="D361" s="367"/>
      <c r="E361" s="416"/>
      <c r="F361" s="416"/>
      <c r="G361" s="367"/>
      <c r="H361" s="94" t="s">
        <v>481</v>
      </c>
      <c r="I361" s="165">
        <v>17</v>
      </c>
      <c r="J361" s="165">
        <f t="shared" si="12"/>
        <v>5.4140127388535033</v>
      </c>
      <c r="K361" s="165"/>
      <c r="L361" s="165"/>
      <c r="M361" s="165"/>
      <c r="N361" s="127">
        <f t="shared" si="11"/>
        <v>23.009554140127388</v>
      </c>
      <c r="O361" s="127">
        <f t="shared" si="13"/>
        <v>6.7128694828530022E-3</v>
      </c>
      <c r="P361" s="168">
        <f>O361*(1+'Key Data'!F$3)</f>
        <v>8.3910868535662531E-3</v>
      </c>
      <c r="Q361" s="366"/>
      <c r="R361" s="366"/>
      <c r="S361" s="418"/>
    </row>
    <row r="362" spans="1:19" x14ac:dyDescent="0.3">
      <c r="A362" s="367"/>
      <c r="B362" s="367"/>
      <c r="C362" s="367"/>
      <c r="D362" s="367"/>
      <c r="E362" s="416"/>
      <c r="F362" s="416"/>
      <c r="G362" s="367"/>
      <c r="H362" s="94" t="s">
        <v>481</v>
      </c>
      <c r="I362" s="165">
        <v>15</v>
      </c>
      <c r="J362" s="165">
        <f t="shared" si="12"/>
        <v>4.7770700636942669</v>
      </c>
      <c r="K362" s="165"/>
      <c r="L362" s="165"/>
      <c r="M362" s="165"/>
      <c r="N362" s="127">
        <f t="shared" si="11"/>
        <v>17.914012738853497</v>
      </c>
      <c r="O362" s="127">
        <f t="shared" si="13"/>
        <v>5.2262824693492214E-3</v>
      </c>
      <c r="P362" s="168">
        <f>O362*(1+'Key Data'!F$3)</f>
        <v>6.5328530866865268E-3</v>
      </c>
      <c r="Q362" s="366"/>
      <c r="R362" s="366"/>
      <c r="S362" s="418"/>
    </row>
    <row r="363" spans="1:19" x14ac:dyDescent="0.3">
      <c r="A363" s="367"/>
      <c r="B363" s="367"/>
      <c r="C363" s="367"/>
      <c r="D363" s="367"/>
      <c r="E363" s="416"/>
      <c r="F363" s="416"/>
      <c r="G363" s="367"/>
      <c r="H363" s="94" t="s">
        <v>481</v>
      </c>
      <c r="I363" s="165">
        <v>14</v>
      </c>
      <c r="J363" s="165">
        <f t="shared" si="12"/>
        <v>4.4585987261146496</v>
      </c>
      <c r="K363" s="165"/>
      <c r="L363" s="165"/>
      <c r="M363" s="165"/>
      <c r="N363" s="127">
        <f t="shared" si="11"/>
        <v>15.605095541401273</v>
      </c>
      <c r="O363" s="127">
        <f t="shared" si="13"/>
        <v>4.5526727288553257E-3</v>
      </c>
      <c r="P363" s="168">
        <f>O363*(1+'Key Data'!F$3)</f>
        <v>5.6908409110691567E-3</v>
      </c>
      <c r="Q363" s="366"/>
      <c r="R363" s="366"/>
      <c r="S363" s="418"/>
    </row>
    <row r="364" spans="1:19" x14ac:dyDescent="0.3">
      <c r="A364" s="367"/>
      <c r="B364" s="367"/>
      <c r="C364" s="367"/>
      <c r="D364" s="367"/>
      <c r="E364" s="416"/>
      <c r="F364" s="416"/>
      <c r="G364" s="367"/>
      <c r="H364" s="94" t="s">
        <v>481</v>
      </c>
      <c r="I364" s="165">
        <v>15.8</v>
      </c>
      <c r="J364" s="165">
        <f t="shared" si="12"/>
        <v>5.031847133757962</v>
      </c>
      <c r="K364" s="165"/>
      <c r="L364" s="165"/>
      <c r="M364" s="165"/>
      <c r="N364" s="127">
        <f t="shared" si="11"/>
        <v>19.875796178343951</v>
      </c>
      <c r="O364" s="127">
        <f t="shared" si="13"/>
        <v>5.7986184695481792E-3</v>
      </c>
      <c r="P364" s="168">
        <f>O364*(1+'Key Data'!F$3)</f>
        <v>7.2482730869352242E-3</v>
      </c>
      <c r="Q364" s="366"/>
      <c r="R364" s="366"/>
      <c r="S364" s="418"/>
    </row>
    <row r="365" spans="1:19" x14ac:dyDescent="0.3">
      <c r="A365" s="367"/>
      <c r="B365" s="367"/>
      <c r="C365" s="367"/>
      <c r="D365" s="367"/>
      <c r="E365" s="416"/>
      <c r="F365" s="416"/>
      <c r="G365" s="367"/>
      <c r="H365" s="94" t="s">
        <v>481</v>
      </c>
      <c r="I365" s="165">
        <v>15.3</v>
      </c>
      <c r="J365" s="165">
        <f t="shared" si="12"/>
        <v>4.8726114649681529</v>
      </c>
      <c r="K365" s="165"/>
      <c r="L365" s="165"/>
      <c r="M365" s="165"/>
      <c r="N365" s="127">
        <f t="shared" si="11"/>
        <v>18.637738853503187</v>
      </c>
      <c r="O365" s="127">
        <f t="shared" si="13"/>
        <v>5.4374242811109346E-3</v>
      </c>
      <c r="P365" s="168">
        <f>O365*(1+'Key Data'!F$3)</f>
        <v>6.7967803513886687E-3</v>
      </c>
      <c r="Q365" s="366"/>
      <c r="R365" s="366"/>
      <c r="S365" s="418"/>
    </row>
    <row r="366" spans="1:19" x14ac:dyDescent="0.3">
      <c r="A366" s="367"/>
      <c r="B366" s="367"/>
      <c r="C366" s="367"/>
      <c r="D366" s="367"/>
      <c r="E366" s="416"/>
      <c r="F366" s="416"/>
      <c r="G366" s="367"/>
      <c r="H366" s="94" t="s">
        <v>481</v>
      </c>
      <c r="I366" s="165">
        <v>18</v>
      </c>
      <c r="J366" s="165">
        <f t="shared" si="12"/>
        <v>5.7324840764331206</v>
      </c>
      <c r="K366" s="165"/>
      <c r="L366" s="165"/>
      <c r="M366" s="165"/>
      <c r="N366" s="127">
        <f t="shared" si="11"/>
        <v>25.796178343949045</v>
      </c>
      <c r="O366" s="127">
        <f t="shared" si="13"/>
        <v>7.5258467558628854E-3</v>
      </c>
      <c r="P366" s="168">
        <f>O366*(1+'Key Data'!F$3)</f>
        <v>9.4073084448286076E-3</v>
      </c>
      <c r="Q366" s="366"/>
      <c r="R366" s="366"/>
      <c r="S366" s="418"/>
    </row>
    <row r="367" spans="1:19" x14ac:dyDescent="0.3">
      <c r="A367" s="367"/>
      <c r="B367" s="367"/>
      <c r="C367" s="367"/>
      <c r="D367" s="367"/>
      <c r="E367" s="416"/>
      <c r="F367" s="416"/>
      <c r="G367" s="367"/>
      <c r="H367" s="94" t="s">
        <v>481</v>
      </c>
      <c r="I367" s="165">
        <v>16.899999999999999</v>
      </c>
      <c r="J367" s="165">
        <f t="shared" si="12"/>
        <v>5.3821656050955404</v>
      </c>
      <c r="K367" s="165"/>
      <c r="L367" s="165"/>
      <c r="M367" s="165"/>
      <c r="N367" s="127">
        <f t="shared" si="11"/>
        <v>22.739649681528658</v>
      </c>
      <c r="O367" s="127">
        <f t="shared" si="13"/>
        <v>6.6341268269814726E-3</v>
      </c>
      <c r="P367" s="168">
        <f>O367*(1+'Key Data'!F$3)</f>
        <v>8.2926585337268401E-3</v>
      </c>
      <c r="Q367" s="366"/>
      <c r="R367" s="366"/>
      <c r="S367" s="418"/>
    </row>
    <row r="368" spans="1:19" x14ac:dyDescent="0.3">
      <c r="A368" s="367"/>
      <c r="B368" s="367"/>
      <c r="C368" s="367"/>
      <c r="D368" s="367"/>
      <c r="E368" s="416"/>
      <c r="F368" s="416"/>
      <c r="G368" s="367"/>
      <c r="H368" s="94" t="s">
        <v>481</v>
      </c>
      <c r="I368" s="165">
        <v>16.399999999999999</v>
      </c>
      <c r="J368" s="165">
        <f t="shared" si="12"/>
        <v>5.2229299363057322</v>
      </c>
      <c r="K368" s="165"/>
      <c r="L368" s="165"/>
      <c r="M368" s="165"/>
      <c r="N368" s="127">
        <f t="shared" si="11"/>
        <v>21.414012738853501</v>
      </c>
      <c r="O368" s="127">
        <f t="shared" si="13"/>
        <v>6.2473819242496315E-3</v>
      </c>
      <c r="P368" s="168">
        <f>O368*(1+'Key Data'!F$3)</f>
        <v>7.8092274053120393E-3</v>
      </c>
      <c r="Q368" s="366"/>
      <c r="R368" s="366"/>
      <c r="S368" s="418"/>
    </row>
    <row r="369" spans="1:19" x14ac:dyDescent="0.3">
      <c r="A369" s="367"/>
      <c r="B369" s="367"/>
      <c r="C369" s="367"/>
      <c r="D369" s="367"/>
      <c r="E369" s="416"/>
      <c r="F369" s="416"/>
      <c r="G369" s="367"/>
      <c r="H369" s="94" t="s">
        <v>481</v>
      </c>
      <c r="I369" s="165">
        <v>15</v>
      </c>
      <c r="J369" s="165">
        <f t="shared" si="12"/>
        <v>4.7770700636942669</v>
      </c>
      <c r="K369" s="165"/>
      <c r="L369" s="165"/>
      <c r="M369" s="165"/>
      <c r="N369" s="127">
        <f t="shared" si="11"/>
        <v>17.914012738853497</v>
      </c>
      <c r="O369" s="127">
        <f t="shared" si="13"/>
        <v>5.2262824693492214E-3</v>
      </c>
      <c r="P369" s="168">
        <f>O369*(1+'Key Data'!F$3)</f>
        <v>6.5328530866865268E-3</v>
      </c>
      <c r="Q369" s="366"/>
      <c r="R369" s="366"/>
      <c r="S369" s="418"/>
    </row>
    <row r="370" spans="1:19" x14ac:dyDescent="0.3">
      <c r="A370" s="367"/>
      <c r="B370" s="367"/>
      <c r="C370" s="367"/>
      <c r="D370" s="367"/>
      <c r="E370" s="416"/>
      <c r="F370" s="416"/>
      <c r="G370" s="367"/>
      <c r="H370" s="94" t="s">
        <v>481</v>
      </c>
      <c r="I370" s="165">
        <v>15.2</v>
      </c>
      <c r="J370" s="165">
        <f t="shared" si="12"/>
        <v>4.8407643312101909</v>
      </c>
      <c r="K370" s="165"/>
      <c r="L370" s="165"/>
      <c r="M370" s="165"/>
      <c r="N370" s="127">
        <f t="shared" si="11"/>
        <v>18.394904458598724</v>
      </c>
      <c r="O370" s="127">
        <f t="shared" si="13"/>
        <v>5.3665791187486435E-3</v>
      </c>
      <c r="P370" s="168">
        <f>O370*(1+'Key Data'!F$3)</f>
        <v>6.7082238984358042E-3</v>
      </c>
      <c r="Q370" s="366"/>
      <c r="R370" s="366"/>
      <c r="S370" s="418"/>
    </row>
    <row r="371" spans="1:19" x14ac:dyDescent="0.3">
      <c r="A371" s="367"/>
      <c r="B371" s="367"/>
      <c r="C371" s="367"/>
      <c r="D371" s="367"/>
      <c r="E371" s="416"/>
      <c r="F371" s="416"/>
      <c r="G371" s="367"/>
      <c r="H371" s="94" t="s">
        <v>481</v>
      </c>
      <c r="I371" s="165">
        <v>19</v>
      </c>
      <c r="J371" s="165">
        <f t="shared" si="12"/>
        <v>6.0509554140127388</v>
      </c>
      <c r="K371" s="165"/>
      <c r="L371" s="165"/>
      <c r="M371" s="165"/>
      <c r="N371" s="127">
        <f t="shared" si="11"/>
        <v>28.742038216560509</v>
      </c>
      <c r="O371" s="127">
        <f t="shared" si="13"/>
        <v>8.3852798730447587E-3</v>
      </c>
      <c r="P371" s="168">
        <f>O371*(1+'Key Data'!F$3)</f>
        <v>1.0481599841305948E-2</v>
      </c>
      <c r="Q371" s="366"/>
      <c r="R371" s="366"/>
      <c r="S371" s="418"/>
    </row>
    <row r="372" spans="1:19" x14ac:dyDescent="0.3">
      <c r="A372" s="367"/>
      <c r="B372" s="367"/>
      <c r="C372" s="367"/>
      <c r="D372" s="367"/>
      <c r="E372" s="416"/>
      <c r="F372" s="416"/>
      <c r="G372" s="367"/>
      <c r="H372" s="94" t="s">
        <v>481</v>
      </c>
      <c r="I372" s="165">
        <v>15</v>
      </c>
      <c r="J372" s="165">
        <f t="shared" si="12"/>
        <v>4.7770700636942669</v>
      </c>
      <c r="K372" s="165"/>
      <c r="L372" s="165"/>
      <c r="M372" s="165"/>
      <c r="N372" s="127">
        <f t="shared" si="11"/>
        <v>17.914012738853497</v>
      </c>
      <c r="O372" s="127">
        <f t="shared" si="13"/>
        <v>5.2262824693492214E-3</v>
      </c>
      <c r="P372" s="168">
        <f>O372*(1+'Key Data'!F$3)</f>
        <v>6.5328530866865268E-3</v>
      </c>
      <c r="Q372" s="366"/>
      <c r="R372" s="366"/>
      <c r="S372" s="418"/>
    </row>
    <row r="373" spans="1:19" x14ac:dyDescent="0.3">
      <c r="A373" s="367"/>
      <c r="B373" s="367"/>
      <c r="C373" s="367"/>
      <c r="D373" s="367"/>
      <c r="E373" s="416"/>
      <c r="F373" s="416"/>
      <c r="G373" s="367"/>
      <c r="H373" s="94" t="s">
        <v>481</v>
      </c>
      <c r="I373" s="165">
        <v>16.2</v>
      </c>
      <c r="J373" s="165">
        <f t="shared" si="12"/>
        <v>5.1592356687898082</v>
      </c>
      <c r="K373" s="165"/>
      <c r="L373" s="165"/>
      <c r="M373" s="165"/>
      <c r="N373" s="127">
        <f t="shared" si="11"/>
        <v>20.894904458598724</v>
      </c>
      <c r="O373" s="127">
        <f t="shared" si="13"/>
        <v>6.0959358722489339E-3</v>
      </c>
      <c r="P373" s="168">
        <f>O373*(1+'Key Data'!F$3)</f>
        <v>7.6199198403111672E-3</v>
      </c>
      <c r="Q373" s="366"/>
      <c r="R373" s="366"/>
      <c r="S373" s="418"/>
    </row>
    <row r="374" spans="1:19" x14ac:dyDescent="0.3">
      <c r="A374" s="367"/>
      <c r="B374" s="367"/>
      <c r="C374" s="367"/>
      <c r="D374" s="367"/>
      <c r="E374" s="416"/>
      <c r="F374" s="416"/>
      <c r="G374" s="367"/>
      <c r="H374" s="94" t="s">
        <v>481</v>
      </c>
      <c r="I374" s="165">
        <v>15.2</v>
      </c>
      <c r="J374" s="165">
        <f t="shared" si="12"/>
        <v>4.8407643312101909</v>
      </c>
      <c r="K374" s="165"/>
      <c r="L374" s="165"/>
      <c r="M374" s="165"/>
      <c r="N374" s="127">
        <f t="shared" si="11"/>
        <v>18.394904458598724</v>
      </c>
      <c r="O374" s="127">
        <f t="shared" si="13"/>
        <v>5.3665791187486435E-3</v>
      </c>
      <c r="P374" s="168">
        <f>O374*(1+'Key Data'!F$3)</f>
        <v>6.7082238984358042E-3</v>
      </c>
      <c r="Q374" s="366"/>
      <c r="R374" s="366"/>
      <c r="S374" s="418"/>
    </row>
    <row r="375" spans="1:19" x14ac:dyDescent="0.3">
      <c r="A375" s="367"/>
      <c r="B375" s="367"/>
      <c r="C375" s="367"/>
      <c r="D375" s="367"/>
      <c r="E375" s="416"/>
      <c r="F375" s="416"/>
      <c r="G375" s="367"/>
      <c r="H375" s="94" t="s">
        <v>481</v>
      </c>
      <c r="I375" s="165">
        <v>15</v>
      </c>
      <c r="J375" s="165">
        <f t="shared" si="12"/>
        <v>4.7770700636942669</v>
      </c>
      <c r="K375" s="165"/>
      <c r="L375" s="165"/>
      <c r="M375" s="165"/>
      <c r="N375" s="127">
        <f t="shared" si="11"/>
        <v>17.914012738853497</v>
      </c>
      <c r="O375" s="127">
        <f t="shared" si="13"/>
        <v>5.2262824693492214E-3</v>
      </c>
      <c r="P375" s="168">
        <f>O375*(1+'Key Data'!F$3)</f>
        <v>6.5328530866865268E-3</v>
      </c>
      <c r="Q375" s="366"/>
      <c r="R375" s="366"/>
      <c r="S375" s="418"/>
    </row>
    <row r="376" spans="1:19" x14ac:dyDescent="0.3">
      <c r="A376" s="367"/>
      <c r="B376" s="367"/>
      <c r="C376" s="367"/>
      <c r="D376" s="367"/>
      <c r="E376" s="416"/>
      <c r="F376" s="416"/>
      <c r="G376" s="367"/>
      <c r="H376" s="94" t="s">
        <v>481</v>
      </c>
      <c r="I376" s="165">
        <v>15.2</v>
      </c>
      <c r="J376" s="165">
        <f t="shared" si="12"/>
        <v>4.8407643312101909</v>
      </c>
      <c r="K376" s="165"/>
      <c r="L376" s="165"/>
      <c r="M376" s="165"/>
      <c r="N376" s="127">
        <f t="shared" si="11"/>
        <v>18.394904458598724</v>
      </c>
      <c r="O376" s="127">
        <f t="shared" si="13"/>
        <v>5.3665791187486435E-3</v>
      </c>
      <c r="P376" s="168">
        <f>O376*(1+'Key Data'!F$3)</f>
        <v>6.7082238984358042E-3</v>
      </c>
      <c r="Q376" s="366"/>
      <c r="R376" s="366"/>
      <c r="S376" s="418"/>
    </row>
    <row r="377" spans="1:19" x14ac:dyDescent="0.3">
      <c r="A377" s="367"/>
      <c r="B377" s="367"/>
      <c r="C377" s="367"/>
      <c r="D377" s="367"/>
      <c r="E377" s="416"/>
      <c r="F377" s="416"/>
      <c r="G377" s="367"/>
      <c r="H377" s="94" t="s">
        <v>481</v>
      </c>
      <c r="I377" s="165">
        <v>13</v>
      </c>
      <c r="J377" s="165">
        <f t="shared" si="12"/>
        <v>4.1401273885350314</v>
      </c>
      <c r="K377" s="165"/>
      <c r="L377" s="165"/>
      <c r="M377" s="165"/>
      <c r="N377" s="127">
        <f t="shared" si="11"/>
        <v>13.455414012738849</v>
      </c>
      <c r="O377" s="127">
        <f t="shared" si="13"/>
        <v>3.9255188325334166E-3</v>
      </c>
      <c r="P377" s="168">
        <f>O377*(1+'Key Data'!F$3)</f>
        <v>4.9068985406667707E-3</v>
      </c>
      <c r="Q377" s="366"/>
      <c r="R377" s="366"/>
      <c r="S377" s="418"/>
    </row>
    <row r="378" spans="1:19" x14ac:dyDescent="0.3">
      <c r="A378" s="367"/>
      <c r="B378" s="367"/>
      <c r="C378" s="367"/>
      <c r="D378" s="367"/>
      <c r="E378" s="416"/>
      <c r="F378" s="416"/>
      <c r="G378" s="367"/>
      <c r="H378" s="94" t="s">
        <v>481</v>
      </c>
      <c r="I378" s="165">
        <v>12.5</v>
      </c>
      <c r="J378" s="165">
        <f t="shared" si="12"/>
        <v>3.9808917197452227</v>
      </c>
      <c r="K378" s="165"/>
      <c r="L378" s="165"/>
      <c r="M378" s="165"/>
      <c r="N378" s="127">
        <f t="shared" ref="N378:N395" si="14">3.14*J378/2*J378/2</f>
        <v>12.440286624203821</v>
      </c>
      <c r="O378" s="127">
        <f t="shared" si="13"/>
        <v>3.6293628259369617E-3</v>
      </c>
      <c r="P378" s="168">
        <f>O378*(1+'Key Data'!F$3)</f>
        <v>4.5367035324212022E-3</v>
      </c>
      <c r="Q378" s="366"/>
      <c r="R378" s="366"/>
      <c r="S378" s="418"/>
    </row>
    <row r="379" spans="1:19" x14ac:dyDescent="0.3">
      <c r="A379" s="367"/>
      <c r="B379" s="367"/>
      <c r="C379" s="367"/>
      <c r="D379" s="367"/>
      <c r="E379" s="416"/>
      <c r="F379" s="416"/>
      <c r="G379" s="367"/>
      <c r="H379" s="94" t="s">
        <v>481</v>
      </c>
      <c r="I379" s="165">
        <v>14.5</v>
      </c>
      <c r="J379" s="165">
        <f t="shared" si="12"/>
        <v>4.6178343949044587</v>
      </c>
      <c r="K379" s="165"/>
      <c r="L379" s="165"/>
      <c r="M379" s="165"/>
      <c r="N379" s="127">
        <f t="shared" si="14"/>
        <v>16.739649681528661</v>
      </c>
      <c r="O379" s="127">
        <f t="shared" si="13"/>
        <v>4.883670618580774E-3</v>
      </c>
      <c r="P379" s="168">
        <f>O379*(1+'Key Data'!F$3)</f>
        <v>6.1045882732259672E-3</v>
      </c>
      <c r="Q379" s="366"/>
      <c r="R379" s="366"/>
      <c r="S379" s="418"/>
    </row>
    <row r="380" spans="1:19" x14ac:dyDescent="0.3">
      <c r="A380" s="367"/>
      <c r="B380" s="367"/>
      <c r="C380" s="367"/>
      <c r="D380" s="367"/>
      <c r="E380" s="416"/>
      <c r="F380" s="416"/>
      <c r="G380" s="367"/>
      <c r="H380" s="94" t="s">
        <v>481</v>
      </c>
      <c r="I380" s="165">
        <v>15</v>
      </c>
      <c r="J380" s="165">
        <f t="shared" si="12"/>
        <v>4.7770700636942669</v>
      </c>
      <c r="K380" s="165"/>
      <c r="L380" s="165"/>
      <c r="M380" s="165"/>
      <c r="N380" s="127">
        <f t="shared" si="14"/>
        <v>17.914012738853497</v>
      </c>
      <c r="O380" s="127">
        <f t="shared" si="13"/>
        <v>5.2262824693492214E-3</v>
      </c>
      <c r="P380" s="168">
        <f>O380*(1+'Key Data'!F$3)</f>
        <v>6.5328530866865268E-3</v>
      </c>
      <c r="Q380" s="366"/>
      <c r="R380" s="366"/>
      <c r="S380" s="418"/>
    </row>
    <row r="381" spans="1:19" x14ac:dyDescent="0.3">
      <c r="A381" s="367"/>
      <c r="B381" s="367"/>
      <c r="C381" s="367"/>
      <c r="D381" s="367"/>
      <c r="E381" s="416"/>
      <c r="F381" s="416"/>
      <c r="G381" s="367"/>
      <c r="H381" s="94" t="s">
        <v>481</v>
      </c>
      <c r="I381" s="165">
        <v>13</v>
      </c>
      <c r="J381" s="165">
        <f t="shared" si="12"/>
        <v>4.1401273885350314</v>
      </c>
      <c r="K381" s="165"/>
      <c r="L381" s="165"/>
      <c r="M381" s="165"/>
      <c r="N381" s="127">
        <f t="shared" si="14"/>
        <v>13.455414012738849</v>
      </c>
      <c r="O381" s="127">
        <f t="shared" si="13"/>
        <v>3.9255188325334166E-3</v>
      </c>
      <c r="P381" s="168">
        <f>O381*(1+'Key Data'!F$3)</f>
        <v>4.9068985406667707E-3</v>
      </c>
      <c r="Q381" s="366"/>
      <c r="R381" s="366"/>
      <c r="S381" s="418"/>
    </row>
    <row r="382" spans="1:19" x14ac:dyDescent="0.3">
      <c r="A382" s="367"/>
      <c r="B382" s="367"/>
      <c r="C382" s="367"/>
      <c r="D382" s="367"/>
      <c r="E382" s="416"/>
      <c r="F382" s="416"/>
      <c r="G382" s="367"/>
      <c r="H382" s="94" t="s">
        <v>481</v>
      </c>
      <c r="I382" s="165">
        <v>16</v>
      </c>
      <c r="J382" s="165">
        <f t="shared" si="12"/>
        <v>5.0955414012738851</v>
      </c>
      <c r="K382" s="165"/>
      <c r="L382" s="165"/>
      <c r="M382" s="165"/>
      <c r="N382" s="127">
        <f t="shared" si="14"/>
        <v>20.38216560509554</v>
      </c>
      <c r="O382" s="127">
        <f t="shared" si="13"/>
        <v>5.9463480540151185E-3</v>
      </c>
      <c r="P382" s="168">
        <f>O382*(1+'Key Data'!F$3)</f>
        <v>7.4329350675188983E-3</v>
      </c>
      <c r="Q382" s="366"/>
      <c r="R382" s="366"/>
      <c r="S382" s="418"/>
    </row>
    <row r="383" spans="1:19" x14ac:dyDescent="0.3">
      <c r="A383" s="367"/>
      <c r="B383" s="367"/>
      <c r="C383" s="367"/>
      <c r="D383" s="367"/>
      <c r="E383" s="416"/>
      <c r="F383" s="416"/>
      <c r="G383" s="367"/>
      <c r="H383" s="94" t="s">
        <v>481</v>
      </c>
      <c r="I383" s="165">
        <v>16</v>
      </c>
      <c r="J383" s="165">
        <f t="shared" si="12"/>
        <v>5.0955414012738851</v>
      </c>
      <c r="K383" s="165"/>
      <c r="L383" s="165"/>
      <c r="M383" s="165"/>
      <c r="N383" s="127">
        <f t="shared" si="14"/>
        <v>20.38216560509554</v>
      </c>
      <c r="O383" s="127">
        <f t="shared" si="13"/>
        <v>5.9463480540151185E-3</v>
      </c>
      <c r="P383" s="168">
        <f>O383*(1+'Key Data'!F$3)</f>
        <v>7.4329350675188983E-3</v>
      </c>
      <c r="Q383" s="366"/>
      <c r="R383" s="366"/>
      <c r="S383" s="418"/>
    </row>
    <row r="384" spans="1:19" x14ac:dyDescent="0.3">
      <c r="A384" s="367"/>
      <c r="B384" s="367"/>
      <c r="C384" s="367"/>
      <c r="D384" s="367"/>
      <c r="E384" s="416"/>
      <c r="F384" s="416"/>
      <c r="G384" s="367"/>
      <c r="H384" s="94" t="s">
        <v>481</v>
      </c>
      <c r="I384" s="165">
        <v>13.2</v>
      </c>
      <c r="J384" s="165">
        <f t="shared" si="12"/>
        <v>4.2038216560509554</v>
      </c>
      <c r="K384" s="165"/>
      <c r="L384" s="165"/>
      <c r="M384" s="165"/>
      <c r="N384" s="127">
        <f t="shared" si="14"/>
        <v>13.872611464968154</v>
      </c>
      <c r="O384" s="127">
        <f t="shared" si="13"/>
        <v>4.0472331442640399E-3</v>
      </c>
      <c r="P384" s="168">
        <f>O384*(1+'Key Data'!F$3)</f>
        <v>5.0590414303300496E-3</v>
      </c>
      <c r="Q384" s="366"/>
      <c r="R384" s="366"/>
      <c r="S384" s="418"/>
    </row>
    <row r="385" spans="1:19" x14ac:dyDescent="0.3">
      <c r="A385" s="367"/>
      <c r="B385" s="367"/>
      <c r="C385" s="367"/>
      <c r="D385" s="367"/>
      <c r="E385" s="416"/>
      <c r="F385" s="416"/>
      <c r="G385" s="367"/>
      <c r="H385" s="94" t="s">
        <v>481</v>
      </c>
      <c r="I385" s="165">
        <v>15</v>
      </c>
      <c r="J385" s="165">
        <f t="shared" si="12"/>
        <v>4.7770700636942669</v>
      </c>
      <c r="K385" s="165"/>
      <c r="L385" s="165"/>
      <c r="M385" s="165"/>
      <c r="N385" s="127">
        <f t="shared" si="14"/>
        <v>17.914012738853497</v>
      </c>
      <c r="O385" s="127">
        <f t="shared" si="13"/>
        <v>5.2262824693492214E-3</v>
      </c>
      <c r="P385" s="168">
        <f>O385*(1+'Key Data'!F$3)</f>
        <v>6.5328530866865268E-3</v>
      </c>
      <c r="Q385" s="366"/>
      <c r="R385" s="366"/>
      <c r="S385" s="418"/>
    </row>
    <row r="386" spans="1:19" x14ac:dyDescent="0.3">
      <c r="A386" s="367"/>
      <c r="B386" s="367"/>
      <c r="C386" s="367"/>
      <c r="D386" s="367"/>
      <c r="E386" s="416"/>
      <c r="F386" s="416"/>
      <c r="G386" s="367"/>
      <c r="H386" s="94" t="s">
        <v>481</v>
      </c>
      <c r="I386" s="165">
        <v>15</v>
      </c>
      <c r="J386" s="165">
        <f t="shared" si="12"/>
        <v>4.7770700636942669</v>
      </c>
      <c r="K386" s="165"/>
      <c r="L386" s="165"/>
      <c r="M386" s="165"/>
      <c r="N386" s="127">
        <f t="shared" si="14"/>
        <v>17.914012738853497</v>
      </c>
      <c r="O386" s="127">
        <f t="shared" si="13"/>
        <v>5.2262824693492214E-3</v>
      </c>
      <c r="P386" s="168">
        <f>O386*(1+'Key Data'!F$3)</f>
        <v>6.5328530866865268E-3</v>
      </c>
      <c r="Q386" s="366"/>
      <c r="R386" s="366"/>
      <c r="S386" s="418"/>
    </row>
    <row r="387" spans="1:19" x14ac:dyDescent="0.3">
      <c r="A387" s="367"/>
      <c r="B387" s="367"/>
      <c r="C387" s="367"/>
      <c r="D387" s="367"/>
      <c r="E387" s="416"/>
      <c r="F387" s="416"/>
      <c r="G387" s="367"/>
      <c r="H387" s="94" t="s">
        <v>481</v>
      </c>
      <c r="I387" s="165">
        <v>16.5</v>
      </c>
      <c r="J387" s="165">
        <f t="shared" ref="J387:J450" si="15">I387/3.14</f>
        <v>5.2547770700636942</v>
      </c>
      <c r="K387" s="165"/>
      <c r="L387" s="165"/>
      <c r="M387" s="165"/>
      <c r="N387" s="127">
        <f t="shared" si="14"/>
        <v>21.675955414012737</v>
      </c>
      <c r="O387" s="127">
        <f t="shared" si="13"/>
        <v>6.3238017879125603E-3</v>
      </c>
      <c r="P387" s="168">
        <f>O387*(1+'Key Data'!F$3)</f>
        <v>7.9047522348906999E-3</v>
      </c>
      <c r="Q387" s="366"/>
      <c r="R387" s="366"/>
      <c r="S387" s="418"/>
    </row>
    <row r="388" spans="1:19" x14ac:dyDescent="0.3">
      <c r="A388" s="367"/>
      <c r="B388" s="367"/>
      <c r="C388" s="367"/>
      <c r="D388" s="367"/>
      <c r="E388" s="416"/>
      <c r="F388" s="416"/>
      <c r="G388" s="367"/>
      <c r="H388" s="94" t="s">
        <v>481</v>
      </c>
      <c r="I388" s="165">
        <v>17</v>
      </c>
      <c r="J388" s="165">
        <f t="shared" si="15"/>
        <v>5.4140127388535033</v>
      </c>
      <c r="K388" s="165"/>
      <c r="L388" s="165"/>
      <c r="M388" s="165"/>
      <c r="N388" s="127">
        <f t="shared" si="14"/>
        <v>23.009554140127388</v>
      </c>
      <c r="O388" s="127">
        <f t="shared" ref="O388:O394" si="16">(10^(-0.535+LOG10(N388)))/1000</f>
        <v>6.7128694828530022E-3</v>
      </c>
      <c r="P388" s="168">
        <f>O388*(1+'Key Data'!F$3)</f>
        <v>8.3910868535662531E-3</v>
      </c>
      <c r="Q388" s="366"/>
      <c r="R388" s="366"/>
      <c r="S388" s="418"/>
    </row>
    <row r="389" spans="1:19" x14ac:dyDescent="0.3">
      <c r="A389" s="367"/>
      <c r="B389" s="367"/>
      <c r="C389" s="367"/>
      <c r="D389" s="367"/>
      <c r="E389" s="416"/>
      <c r="F389" s="416"/>
      <c r="G389" s="367"/>
      <c r="H389" s="94" t="s">
        <v>481</v>
      </c>
      <c r="I389" s="165">
        <v>16.100000000000001</v>
      </c>
      <c r="J389" s="165">
        <f t="shared" si="15"/>
        <v>5.1273885350318471</v>
      </c>
      <c r="K389" s="165"/>
      <c r="L389" s="165"/>
      <c r="M389" s="165"/>
      <c r="N389" s="127">
        <f t="shared" si="14"/>
        <v>20.637738853503187</v>
      </c>
      <c r="O389" s="127">
        <f t="shared" si="16"/>
        <v>6.0209096839111678E-3</v>
      </c>
      <c r="P389" s="168">
        <f>O389*(1+'Key Data'!F$3)</f>
        <v>7.5261371048889599E-3</v>
      </c>
      <c r="Q389" s="366"/>
      <c r="R389" s="366"/>
      <c r="S389" s="418"/>
    </row>
    <row r="390" spans="1:19" x14ac:dyDescent="0.3">
      <c r="A390" s="367"/>
      <c r="B390" s="367"/>
      <c r="C390" s="367"/>
      <c r="D390" s="367"/>
      <c r="E390" s="416"/>
      <c r="F390" s="416"/>
      <c r="G390" s="367"/>
      <c r="H390" s="94" t="s">
        <v>481</v>
      </c>
      <c r="I390" s="165">
        <v>16</v>
      </c>
      <c r="J390" s="165">
        <f t="shared" si="15"/>
        <v>5.0955414012738851</v>
      </c>
      <c r="K390" s="165"/>
      <c r="L390" s="165"/>
      <c r="M390" s="165"/>
      <c r="N390" s="127">
        <f t="shared" si="14"/>
        <v>20.38216560509554</v>
      </c>
      <c r="O390" s="127">
        <f t="shared" si="16"/>
        <v>5.9463480540151185E-3</v>
      </c>
      <c r="P390" s="168">
        <f>O390*(1+'Key Data'!F$3)</f>
        <v>7.4329350675188983E-3</v>
      </c>
      <c r="Q390" s="366"/>
      <c r="R390" s="366"/>
      <c r="S390" s="418"/>
    </row>
    <row r="391" spans="1:19" x14ac:dyDescent="0.3">
      <c r="A391" s="367"/>
      <c r="B391" s="367"/>
      <c r="C391" s="367"/>
      <c r="D391" s="367"/>
      <c r="E391" s="416"/>
      <c r="F391" s="416"/>
      <c r="G391" s="367"/>
      <c r="H391" s="94" t="s">
        <v>481</v>
      </c>
      <c r="I391" s="165">
        <v>16</v>
      </c>
      <c r="J391" s="165">
        <f t="shared" si="15"/>
        <v>5.0955414012738851</v>
      </c>
      <c r="K391" s="165"/>
      <c r="L391" s="165"/>
      <c r="M391" s="165"/>
      <c r="N391" s="127">
        <f t="shared" si="14"/>
        <v>20.38216560509554</v>
      </c>
      <c r="O391" s="127">
        <f t="shared" si="16"/>
        <v>5.9463480540151185E-3</v>
      </c>
      <c r="P391" s="168">
        <f>O391*(1+'Key Data'!F$3)</f>
        <v>7.4329350675188983E-3</v>
      </c>
      <c r="Q391" s="366"/>
      <c r="R391" s="366"/>
      <c r="S391" s="418"/>
    </row>
    <row r="392" spans="1:19" x14ac:dyDescent="0.3">
      <c r="A392" s="367"/>
      <c r="B392" s="367"/>
      <c r="C392" s="367"/>
      <c r="D392" s="367"/>
      <c r="E392" s="416"/>
      <c r="F392" s="416"/>
      <c r="G392" s="367"/>
      <c r="H392" s="94" t="s">
        <v>481</v>
      </c>
      <c r="I392" s="165">
        <v>14.4</v>
      </c>
      <c r="J392" s="165">
        <f t="shared" si="15"/>
        <v>4.5859872611464967</v>
      </c>
      <c r="K392" s="165"/>
      <c r="L392" s="165"/>
      <c r="M392" s="165"/>
      <c r="N392" s="127">
        <f t="shared" si="14"/>
        <v>16.509554140127388</v>
      </c>
      <c r="O392" s="127">
        <f t="shared" si="16"/>
        <v>4.8165419237522454E-3</v>
      </c>
      <c r="P392" s="168">
        <f>O392*(1+'Key Data'!F$3)</f>
        <v>6.0206774046903068E-3</v>
      </c>
      <c r="Q392" s="366"/>
      <c r="R392" s="366"/>
      <c r="S392" s="418"/>
    </row>
    <row r="393" spans="1:19" x14ac:dyDescent="0.3">
      <c r="A393" s="367"/>
      <c r="B393" s="367"/>
      <c r="C393" s="367"/>
      <c r="D393" s="367"/>
      <c r="E393" s="416"/>
      <c r="F393" s="416"/>
      <c r="G393" s="367"/>
      <c r="H393" s="94" t="s">
        <v>481</v>
      </c>
      <c r="I393" s="165">
        <v>17.2</v>
      </c>
      <c r="J393" s="165">
        <f t="shared" si="15"/>
        <v>5.4777070063694264</v>
      </c>
      <c r="K393" s="165"/>
      <c r="L393" s="165"/>
      <c r="M393" s="165"/>
      <c r="N393" s="127">
        <f t="shared" si="14"/>
        <v>23.554140127388532</v>
      </c>
      <c r="O393" s="127">
        <f t="shared" si="16"/>
        <v>6.8717484699212213E-3</v>
      </c>
      <c r="P393" s="168">
        <f>O393*(1+'Key Data'!F$3)</f>
        <v>8.5896855874015264E-3</v>
      </c>
      <c r="Q393" s="366"/>
      <c r="R393" s="366"/>
      <c r="S393" s="418"/>
    </row>
    <row r="394" spans="1:19" x14ac:dyDescent="0.3">
      <c r="A394" s="367"/>
      <c r="B394" s="367"/>
      <c r="C394" s="367"/>
      <c r="D394" s="367"/>
      <c r="E394" s="416"/>
      <c r="F394" s="416"/>
      <c r="G394" s="367"/>
      <c r="H394" s="94" t="s">
        <v>481</v>
      </c>
      <c r="I394" s="165">
        <v>15.2</v>
      </c>
      <c r="J394" s="165">
        <f t="shared" si="15"/>
        <v>4.8407643312101909</v>
      </c>
      <c r="K394" s="165"/>
      <c r="L394" s="165"/>
      <c r="M394" s="165"/>
      <c r="N394" s="127">
        <f t="shared" si="14"/>
        <v>18.394904458598724</v>
      </c>
      <c r="O394" s="127">
        <f t="shared" si="16"/>
        <v>5.3665791187486435E-3</v>
      </c>
      <c r="P394" s="168">
        <f>O394*(1+'Key Data'!F$3)</f>
        <v>6.7082238984358042E-3</v>
      </c>
      <c r="Q394" s="366"/>
      <c r="R394" s="366"/>
      <c r="S394" s="418"/>
    </row>
    <row r="395" spans="1:19" x14ac:dyDescent="0.3">
      <c r="A395" s="367"/>
      <c r="B395" s="367"/>
      <c r="C395" s="367"/>
      <c r="D395" s="367"/>
      <c r="E395" s="416"/>
      <c r="F395" s="416"/>
      <c r="G395" s="367"/>
      <c r="H395" s="94" t="s">
        <v>481</v>
      </c>
      <c r="I395" s="165">
        <v>14</v>
      </c>
      <c r="J395" s="165">
        <f t="shared" si="15"/>
        <v>4.4585987261146496</v>
      </c>
      <c r="K395" s="165"/>
      <c r="L395" s="165"/>
      <c r="M395" s="165"/>
      <c r="N395" s="127">
        <f t="shared" si="14"/>
        <v>15.605095541401273</v>
      </c>
      <c r="O395" s="127">
        <f>(10^(-0.535+LOG10(N395)))/1000</f>
        <v>4.5526727288553257E-3</v>
      </c>
      <c r="P395" s="168">
        <f>O395*(1+'Key Data'!F$3)</f>
        <v>5.6908409110691567E-3</v>
      </c>
      <c r="Q395" s="366"/>
      <c r="R395" s="366"/>
      <c r="S395" s="418"/>
    </row>
    <row r="396" spans="1:19" x14ac:dyDescent="0.3">
      <c r="A396" s="367"/>
      <c r="B396" s="367"/>
      <c r="C396" s="367"/>
      <c r="D396" s="367"/>
      <c r="E396" s="416"/>
      <c r="F396" s="416"/>
      <c r="G396" s="367"/>
      <c r="H396" s="94" t="s">
        <v>263</v>
      </c>
      <c r="I396" s="165">
        <v>28</v>
      </c>
      <c r="J396" s="165">
        <f t="shared" si="15"/>
        <v>8.9171974522292992</v>
      </c>
      <c r="K396" s="165"/>
      <c r="L396" s="165"/>
      <c r="M396" s="165"/>
      <c r="N396" s="127"/>
      <c r="O396" s="168">
        <f>30.4*EXP(-5.07*EXP(-0.26*J396)+1.277)/1000</f>
        <v>6.6183639528078139E-2</v>
      </c>
      <c r="P396" s="168">
        <f>O396*(1+'Key Data'!F$3)</f>
        <v>8.2729549410097677E-2</v>
      </c>
      <c r="Q396" s="366"/>
      <c r="R396" s="366"/>
      <c r="S396" s="418"/>
    </row>
    <row r="397" spans="1:19" x14ac:dyDescent="0.3">
      <c r="A397" s="367"/>
      <c r="B397" s="367"/>
      <c r="C397" s="367"/>
      <c r="D397" s="367"/>
      <c r="E397" s="416"/>
      <c r="F397" s="416"/>
      <c r="G397" s="367"/>
      <c r="H397" s="94" t="s">
        <v>263</v>
      </c>
      <c r="I397" s="165">
        <v>22</v>
      </c>
      <c r="J397" s="165">
        <f t="shared" si="15"/>
        <v>7.0063694267515917</v>
      </c>
      <c r="K397" s="165"/>
      <c r="L397" s="165"/>
      <c r="M397" s="165"/>
      <c r="N397" s="127"/>
      <c r="O397" s="168">
        <f>30.4*EXP(-5.07*EXP(-0.26*J397)+1.277)/1000</f>
        <v>4.800625536190465E-2</v>
      </c>
      <c r="P397" s="168">
        <f>O397*(1+'Key Data'!F$3)</f>
        <v>6.000781920238081E-2</v>
      </c>
      <c r="Q397" s="366"/>
      <c r="R397" s="366"/>
      <c r="S397" s="418"/>
    </row>
    <row r="398" spans="1:19" x14ac:dyDescent="0.3">
      <c r="A398" s="367"/>
      <c r="B398" s="367"/>
      <c r="C398" s="367"/>
      <c r="D398" s="367"/>
      <c r="E398" s="416"/>
      <c r="F398" s="416"/>
      <c r="G398" s="367"/>
      <c r="H398" s="94" t="s">
        <v>263</v>
      </c>
      <c r="I398" s="165">
        <v>23</v>
      </c>
      <c r="J398" s="165">
        <f t="shared" si="15"/>
        <v>7.3248407643312099</v>
      </c>
      <c r="K398" s="165"/>
      <c r="L398" s="165"/>
      <c r="M398" s="165"/>
      <c r="N398" s="127"/>
      <c r="O398" s="168">
        <f t="shared" ref="O398:O411" si="17">30.4*EXP(-5.07*EXP(-0.26*J398)+1.277)/1000</f>
        <v>5.123911451649759E-2</v>
      </c>
      <c r="P398" s="168">
        <f>O398*(1+'Key Data'!F$3)</f>
        <v>6.4048893145621982E-2</v>
      </c>
      <c r="Q398" s="366"/>
      <c r="R398" s="366"/>
      <c r="S398" s="418"/>
    </row>
    <row r="399" spans="1:19" x14ac:dyDescent="0.3">
      <c r="A399" s="367"/>
      <c r="B399" s="367"/>
      <c r="C399" s="367"/>
      <c r="D399" s="367"/>
      <c r="E399" s="416"/>
      <c r="F399" s="416"/>
      <c r="G399" s="367"/>
      <c r="H399" s="94" t="s">
        <v>263</v>
      </c>
      <c r="I399" s="165">
        <v>26.3</v>
      </c>
      <c r="J399" s="165">
        <f t="shared" si="15"/>
        <v>8.3757961783439487</v>
      </c>
      <c r="K399" s="165"/>
      <c r="L399" s="165"/>
      <c r="M399" s="165"/>
      <c r="N399" s="127"/>
      <c r="O399" s="168">
        <f t="shared" si="17"/>
        <v>6.1375232754167688E-2</v>
      </c>
      <c r="P399" s="168">
        <f>O399*(1+'Key Data'!F$3)</f>
        <v>7.6719040942709607E-2</v>
      </c>
      <c r="Q399" s="366"/>
      <c r="R399" s="366"/>
      <c r="S399" s="418"/>
    </row>
    <row r="400" spans="1:19" x14ac:dyDescent="0.3">
      <c r="A400" s="367"/>
      <c r="B400" s="367"/>
      <c r="C400" s="367"/>
      <c r="D400" s="367"/>
      <c r="E400" s="416"/>
      <c r="F400" s="416"/>
      <c r="G400" s="367"/>
      <c r="H400" s="94" t="s">
        <v>263</v>
      </c>
      <c r="I400" s="165">
        <v>27</v>
      </c>
      <c r="J400" s="165">
        <f t="shared" si="15"/>
        <v>8.598726114649681</v>
      </c>
      <c r="K400" s="165"/>
      <c r="L400" s="165"/>
      <c r="M400" s="165"/>
      <c r="N400" s="127"/>
      <c r="O400" s="168">
        <f t="shared" si="17"/>
        <v>6.3393109582195781E-2</v>
      </c>
      <c r="P400" s="168">
        <f>O400*(1+'Key Data'!F$3)</f>
        <v>7.9241386977744729E-2</v>
      </c>
      <c r="Q400" s="366"/>
      <c r="R400" s="366"/>
      <c r="S400" s="418"/>
    </row>
    <row r="401" spans="1:19" x14ac:dyDescent="0.3">
      <c r="A401" s="367"/>
      <c r="B401" s="367"/>
      <c r="C401" s="367"/>
      <c r="D401" s="367"/>
      <c r="E401" s="416"/>
      <c r="F401" s="416"/>
      <c r="G401" s="367"/>
      <c r="H401" s="94" t="s">
        <v>263</v>
      </c>
      <c r="I401" s="165">
        <v>22.1</v>
      </c>
      <c r="J401" s="165">
        <f t="shared" si="15"/>
        <v>7.0382165605095546</v>
      </c>
      <c r="K401" s="165"/>
      <c r="L401" s="165"/>
      <c r="M401" s="165"/>
      <c r="N401" s="127"/>
      <c r="O401" s="168">
        <f t="shared" si="17"/>
        <v>4.8332007183777718E-2</v>
      </c>
      <c r="P401" s="168">
        <f>O401*(1+'Key Data'!F$3)</f>
        <v>6.041500897972215E-2</v>
      </c>
      <c r="Q401" s="366"/>
      <c r="R401" s="366"/>
      <c r="S401" s="418"/>
    </row>
    <row r="402" spans="1:19" x14ac:dyDescent="0.3">
      <c r="A402" s="367"/>
      <c r="B402" s="367"/>
      <c r="C402" s="367"/>
      <c r="D402" s="367"/>
      <c r="E402" s="416"/>
      <c r="F402" s="416"/>
      <c r="G402" s="367"/>
      <c r="H402" s="94" t="s">
        <v>263</v>
      </c>
      <c r="I402" s="165">
        <v>26</v>
      </c>
      <c r="J402" s="165">
        <f t="shared" si="15"/>
        <v>8.2802547770700627</v>
      </c>
      <c r="K402" s="165"/>
      <c r="L402" s="165"/>
      <c r="M402" s="165"/>
      <c r="N402" s="127"/>
      <c r="O402" s="168">
        <f t="shared" si="17"/>
        <v>6.0494849846184154E-2</v>
      </c>
      <c r="P402" s="168">
        <f>O402*(1+'Key Data'!F$3)</f>
        <v>7.5618562307730189E-2</v>
      </c>
      <c r="Q402" s="366"/>
      <c r="R402" s="366"/>
      <c r="S402" s="418"/>
    </row>
    <row r="403" spans="1:19" x14ac:dyDescent="0.3">
      <c r="A403" s="367"/>
      <c r="B403" s="367"/>
      <c r="C403" s="367"/>
      <c r="D403" s="367"/>
      <c r="E403" s="416"/>
      <c r="F403" s="416"/>
      <c r="G403" s="367"/>
      <c r="H403" s="94" t="s">
        <v>263</v>
      </c>
      <c r="I403" s="165">
        <v>20.399999999999999</v>
      </c>
      <c r="J403" s="165">
        <f t="shared" si="15"/>
        <v>6.4968152866242033</v>
      </c>
      <c r="K403" s="165"/>
      <c r="L403" s="165"/>
      <c r="M403" s="165"/>
      <c r="N403" s="127"/>
      <c r="O403" s="168">
        <f t="shared" si="17"/>
        <v>4.2740787349258832E-2</v>
      </c>
      <c r="P403" s="168">
        <f>O403*(1+'Key Data'!F$3)</f>
        <v>5.3425984186573544E-2</v>
      </c>
      <c r="Q403" s="366"/>
      <c r="R403" s="366"/>
      <c r="S403" s="418"/>
    </row>
    <row r="404" spans="1:19" x14ac:dyDescent="0.3">
      <c r="A404" s="367"/>
      <c r="B404" s="367"/>
      <c r="C404" s="367"/>
      <c r="D404" s="367"/>
      <c r="E404" s="416"/>
      <c r="F404" s="416"/>
      <c r="G404" s="367"/>
      <c r="H404" s="94" t="s">
        <v>263</v>
      </c>
      <c r="I404" s="165">
        <v>17</v>
      </c>
      <c r="J404" s="165">
        <f t="shared" si="15"/>
        <v>5.4140127388535033</v>
      </c>
      <c r="K404" s="165"/>
      <c r="L404" s="165"/>
      <c r="M404" s="165"/>
      <c r="N404" s="127"/>
      <c r="O404" s="168">
        <f t="shared" si="17"/>
        <v>3.152294203403376E-2</v>
      </c>
      <c r="P404" s="168">
        <f>O404*(1+'Key Data'!F$3)</f>
        <v>3.9403677542542204E-2</v>
      </c>
      <c r="Q404" s="366"/>
      <c r="R404" s="366"/>
      <c r="S404" s="418"/>
    </row>
    <row r="405" spans="1:19" x14ac:dyDescent="0.3">
      <c r="A405" s="367"/>
      <c r="B405" s="367"/>
      <c r="C405" s="367"/>
      <c r="D405" s="367"/>
      <c r="E405" s="416"/>
      <c r="F405" s="416"/>
      <c r="G405" s="367"/>
      <c r="H405" s="94" t="s">
        <v>263</v>
      </c>
      <c r="I405" s="165">
        <v>18.100000000000001</v>
      </c>
      <c r="J405" s="165">
        <f t="shared" si="15"/>
        <v>5.7643312101910826</v>
      </c>
      <c r="K405" s="165"/>
      <c r="L405" s="165"/>
      <c r="M405" s="165"/>
      <c r="N405" s="127"/>
      <c r="O405" s="168">
        <f t="shared" si="17"/>
        <v>3.5118591759482877E-2</v>
      </c>
      <c r="P405" s="168">
        <f>O405*(1+'Key Data'!F$3)</f>
        <v>4.3898239699353594E-2</v>
      </c>
      <c r="Q405" s="366"/>
      <c r="R405" s="366"/>
      <c r="S405" s="418"/>
    </row>
    <row r="406" spans="1:19" x14ac:dyDescent="0.3">
      <c r="A406" s="367"/>
      <c r="B406" s="367"/>
      <c r="C406" s="367"/>
      <c r="D406" s="367"/>
      <c r="E406" s="416"/>
      <c r="F406" s="416"/>
      <c r="G406" s="367"/>
      <c r="H406" s="94" t="s">
        <v>263</v>
      </c>
      <c r="I406" s="165">
        <v>26.4</v>
      </c>
      <c r="J406" s="165">
        <f t="shared" si="15"/>
        <v>8.4076433121019107</v>
      </c>
      <c r="K406" s="165"/>
      <c r="L406" s="165"/>
      <c r="M406" s="165"/>
      <c r="N406" s="127"/>
      <c r="O406" s="168">
        <f t="shared" si="17"/>
        <v>6.166664706761326E-2</v>
      </c>
      <c r="P406" s="168">
        <f>O406*(1+'Key Data'!F$3)</f>
        <v>7.708330883451657E-2</v>
      </c>
      <c r="Q406" s="366"/>
      <c r="R406" s="366"/>
      <c r="S406" s="418"/>
    </row>
    <row r="407" spans="1:19" x14ac:dyDescent="0.3">
      <c r="A407" s="367"/>
      <c r="B407" s="367"/>
      <c r="C407" s="367"/>
      <c r="D407" s="367"/>
      <c r="E407" s="416"/>
      <c r="F407" s="416"/>
      <c r="G407" s="367"/>
      <c r="H407" s="94" t="s">
        <v>263</v>
      </c>
      <c r="I407" s="165">
        <v>33.5</v>
      </c>
      <c r="J407" s="165">
        <f t="shared" si="15"/>
        <v>10.668789808917197</v>
      </c>
      <c r="K407" s="165"/>
      <c r="L407" s="165"/>
      <c r="M407" s="165"/>
      <c r="N407" s="127"/>
      <c r="O407" s="168">
        <f t="shared" si="17"/>
        <v>7.9438108670558588E-2</v>
      </c>
      <c r="P407" s="168">
        <f>O407*(1+'Key Data'!F$3)</f>
        <v>9.9297635838198228E-2</v>
      </c>
      <c r="Q407" s="366"/>
      <c r="R407" s="366"/>
      <c r="S407" s="418"/>
    </row>
    <row r="408" spans="1:19" x14ac:dyDescent="0.3">
      <c r="A408" s="367"/>
      <c r="B408" s="367"/>
      <c r="C408" s="367"/>
      <c r="D408" s="367"/>
      <c r="E408" s="416"/>
      <c r="F408" s="416"/>
      <c r="G408" s="367"/>
      <c r="H408" s="94" t="s">
        <v>263</v>
      </c>
      <c r="I408" s="165">
        <v>19</v>
      </c>
      <c r="J408" s="165">
        <f t="shared" si="15"/>
        <v>6.0509554140127388</v>
      </c>
      <c r="K408" s="165"/>
      <c r="L408" s="165"/>
      <c r="M408" s="165"/>
      <c r="N408" s="127"/>
      <c r="O408" s="168">
        <f t="shared" si="17"/>
        <v>3.8094669325505315E-2</v>
      </c>
      <c r="P408" s="168">
        <f>O408*(1+'Key Data'!F$3)</f>
        <v>4.7618336656881644E-2</v>
      </c>
      <c r="Q408" s="366"/>
      <c r="R408" s="366"/>
      <c r="S408" s="418"/>
    </row>
    <row r="409" spans="1:19" x14ac:dyDescent="0.3">
      <c r="A409" s="367"/>
      <c r="B409" s="367"/>
      <c r="C409" s="367"/>
      <c r="D409" s="367"/>
      <c r="E409" s="416"/>
      <c r="F409" s="416"/>
      <c r="G409" s="367"/>
      <c r="H409" s="94" t="s">
        <v>263</v>
      </c>
      <c r="I409" s="165">
        <v>21.2</v>
      </c>
      <c r="J409" s="165">
        <f t="shared" si="15"/>
        <v>6.7515923566878975</v>
      </c>
      <c r="K409" s="165"/>
      <c r="L409" s="165"/>
      <c r="M409" s="165"/>
      <c r="N409" s="127"/>
      <c r="O409" s="168">
        <f t="shared" si="17"/>
        <v>4.5384278425303584E-2</v>
      </c>
      <c r="P409" s="168">
        <f>O409*(1+'Key Data'!F$3)</f>
        <v>5.6730348031629477E-2</v>
      </c>
      <c r="Q409" s="366"/>
      <c r="R409" s="366"/>
      <c r="S409" s="418"/>
    </row>
    <row r="410" spans="1:19" x14ac:dyDescent="0.3">
      <c r="A410" s="367"/>
      <c r="B410" s="367"/>
      <c r="C410" s="367"/>
      <c r="D410" s="367"/>
      <c r="E410" s="416"/>
      <c r="F410" s="416"/>
      <c r="G410" s="367"/>
      <c r="H410" s="94" t="s">
        <v>263</v>
      </c>
      <c r="I410" s="165">
        <v>26.5</v>
      </c>
      <c r="J410" s="165">
        <f t="shared" si="15"/>
        <v>8.4394904458598727</v>
      </c>
      <c r="K410" s="165"/>
      <c r="L410" s="165"/>
      <c r="M410" s="165"/>
      <c r="N410" s="127"/>
      <c r="O410" s="168">
        <f t="shared" si="17"/>
        <v>6.1957024930989375E-2</v>
      </c>
      <c r="P410" s="168">
        <f>O410*(1+'Key Data'!F$3)</f>
        <v>7.7446281163736724E-2</v>
      </c>
      <c r="Q410" s="366"/>
      <c r="R410" s="366"/>
      <c r="S410" s="418"/>
    </row>
    <row r="411" spans="1:19" x14ac:dyDescent="0.3">
      <c r="A411" s="367"/>
      <c r="B411" s="367"/>
      <c r="C411" s="367"/>
      <c r="D411" s="367"/>
      <c r="E411" s="416"/>
      <c r="F411" s="416"/>
      <c r="G411" s="367"/>
      <c r="H411" s="94" t="s">
        <v>263</v>
      </c>
      <c r="I411" s="165">
        <v>7.5</v>
      </c>
      <c r="J411" s="165">
        <f t="shared" si="15"/>
        <v>2.3885350318471334</v>
      </c>
      <c r="K411" s="165"/>
      <c r="L411" s="165"/>
      <c r="M411" s="165"/>
      <c r="N411" s="127"/>
      <c r="O411" s="168">
        <f t="shared" si="17"/>
        <v>7.1480699828073624E-3</v>
      </c>
      <c r="P411" s="168">
        <f>O411*(1+'Key Data'!F$3)</f>
        <v>8.9350874785092023E-3</v>
      </c>
      <c r="Q411" s="366"/>
      <c r="R411" s="366"/>
      <c r="S411" s="418"/>
    </row>
    <row r="412" spans="1:19" x14ac:dyDescent="0.3">
      <c r="A412" s="374">
        <v>6</v>
      </c>
      <c r="B412" s="374" t="s">
        <v>415</v>
      </c>
      <c r="C412" s="374" t="s">
        <v>436</v>
      </c>
      <c r="D412" s="374" t="s">
        <v>275</v>
      </c>
      <c r="E412" s="415">
        <v>15.264373000000001</v>
      </c>
      <c r="F412" s="415">
        <v>79.324965000000006</v>
      </c>
      <c r="G412" s="374">
        <v>2022</v>
      </c>
      <c r="H412" s="72" t="s">
        <v>265</v>
      </c>
      <c r="I412" s="73">
        <v>22</v>
      </c>
      <c r="J412" s="73">
        <f t="shared" si="15"/>
        <v>7.0063694267515917</v>
      </c>
      <c r="K412" s="73"/>
      <c r="L412" s="73"/>
      <c r="M412" s="73"/>
      <c r="N412" s="129">
        <f>3.14*J412/2*J412/2</f>
        <v>38.535031847133752</v>
      </c>
      <c r="O412" s="129">
        <f>(10^(-0.535+LOG10(N412)))/1000</f>
        <v>1.1242314289622324E-2</v>
      </c>
      <c r="P412" s="169">
        <f>O412*(1+'Key Data'!F$3)</f>
        <v>1.4052892862027905E-2</v>
      </c>
      <c r="Q412" s="379">
        <f>SUM(P412:P448)</f>
        <v>0.49506831737988743</v>
      </c>
      <c r="R412" s="379">
        <f>Q412*10000/900</f>
        <v>5.5007590819987486</v>
      </c>
      <c r="S412" s="418"/>
    </row>
    <row r="413" spans="1:19" x14ac:dyDescent="0.3">
      <c r="A413" s="374"/>
      <c r="B413" s="374"/>
      <c r="C413" s="374"/>
      <c r="D413" s="374"/>
      <c r="E413" s="415"/>
      <c r="F413" s="415"/>
      <c r="G413" s="374"/>
      <c r="H413" s="72" t="s">
        <v>265</v>
      </c>
      <c r="I413" s="73">
        <v>16</v>
      </c>
      <c r="J413" s="73">
        <f t="shared" si="15"/>
        <v>5.0955414012738851</v>
      </c>
      <c r="K413" s="73"/>
      <c r="L413" s="73"/>
      <c r="M413" s="73"/>
      <c r="N413" s="129">
        <f t="shared" ref="N413:N476" si="18">3.14*J413/2*J413/2</f>
        <v>20.38216560509554</v>
      </c>
      <c r="O413" s="129">
        <f t="shared" ref="O413:O475" si="19">(10^(-0.535+LOG10(N413)))/1000</f>
        <v>5.9463480540151185E-3</v>
      </c>
      <c r="P413" s="169">
        <f>O413*(1+'Key Data'!F$3)</f>
        <v>7.4329350675188983E-3</v>
      </c>
      <c r="Q413" s="379"/>
      <c r="R413" s="379"/>
      <c r="S413" s="418"/>
    </row>
    <row r="414" spans="1:19" x14ac:dyDescent="0.3">
      <c r="A414" s="374"/>
      <c r="B414" s="374"/>
      <c r="C414" s="374"/>
      <c r="D414" s="374"/>
      <c r="E414" s="415"/>
      <c r="F414" s="415"/>
      <c r="G414" s="374"/>
      <c r="H414" s="72" t="s">
        <v>265</v>
      </c>
      <c r="I414" s="73">
        <f>SQRT(10*10+8.8*8.8)</f>
        <v>13.320660644277369</v>
      </c>
      <c r="J414" s="73">
        <f t="shared" si="15"/>
        <v>4.2422486128271872</v>
      </c>
      <c r="K414" s="73"/>
      <c r="L414" s="73"/>
      <c r="M414" s="73"/>
      <c r="N414" s="129">
        <f t="shared" si="18"/>
        <v>14.127388535031843</v>
      </c>
      <c r="O414" s="129">
        <f>(10^(-0.535+LOG10(N414)))/1000</f>
        <v>4.1215624949392272E-3</v>
      </c>
      <c r="P414" s="169">
        <f>O414*(1+'Key Data'!F$3)</f>
        <v>5.1519531186740341E-3</v>
      </c>
      <c r="Q414" s="379"/>
      <c r="R414" s="379"/>
      <c r="S414" s="418"/>
    </row>
    <row r="415" spans="1:19" x14ac:dyDescent="0.3">
      <c r="A415" s="374"/>
      <c r="B415" s="374"/>
      <c r="C415" s="374"/>
      <c r="D415" s="374"/>
      <c r="E415" s="415"/>
      <c r="F415" s="415"/>
      <c r="G415" s="374"/>
      <c r="H415" s="72" t="s">
        <v>265</v>
      </c>
      <c r="I415" s="73">
        <v>16</v>
      </c>
      <c r="J415" s="73">
        <f t="shared" si="15"/>
        <v>5.0955414012738851</v>
      </c>
      <c r="K415" s="73"/>
      <c r="L415" s="73"/>
      <c r="M415" s="73"/>
      <c r="N415" s="129">
        <f t="shared" si="18"/>
        <v>20.38216560509554</v>
      </c>
      <c r="O415" s="129">
        <f t="shared" si="19"/>
        <v>5.9463480540151185E-3</v>
      </c>
      <c r="P415" s="169">
        <f>O415*(1+'Key Data'!F$3)</f>
        <v>7.4329350675188983E-3</v>
      </c>
      <c r="Q415" s="379"/>
      <c r="R415" s="379"/>
      <c r="S415" s="418"/>
    </row>
    <row r="416" spans="1:19" x14ac:dyDescent="0.3">
      <c r="A416" s="374"/>
      <c r="B416" s="374"/>
      <c r="C416" s="374"/>
      <c r="D416" s="374"/>
      <c r="E416" s="415"/>
      <c r="F416" s="415"/>
      <c r="G416" s="374"/>
      <c r="H416" s="72" t="s">
        <v>265</v>
      </c>
      <c r="I416" s="73">
        <v>15.5</v>
      </c>
      <c r="J416" s="73">
        <f t="shared" si="15"/>
        <v>4.936305732484076</v>
      </c>
      <c r="K416" s="73"/>
      <c r="L416" s="73"/>
      <c r="M416" s="73"/>
      <c r="N416" s="129">
        <f t="shared" si="18"/>
        <v>19.128184713375795</v>
      </c>
      <c r="O416" s="129">
        <f t="shared" si="19"/>
        <v>5.5805082811606725E-3</v>
      </c>
      <c r="P416" s="169">
        <f>O416*(1+'Key Data'!F$3)</f>
        <v>6.9756353514508406E-3</v>
      </c>
      <c r="Q416" s="379"/>
      <c r="R416" s="379"/>
      <c r="S416" s="418"/>
    </row>
    <row r="417" spans="1:19" x14ac:dyDescent="0.3">
      <c r="A417" s="374"/>
      <c r="B417" s="374"/>
      <c r="C417" s="374"/>
      <c r="D417" s="374"/>
      <c r="E417" s="415"/>
      <c r="F417" s="415"/>
      <c r="G417" s="374"/>
      <c r="H417" s="72" t="s">
        <v>265</v>
      </c>
      <c r="I417" s="73">
        <v>16</v>
      </c>
      <c r="J417" s="73">
        <f t="shared" si="15"/>
        <v>5.0955414012738851</v>
      </c>
      <c r="K417" s="73"/>
      <c r="L417" s="73"/>
      <c r="M417" s="73"/>
      <c r="N417" s="129">
        <f t="shared" si="18"/>
        <v>20.38216560509554</v>
      </c>
      <c r="O417" s="129">
        <f t="shared" si="19"/>
        <v>5.9463480540151185E-3</v>
      </c>
      <c r="P417" s="169">
        <f>O417*(1+'Key Data'!F$3)</f>
        <v>7.4329350675188983E-3</v>
      </c>
      <c r="Q417" s="379"/>
      <c r="R417" s="379"/>
      <c r="S417" s="418"/>
    </row>
    <row r="418" spans="1:19" x14ac:dyDescent="0.3">
      <c r="A418" s="374"/>
      <c r="B418" s="374"/>
      <c r="C418" s="374"/>
      <c r="D418" s="374"/>
      <c r="E418" s="415"/>
      <c r="F418" s="415"/>
      <c r="G418" s="374"/>
      <c r="H418" s="72" t="s">
        <v>265</v>
      </c>
      <c r="I418" s="73">
        <v>22</v>
      </c>
      <c r="J418" s="73">
        <f t="shared" si="15"/>
        <v>7.0063694267515917</v>
      </c>
      <c r="K418" s="73"/>
      <c r="L418" s="73"/>
      <c r="M418" s="73"/>
      <c r="N418" s="129">
        <f t="shared" si="18"/>
        <v>38.535031847133752</v>
      </c>
      <c r="O418" s="129">
        <f t="shared" si="19"/>
        <v>1.1242314289622324E-2</v>
      </c>
      <c r="P418" s="169">
        <f>O418*(1+'Key Data'!F$3)</f>
        <v>1.4052892862027905E-2</v>
      </c>
      <c r="Q418" s="379"/>
      <c r="R418" s="379"/>
      <c r="S418" s="418"/>
    </row>
    <row r="419" spans="1:19" x14ac:dyDescent="0.3">
      <c r="A419" s="374"/>
      <c r="B419" s="374"/>
      <c r="C419" s="374"/>
      <c r="D419" s="374"/>
      <c r="E419" s="415"/>
      <c r="F419" s="415"/>
      <c r="G419" s="374"/>
      <c r="H419" s="72" t="s">
        <v>265</v>
      </c>
      <c r="I419" s="73">
        <v>23</v>
      </c>
      <c r="J419" s="73">
        <f t="shared" si="15"/>
        <v>7.3248407643312099</v>
      </c>
      <c r="K419" s="73"/>
      <c r="L419" s="73"/>
      <c r="M419" s="73"/>
      <c r="N419" s="129">
        <f t="shared" si="18"/>
        <v>42.117834394904456</v>
      </c>
      <c r="O419" s="129">
        <f t="shared" si="19"/>
        <v>1.2287570783492173E-2</v>
      </c>
      <c r="P419" s="169">
        <f>O419*(1+'Key Data'!F$3)</f>
        <v>1.5359463479365216E-2</v>
      </c>
      <c r="Q419" s="379"/>
      <c r="R419" s="379"/>
      <c r="S419" s="418"/>
    </row>
    <row r="420" spans="1:19" x14ac:dyDescent="0.3">
      <c r="A420" s="374"/>
      <c r="B420" s="374"/>
      <c r="C420" s="374"/>
      <c r="D420" s="374"/>
      <c r="E420" s="415"/>
      <c r="F420" s="415"/>
      <c r="G420" s="374"/>
      <c r="H420" s="72" t="s">
        <v>265</v>
      </c>
      <c r="I420" s="73">
        <f>SQRT(11.5*11.5+13.5*13.5)</f>
        <v>17.734147850968199</v>
      </c>
      <c r="J420" s="73">
        <f t="shared" si="15"/>
        <v>5.6478177869325474</v>
      </c>
      <c r="K420" s="73"/>
      <c r="L420" s="73"/>
      <c r="M420" s="73"/>
      <c r="N420" s="129">
        <f t="shared" si="18"/>
        <v>25.039808917197451</v>
      </c>
      <c r="O420" s="129">
        <f t="shared" si="19"/>
        <v>7.3051814960459135E-3</v>
      </c>
      <c r="P420" s="169">
        <f>O420*(1+'Key Data'!F$3)</f>
        <v>9.1314768700573919E-3</v>
      </c>
      <c r="Q420" s="379"/>
      <c r="R420" s="379"/>
      <c r="S420" s="418"/>
    </row>
    <row r="421" spans="1:19" x14ac:dyDescent="0.3">
      <c r="A421" s="374"/>
      <c r="B421" s="374"/>
      <c r="C421" s="374"/>
      <c r="D421" s="374"/>
      <c r="E421" s="415"/>
      <c r="F421" s="415"/>
      <c r="G421" s="374"/>
      <c r="H421" s="72" t="s">
        <v>265</v>
      </c>
      <c r="I421" s="73">
        <f>SQRT(17*17+18.4*18.4)</f>
        <v>25.05114767830009</v>
      </c>
      <c r="J421" s="73">
        <f t="shared" si="15"/>
        <v>7.9780725090127671</v>
      </c>
      <c r="K421" s="73"/>
      <c r="L421" s="73"/>
      <c r="M421" s="73"/>
      <c r="N421" s="129">
        <f t="shared" si="18"/>
        <v>49.964968152866241</v>
      </c>
      <c r="O421" s="129">
        <f t="shared" si="19"/>
        <v>1.4576914784287994E-2</v>
      </c>
      <c r="P421" s="169">
        <f>O421*(1+'Key Data'!F$3)</f>
        <v>1.8221143480359994E-2</v>
      </c>
      <c r="Q421" s="379"/>
      <c r="R421" s="379"/>
      <c r="S421" s="418"/>
    </row>
    <row r="422" spans="1:19" x14ac:dyDescent="0.3">
      <c r="A422" s="374"/>
      <c r="B422" s="374"/>
      <c r="C422" s="374"/>
      <c r="D422" s="374"/>
      <c r="E422" s="415"/>
      <c r="F422" s="415"/>
      <c r="G422" s="374"/>
      <c r="H422" s="72" t="s">
        <v>265</v>
      </c>
      <c r="I422" s="73">
        <v>17.7</v>
      </c>
      <c r="J422" s="73">
        <f t="shared" si="15"/>
        <v>5.6369426751592355</v>
      </c>
      <c r="K422" s="73"/>
      <c r="L422" s="73"/>
      <c r="M422" s="73"/>
      <c r="N422" s="129">
        <f t="shared" si="18"/>
        <v>24.943471337579616</v>
      </c>
      <c r="O422" s="129">
        <f t="shared" si="19"/>
        <v>7.2770757103218613E-3</v>
      </c>
      <c r="P422" s="169">
        <f>O422*(1+'Key Data'!F$3)</f>
        <v>9.0963446379023274E-3</v>
      </c>
      <c r="Q422" s="379"/>
      <c r="R422" s="379"/>
      <c r="S422" s="418"/>
    </row>
    <row r="423" spans="1:19" x14ac:dyDescent="0.3">
      <c r="A423" s="374"/>
      <c r="B423" s="374"/>
      <c r="C423" s="374"/>
      <c r="D423" s="374"/>
      <c r="E423" s="415"/>
      <c r="F423" s="415"/>
      <c r="G423" s="374"/>
      <c r="H423" s="72" t="s">
        <v>265</v>
      </c>
      <c r="I423" s="73">
        <v>21</v>
      </c>
      <c r="J423" s="73">
        <f t="shared" si="15"/>
        <v>6.6878980891719744</v>
      </c>
      <c r="K423" s="73"/>
      <c r="L423" s="73"/>
      <c r="M423" s="73"/>
      <c r="N423" s="129">
        <f t="shared" si="18"/>
        <v>35.111464968152866</v>
      </c>
      <c r="O423" s="129">
        <f t="shared" si="19"/>
        <v>1.0243513639924477E-2</v>
      </c>
      <c r="P423" s="169">
        <f>O423*(1+'Key Data'!F$3)</f>
        <v>1.2804392049905597E-2</v>
      </c>
      <c r="Q423" s="379"/>
      <c r="R423" s="379"/>
      <c r="S423" s="418"/>
    </row>
    <row r="424" spans="1:19" x14ac:dyDescent="0.3">
      <c r="A424" s="374"/>
      <c r="B424" s="374"/>
      <c r="C424" s="374"/>
      <c r="D424" s="374"/>
      <c r="E424" s="415"/>
      <c r="F424" s="415"/>
      <c r="G424" s="374"/>
      <c r="H424" s="72" t="s">
        <v>265</v>
      </c>
      <c r="I424" s="73">
        <v>24</v>
      </c>
      <c r="J424" s="73">
        <f t="shared" si="15"/>
        <v>7.6433121019108281</v>
      </c>
      <c r="K424" s="73"/>
      <c r="L424" s="73"/>
      <c r="M424" s="73"/>
      <c r="N424" s="129">
        <f t="shared" si="18"/>
        <v>45.859872611464965</v>
      </c>
      <c r="O424" s="129">
        <f t="shared" si="19"/>
        <v>1.3379283121534021E-2</v>
      </c>
      <c r="P424" s="169">
        <f>O424*(1+'Key Data'!F$3)</f>
        <v>1.6724103901917527E-2</v>
      </c>
      <c r="Q424" s="379"/>
      <c r="R424" s="379"/>
      <c r="S424" s="418"/>
    </row>
    <row r="425" spans="1:19" x14ac:dyDescent="0.3">
      <c r="A425" s="374"/>
      <c r="B425" s="374"/>
      <c r="C425" s="374"/>
      <c r="D425" s="374"/>
      <c r="E425" s="415"/>
      <c r="F425" s="415"/>
      <c r="G425" s="374"/>
      <c r="H425" s="72" t="s">
        <v>265</v>
      </c>
      <c r="I425" s="73">
        <v>26</v>
      </c>
      <c r="J425" s="73">
        <f t="shared" si="15"/>
        <v>8.2802547770700627</v>
      </c>
      <c r="K425" s="73"/>
      <c r="L425" s="73"/>
      <c r="M425" s="73"/>
      <c r="N425" s="129">
        <f t="shared" si="18"/>
        <v>53.821656050955397</v>
      </c>
      <c r="O425" s="129">
        <f t="shared" si="19"/>
        <v>1.570207533013367E-2</v>
      </c>
      <c r="P425" s="169">
        <f>O425*(1+'Key Data'!F$3)</f>
        <v>1.9627594162667086E-2</v>
      </c>
      <c r="Q425" s="379"/>
      <c r="R425" s="379"/>
      <c r="S425" s="418"/>
    </row>
    <row r="426" spans="1:19" x14ac:dyDescent="0.3">
      <c r="A426" s="374"/>
      <c r="B426" s="374"/>
      <c r="C426" s="374"/>
      <c r="D426" s="374"/>
      <c r="E426" s="415"/>
      <c r="F426" s="415"/>
      <c r="G426" s="374"/>
      <c r="H426" s="72" t="s">
        <v>265</v>
      </c>
      <c r="I426" s="73">
        <v>23</v>
      </c>
      <c r="J426" s="73">
        <f t="shared" si="15"/>
        <v>7.3248407643312099</v>
      </c>
      <c r="K426" s="73"/>
      <c r="L426" s="73"/>
      <c r="M426" s="73"/>
      <c r="N426" s="129">
        <f t="shared" si="18"/>
        <v>42.117834394904456</v>
      </c>
      <c r="O426" s="129">
        <f t="shared" si="19"/>
        <v>1.2287570783492173E-2</v>
      </c>
      <c r="P426" s="169">
        <f>O426*(1+'Key Data'!F$3)</f>
        <v>1.5359463479365216E-2</v>
      </c>
      <c r="Q426" s="379"/>
      <c r="R426" s="379"/>
      <c r="S426" s="418"/>
    </row>
    <row r="427" spans="1:19" x14ac:dyDescent="0.3">
      <c r="A427" s="374"/>
      <c r="B427" s="374"/>
      <c r="C427" s="374"/>
      <c r="D427" s="374"/>
      <c r="E427" s="415"/>
      <c r="F427" s="415"/>
      <c r="G427" s="374"/>
      <c r="H427" s="72" t="s">
        <v>265</v>
      </c>
      <c r="I427" s="73">
        <v>22</v>
      </c>
      <c r="J427" s="73">
        <f t="shared" si="15"/>
        <v>7.0063694267515917</v>
      </c>
      <c r="K427" s="73"/>
      <c r="L427" s="73"/>
      <c r="M427" s="73"/>
      <c r="N427" s="129">
        <f t="shared" si="18"/>
        <v>38.535031847133752</v>
      </c>
      <c r="O427" s="129">
        <f t="shared" si="19"/>
        <v>1.1242314289622324E-2</v>
      </c>
      <c r="P427" s="169">
        <f>O427*(1+'Key Data'!F$3)</f>
        <v>1.4052892862027905E-2</v>
      </c>
      <c r="Q427" s="379"/>
      <c r="R427" s="379"/>
      <c r="S427" s="418"/>
    </row>
    <row r="428" spans="1:19" x14ac:dyDescent="0.3">
      <c r="A428" s="374"/>
      <c r="B428" s="374"/>
      <c r="C428" s="374"/>
      <c r="D428" s="374"/>
      <c r="E428" s="415"/>
      <c r="F428" s="415"/>
      <c r="G428" s="374"/>
      <c r="H428" s="72" t="s">
        <v>265</v>
      </c>
      <c r="I428" s="73">
        <v>17</v>
      </c>
      <c r="J428" s="73">
        <f t="shared" si="15"/>
        <v>5.4140127388535033</v>
      </c>
      <c r="K428" s="73"/>
      <c r="L428" s="73"/>
      <c r="M428" s="73"/>
      <c r="N428" s="129">
        <f t="shared" si="18"/>
        <v>23.009554140127388</v>
      </c>
      <c r="O428" s="129">
        <f t="shared" si="19"/>
        <v>6.7128694828530022E-3</v>
      </c>
      <c r="P428" s="169">
        <f>O428*(1+'Key Data'!F$3)</f>
        <v>8.3910868535662531E-3</v>
      </c>
      <c r="Q428" s="379"/>
      <c r="R428" s="379"/>
      <c r="S428" s="418"/>
    </row>
    <row r="429" spans="1:19" x14ac:dyDescent="0.3">
      <c r="A429" s="374"/>
      <c r="B429" s="374"/>
      <c r="C429" s="374"/>
      <c r="D429" s="374"/>
      <c r="E429" s="415"/>
      <c r="F429" s="415"/>
      <c r="G429" s="374"/>
      <c r="H429" s="72" t="s">
        <v>265</v>
      </c>
      <c r="I429" s="73">
        <v>18</v>
      </c>
      <c r="J429" s="73">
        <f t="shared" si="15"/>
        <v>5.7324840764331206</v>
      </c>
      <c r="K429" s="73"/>
      <c r="L429" s="73"/>
      <c r="M429" s="73"/>
      <c r="N429" s="129">
        <f t="shared" si="18"/>
        <v>25.796178343949045</v>
      </c>
      <c r="O429" s="129">
        <f t="shared" si="19"/>
        <v>7.5258467558628854E-3</v>
      </c>
      <c r="P429" s="169">
        <f>O429*(1+'Key Data'!F$3)</f>
        <v>9.4073084448286076E-3</v>
      </c>
      <c r="Q429" s="379"/>
      <c r="R429" s="379"/>
      <c r="S429" s="418"/>
    </row>
    <row r="430" spans="1:19" x14ac:dyDescent="0.3">
      <c r="A430" s="374"/>
      <c r="B430" s="374"/>
      <c r="C430" s="374"/>
      <c r="D430" s="374"/>
      <c r="E430" s="415"/>
      <c r="F430" s="415"/>
      <c r="G430" s="374"/>
      <c r="H430" s="72" t="s">
        <v>265</v>
      </c>
      <c r="I430" s="73">
        <v>25</v>
      </c>
      <c r="J430" s="73">
        <f t="shared" si="15"/>
        <v>7.9617834394904454</v>
      </c>
      <c r="K430" s="73"/>
      <c r="L430" s="73"/>
      <c r="M430" s="73"/>
      <c r="N430" s="129">
        <f t="shared" si="18"/>
        <v>49.761146496815286</v>
      </c>
      <c r="O430" s="129">
        <f t="shared" si="19"/>
        <v>1.4517451303747849E-2</v>
      </c>
      <c r="P430" s="169">
        <f>O430*(1+'Key Data'!F$3)</f>
        <v>1.8146814129684812E-2</v>
      </c>
      <c r="Q430" s="379"/>
      <c r="R430" s="379"/>
      <c r="S430" s="418"/>
    </row>
    <row r="431" spans="1:19" x14ac:dyDescent="0.3">
      <c r="A431" s="374"/>
      <c r="B431" s="374"/>
      <c r="C431" s="374"/>
      <c r="D431" s="374"/>
      <c r="E431" s="415"/>
      <c r="F431" s="415"/>
      <c r="G431" s="374"/>
      <c r="H431" s="72" t="s">
        <v>265</v>
      </c>
      <c r="I431" s="73">
        <v>17.8</v>
      </c>
      <c r="J431" s="73">
        <f t="shared" si="15"/>
        <v>5.6687898089171975</v>
      </c>
      <c r="K431" s="73"/>
      <c r="L431" s="73"/>
      <c r="M431" s="73"/>
      <c r="N431" s="129">
        <f t="shared" si="18"/>
        <v>25.226114649681531</v>
      </c>
      <c r="O431" s="129">
        <f t="shared" si="19"/>
        <v>7.3595348337271499E-3</v>
      </c>
      <c r="P431" s="169">
        <f>O431*(1+'Key Data'!F$3)</f>
        <v>9.1994185421589367E-3</v>
      </c>
      <c r="Q431" s="379"/>
      <c r="R431" s="379"/>
      <c r="S431" s="418"/>
    </row>
    <row r="432" spans="1:19" x14ac:dyDescent="0.3">
      <c r="A432" s="374"/>
      <c r="B432" s="374"/>
      <c r="C432" s="374"/>
      <c r="D432" s="374"/>
      <c r="E432" s="415"/>
      <c r="F432" s="415"/>
      <c r="G432" s="374"/>
      <c r="H432" s="72" t="s">
        <v>265</v>
      </c>
      <c r="I432" s="73">
        <f>SQRT(18*18+14.5*14.5)</f>
        <v>23.11384866265244</v>
      </c>
      <c r="J432" s="73">
        <f t="shared" si="15"/>
        <v>7.3610983002077832</v>
      </c>
      <c r="K432" s="73"/>
      <c r="L432" s="73"/>
      <c r="M432" s="73"/>
      <c r="N432" s="129">
        <f t="shared" si="18"/>
        <v>42.535828025477706</v>
      </c>
      <c r="O432" s="129">
        <f t="shared" si="19"/>
        <v>1.2409517374443655E-2</v>
      </c>
      <c r="P432" s="169">
        <f>O432*(1+'Key Data'!F$3)</f>
        <v>1.5511896718054568E-2</v>
      </c>
      <c r="Q432" s="379"/>
      <c r="R432" s="379"/>
      <c r="S432" s="418"/>
    </row>
    <row r="433" spans="1:19" x14ac:dyDescent="0.3">
      <c r="A433" s="374"/>
      <c r="B433" s="374"/>
      <c r="C433" s="374"/>
      <c r="D433" s="374"/>
      <c r="E433" s="415"/>
      <c r="F433" s="415"/>
      <c r="G433" s="374"/>
      <c r="H433" s="72" t="s">
        <v>265</v>
      </c>
      <c r="I433" s="73">
        <v>21.2</v>
      </c>
      <c r="J433" s="73">
        <f t="shared" si="15"/>
        <v>6.7515923566878975</v>
      </c>
      <c r="K433" s="73"/>
      <c r="L433" s="73"/>
      <c r="M433" s="73"/>
      <c r="N433" s="129">
        <f t="shared" si="18"/>
        <v>35.783439490445858</v>
      </c>
      <c r="O433" s="129">
        <f t="shared" si="19"/>
        <v>1.0439557302330291E-2</v>
      </c>
      <c r="P433" s="169">
        <f>O433*(1+'Key Data'!F$3)</f>
        <v>1.3049446627912863E-2</v>
      </c>
      <c r="Q433" s="379"/>
      <c r="R433" s="379"/>
      <c r="S433" s="418"/>
    </row>
    <row r="434" spans="1:19" x14ac:dyDescent="0.3">
      <c r="A434" s="374"/>
      <c r="B434" s="374"/>
      <c r="C434" s="374"/>
      <c r="D434" s="374"/>
      <c r="E434" s="415"/>
      <c r="F434" s="415"/>
      <c r="G434" s="374"/>
      <c r="H434" s="72" t="s">
        <v>265</v>
      </c>
      <c r="I434" s="73">
        <v>27.8</v>
      </c>
      <c r="J434" s="73">
        <f t="shared" si="15"/>
        <v>8.8535031847133752</v>
      </c>
      <c r="K434" s="73"/>
      <c r="L434" s="73"/>
      <c r="M434" s="73"/>
      <c r="N434" s="129">
        <f t="shared" si="18"/>
        <v>61.531847133757957</v>
      </c>
      <c r="O434" s="129">
        <f t="shared" si="19"/>
        <v>1.7951467304941567E-2</v>
      </c>
      <c r="P434" s="169">
        <f>O434*(1+'Key Data'!F$3)</f>
        <v>2.243933413117696E-2</v>
      </c>
      <c r="Q434" s="379"/>
      <c r="R434" s="379"/>
      <c r="S434" s="418"/>
    </row>
    <row r="435" spans="1:19" x14ac:dyDescent="0.3">
      <c r="A435" s="374"/>
      <c r="B435" s="374"/>
      <c r="C435" s="374"/>
      <c r="D435" s="374"/>
      <c r="E435" s="415"/>
      <c r="F435" s="415"/>
      <c r="G435" s="374"/>
      <c r="H435" s="72" t="s">
        <v>265</v>
      </c>
      <c r="I435" s="73">
        <v>18</v>
      </c>
      <c r="J435" s="73">
        <f t="shared" si="15"/>
        <v>5.7324840764331206</v>
      </c>
      <c r="K435" s="73"/>
      <c r="L435" s="73"/>
      <c r="M435" s="73"/>
      <c r="N435" s="129">
        <f t="shared" si="18"/>
        <v>25.796178343949045</v>
      </c>
      <c r="O435" s="129">
        <f t="shared" si="19"/>
        <v>7.5258467558628854E-3</v>
      </c>
      <c r="P435" s="169">
        <f>O435*(1+'Key Data'!F$3)</f>
        <v>9.4073084448286076E-3</v>
      </c>
      <c r="Q435" s="379"/>
      <c r="R435" s="379"/>
      <c r="S435" s="418"/>
    </row>
    <row r="436" spans="1:19" x14ac:dyDescent="0.3">
      <c r="A436" s="374"/>
      <c r="B436" s="374"/>
      <c r="C436" s="374"/>
      <c r="D436" s="374"/>
      <c r="E436" s="415"/>
      <c r="F436" s="415"/>
      <c r="G436" s="374"/>
      <c r="H436" s="72" t="s">
        <v>265</v>
      </c>
      <c r="I436" s="73">
        <v>25.5</v>
      </c>
      <c r="J436" s="73">
        <f t="shared" si="15"/>
        <v>8.1210191082802545</v>
      </c>
      <c r="K436" s="73"/>
      <c r="L436" s="73"/>
      <c r="M436" s="73"/>
      <c r="N436" s="129">
        <f t="shared" si="18"/>
        <v>51.771496815286625</v>
      </c>
      <c r="O436" s="129">
        <f t="shared" si="19"/>
        <v>1.5103956336419259E-2</v>
      </c>
      <c r="P436" s="169">
        <f>O436*(1+'Key Data'!F$3)</f>
        <v>1.8879945420524073E-2</v>
      </c>
      <c r="Q436" s="379"/>
      <c r="R436" s="379"/>
      <c r="S436" s="418"/>
    </row>
    <row r="437" spans="1:19" x14ac:dyDescent="0.3">
      <c r="A437" s="374"/>
      <c r="B437" s="374"/>
      <c r="C437" s="374"/>
      <c r="D437" s="374"/>
      <c r="E437" s="415"/>
      <c r="F437" s="415"/>
      <c r="G437" s="374"/>
      <c r="H437" s="72" t="s">
        <v>265</v>
      </c>
      <c r="I437" s="73">
        <v>21</v>
      </c>
      <c r="J437" s="73">
        <f t="shared" si="15"/>
        <v>6.6878980891719744</v>
      </c>
      <c r="K437" s="73"/>
      <c r="L437" s="73"/>
      <c r="M437" s="73"/>
      <c r="N437" s="129">
        <f t="shared" si="18"/>
        <v>35.111464968152866</v>
      </c>
      <c r="O437" s="129">
        <f t="shared" si="19"/>
        <v>1.0243513639924477E-2</v>
      </c>
      <c r="P437" s="169">
        <f>O437*(1+'Key Data'!F$3)</f>
        <v>1.2804392049905597E-2</v>
      </c>
      <c r="Q437" s="379"/>
      <c r="R437" s="379"/>
      <c r="S437" s="418"/>
    </row>
    <row r="438" spans="1:19" x14ac:dyDescent="0.3">
      <c r="A438" s="374"/>
      <c r="B438" s="374"/>
      <c r="C438" s="374"/>
      <c r="D438" s="374"/>
      <c r="E438" s="415"/>
      <c r="F438" s="415"/>
      <c r="G438" s="374"/>
      <c r="H438" s="72" t="s">
        <v>265</v>
      </c>
      <c r="I438" s="73">
        <v>26</v>
      </c>
      <c r="J438" s="73">
        <f t="shared" si="15"/>
        <v>8.2802547770700627</v>
      </c>
      <c r="K438" s="73"/>
      <c r="L438" s="73"/>
      <c r="M438" s="73"/>
      <c r="N438" s="129">
        <f t="shared" si="18"/>
        <v>53.821656050955397</v>
      </c>
      <c r="O438" s="129">
        <f t="shared" si="19"/>
        <v>1.570207533013367E-2</v>
      </c>
      <c r="P438" s="169">
        <f>O438*(1+'Key Data'!F$3)</f>
        <v>1.9627594162667086E-2</v>
      </c>
      <c r="Q438" s="379"/>
      <c r="R438" s="379"/>
      <c r="S438" s="418"/>
    </row>
    <row r="439" spans="1:19" x14ac:dyDescent="0.3">
      <c r="A439" s="374"/>
      <c r="B439" s="374"/>
      <c r="C439" s="374"/>
      <c r="D439" s="374"/>
      <c r="E439" s="415"/>
      <c r="F439" s="415"/>
      <c r="G439" s="374"/>
      <c r="H439" s="72" t="s">
        <v>265</v>
      </c>
      <c r="I439" s="73">
        <v>26</v>
      </c>
      <c r="J439" s="73">
        <f t="shared" si="15"/>
        <v>8.2802547770700627</v>
      </c>
      <c r="K439" s="73"/>
      <c r="L439" s="73"/>
      <c r="M439" s="73"/>
      <c r="N439" s="129">
        <f t="shared" si="18"/>
        <v>53.821656050955397</v>
      </c>
      <c r="O439" s="129">
        <f t="shared" si="19"/>
        <v>1.570207533013367E-2</v>
      </c>
      <c r="P439" s="169">
        <f>O439*(1+'Key Data'!F$3)</f>
        <v>1.9627594162667086E-2</v>
      </c>
      <c r="Q439" s="379"/>
      <c r="R439" s="379"/>
      <c r="S439" s="418"/>
    </row>
    <row r="440" spans="1:19" x14ac:dyDescent="0.3">
      <c r="A440" s="374"/>
      <c r="B440" s="374"/>
      <c r="C440" s="374"/>
      <c r="D440" s="374"/>
      <c r="E440" s="415"/>
      <c r="F440" s="415"/>
      <c r="G440" s="374"/>
      <c r="H440" s="72" t="s">
        <v>265</v>
      </c>
      <c r="I440" s="73">
        <v>19.5</v>
      </c>
      <c r="J440" s="73">
        <f t="shared" si="15"/>
        <v>6.2101910828025479</v>
      </c>
      <c r="K440" s="73"/>
      <c r="L440" s="73"/>
      <c r="M440" s="73"/>
      <c r="N440" s="129">
        <f t="shared" si="18"/>
        <v>30.27468152866242</v>
      </c>
      <c r="O440" s="129">
        <f t="shared" si="19"/>
        <v>8.8324173732001882E-3</v>
      </c>
      <c r="P440" s="169">
        <f>O440*(1+'Key Data'!F$3)</f>
        <v>1.1040521716500235E-2</v>
      </c>
      <c r="Q440" s="379"/>
      <c r="R440" s="379"/>
      <c r="S440" s="418"/>
    </row>
    <row r="441" spans="1:19" x14ac:dyDescent="0.3">
      <c r="A441" s="374"/>
      <c r="B441" s="374"/>
      <c r="C441" s="374"/>
      <c r="D441" s="374"/>
      <c r="E441" s="415"/>
      <c r="F441" s="415"/>
      <c r="G441" s="374"/>
      <c r="H441" s="72" t="s">
        <v>265</v>
      </c>
      <c r="I441" s="73">
        <v>25</v>
      </c>
      <c r="J441" s="73">
        <f t="shared" si="15"/>
        <v>7.9617834394904454</v>
      </c>
      <c r="K441" s="73"/>
      <c r="L441" s="73"/>
      <c r="M441" s="73"/>
      <c r="N441" s="129">
        <f t="shared" si="18"/>
        <v>49.761146496815286</v>
      </c>
      <c r="O441" s="129">
        <f t="shared" si="19"/>
        <v>1.4517451303747849E-2</v>
      </c>
      <c r="P441" s="169">
        <f>O441*(1+'Key Data'!F$3)</f>
        <v>1.8146814129684812E-2</v>
      </c>
      <c r="Q441" s="379"/>
      <c r="R441" s="379"/>
      <c r="S441" s="418"/>
    </row>
    <row r="442" spans="1:19" x14ac:dyDescent="0.3">
      <c r="A442" s="374"/>
      <c r="B442" s="374"/>
      <c r="C442" s="374"/>
      <c r="D442" s="374"/>
      <c r="E442" s="415"/>
      <c r="F442" s="415"/>
      <c r="G442" s="374"/>
      <c r="H442" s="72" t="s">
        <v>265</v>
      </c>
      <c r="I442" s="73">
        <v>19</v>
      </c>
      <c r="J442" s="73">
        <f t="shared" si="15"/>
        <v>6.0509554140127388</v>
      </c>
      <c r="K442" s="73"/>
      <c r="L442" s="73"/>
      <c r="M442" s="73"/>
      <c r="N442" s="129">
        <f t="shared" si="18"/>
        <v>28.742038216560509</v>
      </c>
      <c r="O442" s="129">
        <f t="shared" si="19"/>
        <v>8.3852798730447587E-3</v>
      </c>
      <c r="P442" s="169">
        <f>O442*(1+'Key Data'!F$3)</f>
        <v>1.0481599841305948E-2</v>
      </c>
      <c r="Q442" s="379"/>
      <c r="R442" s="379"/>
      <c r="S442" s="418"/>
    </row>
    <row r="443" spans="1:19" x14ac:dyDescent="0.3">
      <c r="A443" s="374"/>
      <c r="B443" s="374"/>
      <c r="C443" s="374"/>
      <c r="D443" s="374"/>
      <c r="E443" s="415"/>
      <c r="F443" s="415"/>
      <c r="G443" s="374"/>
      <c r="H443" s="72" t="s">
        <v>265</v>
      </c>
      <c r="I443" s="73">
        <v>22.8</v>
      </c>
      <c r="J443" s="73">
        <f t="shared" si="15"/>
        <v>7.2611464968152868</v>
      </c>
      <c r="K443" s="73"/>
      <c r="L443" s="73"/>
      <c r="M443" s="73"/>
      <c r="N443" s="129">
        <f t="shared" si="18"/>
        <v>41.388535031847134</v>
      </c>
      <c r="O443" s="129">
        <f t="shared" si="19"/>
        <v>1.2074803017184442E-2</v>
      </c>
      <c r="P443" s="169">
        <f>O443*(1+'Key Data'!F$3)</f>
        <v>1.5093503771480552E-2</v>
      </c>
      <c r="Q443" s="379"/>
      <c r="R443" s="379"/>
      <c r="S443" s="418"/>
    </row>
    <row r="444" spans="1:19" x14ac:dyDescent="0.3">
      <c r="A444" s="374"/>
      <c r="B444" s="374"/>
      <c r="C444" s="374"/>
      <c r="D444" s="374"/>
      <c r="E444" s="415"/>
      <c r="F444" s="415"/>
      <c r="G444" s="374"/>
      <c r="H444" s="72" t="s">
        <v>265</v>
      </c>
      <c r="I444" s="73">
        <v>22.8</v>
      </c>
      <c r="J444" s="73">
        <f t="shared" si="15"/>
        <v>7.2611464968152868</v>
      </c>
      <c r="K444" s="73"/>
      <c r="L444" s="73"/>
      <c r="M444" s="73"/>
      <c r="N444" s="129">
        <f t="shared" si="18"/>
        <v>41.388535031847134</v>
      </c>
      <c r="O444" s="129">
        <f t="shared" si="19"/>
        <v>1.2074803017184442E-2</v>
      </c>
      <c r="P444" s="169">
        <f>O444*(1+'Key Data'!F$3)</f>
        <v>1.5093503771480552E-2</v>
      </c>
      <c r="Q444" s="379"/>
      <c r="R444" s="379"/>
      <c r="S444" s="418"/>
    </row>
    <row r="445" spans="1:19" x14ac:dyDescent="0.3">
      <c r="A445" s="374"/>
      <c r="B445" s="374"/>
      <c r="C445" s="374"/>
      <c r="D445" s="374"/>
      <c r="E445" s="415"/>
      <c r="F445" s="415"/>
      <c r="G445" s="374"/>
      <c r="H445" s="72" t="s">
        <v>265</v>
      </c>
      <c r="I445" s="73">
        <f>SQRT(21*21+12.6*12.6)</f>
        <v>24.489997958350262</v>
      </c>
      <c r="J445" s="73">
        <f t="shared" si="15"/>
        <v>7.7993624071179175</v>
      </c>
      <c r="K445" s="73"/>
      <c r="L445" s="73"/>
      <c r="M445" s="73"/>
      <c r="N445" s="129">
        <f t="shared" si="18"/>
        <v>47.751592356687894</v>
      </c>
      <c r="O445" s="129">
        <f t="shared" si="19"/>
        <v>1.3931178550297289E-2</v>
      </c>
      <c r="P445" s="169">
        <f>O445*(1+'Key Data'!F$3)</f>
        <v>1.7413973187871613E-2</v>
      </c>
      <c r="Q445" s="379"/>
      <c r="R445" s="379"/>
      <c r="S445" s="418"/>
    </row>
    <row r="446" spans="1:19" x14ac:dyDescent="0.3">
      <c r="A446" s="374"/>
      <c r="B446" s="374"/>
      <c r="C446" s="374"/>
      <c r="D446" s="374"/>
      <c r="E446" s="415"/>
      <c r="F446" s="415"/>
      <c r="G446" s="374"/>
      <c r="H446" s="72" t="s">
        <v>265</v>
      </c>
      <c r="I446" s="73">
        <v>21</v>
      </c>
      <c r="J446" s="73">
        <f t="shared" si="15"/>
        <v>6.6878980891719744</v>
      </c>
      <c r="K446" s="73"/>
      <c r="L446" s="73"/>
      <c r="M446" s="73"/>
      <c r="N446" s="129">
        <f t="shared" si="18"/>
        <v>35.111464968152866</v>
      </c>
      <c r="O446" s="129">
        <f t="shared" si="19"/>
        <v>1.0243513639924477E-2</v>
      </c>
      <c r="P446" s="169">
        <f>O446*(1+'Key Data'!F$3)</f>
        <v>1.2804392049905597E-2</v>
      </c>
      <c r="Q446" s="379"/>
      <c r="R446" s="379"/>
      <c r="S446" s="418"/>
    </row>
    <row r="447" spans="1:19" x14ac:dyDescent="0.3">
      <c r="A447" s="374"/>
      <c r="B447" s="374"/>
      <c r="C447" s="374"/>
      <c r="D447" s="374"/>
      <c r="E447" s="415"/>
      <c r="F447" s="415"/>
      <c r="G447" s="374"/>
      <c r="H447" s="72" t="s">
        <v>265</v>
      </c>
      <c r="I447" s="73">
        <v>18.399999999999999</v>
      </c>
      <c r="J447" s="73">
        <f t="shared" si="15"/>
        <v>5.8598726114649677</v>
      </c>
      <c r="K447" s="73"/>
      <c r="L447" s="73"/>
      <c r="M447" s="73"/>
      <c r="N447" s="129">
        <f t="shared" si="18"/>
        <v>26.955414012738849</v>
      </c>
      <c r="O447" s="129">
        <f t="shared" si="19"/>
        <v>7.8640453014349951E-3</v>
      </c>
      <c r="P447" s="169">
        <f>O447*(1+'Key Data'!F$3)</f>
        <v>9.8300566267937439E-3</v>
      </c>
      <c r="Q447" s="379"/>
      <c r="R447" s="379"/>
      <c r="S447" s="418"/>
    </row>
    <row r="448" spans="1:19" x14ac:dyDescent="0.3">
      <c r="A448" s="374"/>
      <c r="B448" s="374"/>
      <c r="C448" s="374"/>
      <c r="D448" s="374"/>
      <c r="E448" s="415"/>
      <c r="F448" s="415"/>
      <c r="G448" s="374"/>
      <c r="H448" s="72" t="s">
        <v>265</v>
      </c>
      <c r="I448" s="73">
        <v>23.3</v>
      </c>
      <c r="J448" s="73">
        <f t="shared" si="15"/>
        <v>7.4203821656050959</v>
      </c>
      <c r="K448" s="73"/>
      <c r="L448" s="73"/>
      <c r="M448" s="73"/>
      <c r="N448" s="129">
        <f t="shared" si="18"/>
        <v>43.223726114649686</v>
      </c>
      <c r="O448" s="129">
        <f t="shared" si="19"/>
        <v>1.2610206621266674E-2</v>
      </c>
      <c r="P448" s="169">
        <f>O448*(1+'Key Data'!F$3)</f>
        <v>1.5762758276583341E-2</v>
      </c>
      <c r="Q448" s="379"/>
      <c r="R448" s="379"/>
      <c r="S448" s="418"/>
    </row>
    <row r="449" spans="1:19" x14ac:dyDescent="0.3">
      <c r="A449" s="367">
        <v>7</v>
      </c>
      <c r="B449" s="367" t="s">
        <v>416</v>
      </c>
      <c r="C449" s="367" t="s">
        <v>437</v>
      </c>
      <c r="D449" s="367" t="s">
        <v>275</v>
      </c>
      <c r="E449" s="416">
        <v>15.267720000000001</v>
      </c>
      <c r="F449" s="416">
        <v>79.285070000000005</v>
      </c>
      <c r="G449" s="367">
        <v>2022</v>
      </c>
      <c r="H449" s="94" t="s">
        <v>265</v>
      </c>
      <c r="I449" s="165">
        <f>SQRT(11.5*11.5+7*7+10*10)</f>
        <v>16.770509831248422</v>
      </c>
      <c r="J449" s="165">
        <f t="shared" si="15"/>
        <v>5.3409266978498158</v>
      </c>
      <c r="K449" s="165"/>
      <c r="L449" s="165"/>
      <c r="M449" s="165"/>
      <c r="N449" s="127">
        <f t="shared" si="18"/>
        <v>22.392515923566876</v>
      </c>
      <c r="O449" s="127">
        <f t="shared" si="19"/>
        <v>6.532853086686532E-3</v>
      </c>
      <c r="P449" s="168">
        <f>O449*(1+'Key Data'!F$3)</f>
        <v>8.1660663583581657E-3</v>
      </c>
      <c r="Q449" s="366">
        <f>SUM(P449:P484)</f>
        <v>0.26984312610841316</v>
      </c>
      <c r="R449" s="366">
        <f>Q449*10000/900</f>
        <v>2.9982569567601463</v>
      </c>
      <c r="S449" s="418"/>
    </row>
    <row r="450" spans="1:19" x14ac:dyDescent="0.3">
      <c r="A450" s="367"/>
      <c r="B450" s="367"/>
      <c r="C450" s="367"/>
      <c r="D450" s="367"/>
      <c r="E450" s="416"/>
      <c r="F450" s="416"/>
      <c r="G450" s="367"/>
      <c r="H450" s="94" t="s">
        <v>265</v>
      </c>
      <c r="I450" s="165">
        <f>SQRT(14.2*14.2+14.2*14.2)</f>
        <v>20.081832585697949</v>
      </c>
      <c r="J450" s="165">
        <f t="shared" si="15"/>
        <v>6.3954880846171811</v>
      </c>
      <c r="K450" s="165"/>
      <c r="L450" s="165"/>
      <c r="M450" s="165"/>
      <c r="N450" s="127">
        <f t="shared" si="18"/>
        <v>32.108280254777064</v>
      </c>
      <c r="O450" s="127">
        <f t="shared" si="19"/>
        <v>9.3673564188406881E-3</v>
      </c>
      <c r="P450" s="168">
        <f>O450*(1+'Key Data'!F$3)</f>
        <v>1.1709195523550861E-2</v>
      </c>
      <c r="Q450" s="366"/>
      <c r="R450" s="366"/>
      <c r="S450" s="418"/>
    </row>
    <row r="451" spans="1:19" x14ac:dyDescent="0.3">
      <c r="A451" s="367"/>
      <c r="B451" s="367"/>
      <c r="C451" s="367"/>
      <c r="D451" s="367"/>
      <c r="E451" s="416"/>
      <c r="F451" s="416"/>
      <c r="G451" s="367"/>
      <c r="H451" s="94" t="s">
        <v>265</v>
      </c>
      <c r="I451" s="165">
        <v>13.4</v>
      </c>
      <c r="J451" s="165">
        <f t="shared" ref="J451:J514" si="20">I451/3.14</f>
        <v>4.2675159235668794</v>
      </c>
      <c r="K451" s="165"/>
      <c r="L451" s="165"/>
      <c r="M451" s="165"/>
      <c r="N451" s="127">
        <f t="shared" si="18"/>
        <v>14.296178343949048</v>
      </c>
      <c r="O451" s="127">
        <f t="shared" si="19"/>
        <v>4.1708056897615418E-3</v>
      </c>
      <c r="P451" s="168">
        <f>O451*(1+'Key Data'!F$3)</f>
        <v>5.2135071122019275E-3</v>
      </c>
      <c r="Q451" s="366"/>
      <c r="R451" s="366"/>
      <c r="S451" s="418"/>
    </row>
    <row r="452" spans="1:19" x14ac:dyDescent="0.3">
      <c r="A452" s="367"/>
      <c r="B452" s="367"/>
      <c r="C452" s="367"/>
      <c r="D452" s="367"/>
      <c r="E452" s="416"/>
      <c r="F452" s="416"/>
      <c r="G452" s="367"/>
      <c r="H452" s="94" t="s">
        <v>265</v>
      </c>
      <c r="I452" s="165">
        <v>18</v>
      </c>
      <c r="J452" s="165">
        <f t="shared" si="20"/>
        <v>5.7324840764331206</v>
      </c>
      <c r="K452" s="165"/>
      <c r="L452" s="165"/>
      <c r="M452" s="165"/>
      <c r="N452" s="127">
        <f t="shared" si="18"/>
        <v>25.796178343949045</v>
      </c>
      <c r="O452" s="127">
        <f t="shared" si="19"/>
        <v>7.5258467558628854E-3</v>
      </c>
      <c r="P452" s="168">
        <f>O452*(1+'Key Data'!F$3)</f>
        <v>9.4073084448286076E-3</v>
      </c>
      <c r="Q452" s="366"/>
      <c r="R452" s="366"/>
      <c r="S452" s="418"/>
    </row>
    <row r="453" spans="1:19" x14ac:dyDescent="0.3">
      <c r="A453" s="367"/>
      <c r="B453" s="367"/>
      <c r="C453" s="367"/>
      <c r="D453" s="367"/>
      <c r="E453" s="416"/>
      <c r="F453" s="416"/>
      <c r="G453" s="367"/>
      <c r="H453" s="94" t="s">
        <v>265</v>
      </c>
      <c r="I453" s="165">
        <v>13.8</v>
      </c>
      <c r="J453" s="165">
        <f t="shared" si="20"/>
        <v>4.3949044585987265</v>
      </c>
      <c r="K453" s="165"/>
      <c r="L453" s="165"/>
      <c r="M453" s="165"/>
      <c r="N453" s="127">
        <f t="shared" si="18"/>
        <v>15.162420382165609</v>
      </c>
      <c r="O453" s="127">
        <f t="shared" si="19"/>
        <v>4.4235254820571852E-3</v>
      </c>
      <c r="P453" s="168">
        <f>O453*(1+'Key Data'!F$3)</f>
        <v>5.529406852571481E-3</v>
      </c>
      <c r="Q453" s="366"/>
      <c r="R453" s="366"/>
      <c r="S453" s="418"/>
    </row>
    <row r="454" spans="1:19" x14ac:dyDescent="0.3">
      <c r="A454" s="367"/>
      <c r="B454" s="367"/>
      <c r="C454" s="367"/>
      <c r="D454" s="367"/>
      <c r="E454" s="416"/>
      <c r="F454" s="416"/>
      <c r="G454" s="367"/>
      <c r="H454" s="94" t="s">
        <v>265</v>
      </c>
      <c r="I454" s="165">
        <v>16.2</v>
      </c>
      <c r="J454" s="165">
        <f t="shared" si="20"/>
        <v>5.1592356687898082</v>
      </c>
      <c r="K454" s="165"/>
      <c r="L454" s="165"/>
      <c r="M454" s="165"/>
      <c r="N454" s="127">
        <f t="shared" si="18"/>
        <v>20.894904458598724</v>
      </c>
      <c r="O454" s="127">
        <f t="shared" si="19"/>
        <v>6.0959358722489339E-3</v>
      </c>
      <c r="P454" s="168">
        <f>O454*(1+'Key Data'!F$3)</f>
        <v>7.6199198403111672E-3</v>
      </c>
      <c r="Q454" s="366"/>
      <c r="R454" s="366"/>
      <c r="S454" s="418"/>
    </row>
    <row r="455" spans="1:19" x14ac:dyDescent="0.3">
      <c r="A455" s="367"/>
      <c r="B455" s="367"/>
      <c r="C455" s="367"/>
      <c r="D455" s="367"/>
      <c r="E455" s="416"/>
      <c r="F455" s="416"/>
      <c r="G455" s="367"/>
      <c r="H455" s="94" t="s">
        <v>265</v>
      </c>
      <c r="I455" s="165">
        <v>13.2</v>
      </c>
      <c r="J455" s="165">
        <f t="shared" si="20"/>
        <v>4.2038216560509554</v>
      </c>
      <c r="K455" s="165"/>
      <c r="L455" s="165"/>
      <c r="M455" s="165"/>
      <c r="N455" s="127">
        <f t="shared" si="18"/>
        <v>13.872611464968154</v>
      </c>
      <c r="O455" s="127">
        <f t="shared" si="19"/>
        <v>4.0472331442640399E-3</v>
      </c>
      <c r="P455" s="168">
        <f>O455*(1+'Key Data'!F$3)</f>
        <v>5.0590414303300496E-3</v>
      </c>
      <c r="Q455" s="366"/>
      <c r="R455" s="366"/>
      <c r="S455" s="418"/>
    </row>
    <row r="456" spans="1:19" x14ac:dyDescent="0.3">
      <c r="A456" s="367"/>
      <c r="B456" s="367"/>
      <c r="C456" s="367"/>
      <c r="D456" s="367"/>
      <c r="E456" s="416"/>
      <c r="F456" s="416"/>
      <c r="G456" s="367"/>
      <c r="H456" s="94" t="s">
        <v>265</v>
      </c>
      <c r="I456" s="165">
        <v>17</v>
      </c>
      <c r="J456" s="165">
        <f t="shared" si="20"/>
        <v>5.4140127388535033</v>
      </c>
      <c r="K456" s="165"/>
      <c r="L456" s="165"/>
      <c r="M456" s="165"/>
      <c r="N456" s="127">
        <f t="shared" si="18"/>
        <v>23.009554140127388</v>
      </c>
      <c r="O456" s="127">
        <f t="shared" si="19"/>
        <v>6.7128694828530022E-3</v>
      </c>
      <c r="P456" s="168">
        <f>O456*(1+'Key Data'!F$3)</f>
        <v>8.3910868535662531E-3</v>
      </c>
      <c r="Q456" s="366"/>
      <c r="R456" s="366"/>
      <c r="S456" s="418"/>
    </row>
    <row r="457" spans="1:19" x14ac:dyDescent="0.3">
      <c r="A457" s="367"/>
      <c r="B457" s="367"/>
      <c r="C457" s="367"/>
      <c r="D457" s="367"/>
      <c r="E457" s="416"/>
      <c r="F457" s="416"/>
      <c r="G457" s="367"/>
      <c r="H457" s="94" t="s">
        <v>265</v>
      </c>
      <c r="I457" s="165">
        <v>18</v>
      </c>
      <c r="J457" s="165">
        <f t="shared" si="20"/>
        <v>5.7324840764331206</v>
      </c>
      <c r="K457" s="165"/>
      <c r="L457" s="165"/>
      <c r="M457" s="165"/>
      <c r="N457" s="127">
        <f t="shared" si="18"/>
        <v>25.796178343949045</v>
      </c>
      <c r="O457" s="127">
        <f t="shared" si="19"/>
        <v>7.5258467558628854E-3</v>
      </c>
      <c r="P457" s="168">
        <f>O457*(1+'Key Data'!F$3)</f>
        <v>9.4073084448286076E-3</v>
      </c>
      <c r="Q457" s="366"/>
      <c r="R457" s="366"/>
      <c r="S457" s="418"/>
    </row>
    <row r="458" spans="1:19" x14ac:dyDescent="0.3">
      <c r="A458" s="367"/>
      <c r="B458" s="367"/>
      <c r="C458" s="367"/>
      <c r="D458" s="367"/>
      <c r="E458" s="416"/>
      <c r="F458" s="416"/>
      <c r="G458" s="367"/>
      <c r="H458" s="94" t="s">
        <v>265</v>
      </c>
      <c r="I458" s="165">
        <f>SQRT(10.8*10.8+12+12)</f>
        <v>11.859173664298876</v>
      </c>
      <c r="J458" s="165">
        <f t="shared" si="20"/>
        <v>3.7768068994582404</v>
      </c>
      <c r="K458" s="165"/>
      <c r="L458" s="165"/>
      <c r="M458" s="165"/>
      <c r="N458" s="127">
        <f t="shared" si="18"/>
        <v>11.197452229299364</v>
      </c>
      <c r="O458" s="127">
        <f t="shared" si="19"/>
        <v>3.2667749621745558E-3</v>
      </c>
      <c r="P458" s="168">
        <f>O458*(1+'Key Data'!F$3)</f>
        <v>4.0834687027181951E-3</v>
      </c>
      <c r="Q458" s="366"/>
      <c r="R458" s="366"/>
      <c r="S458" s="418"/>
    </row>
    <row r="459" spans="1:19" x14ac:dyDescent="0.3">
      <c r="A459" s="367"/>
      <c r="B459" s="367"/>
      <c r="C459" s="367"/>
      <c r="D459" s="367"/>
      <c r="E459" s="416"/>
      <c r="F459" s="416"/>
      <c r="G459" s="367"/>
      <c r="H459" s="94" t="s">
        <v>265</v>
      </c>
      <c r="I459" s="165">
        <v>13</v>
      </c>
      <c r="J459" s="165">
        <f t="shared" si="20"/>
        <v>4.1401273885350314</v>
      </c>
      <c r="K459" s="165"/>
      <c r="L459" s="165"/>
      <c r="M459" s="165"/>
      <c r="N459" s="127">
        <f t="shared" si="18"/>
        <v>13.455414012738849</v>
      </c>
      <c r="O459" s="127">
        <f t="shared" si="19"/>
        <v>3.9255188325334166E-3</v>
      </c>
      <c r="P459" s="168">
        <f>O459*(1+'Key Data'!F$3)</f>
        <v>4.9068985406667707E-3</v>
      </c>
      <c r="Q459" s="366"/>
      <c r="R459" s="366"/>
      <c r="S459" s="418"/>
    </row>
    <row r="460" spans="1:19" x14ac:dyDescent="0.3">
      <c r="A460" s="367"/>
      <c r="B460" s="367"/>
      <c r="C460" s="367"/>
      <c r="D460" s="367"/>
      <c r="E460" s="416"/>
      <c r="F460" s="416"/>
      <c r="G460" s="367"/>
      <c r="H460" s="94" t="s">
        <v>265</v>
      </c>
      <c r="I460" s="165">
        <v>15</v>
      </c>
      <c r="J460" s="165">
        <f t="shared" si="20"/>
        <v>4.7770700636942669</v>
      </c>
      <c r="K460" s="165"/>
      <c r="L460" s="165"/>
      <c r="M460" s="165"/>
      <c r="N460" s="127">
        <f t="shared" si="18"/>
        <v>17.914012738853497</v>
      </c>
      <c r="O460" s="127">
        <f t="shared" si="19"/>
        <v>5.2262824693492214E-3</v>
      </c>
      <c r="P460" s="168">
        <f>O460*(1+'Key Data'!F$3)</f>
        <v>6.5328530866865268E-3</v>
      </c>
      <c r="Q460" s="366"/>
      <c r="R460" s="366"/>
      <c r="S460" s="418"/>
    </row>
    <row r="461" spans="1:19" x14ac:dyDescent="0.3">
      <c r="A461" s="367"/>
      <c r="B461" s="367"/>
      <c r="C461" s="367"/>
      <c r="D461" s="367"/>
      <c r="E461" s="416"/>
      <c r="F461" s="416"/>
      <c r="G461" s="367"/>
      <c r="H461" s="94" t="s">
        <v>265</v>
      </c>
      <c r="I461" s="165">
        <v>17.7</v>
      </c>
      <c r="J461" s="165">
        <f t="shared" si="20"/>
        <v>5.6369426751592355</v>
      </c>
      <c r="K461" s="165"/>
      <c r="L461" s="165"/>
      <c r="M461" s="165"/>
      <c r="N461" s="127">
        <f t="shared" si="18"/>
        <v>24.943471337579616</v>
      </c>
      <c r="O461" s="127">
        <f t="shared" si="19"/>
        <v>7.2770757103218613E-3</v>
      </c>
      <c r="P461" s="168">
        <f>O461*(1+'Key Data'!F$3)</f>
        <v>9.0963446379023274E-3</v>
      </c>
      <c r="Q461" s="366"/>
      <c r="R461" s="366"/>
      <c r="S461" s="418"/>
    </row>
    <row r="462" spans="1:19" x14ac:dyDescent="0.3">
      <c r="A462" s="367"/>
      <c r="B462" s="367"/>
      <c r="C462" s="367"/>
      <c r="D462" s="367"/>
      <c r="E462" s="416"/>
      <c r="F462" s="416"/>
      <c r="G462" s="367"/>
      <c r="H462" s="94" t="s">
        <v>265</v>
      </c>
      <c r="I462" s="165">
        <v>17.899999999999999</v>
      </c>
      <c r="J462" s="165">
        <f t="shared" si="20"/>
        <v>5.7006369426751586</v>
      </c>
      <c r="K462" s="165"/>
      <c r="L462" s="165"/>
      <c r="M462" s="165"/>
      <c r="N462" s="127">
        <f t="shared" si="18"/>
        <v>25.510350318471332</v>
      </c>
      <c r="O462" s="127">
        <f t="shared" si="19"/>
        <v>7.4424585155741536E-3</v>
      </c>
      <c r="P462" s="168">
        <f>O462*(1+'Key Data'!F$3)</f>
        <v>9.3030731444676915E-3</v>
      </c>
      <c r="Q462" s="366"/>
      <c r="R462" s="366"/>
      <c r="S462" s="418"/>
    </row>
    <row r="463" spans="1:19" x14ac:dyDescent="0.3">
      <c r="A463" s="367"/>
      <c r="B463" s="367"/>
      <c r="C463" s="367"/>
      <c r="D463" s="367"/>
      <c r="E463" s="416"/>
      <c r="F463" s="416"/>
      <c r="G463" s="367"/>
      <c r="H463" s="94" t="s">
        <v>265</v>
      </c>
      <c r="I463" s="165">
        <v>20</v>
      </c>
      <c r="J463" s="165">
        <f t="shared" si="20"/>
        <v>6.3694267515923562</v>
      </c>
      <c r="K463" s="165"/>
      <c r="L463" s="165"/>
      <c r="M463" s="165"/>
      <c r="N463" s="127">
        <f t="shared" si="18"/>
        <v>31.847133757961782</v>
      </c>
      <c r="O463" s="127">
        <f t="shared" si="19"/>
        <v>9.2911688343986203E-3</v>
      </c>
      <c r="P463" s="168">
        <f>O463*(1+'Key Data'!F$3)</f>
        <v>1.1613961042998276E-2</v>
      </c>
      <c r="Q463" s="366"/>
      <c r="R463" s="366"/>
      <c r="S463" s="418"/>
    </row>
    <row r="464" spans="1:19" x14ac:dyDescent="0.3">
      <c r="A464" s="367"/>
      <c r="B464" s="367"/>
      <c r="C464" s="367"/>
      <c r="D464" s="367"/>
      <c r="E464" s="416"/>
      <c r="F464" s="416"/>
      <c r="G464" s="367"/>
      <c r="H464" s="94" t="s">
        <v>265</v>
      </c>
      <c r="I464" s="165">
        <v>14.1</v>
      </c>
      <c r="J464" s="165">
        <f t="shared" si="20"/>
        <v>4.4904458598726116</v>
      </c>
      <c r="K464" s="165"/>
      <c r="L464" s="165"/>
      <c r="M464" s="165"/>
      <c r="N464" s="127">
        <f t="shared" si="18"/>
        <v>15.828821656050957</v>
      </c>
      <c r="O464" s="127">
        <f t="shared" si="19"/>
        <v>4.6179431899169739E-3</v>
      </c>
      <c r="P464" s="168">
        <f>O464*(1+'Key Data'!F$3)</f>
        <v>5.7724289873962173E-3</v>
      </c>
      <c r="Q464" s="366"/>
      <c r="R464" s="366"/>
      <c r="S464" s="418"/>
    </row>
    <row r="465" spans="1:19" x14ac:dyDescent="0.3">
      <c r="A465" s="367"/>
      <c r="B465" s="367"/>
      <c r="C465" s="367"/>
      <c r="D465" s="367"/>
      <c r="E465" s="416"/>
      <c r="F465" s="416"/>
      <c r="G465" s="367"/>
      <c r="H465" s="94" t="s">
        <v>265</v>
      </c>
      <c r="I465" s="165">
        <v>18</v>
      </c>
      <c r="J465" s="165">
        <f t="shared" si="20"/>
        <v>5.7324840764331206</v>
      </c>
      <c r="K465" s="165"/>
      <c r="L465" s="165"/>
      <c r="M465" s="165"/>
      <c r="N465" s="127">
        <f t="shared" si="18"/>
        <v>25.796178343949045</v>
      </c>
      <c r="O465" s="127">
        <f t="shared" si="19"/>
        <v>7.5258467558628854E-3</v>
      </c>
      <c r="P465" s="168">
        <f>O465*(1+'Key Data'!F$3)</f>
        <v>9.4073084448286076E-3</v>
      </c>
      <c r="Q465" s="366"/>
      <c r="R465" s="366"/>
      <c r="S465" s="418"/>
    </row>
    <row r="466" spans="1:19" x14ac:dyDescent="0.3">
      <c r="A466" s="367"/>
      <c r="B466" s="367"/>
      <c r="C466" s="367"/>
      <c r="D466" s="367"/>
      <c r="E466" s="416"/>
      <c r="F466" s="416"/>
      <c r="G466" s="367"/>
      <c r="H466" s="94" t="s">
        <v>265</v>
      </c>
      <c r="I466" s="165">
        <v>19</v>
      </c>
      <c r="J466" s="165">
        <f t="shared" si="20"/>
        <v>6.0509554140127388</v>
      </c>
      <c r="K466" s="165"/>
      <c r="L466" s="165"/>
      <c r="M466" s="165"/>
      <c r="N466" s="127">
        <f t="shared" si="18"/>
        <v>28.742038216560509</v>
      </c>
      <c r="O466" s="127">
        <f t="shared" si="19"/>
        <v>8.3852798730447587E-3</v>
      </c>
      <c r="P466" s="168">
        <f>O466*(1+'Key Data'!F$3)</f>
        <v>1.0481599841305948E-2</v>
      </c>
      <c r="Q466" s="366"/>
      <c r="R466" s="366"/>
      <c r="S466" s="418"/>
    </row>
    <row r="467" spans="1:19" x14ac:dyDescent="0.3">
      <c r="A467" s="367"/>
      <c r="B467" s="367"/>
      <c r="C467" s="367"/>
      <c r="D467" s="367"/>
      <c r="E467" s="416"/>
      <c r="F467" s="416"/>
      <c r="G467" s="367"/>
      <c r="H467" s="94" t="s">
        <v>265</v>
      </c>
      <c r="I467" s="165">
        <v>19.8</v>
      </c>
      <c r="J467" s="165">
        <f t="shared" si="20"/>
        <v>6.3057324840764331</v>
      </c>
      <c r="K467" s="165"/>
      <c r="L467" s="165"/>
      <c r="M467" s="165"/>
      <c r="N467" s="127">
        <f t="shared" si="18"/>
        <v>31.213375796178344</v>
      </c>
      <c r="O467" s="127">
        <f t="shared" si="19"/>
        <v>9.1062745745940903E-3</v>
      </c>
      <c r="P467" s="168">
        <f>O467*(1+'Key Data'!F$3)</f>
        <v>1.1382843218242613E-2</v>
      </c>
      <c r="Q467" s="366"/>
      <c r="R467" s="366"/>
      <c r="S467" s="418"/>
    </row>
    <row r="468" spans="1:19" x14ac:dyDescent="0.3">
      <c r="A468" s="367"/>
      <c r="B468" s="367"/>
      <c r="C468" s="367"/>
      <c r="D468" s="367"/>
      <c r="E468" s="416"/>
      <c r="F468" s="416"/>
      <c r="G468" s="367"/>
      <c r="H468" s="94" t="s">
        <v>265</v>
      </c>
      <c r="I468" s="165">
        <v>17</v>
      </c>
      <c r="J468" s="165">
        <f t="shared" si="20"/>
        <v>5.4140127388535033</v>
      </c>
      <c r="K468" s="165"/>
      <c r="L468" s="165"/>
      <c r="M468" s="165"/>
      <c r="N468" s="127">
        <f t="shared" si="18"/>
        <v>23.009554140127388</v>
      </c>
      <c r="O468" s="127">
        <f t="shared" si="19"/>
        <v>6.7128694828530022E-3</v>
      </c>
      <c r="P468" s="168">
        <f>O468*(1+'Key Data'!F$3)</f>
        <v>8.3910868535662531E-3</v>
      </c>
      <c r="Q468" s="366"/>
      <c r="R468" s="366"/>
      <c r="S468" s="418"/>
    </row>
    <row r="469" spans="1:19" x14ac:dyDescent="0.3">
      <c r="A469" s="367"/>
      <c r="B469" s="367"/>
      <c r="C469" s="367"/>
      <c r="D469" s="367"/>
      <c r="E469" s="416"/>
      <c r="F469" s="416"/>
      <c r="G469" s="367"/>
      <c r="H469" s="94" t="s">
        <v>265</v>
      </c>
      <c r="I469" s="165">
        <v>17</v>
      </c>
      <c r="J469" s="165">
        <f t="shared" si="20"/>
        <v>5.4140127388535033</v>
      </c>
      <c r="K469" s="165"/>
      <c r="L469" s="165"/>
      <c r="M469" s="165"/>
      <c r="N469" s="127">
        <f t="shared" si="18"/>
        <v>23.009554140127388</v>
      </c>
      <c r="O469" s="127">
        <f t="shared" si="19"/>
        <v>6.7128694828530022E-3</v>
      </c>
      <c r="P469" s="168">
        <f>O469*(1+'Key Data'!F$3)</f>
        <v>8.3910868535662531E-3</v>
      </c>
      <c r="Q469" s="366"/>
      <c r="R469" s="366"/>
      <c r="S469" s="418"/>
    </row>
    <row r="470" spans="1:19" x14ac:dyDescent="0.3">
      <c r="A470" s="367"/>
      <c r="B470" s="367"/>
      <c r="C470" s="367"/>
      <c r="D470" s="367"/>
      <c r="E470" s="416"/>
      <c r="F470" s="416"/>
      <c r="G470" s="367"/>
      <c r="H470" s="94" t="s">
        <v>265</v>
      </c>
      <c r="I470" s="165">
        <v>16.8</v>
      </c>
      <c r="J470" s="165">
        <f t="shared" si="20"/>
        <v>5.3503184713375793</v>
      </c>
      <c r="K470" s="165"/>
      <c r="L470" s="165"/>
      <c r="M470" s="165"/>
      <c r="N470" s="127">
        <f t="shared" si="18"/>
        <v>22.471337579617835</v>
      </c>
      <c r="O470" s="127">
        <f t="shared" si="19"/>
        <v>6.555848729551666E-3</v>
      </c>
      <c r="P470" s="168">
        <f>O470*(1+'Key Data'!F$3)</f>
        <v>8.1948109119395832E-3</v>
      </c>
      <c r="Q470" s="366"/>
      <c r="R470" s="366"/>
      <c r="S470" s="418"/>
    </row>
    <row r="471" spans="1:19" x14ac:dyDescent="0.3">
      <c r="A471" s="367"/>
      <c r="B471" s="367"/>
      <c r="C471" s="367"/>
      <c r="D471" s="367"/>
      <c r="E471" s="416"/>
      <c r="F471" s="416"/>
      <c r="G471" s="367"/>
      <c r="H471" s="94" t="s">
        <v>265</v>
      </c>
      <c r="I471" s="165">
        <v>13.6</v>
      </c>
      <c r="J471" s="165">
        <f t="shared" si="20"/>
        <v>4.3312101910828025</v>
      </c>
      <c r="K471" s="165"/>
      <c r="L471" s="165"/>
      <c r="M471" s="165"/>
      <c r="N471" s="127">
        <f t="shared" si="18"/>
        <v>14.726114649681527</v>
      </c>
      <c r="O471" s="127">
        <f t="shared" si="19"/>
        <v>4.2962364690259224E-3</v>
      </c>
      <c r="P471" s="168">
        <f>O471*(1+'Key Data'!F$3)</f>
        <v>5.3702955862824035E-3</v>
      </c>
      <c r="Q471" s="366"/>
      <c r="R471" s="366"/>
      <c r="S471" s="418"/>
    </row>
    <row r="472" spans="1:19" x14ac:dyDescent="0.3">
      <c r="A472" s="367"/>
      <c r="B472" s="367"/>
      <c r="C472" s="367"/>
      <c r="D472" s="367"/>
      <c r="E472" s="416"/>
      <c r="F472" s="416"/>
      <c r="G472" s="367"/>
      <c r="H472" s="94" t="s">
        <v>265</v>
      </c>
      <c r="I472" s="165">
        <v>20</v>
      </c>
      <c r="J472" s="165">
        <f t="shared" si="20"/>
        <v>6.3694267515923562</v>
      </c>
      <c r="K472" s="165"/>
      <c r="L472" s="165"/>
      <c r="M472" s="165"/>
      <c r="N472" s="127">
        <f t="shared" si="18"/>
        <v>31.847133757961782</v>
      </c>
      <c r="O472" s="127">
        <f t="shared" si="19"/>
        <v>9.2911688343986203E-3</v>
      </c>
      <c r="P472" s="168">
        <f>O472*(1+'Key Data'!F$3)</f>
        <v>1.1613961042998276E-2</v>
      </c>
      <c r="Q472" s="366"/>
      <c r="R472" s="366"/>
      <c r="S472" s="418"/>
    </row>
    <row r="473" spans="1:19" x14ac:dyDescent="0.3">
      <c r="A473" s="367"/>
      <c r="B473" s="367"/>
      <c r="C473" s="367"/>
      <c r="D473" s="367"/>
      <c r="E473" s="416"/>
      <c r="F473" s="416"/>
      <c r="G473" s="367"/>
      <c r="H473" s="94" t="s">
        <v>265</v>
      </c>
      <c r="I473" s="165">
        <v>17</v>
      </c>
      <c r="J473" s="165">
        <f t="shared" si="20"/>
        <v>5.4140127388535033</v>
      </c>
      <c r="K473" s="165"/>
      <c r="L473" s="165"/>
      <c r="M473" s="165"/>
      <c r="N473" s="127">
        <f t="shared" si="18"/>
        <v>23.009554140127388</v>
      </c>
      <c r="O473" s="127">
        <f t="shared" si="19"/>
        <v>6.7128694828530022E-3</v>
      </c>
      <c r="P473" s="168">
        <f>O473*(1+'Key Data'!F$3)</f>
        <v>8.3910868535662531E-3</v>
      </c>
      <c r="Q473" s="366"/>
      <c r="R473" s="366"/>
      <c r="S473" s="418"/>
    </row>
    <row r="474" spans="1:19" x14ac:dyDescent="0.3">
      <c r="A474" s="367"/>
      <c r="B474" s="367"/>
      <c r="C474" s="367"/>
      <c r="D474" s="367"/>
      <c r="E474" s="416"/>
      <c r="F474" s="416"/>
      <c r="G474" s="367"/>
      <c r="H474" s="94" t="s">
        <v>265</v>
      </c>
      <c r="I474" s="165">
        <v>12.5</v>
      </c>
      <c r="J474" s="165">
        <f t="shared" si="20"/>
        <v>3.9808917197452227</v>
      </c>
      <c r="K474" s="165"/>
      <c r="L474" s="165"/>
      <c r="M474" s="165"/>
      <c r="N474" s="127">
        <f t="shared" si="18"/>
        <v>12.440286624203821</v>
      </c>
      <c r="O474" s="127">
        <f t="shared" si="19"/>
        <v>3.6293628259369617E-3</v>
      </c>
      <c r="P474" s="168">
        <f>O474*(1+'Key Data'!F$3)</f>
        <v>4.5367035324212022E-3</v>
      </c>
      <c r="Q474" s="366"/>
      <c r="R474" s="366"/>
      <c r="S474" s="418"/>
    </row>
    <row r="475" spans="1:19" x14ac:dyDescent="0.3">
      <c r="A475" s="367"/>
      <c r="B475" s="367"/>
      <c r="C475" s="367"/>
      <c r="D475" s="367"/>
      <c r="E475" s="416"/>
      <c r="F475" s="416"/>
      <c r="G475" s="367"/>
      <c r="H475" s="94" t="s">
        <v>265</v>
      </c>
      <c r="I475" s="165">
        <v>12</v>
      </c>
      <c r="J475" s="165">
        <f t="shared" si="20"/>
        <v>3.8216560509554141</v>
      </c>
      <c r="K475" s="165"/>
      <c r="L475" s="165"/>
      <c r="M475" s="165"/>
      <c r="N475" s="127">
        <f t="shared" si="18"/>
        <v>11.464968152866241</v>
      </c>
      <c r="O475" s="127">
        <f t="shared" si="19"/>
        <v>3.3448207803835027E-3</v>
      </c>
      <c r="P475" s="168">
        <f>O475*(1+'Key Data'!F$3)</f>
        <v>4.1810259754793784E-3</v>
      </c>
      <c r="Q475" s="366"/>
      <c r="R475" s="366"/>
      <c r="S475" s="418"/>
    </row>
    <row r="476" spans="1:19" x14ac:dyDescent="0.3">
      <c r="A476" s="367"/>
      <c r="B476" s="367"/>
      <c r="C476" s="367"/>
      <c r="D476" s="367"/>
      <c r="E476" s="416"/>
      <c r="F476" s="416"/>
      <c r="G476" s="367"/>
      <c r="H476" s="94" t="s">
        <v>265</v>
      </c>
      <c r="I476" s="165">
        <v>6</v>
      </c>
      <c r="J476" s="165">
        <f t="shared" si="20"/>
        <v>1.910828025477707</v>
      </c>
      <c r="K476" s="165"/>
      <c r="L476" s="165"/>
      <c r="M476" s="165"/>
      <c r="N476" s="127">
        <f t="shared" si="18"/>
        <v>2.8662420382165603</v>
      </c>
      <c r="O476" s="127">
        <f t="shared" ref="O476:O539" si="21">(10^(-0.535+LOG10(N476)))/1000</f>
        <v>8.3620519509587567E-4</v>
      </c>
      <c r="P476" s="168">
        <f>O476*(1+'Key Data'!F$3)</f>
        <v>1.0452564938698446E-3</v>
      </c>
      <c r="Q476" s="366"/>
      <c r="R476" s="366"/>
      <c r="S476" s="418"/>
    </row>
    <row r="477" spans="1:19" x14ac:dyDescent="0.3">
      <c r="A477" s="367"/>
      <c r="B477" s="367"/>
      <c r="C477" s="367"/>
      <c r="D477" s="367"/>
      <c r="E477" s="416"/>
      <c r="F477" s="416"/>
      <c r="G477" s="367"/>
      <c r="H477" s="94" t="s">
        <v>265</v>
      </c>
      <c r="I477" s="165">
        <v>14.1</v>
      </c>
      <c r="J477" s="165">
        <f t="shared" si="20"/>
        <v>4.4904458598726116</v>
      </c>
      <c r="K477" s="165"/>
      <c r="L477" s="165"/>
      <c r="M477" s="165"/>
      <c r="N477" s="127">
        <f t="shared" ref="N477:N540" si="22">3.14*J477/2*J477/2</f>
        <v>15.828821656050957</v>
      </c>
      <c r="O477" s="127">
        <f t="shared" si="21"/>
        <v>4.6179431899169739E-3</v>
      </c>
      <c r="P477" s="168">
        <f>O477*(1+'Key Data'!F$3)</f>
        <v>5.7724289873962173E-3</v>
      </c>
      <c r="Q477" s="366"/>
      <c r="R477" s="366"/>
      <c r="S477" s="418"/>
    </row>
    <row r="478" spans="1:19" x14ac:dyDescent="0.3">
      <c r="A478" s="367"/>
      <c r="B478" s="367"/>
      <c r="C478" s="367"/>
      <c r="D478" s="367"/>
      <c r="E478" s="416"/>
      <c r="F478" s="416"/>
      <c r="G478" s="367"/>
      <c r="H478" s="94" t="s">
        <v>265</v>
      </c>
      <c r="I478" s="165">
        <v>15</v>
      </c>
      <c r="J478" s="165">
        <f t="shared" si="20"/>
        <v>4.7770700636942669</v>
      </c>
      <c r="K478" s="165"/>
      <c r="L478" s="165"/>
      <c r="M478" s="165"/>
      <c r="N478" s="127">
        <f t="shared" si="22"/>
        <v>17.914012738853497</v>
      </c>
      <c r="O478" s="127">
        <f t="shared" si="21"/>
        <v>5.2262824693492214E-3</v>
      </c>
      <c r="P478" s="168">
        <f>O478*(1+'Key Data'!F$3)</f>
        <v>6.5328530866865268E-3</v>
      </c>
      <c r="Q478" s="366"/>
      <c r="R478" s="366"/>
      <c r="S478" s="418"/>
    </row>
    <row r="479" spans="1:19" x14ac:dyDescent="0.3">
      <c r="A479" s="367"/>
      <c r="B479" s="367"/>
      <c r="C479" s="367"/>
      <c r="D479" s="367"/>
      <c r="E479" s="416"/>
      <c r="F479" s="416"/>
      <c r="G479" s="367"/>
      <c r="H479" s="94" t="s">
        <v>265</v>
      </c>
      <c r="I479" s="165">
        <v>16</v>
      </c>
      <c r="J479" s="165">
        <f t="shared" si="20"/>
        <v>5.0955414012738851</v>
      </c>
      <c r="K479" s="165"/>
      <c r="L479" s="165"/>
      <c r="M479" s="165"/>
      <c r="N479" s="127">
        <f t="shared" si="22"/>
        <v>20.38216560509554</v>
      </c>
      <c r="O479" s="127">
        <f t="shared" si="21"/>
        <v>5.9463480540151185E-3</v>
      </c>
      <c r="P479" s="168">
        <f>O479*(1+'Key Data'!F$3)</f>
        <v>7.4329350675188983E-3</v>
      </c>
      <c r="Q479" s="366"/>
      <c r="R479" s="366"/>
      <c r="S479" s="418"/>
    </row>
    <row r="480" spans="1:19" x14ac:dyDescent="0.3">
      <c r="A480" s="367"/>
      <c r="B480" s="367"/>
      <c r="C480" s="367"/>
      <c r="D480" s="367"/>
      <c r="E480" s="416"/>
      <c r="F480" s="416"/>
      <c r="G480" s="367"/>
      <c r="H480" s="94" t="s">
        <v>265</v>
      </c>
      <c r="I480" s="165">
        <v>17.2</v>
      </c>
      <c r="J480" s="165">
        <f t="shared" si="20"/>
        <v>5.4777070063694264</v>
      </c>
      <c r="K480" s="165"/>
      <c r="L480" s="165"/>
      <c r="M480" s="165"/>
      <c r="N480" s="127">
        <f t="shared" si="22"/>
        <v>23.554140127388532</v>
      </c>
      <c r="O480" s="127">
        <f t="shared" si="21"/>
        <v>6.8717484699212213E-3</v>
      </c>
      <c r="P480" s="168">
        <f>O480*(1+'Key Data'!F$3)</f>
        <v>8.5896855874015264E-3</v>
      </c>
      <c r="Q480" s="366"/>
      <c r="R480" s="366"/>
      <c r="S480" s="418"/>
    </row>
    <row r="481" spans="1:19" x14ac:dyDescent="0.3">
      <c r="A481" s="367"/>
      <c r="B481" s="367"/>
      <c r="C481" s="367"/>
      <c r="D481" s="367"/>
      <c r="E481" s="416"/>
      <c r="F481" s="416"/>
      <c r="G481" s="367"/>
      <c r="H481" s="94" t="s">
        <v>265</v>
      </c>
      <c r="I481" s="165">
        <v>4.5</v>
      </c>
      <c r="J481" s="165">
        <f t="shared" si="20"/>
        <v>1.4331210191082802</v>
      </c>
      <c r="K481" s="165"/>
      <c r="L481" s="165"/>
      <c r="M481" s="165"/>
      <c r="N481" s="127">
        <f t="shared" si="22"/>
        <v>1.6122611464968153</v>
      </c>
      <c r="O481" s="127">
        <f t="shared" si="21"/>
        <v>4.7036542224143012E-4</v>
      </c>
      <c r="P481" s="168">
        <f>O481*(1+'Key Data'!F$3)</f>
        <v>5.8795677780178765E-4</v>
      </c>
      <c r="Q481" s="366"/>
      <c r="R481" s="366"/>
      <c r="S481" s="418"/>
    </row>
    <row r="482" spans="1:19" x14ac:dyDescent="0.3">
      <c r="A482" s="367"/>
      <c r="B482" s="367"/>
      <c r="C482" s="367"/>
      <c r="D482" s="367"/>
      <c r="E482" s="416"/>
      <c r="F482" s="416"/>
      <c r="G482" s="367"/>
      <c r="H482" s="94" t="s">
        <v>265</v>
      </c>
      <c r="I482" s="165">
        <f>SQRT(12*12+9*9)</f>
        <v>15</v>
      </c>
      <c r="J482" s="165">
        <f t="shared" si="20"/>
        <v>4.7770700636942669</v>
      </c>
      <c r="K482" s="165"/>
      <c r="L482" s="165"/>
      <c r="M482" s="165"/>
      <c r="N482" s="127">
        <f t="shared" si="22"/>
        <v>17.914012738853497</v>
      </c>
      <c r="O482" s="127">
        <f t="shared" si="21"/>
        <v>5.2262824693492214E-3</v>
      </c>
      <c r="P482" s="168">
        <f>O482*(1+'Key Data'!F$3)</f>
        <v>6.5328530866865268E-3</v>
      </c>
      <c r="Q482" s="366"/>
      <c r="R482" s="366"/>
      <c r="S482" s="418"/>
    </row>
    <row r="483" spans="1:19" x14ac:dyDescent="0.3">
      <c r="A483" s="367"/>
      <c r="B483" s="367"/>
      <c r="C483" s="367"/>
      <c r="D483" s="367"/>
      <c r="E483" s="416"/>
      <c r="F483" s="416"/>
      <c r="G483" s="367"/>
      <c r="H483" s="94" t="s">
        <v>265</v>
      </c>
      <c r="I483" s="165">
        <v>21</v>
      </c>
      <c r="J483" s="165">
        <f t="shared" si="20"/>
        <v>6.6878980891719744</v>
      </c>
      <c r="K483" s="165"/>
      <c r="L483" s="165"/>
      <c r="M483" s="165"/>
      <c r="N483" s="127">
        <f t="shared" si="22"/>
        <v>35.111464968152866</v>
      </c>
      <c r="O483" s="127">
        <f t="shared" si="21"/>
        <v>1.0243513639924477E-2</v>
      </c>
      <c r="P483" s="168">
        <f>O483*(1+'Key Data'!F$3)</f>
        <v>1.2804392049905597E-2</v>
      </c>
      <c r="Q483" s="366"/>
      <c r="R483" s="366"/>
      <c r="S483" s="418"/>
    </row>
    <row r="484" spans="1:19" x14ac:dyDescent="0.3">
      <c r="A484" s="367"/>
      <c r="B484" s="367"/>
      <c r="C484" s="367"/>
      <c r="D484" s="367"/>
      <c r="E484" s="416"/>
      <c r="F484" s="416"/>
      <c r="G484" s="367"/>
      <c r="H484" s="94" t="s">
        <v>265</v>
      </c>
      <c r="I484" s="165">
        <v>17</v>
      </c>
      <c r="J484" s="165">
        <f t="shared" si="20"/>
        <v>5.4140127388535033</v>
      </c>
      <c r="K484" s="165"/>
      <c r="L484" s="165"/>
      <c r="M484" s="165"/>
      <c r="N484" s="127">
        <f t="shared" si="22"/>
        <v>23.009554140127388</v>
      </c>
      <c r="O484" s="127">
        <f t="shared" si="21"/>
        <v>6.7128694828530022E-3</v>
      </c>
      <c r="P484" s="168">
        <f>O484*(1+'Key Data'!F$3)</f>
        <v>8.3910868535662531E-3</v>
      </c>
      <c r="Q484" s="366"/>
      <c r="R484" s="366"/>
      <c r="S484" s="418"/>
    </row>
    <row r="485" spans="1:19" x14ac:dyDescent="0.3">
      <c r="A485" s="374">
        <v>8</v>
      </c>
      <c r="B485" s="374" t="s">
        <v>417</v>
      </c>
      <c r="C485" s="374" t="s">
        <v>436</v>
      </c>
      <c r="D485" s="374" t="s">
        <v>275</v>
      </c>
      <c r="E485" s="415">
        <v>15.352302999999999</v>
      </c>
      <c r="F485" s="415">
        <v>79.428229999999999</v>
      </c>
      <c r="G485" s="374">
        <v>2022</v>
      </c>
      <c r="H485" s="72" t="s">
        <v>265</v>
      </c>
      <c r="I485" s="73">
        <v>28</v>
      </c>
      <c r="J485" s="73">
        <f t="shared" si="20"/>
        <v>8.9171974522292992</v>
      </c>
      <c r="K485" s="73"/>
      <c r="L485" s="73"/>
      <c r="M485" s="73"/>
      <c r="N485" s="129">
        <f t="shared" si="22"/>
        <v>62.420382165605091</v>
      </c>
      <c r="O485" s="129">
        <f t="shared" si="21"/>
        <v>1.8210690915421299E-2</v>
      </c>
      <c r="P485" s="169">
        <f>O485*(1+'Key Data'!F$3)</f>
        <v>2.2763363644276623E-2</v>
      </c>
      <c r="Q485" s="379">
        <f>SUM(P485:P519)</f>
        <v>0.80426941536886531</v>
      </c>
      <c r="R485" s="379">
        <f>Q485*10000/900</f>
        <v>8.936326837431837</v>
      </c>
      <c r="S485" s="418"/>
    </row>
    <row r="486" spans="1:19" x14ac:dyDescent="0.3">
      <c r="A486" s="374"/>
      <c r="B486" s="374"/>
      <c r="C486" s="374"/>
      <c r="D486" s="374"/>
      <c r="E486" s="415"/>
      <c r="F486" s="415"/>
      <c r="G486" s="374"/>
      <c r="H486" s="72" t="s">
        <v>265</v>
      </c>
      <c r="I486" s="73">
        <v>33</v>
      </c>
      <c r="J486" s="73">
        <f t="shared" si="20"/>
        <v>10.509554140127388</v>
      </c>
      <c r="K486" s="73"/>
      <c r="L486" s="73"/>
      <c r="M486" s="73"/>
      <c r="N486" s="129">
        <f t="shared" si="22"/>
        <v>86.703821656050948</v>
      </c>
      <c r="O486" s="129">
        <f t="shared" si="21"/>
        <v>2.5295207151650251E-2</v>
      </c>
      <c r="P486" s="169">
        <f>O486*(1+'Key Data'!F$3)</f>
        <v>3.1619008939562813E-2</v>
      </c>
      <c r="Q486" s="379"/>
      <c r="R486" s="379"/>
      <c r="S486" s="418"/>
    </row>
    <row r="487" spans="1:19" x14ac:dyDescent="0.3">
      <c r="A487" s="374"/>
      <c r="B487" s="374"/>
      <c r="C487" s="374"/>
      <c r="D487" s="374"/>
      <c r="E487" s="415"/>
      <c r="F487" s="415"/>
      <c r="G487" s="374"/>
      <c r="H487" s="72" t="s">
        <v>265</v>
      </c>
      <c r="I487" s="73">
        <v>28.5</v>
      </c>
      <c r="J487" s="73">
        <f t="shared" si="20"/>
        <v>9.0764331210191074</v>
      </c>
      <c r="K487" s="73"/>
      <c r="L487" s="73"/>
      <c r="M487" s="73"/>
      <c r="N487" s="129">
        <f t="shared" si="22"/>
        <v>64.669585987261144</v>
      </c>
      <c r="O487" s="129">
        <f t="shared" si="21"/>
        <v>1.88668797143507E-2</v>
      </c>
      <c r="P487" s="169">
        <f>O487*(1+'Key Data'!F$3)</f>
        <v>2.3583599642938373E-2</v>
      </c>
      <c r="Q487" s="379"/>
      <c r="R487" s="379"/>
      <c r="S487" s="418"/>
    </row>
    <row r="488" spans="1:19" x14ac:dyDescent="0.3">
      <c r="A488" s="374"/>
      <c r="B488" s="374"/>
      <c r="C488" s="374"/>
      <c r="D488" s="374"/>
      <c r="E488" s="415"/>
      <c r="F488" s="415"/>
      <c r="G488" s="374"/>
      <c r="H488" s="72" t="s">
        <v>265</v>
      </c>
      <c r="I488" s="73">
        <v>27</v>
      </c>
      <c r="J488" s="73">
        <f t="shared" si="20"/>
        <v>8.598726114649681</v>
      </c>
      <c r="K488" s="73"/>
      <c r="L488" s="73"/>
      <c r="M488" s="73"/>
      <c r="N488" s="129">
        <f t="shared" si="22"/>
        <v>58.041401273885349</v>
      </c>
      <c r="O488" s="129">
        <f t="shared" si="21"/>
        <v>1.6933155200691483E-2</v>
      </c>
      <c r="P488" s="169">
        <f>O488*(1+'Key Data'!F$3)</f>
        <v>2.1166444000864353E-2</v>
      </c>
      <c r="Q488" s="379"/>
      <c r="R488" s="379"/>
      <c r="S488" s="418"/>
    </row>
    <row r="489" spans="1:19" x14ac:dyDescent="0.3">
      <c r="A489" s="374"/>
      <c r="B489" s="374"/>
      <c r="C489" s="374"/>
      <c r="D489" s="374"/>
      <c r="E489" s="415"/>
      <c r="F489" s="415"/>
      <c r="G489" s="374"/>
      <c r="H489" s="72" t="s">
        <v>265</v>
      </c>
      <c r="I489" s="73">
        <v>26</v>
      </c>
      <c r="J489" s="73">
        <f t="shared" si="20"/>
        <v>8.2802547770700627</v>
      </c>
      <c r="K489" s="73"/>
      <c r="L489" s="73"/>
      <c r="M489" s="73"/>
      <c r="N489" s="129">
        <f t="shared" si="22"/>
        <v>53.821656050955397</v>
      </c>
      <c r="O489" s="129">
        <f t="shared" si="21"/>
        <v>1.570207533013367E-2</v>
      </c>
      <c r="P489" s="169">
        <f>O489*(1+'Key Data'!F$3)</f>
        <v>1.9627594162667086E-2</v>
      </c>
      <c r="Q489" s="379"/>
      <c r="R489" s="379"/>
      <c r="S489" s="418"/>
    </row>
    <row r="490" spans="1:19" x14ac:dyDescent="0.3">
      <c r="A490" s="374"/>
      <c r="B490" s="374"/>
      <c r="C490" s="374"/>
      <c r="D490" s="374"/>
      <c r="E490" s="415"/>
      <c r="F490" s="415"/>
      <c r="G490" s="374"/>
      <c r="H490" s="72" t="s">
        <v>265</v>
      </c>
      <c r="I490" s="73">
        <v>25</v>
      </c>
      <c r="J490" s="73">
        <f t="shared" si="20"/>
        <v>7.9617834394904454</v>
      </c>
      <c r="K490" s="73"/>
      <c r="L490" s="73"/>
      <c r="M490" s="73"/>
      <c r="N490" s="129">
        <f t="shared" si="22"/>
        <v>49.761146496815286</v>
      </c>
      <c r="O490" s="129">
        <f t="shared" si="21"/>
        <v>1.4517451303747849E-2</v>
      </c>
      <c r="P490" s="169">
        <f>O490*(1+'Key Data'!F$3)</f>
        <v>1.8146814129684812E-2</v>
      </c>
      <c r="Q490" s="379"/>
      <c r="R490" s="379"/>
      <c r="S490" s="418"/>
    </row>
    <row r="491" spans="1:19" x14ac:dyDescent="0.3">
      <c r="A491" s="374"/>
      <c r="B491" s="374"/>
      <c r="C491" s="374"/>
      <c r="D491" s="374"/>
      <c r="E491" s="415"/>
      <c r="F491" s="415"/>
      <c r="G491" s="374"/>
      <c r="H491" s="72" t="s">
        <v>265</v>
      </c>
      <c r="I491" s="73">
        <v>30.5</v>
      </c>
      <c r="J491" s="73">
        <f t="shared" si="20"/>
        <v>9.7133757961783438</v>
      </c>
      <c r="K491" s="73"/>
      <c r="L491" s="73"/>
      <c r="M491" s="73"/>
      <c r="N491" s="129">
        <f t="shared" si="22"/>
        <v>74.064490445859875</v>
      </c>
      <c r="O491" s="129">
        <f t="shared" si="21"/>
        <v>2.16077745204983E-2</v>
      </c>
      <c r="P491" s="169">
        <f>O491*(1+'Key Data'!F$3)</f>
        <v>2.7009718150622877E-2</v>
      </c>
      <c r="Q491" s="379"/>
      <c r="R491" s="379"/>
      <c r="S491" s="418"/>
    </row>
    <row r="492" spans="1:19" x14ac:dyDescent="0.3">
      <c r="A492" s="374"/>
      <c r="B492" s="374"/>
      <c r="C492" s="374"/>
      <c r="D492" s="374"/>
      <c r="E492" s="415"/>
      <c r="F492" s="415"/>
      <c r="G492" s="374"/>
      <c r="H492" s="72" t="s">
        <v>265</v>
      </c>
      <c r="I492" s="73">
        <v>25.2</v>
      </c>
      <c r="J492" s="73">
        <f t="shared" si="20"/>
        <v>8.0254777070063685</v>
      </c>
      <c r="K492" s="73"/>
      <c r="L492" s="73"/>
      <c r="M492" s="73"/>
      <c r="N492" s="129">
        <f t="shared" si="22"/>
        <v>50.560509554140118</v>
      </c>
      <c r="O492" s="129">
        <f t="shared" si="21"/>
        <v>1.4750659641491257E-2</v>
      </c>
      <c r="P492" s="169">
        <f>O492*(1+'Key Data'!F$3)</f>
        <v>1.8438324551864071E-2</v>
      </c>
      <c r="Q492" s="379"/>
      <c r="R492" s="379"/>
      <c r="S492" s="418"/>
    </row>
    <row r="493" spans="1:19" x14ac:dyDescent="0.3">
      <c r="A493" s="374"/>
      <c r="B493" s="374"/>
      <c r="C493" s="374"/>
      <c r="D493" s="374"/>
      <c r="E493" s="415"/>
      <c r="F493" s="415"/>
      <c r="G493" s="374"/>
      <c r="H493" s="72" t="s">
        <v>265</v>
      </c>
      <c r="I493" s="73">
        <v>30.5</v>
      </c>
      <c r="J493" s="73">
        <f t="shared" si="20"/>
        <v>9.7133757961783438</v>
      </c>
      <c r="K493" s="73"/>
      <c r="L493" s="73"/>
      <c r="M493" s="73"/>
      <c r="N493" s="129">
        <f t="shared" si="22"/>
        <v>74.064490445859875</v>
      </c>
      <c r="O493" s="129">
        <f t="shared" si="21"/>
        <v>2.16077745204983E-2</v>
      </c>
      <c r="P493" s="169">
        <f>O493*(1+'Key Data'!F$3)</f>
        <v>2.7009718150622877E-2</v>
      </c>
      <c r="Q493" s="379"/>
      <c r="R493" s="379"/>
      <c r="S493" s="418"/>
    </row>
    <row r="494" spans="1:19" x14ac:dyDescent="0.3">
      <c r="A494" s="374"/>
      <c r="B494" s="374"/>
      <c r="C494" s="374"/>
      <c r="D494" s="374"/>
      <c r="E494" s="415"/>
      <c r="F494" s="415"/>
      <c r="G494" s="374"/>
      <c r="H494" s="72" t="s">
        <v>265</v>
      </c>
      <c r="I494" s="73">
        <v>27.8</v>
      </c>
      <c r="J494" s="73">
        <f t="shared" si="20"/>
        <v>8.8535031847133752</v>
      </c>
      <c r="K494" s="73"/>
      <c r="L494" s="73"/>
      <c r="M494" s="73"/>
      <c r="N494" s="129">
        <f t="shared" si="22"/>
        <v>61.531847133757957</v>
      </c>
      <c r="O494" s="129">
        <f t="shared" si="21"/>
        <v>1.7951467304941567E-2</v>
      </c>
      <c r="P494" s="169">
        <f>O494*(1+'Key Data'!F$3)</f>
        <v>2.243933413117696E-2</v>
      </c>
      <c r="Q494" s="379"/>
      <c r="R494" s="379"/>
      <c r="S494" s="418"/>
    </row>
    <row r="495" spans="1:19" x14ac:dyDescent="0.3">
      <c r="A495" s="374"/>
      <c r="B495" s="374"/>
      <c r="C495" s="374"/>
      <c r="D495" s="374"/>
      <c r="E495" s="415"/>
      <c r="F495" s="415"/>
      <c r="G495" s="374"/>
      <c r="H495" s="72" t="s">
        <v>265</v>
      </c>
      <c r="I495" s="73">
        <v>26.5</v>
      </c>
      <c r="J495" s="73">
        <f t="shared" si="20"/>
        <v>8.4394904458598727</v>
      </c>
      <c r="K495" s="73"/>
      <c r="L495" s="73"/>
      <c r="M495" s="73"/>
      <c r="N495" s="129">
        <f t="shared" si="22"/>
        <v>55.91162420382166</v>
      </c>
      <c r="O495" s="129">
        <f t="shared" si="21"/>
        <v>1.631180828489108E-2</v>
      </c>
      <c r="P495" s="169">
        <f>O495*(1+'Key Data'!F$3)</f>
        <v>2.038976035611385E-2</v>
      </c>
      <c r="Q495" s="379"/>
      <c r="R495" s="379"/>
      <c r="S495" s="418"/>
    </row>
    <row r="496" spans="1:19" x14ac:dyDescent="0.3">
      <c r="A496" s="374"/>
      <c r="B496" s="374"/>
      <c r="C496" s="374"/>
      <c r="D496" s="374"/>
      <c r="E496" s="415"/>
      <c r="F496" s="415"/>
      <c r="G496" s="374"/>
      <c r="H496" s="72" t="s">
        <v>265</v>
      </c>
      <c r="I496" s="73">
        <v>27.1</v>
      </c>
      <c r="J496" s="73">
        <f t="shared" si="20"/>
        <v>8.630573248407643</v>
      </c>
      <c r="K496" s="73"/>
      <c r="L496" s="73"/>
      <c r="M496" s="73"/>
      <c r="N496" s="129">
        <f t="shared" si="22"/>
        <v>58.472133757961785</v>
      </c>
      <c r="O496" s="129">
        <f t="shared" si="21"/>
        <v>1.7058818259176736E-2</v>
      </c>
      <c r="P496" s="169">
        <f>O496*(1+'Key Data'!F$3)</f>
        <v>2.132352282397092E-2</v>
      </c>
      <c r="Q496" s="379"/>
      <c r="R496" s="379"/>
      <c r="S496" s="418"/>
    </row>
    <row r="497" spans="1:19" x14ac:dyDescent="0.3">
      <c r="A497" s="374"/>
      <c r="B497" s="374"/>
      <c r="C497" s="374"/>
      <c r="D497" s="374"/>
      <c r="E497" s="415"/>
      <c r="F497" s="415"/>
      <c r="G497" s="374"/>
      <c r="H497" s="72" t="s">
        <v>265</v>
      </c>
      <c r="I497" s="73">
        <v>29.8</v>
      </c>
      <c r="J497" s="73">
        <f t="shared" si="20"/>
        <v>9.4904458598726116</v>
      </c>
      <c r="K497" s="73"/>
      <c r="L497" s="73"/>
      <c r="M497" s="73"/>
      <c r="N497" s="129">
        <f t="shared" si="22"/>
        <v>70.703821656050962</v>
      </c>
      <c r="O497" s="129">
        <f t="shared" si="21"/>
        <v>2.0627323929248379E-2</v>
      </c>
      <c r="P497" s="169">
        <f>O497*(1+'Key Data'!F$3)</f>
        <v>2.5784154911560473E-2</v>
      </c>
      <c r="Q497" s="379"/>
      <c r="R497" s="379"/>
      <c r="S497" s="418"/>
    </row>
    <row r="498" spans="1:19" x14ac:dyDescent="0.3">
      <c r="A498" s="374"/>
      <c r="B498" s="374"/>
      <c r="C498" s="374"/>
      <c r="D498" s="374"/>
      <c r="E498" s="415"/>
      <c r="F498" s="415"/>
      <c r="G498" s="374"/>
      <c r="H498" s="72" t="s">
        <v>265</v>
      </c>
      <c r="I498" s="73">
        <v>29</v>
      </c>
      <c r="J498" s="73">
        <f t="shared" si="20"/>
        <v>9.2356687898089174</v>
      </c>
      <c r="K498" s="73"/>
      <c r="L498" s="73"/>
      <c r="M498" s="73"/>
      <c r="N498" s="129">
        <f t="shared" si="22"/>
        <v>66.958598726114644</v>
      </c>
      <c r="O498" s="129">
        <f t="shared" si="21"/>
        <v>1.9534682474323103E-2</v>
      </c>
      <c r="P498" s="169">
        <f>O498*(1+'Key Data'!F$3)</f>
        <v>2.4418353092903879E-2</v>
      </c>
      <c r="Q498" s="379"/>
      <c r="R498" s="379"/>
      <c r="S498" s="418"/>
    </row>
    <row r="499" spans="1:19" x14ac:dyDescent="0.3">
      <c r="A499" s="374"/>
      <c r="B499" s="374"/>
      <c r="C499" s="374"/>
      <c r="D499" s="374"/>
      <c r="E499" s="415"/>
      <c r="F499" s="415"/>
      <c r="G499" s="374"/>
      <c r="H499" s="72" t="s">
        <v>265</v>
      </c>
      <c r="I499" s="73">
        <v>28</v>
      </c>
      <c r="J499" s="73">
        <f t="shared" si="20"/>
        <v>8.9171974522292992</v>
      </c>
      <c r="K499" s="73"/>
      <c r="L499" s="73"/>
      <c r="M499" s="73"/>
      <c r="N499" s="129">
        <f t="shared" si="22"/>
        <v>62.420382165605091</v>
      </c>
      <c r="O499" s="129">
        <f t="shared" si="21"/>
        <v>1.8210690915421299E-2</v>
      </c>
      <c r="P499" s="169">
        <f>O499*(1+'Key Data'!F$3)</f>
        <v>2.2763363644276623E-2</v>
      </c>
      <c r="Q499" s="379"/>
      <c r="R499" s="379"/>
      <c r="S499" s="418"/>
    </row>
    <row r="500" spans="1:19" x14ac:dyDescent="0.3">
      <c r="A500" s="374"/>
      <c r="B500" s="374"/>
      <c r="C500" s="374"/>
      <c r="D500" s="374"/>
      <c r="E500" s="415"/>
      <c r="F500" s="415"/>
      <c r="G500" s="374"/>
      <c r="H500" s="72" t="s">
        <v>265</v>
      </c>
      <c r="I500" s="73">
        <v>27</v>
      </c>
      <c r="J500" s="73">
        <f t="shared" si="20"/>
        <v>8.598726114649681</v>
      </c>
      <c r="K500" s="73"/>
      <c r="L500" s="73"/>
      <c r="M500" s="73"/>
      <c r="N500" s="129">
        <f t="shared" si="22"/>
        <v>58.041401273885349</v>
      </c>
      <c r="O500" s="129">
        <f t="shared" si="21"/>
        <v>1.6933155200691483E-2</v>
      </c>
      <c r="P500" s="169">
        <f>O500*(1+'Key Data'!F$3)</f>
        <v>2.1166444000864353E-2</v>
      </c>
      <c r="Q500" s="379"/>
      <c r="R500" s="379"/>
      <c r="S500" s="418"/>
    </row>
    <row r="501" spans="1:19" x14ac:dyDescent="0.3">
      <c r="A501" s="374"/>
      <c r="B501" s="374"/>
      <c r="C501" s="374"/>
      <c r="D501" s="374"/>
      <c r="E501" s="415"/>
      <c r="F501" s="415"/>
      <c r="G501" s="374"/>
      <c r="H501" s="72" t="s">
        <v>265</v>
      </c>
      <c r="I501" s="73">
        <v>28</v>
      </c>
      <c r="J501" s="73">
        <f t="shared" si="20"/>
        <v>8.9171974522292992</v>
      </c>
      <c r="K501" s="73"/>
      <c r="L501" s="73"/>
      <c r="M501" s="73"/>
      <c r="N501" s="129">
        <f t="shared" si="22"/>
        <v>62.420382165605091</v>
      </c>
      <c r="O501" s="129">
        <f t="shared" si="21"/>
        <v>1.8210690915421299E-2</v>
      </c>
      <c r="P501" s="169">
        <f>O501*(1+'Key Data'!F$3)</f>
        <v>2.2763363644276623E-2</v>
      </c>
      <c r="Q501" s="379"/>
      <c r="R501" s="379"/>
      <c r="S501" s="418"/>
    </row>
    <row r="502" spans="1:19" x14ac:dyDescent="0.3">
      <c r="A502" s="374"/>
      <c r="B502" s="374"/>
      <c r="C502" s="374"/>
      <c r="D502" s="374"/>
      <c r="E502" s="415"/>
      <c r="F502" s="415"/>
      <c r="G502" s="374"/>
      <c r="H502" s="72" t="s">
        <v>265</v>
      </c>
      <c r="I502" s="73">
        <v>26.2</v>
      </c>
      <c r="J502" s="73">
        <f t="shared" si="20"/>
        <v>8.3439490445859867</v>
      </c>
      <c r="K502" s="73"/>
      <c r="L502" s="73"/>
      <c r="M502" s="73"/>
      <c r="N502" s="129">
        <f t="shared" si="22"/>
        <v>54.652866242038215</v>
      </c>
      <c r="O502" s="129">
        <f t="shared" si="21"/>
        <v>1.594457483671147E-2</v>
      </c>
      <c r="P502" s="169">
        <f>O502*(1+'Key Data'!F$3)</f>
        <v>1.9930718545889337E-2</v>
      </c>
      <c r="Q502" s="379"/>
      <c r="R502" s="379"/>
      <c r="S502" s="418"/>
    </row>
    <row r="503" spans="1:19" x14ac:dyDescent="0.3">
      <c r="A503" s="374"/>
      <c r="B503" s="374"/>
      <c r="C503" s="374"/>
      <c r="D503" s="374"/>
      <c r="E503" s="415"/>
      <c r="F503" s="415"/>
      <c r="G503" s="374"/>
      <c r="H503" s="72" t="s">
        <v>265</v>
      </c>
      <c r="I503" s="73">
        <v>30</v>
      </c>
      <c r="J503" s="73">
        <f t="shared" si="20"/>
        <v>9.5541401273885338</v>
      </c>
      <c r="K503" s="73"/>
      <c r="L503" s="73"/>
      <c r="M503" s="73"/>
      <c r="N503" s="129">
        <f t="shared" si="22"/>
        <v>71.656050955413988</v>
      </c>
      <c r="O503" s="129">
        <f t="shared" si="21"/>
        <v>2.0905129877396889E-2</v>
      </c>
      <c r="P503" s="169">
        <f>O503*(1+'Key Data'!F$3)</f>
        <v>2.6131412346746111E-2</v>
      </c>
      <c r="Q503" s="379"/>
      <c r="R503" s="379"/>
      <c r="S503" s="418"/>
    </row>
    <row r="504" spans="1:19" x14ac:dyDescent="0.3">
      <c r="A504" s="374"/>
      <c r="B504" s="374"/>
      <c r="C504" s="374"/>
      <c r="D504" s="374"/>
      <c r="E504" s="415"/>
      <c r="F504" s="415"/>
      <c r="G504" s="374"/>
      <c r="H504" s="72" t="s">
        <v>265</v>
      </c>
      <c r="I504" s="73">
        <v>25</v>
      </c>
      <c r="J504" s="73">
        <f t="shared" si="20"/>
        <v>7.9617834394904454</v>
      </c>
      <c r="K504" s="73"/>
      <c r="L504" s="73"/>
      <c r="M504" s="73"/>
      <c r="N504" s="129">
        <f t="shared" si="22"/>
        <v>49.761146496815286</v>
      </c>
      <c r="O504" s="129">
        <f t="shared" si="21"/>
        <v>1.4517451303747849E-2</v>
      </c>
      <c r="P504" s="169">
        <f>O504*(1+'Key Data'!F$3)</f>
        <v>1.8146814129684812E-2</v>
      </c>
      <c r="Q504" s="379"/>
      <c r="R504" s="379"/>
      <c r="S504" s="418"/>
    </row>
    <row r="505" spans="1:19" x14ac:dyDescent="0.3">
      <c r="A505" s="374"/>
      <c r="B505" s="374"/>
      <c r="C505" s="374"/>
      <c r="D505" s="374"/>
      <c r="E505" s="415"/>
      <c r="F505" s="415"/>
      <c r="G505" s="374"/>
      <c r="H505" s="72" t="s">
        <v>265</v>
      </c>
      <c r="I505" s="73">
        <v>30</v>
      </c>
      <c r="J505" s="73">
        <f t="shared" si="20"/>
        <v>9.5541401273885338</v>
      </c>
      <c r="K505" s="73"/>
      <c r="L505" s="73"/>
      <c r="M505" s="73"/>
      <c r="N505" s="129">
        <f t="shared" si="22"/>
        <v>71.656050955413988</v>
      </c>
      <c r="O505" s="129">
        <f t="shared" si="21"/>
        <v>2.0905129877396889E-2</v>
      </c>
      <c r="P505" s="169">
        <f>O505*(1+'Key Data'!F$3)</f>
        <v>2.6131412346746111E-2</v>
      </c>
      <c r="Q505" s="379"/>
      <c r="R505" s="379"/>
      <c r="S505" s="418"/>
    </row>
    <row r="506" spans="1:19" x14ac:dyDescent="0.3">
      <c r="A506" s="374"/>
      <c r="B506" s="374"/>
      <c r="C506" s="374"/>
      <c r="D506" s="374"/>
      <c r="E506" s="415"/>
      <c r="F506" s="415"/>
      <c r="G506" s="374"/>
      <c r="H506" s="72" t="s">
        <v>265</v>
      </c>
      <c r="I506" s="73">
        <v>29</v>
      </c>
      <c r="J506" s="73">
        <f t="shared" si="20"/>
        <v>9.2356687898089174</v>
      </c>
      <c r="K506" s="73"/>
      <c r="L506" s="73"/>
      <c r="M506" s="73"/>
      <c r="N506" s="129">
        <f t="shared" si="22"/>
        <v>66.958598726114644</v>
      </c>
      <c r="O506" s="129">
        <f t="shared" si="21"/>
        <v>1.9534682474323103E-2</v>
      </c>
      <c r="P506" s="169">
        <f>O506*(1+'Key Data'!F$3)</f>
        <v>2.4418353092903879E-2</v>
      </c>
      <c r="Q506" s="379"/>
      <c r="R506" s="379"/>
      <c r="S506" s="418"/>
    </row>
    <row r="507" spans="1:19" x14ac:dyDescent="0.3">
      <c r="A507" s="374"/>
      <c r="B507" s="374"/>
      <c r="C507" s="374"/>
      <c r="D507" s="374"/>
      <c r="E507" s="415"/>
      <c r="F507" s="415"/>
      <c r="G507" s="374"/>
      <c r="H507" s="72" t="s">
        <v>265</v>
      </c>
      <c r="I507" s="73">
        <v>27</v>
      </c>
      <c r="J507" s="73">
        <f t="shared" si="20"/>
        <v>8.598726114649681</v>
      </c>
      <c r="K507" s="73"/>
      <c r="L507" s="73"/>
      <c r="M507" s="73"/>
      <c r="N507" s="129">
        <f t="shared" si="22"/>
        <v>58.041401273885349</v>
      </c>
      <c r="O507" s="129">
        <f t="shared" si="21"/>
        <v>1.6933155200691483E-2</v>
      </c>
      <c r="P507" s="169">
        <f>O507*(1+'Key Data'!F$3)</f>
        <v>2.1166444000864353E-2</v>
      </c>
      <c r="Q507" s="379"/>
      <c r="R507" s="379"/>
      <c r="S507" s="418"/>
    </row>
    <row r="508" spans="1:19" x14ac:dyDescent="0.3">
      <c r="A508" s="374"/>
      <c r="B508" s="374"/>
      <c r="C508" s="374"/>
      <c r="D508" s="374"/>
      <c r="E508" s="415"/>
      <c r="F508" s="415"/>
      <c r="G508" s="374"/>
      <c r="H508" s="72" t="s">
        <v>265</v>
      </c>
      <c r="I508" s="73">
        <v>30.5</v>
      </c>
      <c r="J508" s="73">
        <f t="shared" si="20"/>
        <v>9.7133757961783438</v>
      </c>
      <c r="K508" s="73"/>
      <c r="L508" s="73"/>
      <c r="M508" s="73"/>
      <c r="N508" s="129">
        <f t="shared" si="22"/>
        <v>74.064490445859875</v>
      </c>
      <c r="O508" s="129">
        <f t="shared" si="21"/>
        <v>2.16077745204983E-2</v>
      </c>
      <c r="P508" s="169">
        <f>O508*(1+'Key Data'!F$3)</f>
        <v>2.7009718150622877E-2</v>
      </c>
      <c r="Q508" s="379"/>
      <c r="R508" s="379"/>
      <c r="S508" s="418"/>
    </row>
    <row r="509" spans="1:19" x14ac:dyDescent="0.3">
      <c r="A509" s="374"/>
      <c r="B509" s="374"/>
      <c r="C509" s="374"/>
      <c r="D509" s="374"/>
      <c r="E509" s="415"/>
      <c r="F509" s="415"/>
      <c r="G509" s="374"/>
      <c r="H509" s="72" t="s">
        <v>265</v>
      </c>
      <c r="I509" s="73">
        <v>27</v>
      </c>
      <c r="J509" s="73">
        <f t="shared" si="20"/>
        <v>8.598726114649681</v>
      </c>
      <c r="K509" s="73"/>
      <c r="L509" s="73"/>
      <c r="M509" s="73"/>
      <c r="N509" s="129">
        <f t="shared" si="22"/>
        <v>58.041401273885349</v>
      </c>
      <c r="O509" s="129">
        <f t="shared" si="21"/>
        <v>1.6933155200691483E-2</v>
      </c>
      <c r="P509" s="169">
        <f>O509*(1+'Key Data'!F$3)</f>
        <v>2.1166444000864353E-2</v>
      </c>
      <c r="Q509" s="379"/>
      <c r="R509" s="379"/>
      <c r="S509" s="418"/>
    </row>
    <row r="510" spans="1:19" x14ac:dyDescent="0.3">
      <c r="A510" s="374"/>
      <c r="B510" s="374"/>
      <c r="C510" s="374"/>
      <c r="D510" s="374"/>
      <c r="E510" s="415"/>
      <c r="F510" s="415"/>
      <c r="G510" s="374"/>
      <c r="H510" s="72" t="s">
        <v>265</v>
      </c>
      <c r="I510" s="73">
        <v>24</v>
      </c>
      <c r="J510" s="73">
        <f t="shared" si="20"/>
        <v>7.6433121019108281</v>
      </c>
      <c r="K510" s="73"/>
      <c r="L510" s="73"/>
      <c r="M510" s="73"/>
      <c r="N510" s="129">
        <f t="shared" si="22"/>
        <v>45.859872611464965</v>
      </c>
      <c r="O510" s="129">
        <f t="shared" si="21"/>
        <v>1.3379283121534021E-2</v>
      </c>
      <c r="P510" s="169">
        <f>O510*(1+'Key Data'!F$3)</f>
        <v>1.6724103901917527E-2</v>
      </c>
      <c r="Q510" s="379"/>
      <c r="R510" s="379"/>
      <c r="S510" s="418"/>
    </row>
    <row r="511" spans="1:19" x14ac:dyDescent="0.3">
      <c r="A511" s="374"/>
      <c r="B511" s="374"/>
      <c r="C511" s="374"/>
      <c r="D511" s="374"/>
      <c r="E511" s="415"/>
      <c r="F511" s="415"/>
      <c r="G511" s="374"/>
      <c r="H511" s="72" t="s">
        <v>265</v>
      </c>
      <c r="I511" s="73">
        <v>26.2</v>
      </c>
      <c r="J511" s="73">
        <f t="shared" si="20"/>
        <v>8.3439490445859867</v>
      </c>
      <c r="K511" s="73"/>
      <c r="L511" s="73"/>
      <c r="M511" s="73"/>
      <c r="N511" s="129">
        <f t="shared" si="22"/>
        <v>54.652866242038215</v>
      </c>
      <c r="O511" s="129">
        <f t="shared" si="21"/>
        <v>1.594457483671147E-2</v>
      </c>
      <c r="P511" s="169">
        <f>O511*(1+'Key Data'!F$3)</f>
        <v>1.9930718545889337E-2</v>
      </c>
      <c r="Q511" s="379"/>
      <c r="R511" s="379"/>
      <c r="S511" s="418"/>
    </row>
    <row r="512" spans="1:19" x14ac:dyDescent="0.3">
      <c r="A512" s="374"/>
      <c r="B512" s="374"/>
      <c r="C512" s="374"/>
      <c r="D512" s="374"/>
      <c r="E512" s="415"/>
      <c r="F512" s="415"/>
      <c r="G512" s="374"/>
      <c r="H512" s="72" t="s">
        <v>265</v>
      </c>
      <c r="I512" s="73">
        <v>28.9</v>
      </c>
      <c r="J512" s="73">
        <f t="shared" si="20"/>
        <v>9.2038216560509554</v>
      </c>
      <c r="K512" s="73"/>
      <c r="L512" s="73"/>
      <c r="M512" s="73"/>
      <c r="N512" s="129">
        <f t="shared" si="22"/>
        <v>66.497611464968159</v>
      </c>
      <c r="O512" s="129">
        <f t="shared" si="21"/>
        <v>1.9400192805445193E-2</v>
      </c>
      <c r="P512" s="169">
        <f>O512*(1+'Key Data'!F$3)</f>
        <v>2.4250241006806492E-2</v>
      </c>
      <c r="Q512" s="379"/>
      <c r="R512" s="379"/>
      <c r="S512" s="418"/>
    </row>
    <row r="513" spans="1:19" x14ac:dyDescent="0.3">
      <c r="A513" s="374"/>
      <c r="B513" s="374"/>
      <c r="C513" s="374"/>
      <c r="D513" s="374"/>
      <c r="E513" s="415"/>
      <c r="F513" s="415"/>
      <c r="G513" s="374"/>
      <c r="H513" s="72" t="s">
        <v>265</v>
      </c>
      <c r="I513" s="73">
        <v>12.2</v>
      </c>
      <c r="J513" s="73">
        <f t="shared" si="20"/>
        <v>3.8853503184713372</v>
      </c>
      <c r="K513" s="73"/>
      <c r="L513" s="73"/>
      <c r="M513" s="73"/>
      <c r="N513" s="129">
        <f t="shared" si="22"/>
        <v>11.850318471337578</v>
      </c>
      <c r="O513" s="129">
        <f t="shared" si="21"/>
        <v>3.4572439232797261E-3</v>
      </c>
      <c r="P513" s="169">
        <f>O513*(1+'Key Data'!F$3)</f>
        <v>4.321554904099658E-3</v>
      </c>
      <c r="Q513" s="379"/>
      <c r="R513" s="379"/>
      <c r="S513" s="418"/>
    </row>
    <row r="514" spans="1:19" x14ac:dyDescent="0.3">
      <c r="A514" s="374"/>
      <c r="B514" s="374"/>
      <c r="C514" s="374"/>
      <c r="D514" s="374"/>
      <c r="E514" s="415"/>
      <c r="F514" s="415"/>
      <c r="G514" s="374"/>
      <c r="H514" s="72" t="s">
        <v>265</v>
      </c>
      <c r="I514" s="73">
        <v>27</v>
      </c>
      <c r="J514" s="73">
        <f t="shared" si="20"/>
        <v>8.598726114649681</v>
      </c>
      <c r="K514" s="73"/>
      <c r="L514" s="73"/>
      <c r="M514" s="73"/>
      <c r="N514" s="129">
        <f t="shared" si="22"/>
        <v>58.041401273885349</v>
      </c>
      <c r="O514" s="129">
        <f t="shared" si="21"/>
        <v>1.6933155200691483E-2</v>
      </c>
      <c r="P514" s="169">
        <f>O514*(1+'Key Data'!F$3)</f>
        <v>2.1166444000864353E-2</v>
      </c>
      <c r="Q514" s="379"/>
      <c r="R514" s="379"/>
      <c r="S514" s="418"/>
    </row>
    <row r="515" spans="1:19" x14ac:dyDescent="0.3">
      <c r="A515" s="374"/>
      <c r="B515" s="374"/>
      <c r="C515" s="374"/>
      <c r="D515" s="374"/>
      <c r="E515" s="415"/>
      <c r="F515" s="415"/>
      <c r="G515" s="374"/>
      <c r="H515" s="72" t="s">
        <v>265</v>
      </c>
      <c r="I515" s="73">
        <v>26</v>
      </c>
      <c r="J515" s="73">
        <f t="shared" ref="J515:J559" si="23">I515/3.14</f>
        <v>8.2802547770700627</v>
      </c>
      <c r="K515" s="73"/>
      <c r="L515" s="73"/>
      <c r="M515" s="73"/>
      <c r="N515" s="129">
        <f t="shared" si="22"/>
        <v>53.821656050955397</v>
      </c>
      <c r="O515" s="129">
        <f t="shared" si="21"/>
        <v>1.570207533013367E-2</v>
      </c>
      <c r="P515" s="169">
        <f>O515*(1+'Key Data'!F$3)</f>
        <v>1.9627594162667086E-2</v>
      </c>
      <c r="Q515" s="379"/>
      <c r="R515" s="379"/>
      <c r="S515" s="418"/>
    </row>
    <row r="516" spans="1:19" x14ac:dyDescent="0.3">
      <c r="A516" s="374"/>
      <c r="B516" s="374"/>
      <c r="C516" s="374"/>
      <c r="D516" s="374"/>
      <c r="E516" s="415"/>
      <c r="F516" s="415"/>
      <c r="G516" s="374"/>
      <c r="H516" s="72" t="s">
        <v>265</v>
      </c>
      <c r="I516" s="73">
        <v>36.200000000000003</v>
      </c>
      <c r="J516" s="73">
        <f t="shared" si="23"/>
        <v>11.528662420382165</v>
      </c>
      <c r="K516" s="73"/>
      <c r="L516" s="73"/>
      <c r="M516" s="73"/>
      <c r="N516" s="129">
        <f t="shared" si="22"/>
        <v>104.33439490445861</v>
      </c>
      <c r="O516" s="129">
        <f t="shared" si="21"/>
        <v>3.0438798218373329E-2</v>
      </c>
      <c r="P516" s="169">
        <f>O516*(1+'Key Data'!F$3)</f>
        <v>3.8048497772966663E-2</v>
      </c>
      <c r="Q516" s="379"/>
      <c r="R516" s="379"/>
      <c r="S516" s="418"/>
    </row>
    <row r="517" spans="1:19" x14ac:dyDescent="0.3">
      <c r="A517" s="374"/>
      <c r="B517" s="374"/>
      <c r="C517" s="374"/>
      <c r="D517" s="374"/>
      <c r="E517" s="415"/>
      <c r="F517" s="415"/>
      <c r="G517" s="374"/>
      <c r="H517" s="72" t="s">
        <v>265</v>
      </c>
      <c r="I517" s="73">
        <v>30.8</v>
      </c>
      <c r="J517" s="73">
        <f t="shared" si="23"/>
        <v>9.8089171974522298</v>
      </c>
      <c r="K517" s="73"/>
      <c r="L517" s="73"/>
      <c r="M517" s="73"/>
      <c r="N517" s="129">
        <f t="shared" si="22"/>
        <v>75.528662420382176</v>
      </c>
      <c r="O517" s="129">
        <f t="shared" si="21"/>
        <v>2.2034936007659777E-2</v>
      </c>
      <c r="P517" s="169">
        <f>O517*(1+'Key Data'!F$3)</f>
        <v>2.7543670009574722E-2</v>
      </c>
      <c r="Q517" s="379"/>
      <c r="R517" s="379"/>
      <c r="S517" s="418"/>
    </row>
    <row r="518" spans="1:19" x14ac:dyDescent="0.3">
      <c r="A518" s="374"/>
      <c r="B518" s="374"/>
      <c r="C518" s="374"/>
      <c r="D518" s="374"/>
      <c r="E518" s="415"/>
      <c r="F518" s="415"/>
      <c r="G518" s="374"/>
      <c r="H518" s="72" t="s">
        <v>265</v>
      </c>
      <c r="I518" s="73">
        <v>34.5</v>
      </c>
      <c r="J518" s="73">
        <f t="shared" si="23"/>
        <v>10.987261146496815</v>
      </c>
      <c r="K518" s="73"/>
      <c r="L518" s="73"/>
      <c r="M518" s="73"/>
      <c r="N518" s="129">
        <f t="shared" si="22"/>
        <v>94.765127388535035</v>
      </c>
      <c r="O518" s="129">
        <f t="shared" si="21"/>
        <v>2.7647034262857403E-2</v>
      </c>
      <c r="P518" s="169">
        <f>O518*(1+'Key Data'!F$3)</f>
        <v>3.4558792828571758E-2</v>
      </c>
      <c r="Q518" s="379"/>
      <c r="R518" s="379"/>
      <c r="S518" s="418"/>
    </row>
    <row r="519" spans="1:19" x14ac:dyDescent="0.3">
      <c r="A519" s="374"/>
      <c r="B519" s="374"/>
      <c r="C519" s="374"/>
      <c r="D519" s="374"/>
      <c r="E519" s="415"/>
      <c r="F519" s="415"/>
      <c r="G519" s="374"/>
      <c r="H519" s="72" t="s">
        <v>265</v>
      </c>
      <c r="I519" s="73">
        <v>28.5</v>
      </c>
      <c r="J519" s="73">
        <f t="shared" si="23"/>
        <v>9.0764331210191074</v>
      </c>
      <c r="K519" s="73"/>
      <c r="L519" s="73"/>
      <c r="M519" s="73"/>
      <c r="N519" s="129">
        <f t="shared" si="22"/>
        <v>64.669585987261144</v>
      </c>
      <c r="O519" s="129">
        <f t="shared" si="21"/>
        <v>1.88668797143507E-2</v>
      </c>
      <c r="P519" s="169">
        <f>O519*(1+'Key Data'!F$3)</f>
        <v>2.3583599642938373E-2</v>
      </c>
      <c r="Q519" s="379"/>
      <c r="R519" s="379"/>
      <c r="S519" s="418"/>
    </row>
    <row r="520" spans="1:19" x14ac:dyDescent="0.3">
      <c r="A520" s="367">
        <v>9</v>
      </c>
      <c r="B520" s="367" t="s">
        <v>418</v>
      </c>
      <c r="C520" s="367" t="s">
        <v>438</v>
      </c>
      <c r="D520" s="367" t="s">
        <v>275</v>
      </c>
      <c r="E520" s="416">
        <v>15.46574</v>
      </c>
      <c r="F520" s="416">
        <v>79.373802999999995</v>
      </c>
      <c r="G520" s="367">
        <v>2022</v>
      </c>
      <c r="H520" s="94" t="s">
        <v>267</v>
      </c>
      <c r="I520" s="165">
        <v>22</v>
      </c>
      <c r="J520" s="165">
        <f t="shared" si="23"/>
        <v>7.0063694267515917</v>
      </c>
      <c r="K520" s="165"/>
      <c r="L520" s="165"/>
      <c r="M520" s="165"/>
      <c r="N520" s="127">
        <f t="shared" si="22"/>
        <v>38.535031847133752</v>
      </c>
      <c r="O520" s="127">
        <f t="shared" si="21"/>
        <v>1.1242314289622324E-2</v>
      </c>
      <c r="P520" s="168">
        <f>O520*(1+'Key Data'!F$3)</f>
        <v>1.4052892862027905E-2</v>
      </c>
      <c r="Q520" s="366">
        <f>SUM(P520:P559)</f>
        <v>0.80847802450182182</v>
      </c>
      <c r="R520" s="366">
        <f>Q520*10000/900</f>
        <v>8.9830891611313533</v>
      </c>
      <c r="S520" s="418"/>
    </row>
    <row r="521" spans="1:19" x14ac:dyDescent="0.3">
      <c r="A521" s="367"/>
      <c r="B521" s="367"/>
      <c r="C521" s="367"/>
      <c r="D521" s="367"/>
      <c r="E521" s="416"/>
      <c r="F521" s="416"/>
      <c r="G521" s="367"/>
      <c r="H521" s="94" t="s">
        <v>267</v>
      </c>
      <c r="I521" s="165">
        <f>SQRT((16)^2+(19)^2)</f>
        <v>24.839484696748443</v>
      </c>
      <c r="J521" s="165">
        <f t="shared" si="23"/>
        <v>7.9106639161619237</v>
      </c>
      <c r="K521" s="165"/>
      <c r="L521" s="165"/>
      <c r="M521" s="165"/>
      <c r="N521" s="127">
        <f t="shared" si="22"/>
        <v>49.124203821656053</v>
      </c>
      <c r="O521" s="127">
        <f t="shared" si="21"/>
        <v>1.433162792705988E-2</v>
      </c>
      <c r="P521" s="168">
        <f>O521*(1+'Key Data'!F$3)</f>
        <v>1.7914534908824852E-2</v>
      </c>
      <c r="Q521" s="366"/>
      <c r="R521" s="366"/>
      <c r="S521" s="418"/>
    </row>
    <row r="522" spans="1:19" x14ac:dyDescent="0.3">
      <c r="A522" s="367"/>
      <c r="B522" s="367"/>
      <c r="C522" s="367"/>
      <c r="D522" s="367"/>
      <c r="E522" s="416"/>
      <c r="F522" s="416"/>
      <c r="G522" s="367"/>
      <c r="H522" s="94" t="s">
        <v>267</v>
      </c>
      <c r="I522" s="165">
        <f>SQRT((19)^2+(9)^2)</f>
        <v>21.023796041628639</v>
      </c>
      <c r="J522" s="165">
        <f t="shared" si="23"/>
        <v>6.6954764463785477</v>
      </c>
      <c r="K522" s="165"/>
      <c r="L522" s="165"/>
      <c r="M522" s="165"/>
      <c r="N522" s="127">
        <f t="shared" si="22"/>
        <v>35.191082802547776</v>
      </c>
      <c r="O522" s="127">
        <f t="shared" si="21"/>
        <v>1.0266741562010472E-2</v>
      </c>
      <c r="P522" s="168">
        <f>O522*(1+'Key Data'!F$3)</f>
        <v>1.2833426952513091E-2</v>
      </c>
      <c r="Q522" s="366"/>
      <c r="R522" s="366"/>
      <c r="S522" s="418"/>
    </row>
    <row r="523" spans="1:19" x14ac:dyDescent="0.3">
      <c r="A523" s="367"/>
      <c r="B523" s="367"/>
      <c r="C523" s="367"/>
      <c r="D523" s="367"/>
      <c r="E523" s="416"/>
      <c r="F523" s="416"/>
      <c r="G523" s="367"/>
      <c r="H523" s="94" t="s">
        <v>267</v>
      </c>
      <c r="I523" s="165">
        <f>SQRT((15)^2+(15)^2+(13.5)^2)</f>
        <v>25.144581921360317</v>
      </c>
      <c r="J523" s="165">
        <f t="shared" si="23"/>
        <v>8.007828637375896</v>
      </c>
      <c r="K523" s="165"/>
      <c r="L523" s="165"/>
      <c r="M523" s="165"/>
      <c r="N523" s="127">
        <f t="shared" si="22"/>
        <v>50.338375796178333</v>
      </c>
      <c r="O523" s="127">
        <f t="shared" si="21"/>
        <v>1.4685853738871326E-2</v>
      </c>
      <c r="P523" s="168">
        <f>O523*(1+'Key Data'!F$3)</f>
        <v>1.8357317173589158E-2</v>
      </c>
      <c r="Q523" s="366"/>
      <c r="R523" s="366"/>
      <c r="S523" s="418"/>
    </row>
    <row r="524" spans="1:19" x14ac:dyDescent="0.3">
      <c r="A524" s="367"/>
      <c r="B524" s="367"/>
      <c r="C524" s="367"/>
      <c r="D524" s="367"/>
      <c r="E524" s="416"/>
      <c r="F524" s="416"/>
      <c r="G524" s="367"/>
      <c r="H524" s="94" t="s">
        <v>267</v>
      </c>
      <c r="I524" s="165">
        <f>SQRT((21.5)^2+(17)^2)</f>
        <v>27.408940147331492</v>
      </c>
      <c r="J524" s="165">
        <f t="shared" si="23"/>
        <v>8.7289618303603476</v>
      </c>
      <c r="K524" s="165"/>
      <c r="L524" s="165"/>
      <c r="M524" s="165"/>
      <c r="N524" s="127">
        <f t="shared" si="22"/>
        <v>59.812898089171981</v>
      </c>
      <c r="O524" s="127">
        <f t="shared" si="21"/>
        <v>1.744997646710492E-2</v>
      </c>
      <c r="P524" s="168">
        <f>O524*(1+'Key Data'!F$3)</f>
        <v>2.1812470583881149E-2</v>
      </c>
      <c r="Q524" s="366"/>
      <c r="R524" s="366"/>
      <c r="S524" s="418"/>
    </row>
    <row r="525" spans="1:19" x14ac:dyDescent="0.3">
      <c r="A525" s="367"/>
      <c r="B525" s="367"/>
      <c r="C525" s="367"/>
      <c r="D525" s="367"/>
      <c r="E525" s="416"/>
      <c r="F525" s="416"/>
      <c r="G525" s="367"/>
      <c r="H525" s="94" t="s">
        <v>267</v>
      </c>
      <c r="I525" s="165">
        <f>SQRT((20)^2+(15)^2+(13)^2)</f>
        <v>28.178005607210743</v>
      </c>
      <c r="J525" s="165">
        <f t="shared" si="23"/>
        <v>8.9738871360543762</v>
      </c>
      <c r="K525" s="165"/>
      <c r="L525" s="165"/>
      <c r="M525" s="165"/>
      <c r="N525" s="127">
        <f t="shared" si="22"/>
        <v>63.216560509554142</v>
      </c>
      <c r="O525" s="127">
        <f t="shared" si="21"/>
        <v>1.8442970136281267E-2</v>
      </c>
      <c r="P525" s="168">
        <f>O525*(1+'Key Data'!F$3)</f>
        <v>2.3053712670351584E-2</v>
      </c>
      <c r="Q525" s="366"/>
      <c r="R525" s="366"/>
      <c r="S525" s="418"/>
    </row>
    <row r="526" spans="1:19" x14ac:dyDescent="0.3">
      <c r="A526" s="367"/>
      <c r="B526" s="367"/>
      <c r="C526" s="367"/>
      <c r="D526" s="367"/>
      <c r="E526" s="416"/>
      <c r="F526" s="416"/>
      <c r="G526" s="367"/>
      <c r="H526" s="94" t="s">
        <v>267</v>
      </c>
      <c r="I526" s="165">
        <f>SQRT((22.2)^2+(15.3)^2)</f>
        <v>26.961639416029584</v>
      </c>
      <c r="J526" s="165">
        <f t="shared" si="23"/>
        <v>8.5865093681622877</v>
      </c>
      <c r="K526" s="165"/>
      <c r="L526" s="165"/>
      <c r="M526" s="165"/>
      <c r="N526" s="127">
        <f t="shared" si="22"/>
        <v>57.876592356687901</v>
      </c>
      <c r="O526" s="127">
        <f t="shared" si="21"/>
        <v>1.6885073401973483E-2</v>
      </c>
      <c r="P526" s="168">
        <f>O526*(1+'Key Data'!F$3)</f>
        <v>2.1106341752466853E-2</v>
      </c>
      <c r="Q526" s="366"/>
      <c r="R526" s="366"/>
      <c r="S526" s="418"/>
    </row>
    <row r="527" spans="1:19" x14ac:dyDescent="0.3">
      <c r="A527" s="367"/>
      <c r="B527" s="367"/>
      <c r="C527" s="367"/>
      <c r="D527" s="367"/>
      <c r="E527" s="416"/>
      <c r="F527" s="416"/>
      <c r="G527" s="367"/>
      <c r="H527" s="94" t="s">
        <v>267</v>
      </c>
      <c r="I527" s="165">
        <f>SQRT((11)^2+(16)^2)</f>
        <v>19.416487838947599</v>
      </c>
      <c r="J527" s="165">
        <f t="shared" si="23"/>
        <v>6.1835948531680254</v>
      </c>
      <c r="K527" s="165"/>
      <c r="L527" s="165"/>
      <c r="M527" s="165"/>
      <c r="N527" s="127">
        <f t="shared" si="22"/>
        <v>30.015923566878982</v>
      </c>
      <c r="O527" s="127">
        <f t="shared" si="21"/>
        <v>8.7569266264207E-3</v>
      </c>
      <c r="P527" s="168">
        <f>O527*(1+'Key Data'!F$3)</f>
        <v>1.0946158283025875E-2</v>
      </c>
      <c r="Q527" s="366"/>
      <c r="R527" s="366"/>
      <c r="S527" s="418"/>
    </row>
    <row r="528" spans="1:19" x14ac:dyDescent="0.3">
      <c r="A528" s="367"/>
      <c r="B528" s="367"/>
      <c r="C528" s="367"/>
      <c r="D528" s="367"/>
      <c r="E528" s="416"/>
      <c r="F528" s="416"/>
      <c r="G528" s="367"/>
      <c r="H528" s="94" t="s">
        <v>267</v>
      </c>
      <c r="I528" s="165">
        <f>SQRT((26.4)^2+(13)^2+(14)^2)</f>
        <v>32.58772775140973</v>
      </c>
      <c r="J528" s="165">
        <f t="shared" si="23"/>
        <v>10.378257245671888</v>
      </c>
      <c r="K528" s="165"/>
      <c r="L528" s="165"/>
      <c r="M528" s="165"/>
      <c r="N528" s="127">
        <f t="shared" si="22"/>
        <v>84.550955414012719</v>
      </c>
      <c r="O528" s="127">
        <f t="shared" si="21"/>
        <v>2.4667124138444903E-2</v>
      </c>
      <c r="P528" s="168">
        <f>O528*(1+'Key Data'!F$3)</f>
        <v>3.083390517305613E-2</v>
      </c>
      <c r="Q528" s="366"/>
      <c r="R528" s="366"/>
      <c r="S528" s="418"/>
    </row>
    <row r="529" spans="1:19" x14ac:dyDescent="0.3">
      <c r="A529" s="367"/>
      <c r="B529" s="367"/>
      <c r="C529" s="367"/>
      <c r="D529" s="367"/>
      <c r="E529" s="416"/>
      <c r="F529" s="416"/>
      <c r="G529" s="367"/>
      <c r="H529" s="94" t="s">
        <v>267</v>
      </c>
      <c r="I529" s="165">
        <f>SQRT((12.8)^2+(20)^2)</f>
        <v>23.74531532744933</v>
      </c>
      <c r="J529" s="165">
        <f t="shared" si="23"/>
        <v>7.5622023335825883</v>
      </c>
      <c r="K529" s="165"/>
      <c r="L529" s="165"/>
      <c r="M529" s="165"/>
      <c r="N529" s="127">
        <f t="shared" si="22"/>
        <v>44.891719745222929</v>
      </c>
      <c r="O529" s="127">
        <f t="shared" si="21"/>
        <v>1.3096831588968299E-2</v>
      </c>
      <c r="P529" s="168">
        <f>O529*(1+'Key Data'!F$3)</f>
        <v>1.6371039486210374E-2</v>
      </c>
      <c r="Q529" s="366"/>
      <c r="R529" s="366"/>
      <c r="S529" s="418"/>
    </row>
    <row r="530" spans="1:19" x14ac:dyDescent="0.3">
      <c r="A530" s="367"/>
      <c r="B530" s="367"/>
      <c r="C530" s="367"/>
      <c r="D530" s="367"/>
      <c r="E530" s="416"/>
      <c r="F530" s="416"/>
      <c r="G530" s="367"/>
      <c r="H530" s="94" t="s">
        <v>267</v>
      </c>
      <c r="I530" s="165">
        <f>SQRT((20.6)^2+(14.4)^2)</f>
        <v>25.134040662018514</v>
      </c>
      <c r="J530" s="165">
        <f t="shared" si="23"/>
        <v>8.0044715484135391</v>
      </c>
      <c r="K530" s="165"/>
      <c r="L530" s="165"/>
      <c r="M530" s="165"/>
      <c r="N530" s="127">
        <f t="shared" si="22"/>
        <v>50.296178343949045</v>
      </c>
      <c r="O530" s="127">
        <f t="shared" si="21"/>
        <v>1.4673542940165738E-2</v>
      </c>
      <c r="P530" s="168">
        <f>O530*(1+'Key Data'!F$3)</f>
        <v>1.8341928675207172E-2</v>
      </c>
      <c r="Q530" s="366"/>
      <c r="R530" s="366"/>
      <c r="S530" s="418"/>
    </row>
    <row r="531" spans="1:19" x14ac:dyDescent="0.3">
      <c r="A531" s="367"/>
      <c r="B531" s="367"/>
      <c r="C531" s="367"/>
      <c r="D531" s="367"/>
      <c r="E531" s="416"/>
      <c r="F531" s="416"/>
      <c r="G531" s="367"/>
      <c r="H531" s="94" t="s">
        <v>267</v>
      </c>
      <c r="I531" s="165">
        <v>25</v>
      </c>
      <c r="J531" s="165">
        <f t="shared" si="23"/>
        <v>7.9617834394904454</v>
      </c>
      <c r="K531" s="165"/>
      <c r="L531" s="165"/>
      <c r="M531" s="165"/>
      <c r="N531" s="127">
        <f t="shared" si="22"/>
        <v>49.761146496815286</v>
      </c>
      <c r="O531" s="127">
        <f t="shared" si="21"/>
        <v>1.4517451303747849E-2</v>
      </c>
      <c r="P531" s="168">
        <f>O531*(1+'Key Data'!F$3)</f>
        <v>1.8146814129684812E-2</v>
      </c>
      <c r="Q531" s="366"/>
      <c r="R531" s="366"/>
      <c r="S531" s="418"/>
    </row>
    <row r="532" spans="1:19" x14ac:dyDescent="0.3">
      <c r="A532" s="367"/>
      <c r="B532" s="367"/>
      <c r="C532" s="367"/>
      <c r="D532" s="367"/>
      <c r="E532" s="416"/>
      <c r="F532" s="416"/>
      <c r="G532" s="367"/>
      <c r="H532" s="94" t="s">
        <v>267</v>
      </c>
      <c r="I532" s="165">
        <v>19</v>
      </c>
      <c r="J532" s="165">
        <f t="shared" si="23"/>
        <v>6.0509554140127388</v>
      </c>
      <c r="K532" s="165"/>
      <c r="L532" s="165"/>
      <c r="M532" s="165"/>
      <c r="N532" s="127">
        <f t="shared" si="22"/>
        <v>28.742038216560509</v>
      </c>
      <c r="O532" s="127">
        <f t="shared" si="21"/>
        <v>8.3852798730447587E-3</v>
      </c>
      <c r="P532" s="168">
        <f>O532*(1+'Key Data'!F$3)</f>
        <v>1.0481599841305948E-2</v>
      </c>
      <c r="Q532" s="366"/>
      <c r="R532" s="366"/>
      <c r="S532" s="418"/>
    </row>
    <row r="533" spans="1:19" x14ac:dyDescent="0.3">
      <c r="A533" s="367"/>
      <c r="B533" s="367"/>
      <c r="C533" s="367"/>
      <c r="D533" s="367"/>
      <c r="E533" s="416"/>
      <c r="F533" s="416"/>
      <c r="G533" s="367"/>
      <c r="H533" s="94" t="s">
        <v>267</v>
      </c>
      <c r="I533" s="165">
        <v>23</v>
      </c>
      <c r="J533" s="165">
        <f t="shared" si="23"/>
        <v>7.3248407643312099</v>
      </c>
      <c r="K533" s="165"/>
      <c r="L533" s="165"/>
      <c r="M533" s="165"/>
      <c r="N533" s="127">
        <f t="shared" si="22"/>
        <v>42.117834394904456</v>
      </c>
      <c r="O533" s="127">
        <f t="shared" si="21"/>
        <v>1.2287570783492173E-2</v>
      </c>
      <c r="P533" s="168">
        <f>O533*(1+'Key Data'!F$3)</f>
        <v>1.5359463479365216E-2</v>
      </c>
      <c r="Q533" s="366"/>
      <c r="R533" s="366"/>
      <c r="S533" s="418"/>
    </row>
    <row r="534" spans="1:19" x14ac:dyDescent="0.3">
      <c r="A534" s="367"/>
      <c r="B534" s="367"/>
      <c r="C534" s="367"/>
      <c r="D534" s="367"/>
      <c r="E534" s="416"/>
      <c r="F534" s="416"/>
      <c r="G534" s="367"/>
      <c r="H534" s="94" t="s">
        <v>267</v>
      </c>
      <c r="I534" s="165">
        <f>SQRT((26)^2+(11.6)^2)</f>
        <v>28.470335438838791</v>
      </c>
      <c r="J534" s="165">
        <f t="shared" si="23"/>
        <v>9.0669858085473862</v>
      </c>
      <c r="K534" s="165"/>
      <c r="L534" s="165"/>
      <c r="M534" s="165"/>
      <c r="N534" s="127">
        <f t="shared" si="22"/>
        <v>64.535031847133766</v>
      </c>
      <c r="O534" s="127">
        <f t="shared" si="21"/>
        <v>1.8827624526025363E-2</v>
      </c>
      <c r="P534" s="168">
        <f>O534*(1+'Key Data'!F$3)</f>
        <v>2.3534530657531704E-2</v>
      </c>
      <c r="Q534" s="366"/>
      <c r="R534" s="366"/>
      <c r="S534" s="418"/>
    </row>
    <row r="535" spans="1:19" x14ac:dyDescent="0.3">
      <c r="A535" s="367"/>
      <c r="B535" s="367"/>
      <c r="C535" s="367"/>
      <c r="D535" s="367"/>
      <c r="E535" s="416"/>
      <c r="F535" s="416"/>
      <c r="G535" s="367"/>
      <c r="H535" s="94" t="s">
        <v>267</v>
      </c>
      <c r="I535" s="165">
        <f>SQRT((23.4)^2+(10.4)^2)</f>
        <v>25.607030284669872</v>
      </c>
      <c r="J535" s="165">
        <f t="shared" si="23"/>
        <v>8.1551051862005952</v>
      </c>
      <c r="K535" s="165"/>
      <c r="L535" s="165"/>
      <c r="M535" s="165"/>
      <c r="N535" s="127">
        <f t="shared" si="22"/>
        <v>52.207006369426743</v>
      </c>
      <c r="O535" s="127">
        <f t="shared" si="21"/>
        <v>1.5231013070229652E-2</v>
      </c>
      <c r="P535" s="168">
        <f>O535*(1+'Key Data'!F$3)</f>
        <v>1.9038766337787064E-2</v>
      </c>
      <c r="Q535" s="366"/>
      <c r="R535" s="366"/>
      <c r="S535" s="418"/>
    </row>
    <row r="536" spans="1:19" x14ac:dyDescent="0.3">
      <c r="A536" s="367"/>
      <c r="B536" s="367"/>
      <c r="C536" s="367"/>
      <c r="D536" s="367"/>
      <c r="E536" s="416"/>
      <c r="F536" s="416"/>
      <c r="G536" s="367"/>
      <c r="H536" s="94" t="s">
        <v>267</v>
      </c>
      <c r="I536" s="165">
        <f>SQRT((15)^2+(24.2)^2)</f>
        <v>28.471740375326551</v>
      </c>
      <c r="J536" s="165">
        <f t="shared" si="23"/>
        <v>9.0674332405498568</v>
      </c>
      <c r="K536" s="165"/>
      <c r="L536" s="165"/>
      <c r="M536" s="165"/>
      <c r="N536" s="127">
        <f t="shared" si="22"/>
        <v>64.541401273885356</v>
      </c>
      <c r="O536" s="127">
        <f t="shared" si="21"/>
        <v>1.8829482759792238E-2</v>
      </c>
      <c r="P536" s="168">
        <f>O536*(1+'Key Data'!F$3)</f>
        <v>2.3536853449740297E-2</v>
      </c>
      <c r="Q536" s="366"/>
      <c r="R536" s="366"/>
      <c r="S536" s="418"/>
    </row>
    <row r="537" spans="1:19" x14ac:dyDescent="0.3">
      <c r="A537" s="367"/>
      <c r="B537" s="367"/>
      <c r="C537" s="367"/>
      <c r="D537" s="367"/>
      <c r="E537" s="416"/>
      <c r="F537" s="416"/>
      <c r="G537" s="367"/>
      <c r="H537" s="94" t="s">
        <v>267</v>
      </c>
      <c r="I537" s="165">
        <f>SQRT((22)^2+(22)^2)</f>
        <v>31.11269837220809</v>
      </c>
      <c r="J537" s="165">
        <f t="shared" si="23"/>
        <v>9.9085026663083084</v>
      </c>
      <c r="K537" s="165"/>
      <c r="L537" s="165"/>
      <c r="M537" s="165"/>
      <c r="N537" s="127">
        <f t="shared" si="22"/>
        <v>77.070063694267503</v>
      </c>
      <c r="O537" s="127">
        <f t="shared" si="21"/>
        <v>2.2484628579244659E-2</v>
      </c>
      <c r="P537" s="168">
        <f>O537*(1+'Key Data'!F$3)</f>
        <v>2.8105785724055823E-2</v>
      </c>
      <c r="Q537" s="366"/>
      <c r="R537" s="366"/>
      <c r="S537" s="418"/>
    </row>
    <row r="538" spans="1:19" x14ac:dyDescent="0.3">
      <c r="A538" s="367"/>
      <c r="B538" s="367"/>
      <c r="C538" s="367"/>
      <c r="D538" s="367"/>
      <c r="E538" s="416"/>
      <c r="F538" s="416"/>
      <c r="G538" s="367"/>
      <c r="H538" s="94" t="s">
        <v>267</v>
      </c>
      <c r="I538" s="165">
        <f>SQRT((18.7)^2+(12.8)^2+(9.5)^2)</f>
        <v>24.571935210723634</v>
      </c>
      <c r="J538" s="165">
        <f t="shared" si="23"/>
        <v>7.825457073478864</v>
      </c>
      <c r="K538" s="165"/>
      <c r="L538" s="165"/>
      <c r="M538" s="165"/>
      <c r="N538" s="127">
        <f t="shared" si="22"/>
        <v>48.071656050955404</v>
      </c>
      <c r="O538" s="127">
        <f t="shared" si="21"/>
        <v>1.4024554797082998E-2</v>
      </c>
      <c r="P538" s="168">
        <f>O538*(1+'Key Data'!F$3)</f>
        <v>1.753069349635375E-2</v>
      </c>
      <c r="Q538" s="366"/>
      <c r="R538" s="366"/>
      <c r="S538" s="418"/>
    </row>
    <row r="539" spans="1:19" x14ac:dyDescent="0.3">
      <c r="A539" s="367"/>
      <c r="B539" s="367"/>
      <c r="C539" s="367"/>
      <c r="D539" s="367"/>
      <c r="E539" s="416"/>
      <c r="F539" s="416"/>
      <c r="G539" s="367"/>
      <c r="H539" s="94" t="s">
        <v>267</v>
      </c>
      <c r="I539" s="165">
        <v>24.5</v>
      </c>
      <c r="J539" s="165">
        <f t="shared" si="23"/>
        <v>7.8025477707006363</v>
      </c>
      <c r="K539" s="165"/>
      <c r="L539" s="165"/>
      <c r="M539" s="165"/>
      <c r="N539" s="127">
        <f t="shared" si="22"/>
        <v>47.790605095541395</v>
      </c>
      <c r="O539" s="127">
        <f t="shared" si="21"/>
        <v>1.3942560232119433E-2</v>
      </c>
      <c r="P539" s="168">
        <f>O539*(1+'Key Data'!F$3)</f>
        <v>1.7428200290149291E-2</v>
      </c>
      <c r="Q539" s="366"/>
      <c r="R539" s="366"/>
      <c r="S539" s="418"/>
    </row>
    <row r="540" spans="1:19" x14ac:dyDescent="0.3">
      <c r="A540" s="367"/>
      <c r="B540" s="367"/>
      <c r="C540" s="367"/>
      <c r="D540" s="367"/>
      <c r="E540" s="416"/>
      <c r="F540" s="416"/>
      <c r="G540" s="367"/>
      <c r="H540" s="94" t="s">
        <v>267</v>
      </c>
      <c r="I540" s="165">
        <f>SQRT((13.7)^2+(20.4)^2)</f>
        <v>24.573359558676543</v>
      </c>
      <c r="J540" s="165">
        <f t="shared" si="23"/>
        <v>7.8259106874766058</v>
      </c>
      <c r="K540" s="165"/>
      <c r="L540" s="165"/>
      <c r="M540" s="165"/>
      <c r="N540" s="127">
        <f t="shared" si="22"/>
        <v>48.07722929936304</v>
      </c>
      <c r="O540" s="127">
        <f t="shared" ref="O540:O559" si="24">(10^(-0.535+LOG10(N540)))/1000</f>
        <v>1.4026180751629007E-2</v>
      </c>
      <c r="P540" s="168">
        <f>O540*(1+'Key Data'!F$3)</f>
        <v>1.7532725939536257E-2</v>
      </c>
      <c r="Q540" s="366"/>
      <c r="R540" s="366"/>
      <c r="S540" s="418"/>
    </row>
    <row r="541" spans="1:19" x14ac:dyDescent="0.3">
      <c r="A541" s="367"/>
      <c r="B541" s="367"/>
      <c r="C541" s="367"/>
      <c r="D541" s="367"/>
      <c r="E541" s="416"/>
      <c r="F541" s="416"/>
      <c r="G541" s="367"/>
      <c r="H541" s="94" t="s">
        <v>267</v>
      </c>
      <c r="I541" s="165">
        <v>25.8</v>
      </c>
      <c r="J541" s="165">
        <f t="shared" si="23"/>
        <v>8.2165605095541405</v>
      </c>
      <c r="K541" s="165"/>
      <c r="L541" s="165"/>
      <c r="M541" s="165"/>
      <c r="N541" s="127">
        <f t="shared" ref="N541:N559" si="25">3.14*J541/2*J541/2</f>
        <v>52.996815286624205</v>
      </c>
      <c r="O541" s="127">
        <f t="shared" si="24"/>
        <v>1.5461434057322754E-2</v>
      </c>
      <c r="P541" s="168">
        <f>O541*(1+'Key Data'!F$3)</f>
        <v>1.9326792571653442E-2</v>
      </c>
      <c r="Q541" s="366"/>
      <c r="R541" s="366"/>
      <c r="S541" s="418"/>
    </row>
    <row r="542" spans="1:19" x14ac:dyDescent="0.3">
      <c r="A542" s="367"/>
      <c r="B542" s="367"/>
      <c r="C542" s="367"/>
      <c r="D542" s="367"/>
      <c r="E542" s="416"/>
      <c r="F542" s="416"/>
      <c r="G542" s="367"/>
      <c r="H542" s="94" t="s">
        <v>267</v>
      </c>
      <c r="I542" s="165">
        <f>SQRT((10)^2+(25.3)^2+(13.4)^2)</f>
        <v>30.32573164822244</v>
      </c>
      <c r="J542" s="165">
        <f t="shared" si="23"/>
        <v>9.6578763210899492</v>
      </c>
      <c r="K542" s="165"/>
      <c r="L542" s="165"/>
      <c r="M542" s="165"/>
      <c r="N542" s="127">
        <f t="shared" si="25"/>
        <v>73.220541401273891</v>
      </c>
      <c r="O542" s="127">
        <f t="shared" si="24"/>
        <v>2.136155854638673E-2</v>
      </c>
      <c r="P542" s="168">
        <f>O542*(1+'Key Data'!F$3)</f>
        <v>2.6701948182983413E-2</v>
      </c>
      <c r="Q542" s="366"/>
      <c r="R542" s="366"/>
      <c r="S542" s="418"/>
    </row>
    <row r="543" spans="1:19" x14ac:dyDescent="0.3">
      <c r="A543" s="367"/>
      <c r="B543" s="367"/>
      <c r="C543" s="367"/>
      <c r="D543" s="367"/>
      <c r="E543" s="416"/>
      <c r="F543" s="416"/>
      <c r="G543" s="367"/>
      <c r="H543" s="94" t="s">
        <v>267</v>
      </c>
      <c r="I543" s="165">
        <f>SQRT((12)^2+(24)^2)</f>
        <v>26.832815729997478</v>
      </c>
      <c r="J543" s="165">
        <f t="shared" si="23"/>
        <v>8.5454827165597056</v>
      </c>
      <c r="K543" s="165"/>
      <c r="L543" s="165"/>
      <c r="M543" s="165"/>
      <c r="N543" s="127">
        <f t="shared" si="25"/>
        <v>57.324840764331213</v>
      </c>
      <c r="O543" s="127">
        <f t="shared" si="24"/>
        <v>1.672410390191752E-2</v>
      </c>
      <c r="P543" s="168">
        <f>O543*(1+'Key Data'!F$3)</f>
        <v>2.09051298773969E-2</v>
      </c>
      <c r="Q543" s="366"/>
      <c r="R543" s="366"/>
      <c r="S543" s="418"/>
    </row>
    <row r="544" spans="1:19" x14ac:dyDescent="0.3">
      <c r="A544" s="367"/>
      <c r="B544" s="367"/>
      <c r="C544" s="367"/>
      <c r="D544" s="367"/>
      <c r="E544" s="416"/>
      <c r="F544" s="416"/>
      <c r="G544" s="367"/>
      <c r="H544" s="94" t="s">
        <v>267</v>
      </c>
      <c r="I544" s="165">
        <f>SQRT((19)^2+(11.7)^2)</f>
        <v>22.313448859376265</v>
      </c>
      <c r="J544" s="165">
        <f t="shared" si="23"/>
        <v>7.1061939042599569</v>
      </c>
      <c r="K544" s="165"/>
      <c r="L544" s="165"/>
      <c r="M544" s="165"/>
      <c r="N544" s="127">
        <f t="shared" si="25"/>
        <v>39.640923566878975</v>
      </c>
      <c r="O544" s="127">
        <f t="shared" si="24"/>
        <v>1.156495012739682E-2</v>
      </c>
      <c r="P544" s="168">
        <f>O544*(1+'Key Data'!F$3)</f>
        <v>1.4456187659246025E-2</v>
      </c>
      <c r="Q544" s="366"/>
      <c r="R544" s="366"/>
      <c r="S544" s="418"/>
    </row>
    <row r="545" spans="1:19" x14ac:dyDescent="0.3">
      <c r="A545" s="367"/>
      <c r="B545" s="367"/>
      <c r="C545" s="367"/>
      <c r="D545" s="367"/>
      <c r="E545" s="416"/>
      <c r="F545" s="416"/>
      <c r="G545" s="367"/>
      <c r="H545" s="94" t="s">
        <v>267</v>
      </c>
      <c r="I545" s="165">
        <v>27.5</v>
      </c>
      <c r="J545" s="165">
        <f t="shared" si="23"/>
        <v>8.7579617834394909</v>
      </c>
      <c r="K545" s="165"/>
      <c r="L545" s="165"/>
      <c r="M545" s="165"/>
      <c r="N545" s="127">
        <f t="shared" si="25"/>
        <v>60.210987261146506</v>
      </c>
      <c r="O545" s="127">
        <f t="shared" si="24"/>
        <v>1.7566116077534905E-2</v>
      </c>
      <c r="P545" s="168">
        <f>O545*(1+'Key Data'!F$3)</f>
        <v>2.1957645096918631E-2</v>
      </c>
      <c r="Q545" s="366"/>
      <c r="R545" s="366"/>
      <c r="S545" s="418"/>
    </row>
    <row r="546" spans="1:19" x14ac:dyDescent="0.3">
      <c r="A546" s="367"/>
      <c r="B546" s="367"/>
      <c r="C546" s="367"/>
      <c r="D546" s="367"/>
      <c r="E546" s="416"/>
      <c r="F546" s="416"/>
      <c r="G546" s="367"/>
      <c r="H546" s="94" t="s">
        <v>267</v>
      </c>
      <c r="I546" s="165">
        <f>SQRT((14)^2+(21)^2)</f>
        <v>25.238858928247925</v>
      </c>
      <c r="J546" s="165">
        <f t="shared" si="23"/>
        <v>8.0378531618623956</v>
      </c>
      <c r="K546" s="165"/>
      <c r="L546" s="165"/>
      <c r="M546" s="165"/>
      <c r="N546" s="127">
        <f t="shared" si="25"/>
        <v>50.716560509554128</v>
      </c>
      <c r="O546" s="127">
        <f t="shared" si="24"/>
        <v>1.4796186368779798E-2</v>
      </c>
      <c r="P546" s="168">
        <f>O546*(1+'Key Data'!F$3)</f>
        <v>1.8495232960974748E-2</v>
      </c>
      <c r="Q546" s="366"/>
      <c r="R546" s="366"/>
      <c r="S546" s="418"/>
    </row>
    <row r="547" spans="1:19" x14ac:dyDescent="0.3">
      <c r="A547" s="367"/>
      <c r="B547" s="367"/>
      <c r="C547" s="367"/>
      <c r="D547" s="367"/>
      <c r="E547" s="416"/>
      <c r="F547" s="416"/>
      <c r="G547" s="367"/>
      <c r="H547" s="94" t="s">
        <v>267</v>
      </c>
      <c r="I547" s="165">
        <f>SQRT((29)^2+(14.6)^2+(13)^2)</f>
        <v>34.973704407740399</v>
      </c>
      <c r="J547" s="165">
        <f t="shared" si="23"/>
        <v>11.13812242284726</v>
      </c>
      <c r="K547" s="165"/>
      <c r="L547" s="165"/>
      <c r="M547" s="165"/>
      <c r="N547" s="127">
        <f t="shared" si="25"/>
        <v>97.385350318471353</v>
      </c>
      <c r="O547" s="127">
        <f t="shared" si="24"/>
        <v>2.8411465178707553E-2</v>
      </c>
      <c r="P547" s="168">
        <f>O547*(1+'Key Data'!F$3)</f>
        <v>3.5514331473384439E-2</v>
      </c>
      <c r="Q547" s="366"/>
      <c r="R547" s="366"/>
      <c r="S547" s="418"/>
    </row>
    <row r="548" spans="1:19" x14ac:dyDescent="0.3">
      <c r="A548" s="367"/>
      <c r="B548" s="367"/>
      <c r="C548" s="367"/>
      <c r="D548" s="367"/>
      <c r="E548" s="416"/>
      <c r="F548" s="416"/>
      <c r="G548" s="367"/>
      <c r="H548" s="94" t="s">
        <v>267</v>
      </c>
      <c r="I548" s="165">
        <f>SQRT((11.4)^2+(7)^2+(17.8)^2)</f>
        <v>22.26656686604381</v>
      </c>
      <c r="J548" s="165">
        <f t="shared" si="23"/>
        <v>7.0912633331349708</v>
      </c>
      <c r="K548" s="165"/>
      <c r="L548" s="165"/>
      <c r="M548" s="165"/>
      <c r="N548" s="127">
        <f t="shared" si="25"/>
        <v>39.474522292993633</v>
      </c>
      <c r="O548" s="127">
        <f t="shared" si="24"/>
        <v>1.1516403770237093E-2</v>
      </c>
      <c r="P548" s="168">
        <f>O548*(1+'Key Data'!F$3)</f>
        <v>1.4395504712796365E-2</v>
      </c>
      <c r="Q548" s="366"/>
      <c r="R548" s="366"/>
      <c r="S548" s="418"/>
    </row>
    <row r="549" spans="1:19" x14ac:dyDescent="0.3">
      <c r="A549" s="367"/>
      <c r="B549" s="367"/>
      <c r="C549" s="367"/>
      <c r="D549" s="367"/>
      <c r="E549" s="416"/>
      <c r="F549" s="416"/>
      <c r="G549" s="367"/>
      <c r="H549" s="94" t="s">
        <v>267</v>
      </c>
      <c r="I549" s="165">
        <f>SQRT((21.7)^2+(9.3)^2)</f>
        <v>23.608896628178115</v>
      </c>
      <c r="J549" s="165">
        <f t="shared" si="23"/>
        <v>7.5187568879548135</v>
      </c>
      <c r="K549" s="165"/>
      <c r="L549" s="165"/>
      <c r="M549" s="165"/>
      <c r="N549" s="127">
        <f t="shared" si="25"/>
        <v>44.377388535031841</v>
      </c>
      <c r="O549" s="127">
        <f t="shared" si="24"/>
        <v>1.2946779212292753E-2</v>
      </c>
      <c r="P549" s="168">
        <f>O549*(1+'Key Data'!F$3)</f>
        <v>1.6183474015365941E-2</v>
      </c>
      <c r="Q549" s="366"/>
      <c r="R549" s="366"/>
      <c r="S549" s="418"/>
    </row>
    <row r="550" spans="1:19" x14ac:dyDescent="0.3">
      <c r="A550" s="367"/>
      <c r="B550" s="367"/>
      <c r="C550" s="367"/>
      <c r="D550" s="367"/>
      <c r="E550" s="416"/>
      <c r="F550" s="416"/>
      <c r="G550" s="367"/>
      <c r="H550" s="94" t="s">
        <v>267</v>
      </c>
      <c r="I550" s="165">
        <f>SQRT((25.8)^2+(13.4)^2)</f>
        <v>29.072323608545638</v>
      </c>
      <c r="J550" s="165">
        <f t="shared" si="23"/>
        <v>9.2587017861610299</v>
      </c>
      <c r="K550" s="165"/>
      <c r="L550" s="165"/>
      <c r="M550" s="165"/>
      <c r="N550" s="127">
        <f t="shared" si="25"/>
        <v>67.292993630573235</v>
      </c>
      <c r="O550" s="127">
        <f t="shared" si="24"/>
        <v>1.9632239747084286E-2</v>
      </c>
      <c r="P550" s="168">
        <f>O550*(1+'Key Data'!F$3)</f>
        <v>2.4540299683855356E-2</v>
      </c>
      <c r="Q550" s="366"/>
      <c r="R550" s="366"/>
      <c r="S550" s="418"/>
    </row>
    <row r="551" spans="1:19" x14ac:dyDescent="0.3">
      <c r="A551" s="367"/>
      <c r="B551" s="367"/>
      <c r="C551" s="367"/>
      <c r="D551" s="367"/>
      <c r="E551" s="416"/>
      <c r="F551" s="416"/>
      <c r="G551" s="367"/>
      <c r="H551" s="94" t="s">
        <v>267</v>
      </c>
      <c r="I551" s="165">
        <f>SQRT((20.8)^2+(11.9)^2)</f>
        <v>23.963513932643519</v>
      </c>
      <c r="J551" s="165">
        <f t="shared" si="23"/>
        <v>7.6316923352367887</v>
      </c>
      <c r="K551" s="165"/>
      <c r="L551" s="165"/>
      <c r="M551" s="165"/>
      <c r="N551" s="127">
        <f t="shared" si="25"/>
        <v>45.720541401273884</v>
      </c>
      <c r="O551" s="127">
        <f t="shared" si="24"/>
        <v>1.3338634257883522E-2</v>
      </c>
      <c r="P551" s="168">
        <f>O551*(1+'Key Data'!F$3)</f>
        <v>1.6673292822354403E-2</v>
      </c>
      <c r="Q551" s="366"/>
      <c r="R551" s="366"/>
      <c r="S551" s="418"/>
    </row>
    <row r="552" spans="1:19" x14ac:dyDescent="0.3">
      <c r="A552" s="367"/>
      <c r="B552" s="367"/>
      <c r="C552" s="367"/>
      <c r="D552" s="367"/>
      <c r="E552" s="416"/>
      <c r="F552" s="416"/>
      <c r="G552" s="367"/>
      <c r="H552" s="94" t="s">
        <v>267</v>
      </c>
      <c r="I552" s="165">
        <f>SQRT((8.8)^2+(25.6)^2+(13)^2+(14.5)^2)</f>
        <v>33.347413692818819</v>
      </c>
      <c r="J552" s="165">
        <f t="shared" si="23"/>
        <v>10.620195443572872</v>
      </c>
      <c r="K552" s="165"/>
      <c r="L552" s="165"/>
      <c r="M552" s="165"/>
      <c r="N552" s="127">
        <f t="shared" si="25"/>
        <v>88.539012738853501</v>
      </c>
      <c r="O552" s="127">
        <f t="shared" si="24"/>
        <v>2.5830610755732474E-2</v>
      </c>
      <c r="P552" s="168">
        <f>O552*(1+'Key Data'!F$3)</f>
        <v>3.2288263444665594E-2</v>
      </c>
      <c r="Q552" s="366"/>
      <c r="R552" s="366"/>
      <c r="S552" s="418"/>
    </row>
    <row r="553" spans="1:19" x14ac:dyDescent="0.3">
      <c r="A553" s="367"/>
      <c r="B553" s="367"/>
      <c r="C553" s="367"/>
      <c r="D553" s="367"/>
      <c r="E553" s="416"/>
      <c r="F553" s="416"/>
      <c r="G553" s="367"/>
      <c r="H553" s="94" t="s">
        <v>267</v>
      </c>
      <c r="I553" s="165">
        <v>25</v>
      </c>
      <c r="J553" s="165">
        <f t="shared" si="23"/>
        <v>7.9617834394904454</v>
      </c>
      <c r="K553" s="165"/>
      <c r="L553" s="165"/>
      <c r="M553" s="165"/>
      <c r="N553" s="127">
        <f t="shared" si="25"/>
        <v>49.761146496815286</v>
      </c>
      <c r="O553" s="127">
        <f t="shared" si="24"/>
        <v>1.4517451303747849E-2</v>
      </c>
      <c r="P553" s="168">
        <f>O553*(1+'Key Data'!F$3)</f>
        <v>1.8146814129684812E-2</v>
      </c>
      <c r="Q553" s="366"/>
      <c r="R553" s="366"/>
      <c r="S553" s="418"/>
    </row>
    <row r="554" spans="1:19" x14ac:dyDescent="0.3">
      <c r="A554" s="367"/>
      <c r="B554" s="367"/>
      <c r="C554" s="367"/>
      <c r="D554" s="367"/>
      <c r="E554" s="416"/>
      <c r="F554" s="416"/>
      <c r="G554" s="367"/>
      <c r="H554" s="94" t="s">
        <v>267</v>
      </c>
      <c r="I554" s="165">
        <f>SQRT((18.4)^2+(21.5)^2)</f>
        <v>28.298586537139975</v>
      </c>
      <c r="J554" s="165">
        <f t="shared" si="23"/>
        <v>9.0122887060955339</v>
      </c>
      <c r="K554" s="165"/>
      <c r="L554" s="165"/>
      <c r="M554" s="165"/>
      <c r="N554" s="127">
        <f t="shared" si="25"/>
        <v>63.758757961783438</v>
      </c>
      <c r="O554" s="127">
        <f>(10^(-0.535+LOG10(N554)))/1000</f>
        <v>1.8601152285686904E-2</v>
      </c>
      <c r="P554" s="168">
        <f>O554*(1+'Key Data'!F$3)</f>
        <v>2.3251440357108629E-2</v>
      </c>
      <c r="Q554" s="366"/>
      <c r="R554" s="366"/>
      <c r="S554" s="418"/>
    </row>
    <row r="555" spans="1:19" x14ac:dyDescent="0.3">
      <c r="A555" s="367"/>
      <c r="B555" s="367"/>
      <c r="C555" s="367"/>
      <c r="D555" s="367"/>
      <c r="E555" s="416"/>
      <c r="F555" s="416"/>
      <c r="G555" s="367"/>
      <c r="H555" s="94" t="s">
        <v>267</v>
      </c>
      <c r="I555" s="165">
        <v>26.6</v>
      </c>
      <c r="J555" s="165">
        <f t="shared" si="23"/>
        <v>8.4713375796178347</v>
      </c>
      <c r="K555" s="165"/>
      <c r="L555" s="165"/>
      <c r="M555" s="165"/>
      <c r="N555" s="127">
        <f t="shared" si="25"/>
        <v>56.334394904458605</v>
      </c>
      <c r="O555" s="127">
        <f t="shared" si="24"/>
        <v>1.6435148551167719E-2</v>
      </c>
      <c r="P555" s="168">
        <f>O555*(1+'Key Data'!F$3)</f>
        <v>2.0543935688959649E-2</v>
      </c>
      <c r="Q555" s="366"/>
      <c r="R555" s="366"/>
      <c r="S555" s="418"/>
    </row>
    <row r="556" spans="1:19" x14ac:dyDescent="0.3">
      <c r="A556" s="367"/>
      <c r="B556" s="367"/>
      <c r="C556" s="367"/>
      <c r="D556" s="367"/>
      <c r="E556" s="416"/>
      <c r="F556" s="416"/>
      <c r="G556" s="367"/>
      <c r="H556" s="94" t="s">
        <v>267</v>
      </c>
      <c r="I556" s="165">
        <f>SQRT((21)^2+(9.7)^2)</f>
        <v>23.13201245028197</v>
      </c>
      <c r="J556" s="165">
        <f t="shared" si="23"/>
        <v>7.3668829459496719</v>
      </c>
      <c r="K556" s="165"/>
      <c r="L556" s="165"/>
      <c r="M556" s="165"/>
      <c r="N556" s="127">
        <f t="shared" si="25"/>
        <v>42.602707006369428</v>
      </c>
      <c r="O556" s="127">
        <f t="shared" si="24"/>
        <v>1.24290288289959E-2</v>
      </c>
      <c r="P556" s="168">
        <f>O556*(1+'Key Data'!F$3)</f>
        <v>1.5536286036244875E-2</v>
      </c>
      <c r="Q556" s="366"/>
      <c r="R556" s="366"/>
      <c r="S556" s="418"/>
    </row>
    <row r="557" spans="1:19" x14ac:dyDescent="0.3">
      <c r="A557" s="367"/>
      <c r="B557" s="367"/>
      <c r="C557" s="367"/>
      <c r="D557" s="367"/>
      <c r="E557" s="416"/>
      <c r="F557" s="416"/>
      <c r="G557" s="367"/>
      <c r="H557" s="94" t="s">
        <v>267</v>
      </c>
      <c r="I557" s="165">
        <f>SQRT((18.5)^2+(15)^2)</f>
        <v>23.817010727629107</v>
      </c>
      <c r="J557" s="165">
        <f t="shared" si="23"/>
        <v>7.585035263576148</v>
      </c>
      <c r="K557" s="165"/>
      <c r="L557" s="165"/>
      <c r="M557" s="165"/>
      <c r="N557" s="127">
        <f t="shared" si="25"/>
        <v>45.163216560509547</v>
      </c>
      <c r="O557" s="127">
        <f t="shared" si="24"/>
        <v>1.317603880328154E-2</v>
      </c>
      <c r="P557" s="168">
        <f>O557*(1+'Key Data'!F$3)</f>
        <v>1.6470048504101924E-2</v>
      </c>
      <c r="Q557" s="366"/>
      <c r="R557" s="366"/>
      <c r="S557" s="418"/>
    </row>
    <row r="558" spans="1:19" x14ac:dyDescent="0.3">
      <c r="A558" s="367"/>
      <c r="B558" s="367"/>
      <c r="C558" s="367"/>
      <c r="D558" s="367"/>
      <c r="E558" s="416"/>
      <c r="F558" s="416"/>
      <c r="G558" s="367"/>
      <c r="H558" s="94" t="s">
        <v>267</v>
      </c>
      <c r="I558" s="165">
        <v>33.1</v>
      </c>
      <c r="J558" s="165">
        <f t="shared" si="23"/>
        <v>10.54140127388535</v>
      </c>
      <c r="K558" s="165"/>
      <c r="L558" s="165"/>
      <c r="M558" s="165"/>
      <c r="N558" s="127">
        <f t="shared" si="25"/>
        <v>87.230095541401283</v>
      </c>
      <c r="O558" s="127">
        <f t="shared" si="24"/>
        <v>2.5448743716638699E-2</v>
      </c>
      <c r="P558" s="168">
        <f>O558*(1+'Key Data'!F$3)</f>
        <v>3.1810929645798375E-2</v>
      </c>
      <c r="Q558" s="366"/>
      <c r="R558" s="366"/>
      <c r="S558" s="418"/>
    </row>
    <row r="559" spans="1:19" x14ac:dyDescent="0.3">
      <c r="A559" s="367"/>
      <c r="B559" s="367"/>
      <c r="C559" s="367"/>
      <c r="D559" s="367"/>
      <c r="E559" s="416"/>
      <c r="F559" s="416"/>
      <c r="G559" s="367"/>
      <c r="H559" s="94" t="s">
        <v>267</v>
      </c>
      <c r="I559" s="165">
        <f>SQRT((24.1)^2+(16.7)^2)</f>
        <v>29.320641193534634</v>
      </c>
      <c r="J559" s="165">
        <f t="shared" si="23"/>
        <v>9.337783819597016</v>
      </c>
      <c r="K559" s="165"/>
      <c r="L559" s="165"/>
      <c r="M559" s="165"/>
      <c r="N559" s="127">
        <f t="shared" si="25"/>
        <v>68.447452229299358</v>
      </c>
      <c r="O559" s="127">
        <f t="shared" si="24"/>
        <v>1.9969044617331237E-2</v>
      </c>
      <c r="P559" s="168">
        <f>O559*(1+'Key Data'!F$3)</f>
        <v>2.4961305771664045E-2</v>
      </c>
      <c r="Q559" s="366"/>
      <c r="R559" s="366"/>
      <c r="S559" s="419"/>
    </row>
  </sheetData>
  <mergeCells count="80">
    <mergeCell ref="S2:S559"/>
    <mergeCell ref="Q331:Q411"/>
    <mergeCell ref="R331:R411"/>
    <mergeCell ref="Q2:Q102"/>
    <mergeCell ref="R2:R102"/>
    <mergeCell ref="Q103:Q258"/>
    <mergeCell ref="R103:R258"/>
    <mergeCell ref="Q259:Q294"/>
    <mergeCell ref="R259:R294"/>
    <mergeCell ref="Q295:Q330"/>
    <mergeCell ref="R295:R330"/>
    <mergeCell ref="Q520:Q559"/>
    <mergeCell ref="R520:R559"/>
    <mergeCell ref="Q412:Q448"/>
    <mergeCell ref="R412:R448"/>
    <mergeCell ref="Q449:Q484"/>
    <mergeCell ref="R449:R484"/>
    <mergeCell ref="Q485:Q519"/>
    <mergeCell ref="R485:R519"/>
    <mergeCell ref="G295:G330"/>
    <mergeCell ref="A295:A330"/>
    <mergeCell ref="B295:B330"/>
    <mergeCell ref="C295:C330"/>
    <mergeCell ref="G449:G484"/>
    <mergeCell ref="G412:G448"/>
    <mergeCell ref="D331:D411"/>
    <mergeCell ref="E331:E411"/>
    <mergeCell ref="F331:F411"/>
    <mergeCell ref="F449:F484"/>
    <mergeCell ref="A485:A519"/>
    <mergeCell ref="B485:B519"/>
    <mergeCell ref="G485:G519"/>
    <mergeCell ref="A2:A102"/>
    <mergeCell ref="B2:B102"/>
    <mergeCell ref="G2:G102"/>
    <mergeCell ref="F295:F330"/>
    <mergeCell ref="F103:F258"/>
    <mergeCell ref="D103:D258"/>
    <mergeCell ref="E103:E258"/>
    <mergeCell ref="A259:A294"/>
    <mergeCell ref="B259:B294"/>
    <mergeCell ref="C259:C294"/>
    <mergeCell ref="A103:A258"/>
    <mergeCell ref="B103:B258"/>
    <mergeCell ref="G103:G258"/>
    <mergeCell ref="D259:D294"/>
    <mergeCell ref="E259:E294"/>
    <mergeCell ref="F259:F294"/>
    <mergeCell ref="G259:G294"/>
    <mergeCell ref="A449:A484"/>
    <mergeCell ref="B449:B484"/>
    <mergeCell ref="C449:C484"/>
    <mergeCell ref="D449:D484"/>
    <mergeCell ref="E449:E484"/>
    <mergeCell ref="A412:A448"/>
    <mergeCell ref="B412:B448"/>
    <mergeCell ref="C412:C448"/>
    <mergeCell ref="G331:G411"/>
    <mergeCell ref="D412:D448"/>
    <mergeCell ref="E412:E448"/>
    <mergeCell ref="F412:F448"/>
    <mergeCell ref="A331:A411"/>
    <mergeCell ref="B331:B411"/>
    <mergeCell ref="C331:C411"/>
    <mergeCell ref="C2:C102"/>
    <mergeCell ref="D2:D102"/>
    <mergeCell ref="D485:D519"/>
    <mergeCell ref="E485:E519"/>
    <mergeCell ref="D520:D559"/>
    <mergeCell ref="E520:E559"/>
    <mergeCell ref="C520:C559"/>
    <mergeCell ref="D295:D330"/>
    <mergeCell ref="E295:E330"/>
    <mergeCell ref="C103:C258"/>
    <mergeCell ref="C485:C519"/>
    <mergeCell ref="G520:G559"/>
    <mergeCell ref="F485:F519"/>
    <mergeCell ref="F520:F559"/>
    <mergeCell ref="A520:A559"/>
    <mergeCell ref="B520:B55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60EF-241F-4BAA-8F6A-FD70450811DC}">
  <dimension ref="A1:T277"/>
  <sheetViews>
    <sheetView topLeftCell="G1" zoomScale="85" zoomScaleNormal="85" workbookViewId="0">
      <pane ySplit="1" topLeftCell="A228" activePane="bottomLeft" state="frozen"/>
      <selection activeCell="B1" sqref="B1"/>
      <selection pane="bottomLeft" activeCell="P242" sqref="P242"/>
    </sheetView>
  </sheetViews>
  <sheetFormatPr defaultColWidth="9.109375" defaultRowHeight="14.4" x14ac:dyDescent="0.3"/>
  <cols>
    <col min="1" max="1" width="9.5546875" style="44" bestFit="1" customWidth="1"/>
    <col min="2" max="2" width="24.33203125" style="44" bestFit="1" customWidth="1"/>
    <col min="3" max="3" width="11.44140625" style="44" customWidth="1"/>
    <col min="4" max="4" width="14.44140625" style="44" customWidth="1"/>
    <col min="5" max="5" width="10.6640625" style="173" bestFit="1" customWidth="1"/>
    <col min="6" max="6" width="12.44140625" style="44" customWidth="1"/>
    <col min="7" max="7" width="13.6640625" style="44" bestFit="1" customWidth="1"/>
    <col min="8" max="8" width="21.88671875" style="44" customWidth="1"/>
    <col min="9" max="9" width="9.109375" style="69"/>
    <col min="10" max="11" width="11.6640625" style="69" bestFit="1" customWidth="1"/>
    <col min="12" max="14" width="9.109375" style="69"/>
    <col min="15" max="16" width="11.5546875" style="79" bestFit="1" customWidth="1"/>
    <col min="17" max="17" width="14.44140625" style="174" customWidth="1"/>
    <col min="18" max="18" width="11.44140625" style="174" customWidth="1"/>
    <col min="19" max="19" width="11.5546875" style="79" bestFit="1" customWidth="1"/>
    <col min="20" max="20" width="16" style="44" customWidth="1"/>
    <col min="21" max="16384" width="9.109375" style="44"/>
  </cols>
  <sheetData>
    <row r="1" spans="1:19" s="164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</row>
    <row r="2" spans="1:19" x14ac:dyDescent="0.3">
      <c r="A2" s="367">
        <v>1</v>
      </c>
      <c r="B2" s="367" t="s">
        <v>439</v>
      </c>
      <c r="C2" s="367" t="s">
        <v>442</v>
      </c>
      <c r="D2" s="367" t="s">
        <v>441</v>
      </c>
      <c r="E2" s="416">
        <v>24.74699</v>
      </c>
      <c r="F2" s="367">
        <v>86.6240083</v>
      </c>
      <c r="G2" s="367">
        <v>2021</v>
      </c>
      <c r="H2" s="94" t="s">
        <v>393</v>
      </c>
      <c r="I2" s="131"/>
      <c r="J2" s="131"/>
      <c r="K2" s="131">
        <v>35.200000000000003</v>
      </c>
      <c r="L2" s="131">
        <f>K2/3.14/100</f>
        <v>0.11210191082802549</v>
      </c>
      <c r="M2" s="131"/>
      <c r="N2" s="131"/>
      <c r="O2" s="131">
        <f>(0.08847-1.46936*L2+11.98979*L2^2+1.97056*L2^3)*'Key Data'!$I$15*'Key Data'!$F$15</f>
        <v>6.0796377282658999E-2</v>
      </c>
      <c r="P2" s="131">
        <f>O2*(1+'Key Data'!F$3)</f>
        <v>7.5995471603323747E-2</v>
      </c>
      <c r="Q2" s="366">
        <f>SUM(P2:P27)</f>
        <v>2.0959515824169759</v>
      </c>
      <c r="R2" s="366">
        <f>Q2*10000/900</f>
        <v>23.288350915744175</v>
      </c>
      <c r="S2" s="396">
        <f>AVERAGE(R2:R250)</f>
        <v>36.543837214757914</v>
      </c>
    </row>
    <row r="3" spans="1:19" x14ac:dyDescent="0.3">
      <c r="A3" s="367"/>
      <c r="B3" s="367"/>
      <c r="C3" s="367"/>
      <c r="D3" s="367"/>
      <c r="E3" s="416"/>
      <c r="F3" s="367"/>
      <c r="G3" s="367"/>
      <c r="H3" s="94" t="s">
        <v>393</v>
      </c>
      <c r="I3" s="131"/>
      <c r="J3" s="131"/>
      <c r="K3" s="131">
        <v>34.1</v>
      </c>
      <c r="L3" s="131">
        <f t="shared" ref="L3:L66" si="0">K3/3.14/100</f>
        <v>0.10859872611464969</v>
      </c>
      <c r="M3" s="131"/>
      <c r="N3" s="131"/>
      <c r="O3" s="131">
        <f>(0.08847-1.46936*L3+11.98979*L3^2+1.97056*L3^3)*'Key Data'!$I$15*'Key Data'!$F$15</f>
        <v>5.7351273437658959E-2</v>
      </c>
      <c r="P3" s="131">
        <f>O3*(1+'Key Data'!F$3)</f>
        <v>7.1689091797073695E-2</v>
      </c>
      <c r="Q3" s="366"/>
      <c r="R3" s="366"/>
      <c r="S3" s="397"/>
    </row>
    <row r="4" spans="1:19" x14ac:dyDescent="0.3">
      <c r="A4" s="367"/>
      <c r="B4" s="367"/>
      <c r="C4" s="367"/>
      <c r="D4" s="367"/>
      <c r="E4" s="416"/>
      <c r="F4" s="367"/>
      <c r="G4" s="367"/>
      <c r="H4" s="94" t="s">
        <v>393</v>
      </c>
      <c r="I4" s="131"/>
      <c r="J4" s="131"/>
      <c r="K4" s="131">
        <v>38.700000000000003</v>
      </c>
      <c r="L4" s="131">
        <f t="shared" si="0"/>
        <v>0.1232484076433121</v>
      </c>
      <c r="M4" s="131"/>
      <c r="N4" s="131"/>
      <c r="O4" s="131">
        <f>(0.08847-1.46936*L4+11.98979*L4^2+1.97056*L4^3)*'Key Data'!$I$15*'Key Data'!$F$15</f>
        <v>7.3387030467297498E-2</v>
      </c>
      <c r="P4" s="131">
        <f>O4*(1+'Key Data'!F$3)</f>
        <v>9.1733788084121873E-2</v>
      </c>
      <c r="Q4" s="366"/>
      <c r="R4" s="366"/>
      <c r="S4" s="397"/>
    </row>
    <row r="5" spans="1:19" x14ac:dyDescent="0.3">
      <c r="A5" s="367"/>
      <c r="B5" s="367"/>
      <c r="C5" s="367"/>
      <c r="D5" s="367"/>
      <c r="E5" s="416"/>
      <c r="F5" s="367"/>
      <c r="G5" s="367"/>
      <c r="H5" s="94" t="s">
        <v>393</v>
      </c>
      <c r="I5" s="131"/>
      <c r="J5" s="131"/>
      <c r="K5" s="131">
        <v>32.9</v>
      </c>
      <c r="L5" s="131">
        <f t="shared" si="0"/>
        <v>0.10477707006369426</v>
      </c>
      <c r="M5" s="131"/>
      <c r="N5" s="131"/>
      <c r="O5" s="131">
        <f>(0.08847-1.46936*L5+11.98979*L5^2+1.97056*L5^3)*'Key Data'!$I$15*'Key Data'!$F$15</f>
        <v>5.3871426075735349E-2</v>
      </c>
      <c r="P5" s="131">
        <f>O5*(1+'Key Data'!F$3)</f>
        <v>6.7339282594669189E-2</v>
      </c>
      <c r="Q5" s="366"/>
      <c r="R5" s="366"/>
      <c r="S5" s="397"/>
    </row>
    <row r="6" spans="1:19" x14ac:dyDescent="0.3">
      <c r="A6" s="367"/>
      <c r="B6" s="367"/>
      <c r="C6" s="367"/>
      <c r="D6" s="367"/>
      <c r="E6" s="416"/>
      <c r="F6" s="367"/>
      <c r="G6" s="367"/>
      <c r="H6" s="94" t="s">
        <v>393</v>
      </c>
      <c r="I6" s="131"/>
      <c r="J6" s="131"/>
      <c r="K6" s="131">
        <v>36.4</v>
      </c>
      <c r="L6" s="131">
        <f t="shared" si="0"/>
        <v>0.11592356687898088</v>
      </c>
      <c r="M6" s="131"/>
      <c r="N6" s="131"/>
      <c r="O6" s="131">
        <f>(0.08847-1.46936*L6+11.98979*L6^2+1.97056*L6^3)*'Key Data'!$I$15*'Key Data'!$F$15</f>
        <v>6.4833604332046865E-2</v>
      </c>
      <c r="P6" s="131">
        <f>O6*(1+'Key Data'!F$3)</f>
        <v>8.1042005415058585E-2</v>
      </c>
      <c r="Q6" s="366"/>
      <c r="R6" s="366"/>
      <c r="S6" s="397"/>
    </row>
    <row r="7" spans="1:19" x14ac:dyDescent="0.3">
      <c r="A7" s="367"/>
      <c r="B7" s="367"/>
      <c r="C7" s="367"/>
      <c r="D7" s="367"/>
      <c r="E7" s="416"/>
      <c r="F7" s="367"/>
      <c r="G7" s="367"/>
      <c r="H7" s="94" t="s">
        <v>393</v>
      </c>
      <c r="I7" s="131"/>
      <c r="J7" s="131"/>
      <c r="K7" s="131">
        <v>36</v>
      </c>
      <c r="L7" s="131">
        <f t="shared" si="0"/>
        <v>0.11464968152866241</v>
      </c>
      <c r="M7" s="131"/>
      <c r="N7" s="131"/>
      <c r="O7" s="131">
        <f>(0.08847-1.46936*L7+11.98979*L7^2+1.97056*L7^3)*'Key Data'!$I$15*'Key Data'!$F$15</f>
        <v>6.3455491570729453E-2</v>
      </c>
      <c r="P7" s="131">
        <f>O7*(1+'Key Data'!F$3)</f>
        <v>7.9319364463411812E-2</v>
      </c>
      <c r="Q7" s="366"/>
      <c r="R7" s="366"/>
      <c r="S7" s="397"/>
    </row>
    <row r="8" spans="1:19" x14ac:dyDescent="0.3">
      <c r="A8" s="367"/>
      <c r="B8" s="367"/>
      <c r="C8" s="367"/>
      <c r="D8" s="367"/>
      <c r="E8" s="416"/>
      <c r="F8" s="367"/>
      <c r="G8" s="367"/>
      <c r="H8" s="94" t="s">
        <v>393</v>
      </c>
      <c r="I8" s="131"/>
      <c r="J8" s="131"/>
      <c r="K8" s="131">
        <v>37.5</v>
      </c>
      <c r="L8" s="131">
        <f t="shared" si="0"/>
        <v>0.11942675159235668</v>
      </c>
      <c r="M8" s="131"/>
      <c r="N8" s="131"/>
      <c r="O8" s="131">
        <f>(0.08847-1.46936*L8+11.98979*L8^2+1.97056*L8^3)*'Key Data'!$I$15*'Key Data'!$F$15</f>
        <v>6.8790514583092516E-2</v>
      </c>
      <c r="P8" s="131">
        <f>O8*(1+'Key Data'!F$3)</f>
        <v>8.5988143228865638E-2</v>
      </c>
      <c r="Q8" s="366"/>
      <c r="R8" s="366"/>
      <c r="S8" s="397"/>
    </row>
    <row r="9" spans="1:19" x14ac:dyDescent="0.3">
      <c r="A9" s="367"/>
      <c r="B9" s="367"/>
      <c r="C9" s="367"/>
      <c r="D9" s="367"/>
      <c r="E9" s="416"/>
      <c r="F9" s="367"/>
      <c r="G9" s="367"/>
      <c r="H9" s="94" t="s">
        <v>393</v>
      </c>
      <c r="I9" s="131"/>
      <c r="J9" s="131"/>
      <c r="K9" s="131">
        <v>40</v>
      </c>
      <c r="L9" s="131">
        <f t="shared" si="0"/>
        <v>0.12738853503184713</v>
      </c>
      <c r="M9" s="131"/>
      <c r="N9" s="131"/>
      <c r="O9" s="131">
        <f>(0.08847-1.46936*L9+11.98979*L9^2+1.97056*L9^3)*'Key Data'!$I$15*'Key Data'!$F$15</f>
        <v>7.8696752317602842E-2</v>
      </c>
      <c r="P9" s="131">
        <f>O9*(1+'Key Data'!F$3)</f>
        <v>9.8370940397003559E-2</v>
      </c>
      <c r="Q9" s="366"/>
      <c r="R9" s="366"/>
      <c r="S9" s="397"/>
    </row>
    <row r="10" spans="1:19" x14ac:dyDescent="0.3">
      <c r="A10" s="367"/>
      <c r="B10" s="367"/>
      <c r="C10" s="367"/>
      <c r="D10" s="367"/>
      <c r="E10" s="416"/>
      <c r="F10" s="367"/>
      <c r="G10" s="367"/>
      <c r="H10" s="94" t="s">
        <v>393</v>
      </c>
      <c r="I10" s="131"/>
      <c r="J10" s="131"/>
      <c r="K10" s="131">
        <v>29</v>
      </c>
      <c r="L10" s="131">
        <f t="shared" si="0"/>
        <v>9.2356687898089179E-2</v>
      </c>
      <c r="M10" s="131"/>
      <c r="N10" s="131"/>
      <c r="O10" s="131">
        <f>(0.08847-1.46936*L10+11.98979*L10^2+1.97056*L10^3)*'Key Data'!$I$15*'Key Data'!$F$15</f>
        <v>4.4562380582785173E-2</v>
      </c>
      <c r="P10" s="131">
        <f>O10*(1+'Key Data'!F$3)</f>
        <v>5.5702975728481464E-2</v>
      </c>
      <c r="Q10" s="366"/>
      <c r="R10" s="366"/>
      <c r="S10" s="397"/>
    </row>
    <row r="11" spans="1:19" x14ac:dyDescent="0.3">
      <c r="A11" s="367"/>
      <c r="B11" s="367"/>
      <c r="C11" s="367"/>
      <c r="D11" s="367"/>
      <c r="E11" s="416"/>
      <c r="F11" s="367"/>
      <c r="G11" s="367"/>
      <c r="H11" s="94" t="s">
        <v>393</v>
      </c>
      <c r="I11" s="131"/>
      <c r="J11" s="131"/>
      <c r="K11" s="131">
        <v>41.2</v>
      </c>
      <c r="L11" s="131">
        <f t="shared" si="0"/>
        <v>0.13121019108280255</v>
      </c>
      <c r="M11" s="131"/>
      <c r="N11" s="131"/>
      <c r="O11" s="131">
        <f>(0.08847-1.46936*L11+11.98979*L11^2+1.97056*L11^3)*'Key Data'!$I$15*'Key Data'!$F$15</f>
        <v>8.3903356232868959E-2</v>
      </c>
      <c r="P11" s="131">
        <f>O11*(1+'Key Data'!F$3)</f>
        <v>0.10487919529108619</v>
      </c>
      <c r="Q11" s="366"/>
      <c r="R11" s="366"/>
      <c r="S11" s="397"/>
    </row>
    <row r="12" spans="1:19" x14ac:dyDescent="0.3">
      <c r="A12" s="367"/>
      <c r="B12" s="367"/>
      <c r="C12" s="367"/>
      <c r="D12" s="367"/>
      <c r="E12" s="416"/>
      <c r="F12" s="367"/>
      <c r="G12" s="367"/>
      <c r="H12" s="94" t="s">
        <v>393</v>
      </c>
      <c r="I12" s="131"/>
      <c r="J12" s="131"/>
      <c r="K12" s="131">
        <v>38.200000000000003</v>
      </c>
      <c r="L12" s="131">
        <f t="shared" si="0"/>
        <v>0.12165605095541401</v>
      </c>
      <c r="M12" s="131"/>
      <c r="N12" s="131"/>
      <c r="O12" s="131">
        <f>(0.08847-1.46936*L12+11.98979*L12^2+1.97056*L12^3)*'Key Data'!$I$15*'Key Data'!$F$15</f>
        <v>7.1436291081296621E-2</v>
      </c>
      <c r="P12" s="131">
        <f>O12*(1+'Key Data'!F$3)</f>
        <v>8.9295363851620776E-2</v>
      </c>
      <c r="Q12" s="366"/>
      <c r="R12" s="366"/>
      <c r="S12" s="397"/>
    </row>
    <row r="13" spans="1:19" x14ac:dyDescent="0.3">
      <c r="A13" s="367"/>
      <c r="B13" s="367"/>
      <c r="C13" s="367"/>
      <c r="D13" s="367"/>
      <c r="E13" s="416"/>
      <c r="F13" s="367"/>
      <c r="G13" s="367"/>
      <c r="H13" s="94" t="s">
        <v>393</v>
      </c>
      <c r="I13" s="131"/>
      <c r="J13" s="131"/>
      <c r="K13" s="131">
        <v>34</v>
      </c>
      <c r="L13" s="131">
        <f t="shared" si="0"/>
        <v>0.10828025477707007</v>
      </c>
      <c r="M13" s="131"/>
      <c r="N13" s="131"/>
      <c r="O13" s="131">
        <f>(0.08847-1.46936*L13+11.98979*L13^2+1.97056*L13^3)*'Key Data'!$I$15*'Key Data'!$F$15</f>
        <v>5.7050195219028023E-2</v>
      </c>
      <c r="P13" s="131">
        <f>O13*(1+'Key Data'!F$3)</f>
        <v>7.1312744023785027E-2</v>
      </c>
      <c r="Q13" s="366"/>
      <c r="R13" s="366"/>
      <c r="S13" s="397"/>
    </row>
    <row r="14" spans="1:19" x14ac:dyDescent="0.3">
      <c r="A14" s="367"/>
      <c r="B14" s="367"/>
      <c r="C14" s="367"/>
      <c r="D14" s="367"/>
      <c r="E14" s="416"/>
      <c r="F14" s="367"/>
      <c r="G14" s="367"/>
      <c r="H14" s="94" t="s">
        <v>393</v>
      </c>
      <c r="I14" s="131"/>
      <c r="J14" s="131"/>
      <c r="K14" s="131">
        <v>35.300000000000004</v>
      </c>
      <c r="L14" s="131">
        <f t="shared" si="0"/>
        <v>0.11242038216560511</v>
      </c>
      <c r="M14" s="131"/>
      <c r="N14" s="131"/>
      <c r="O14" s="131">
        <f>(0.08847-1.46936*L14+11.98979*L14^2+1.97056*L14^3)*'Key Data'!$I$15*'Key Data'!$F$15</f>
        <v>6.1121689400744889E-2</v>
      </c>
      <c r="P14" s="131">
        <f>O14*(1+'Key Data'!F$3)</f>
        <v>7.6402111750931118E-2</v>
      </c>
      <c r="Q14" s="366"/>
      <c r="R14" s="366"/>
      <c r="S14" s="397"/>
    </row>
    <row r="15" spans="1:19" x14ac:dyDescent="0.3">
      <c r="A15" s="367"/>
      <c r="B15" s="367"/>
      <c r="C15" s="367"/>
      <c r="D15" s="367"/>
      <c r="E15" s="416"/>
      <c r="F15" s="367"/>
      <c r="G15" s="367"/>
      <c r="H15" s="94" t="s">
        <v>393</v>
      </c>
      <c r="I15" s="131"/>
      <c r="J15" s="131"/>
      <c r="K15" s="131">
        <v>37.1</v>
      </c>
      <c r="L15" s="131">
        <f t="shared" si="0"/>
        <v>0.11815286624203822</v>
      </c>
      <c r="M15" s="131"/>
      <c r="N15" s="131"/>
      <c r="O15" s="131">
        <f>(0.08847-1.46936*L15+11.98979*L15^2+1.97056*L15^3)*'Key Data'!$I$15*'Key Data'!$F$15</f>
        <v>6.7323266299426685E-2</v>
      </c>
      <c r="P15" s="131">
        <f>O15*(1+'Key Data'!F$3)</f>
        <v>8.4154082874283359E-2</v>
      </c>
      <c r="Q15" s="366"/>
      <c r="R15" s="366"/>
      <c r="S15" s="397"/>
    </row>
    <row r="16" spans="1:19" x14ac:dyDescent="0.3">
      <c r="A16" s="367"/>
      <c r="B16" s="367"/>
      <c r="C16" s="367"/>
      <c r="D16" s="367"/>
      <c r="E16" s="416"/>
      <c r="F16" s="367"/>
      <c r="G16" s="367"/>
      <c r="H16" s="94" t="s">
        <v>393</v>
      </c>
      <c r="I16" s="131"/>
      <c r="J16" s="131"/>
      <c r="K16" s="131">
        <v>33.9</v>
      </c>
      <c r="L16" s="131">
        <f t="shared" si="0"/>
        <v>0.10796178343949042</v>
      </c>
      <c r="M16" s="131"/>
      <c r="N16" s="131"/>
      <c r="O16" s="131">
        <f>(0.08847-1.46936*L16+11.98979*L16^2+1.97056*L16^3)*'Key Data'!$I$15*'Key Data'!$F$15</f>
        <v>5.6751134537157265E-2</v>
      </c>
      <c r="P16" s="131">
        <f>O16*(1+'Key Data'!F$3)</f>
        <v>7.0938918171446583E-2</v>
      </c>
      <c r="Q16" s="366"/>
      <c r="R16" s="366"/>
      <c r="S16" s="397"/>
    </row>
    <row r="17" spans="1:20" x14ac:dyDescent="0.3">
      <c r="A17" s="367"/>
      <c r="B17" s="367"/>
      <c r="C17" s="367"/>
      <c r="D17" s="367"/>
      <c r="E17" s="416"/>
      <c r="F17" s="367"/>
      <c r="G17" s="367"/>
      <c r="H17" s="94" t="s">
        <v>393</v>
      </c>
      <c r="I17" s="131"/>
      <c r="J17" s="131"/>
      <c r="K17" s="131">
        <v>35.199999999999996</v>
      </c>
      <c r="L17" s="131">
        <f t="shared" si="0"/>
        <v>0.11210191082802545</v>
      </c>
      <c r="M17" s="131"/>
      <c r="N17" s="131"/>
      <c r="O17" s="131">
        <f>(0.08847-1.46936*L17+11.98979*L17^2+1.97056*L17^3)*'Key Data'!$I$15*'Key Data'!$F$15</f>
        <v>6.0796377282658937E-2</v>
      </c>
      <c r="P17" s="131">
        <f>O17*(1+'Key Data'!F$3)</f>
        <v>7.5995471603323678E-2</v>
      </c>
      <c r="Q17" s="366"/>
      <c r="R17" s="366"/>
      <c r="S17" s="397"/>
    </row>
    <row r="18" spans="1:20" x14ac:dyDescent="0.3">
      <c r="A18" s="367"/>
      <c r="B18" s="367"/>
      <c r="C18" s="367"/>
      <c r="D18" s="367"/>
      <c r="E18" s="416"/>
      <c r="F18" s="367"/>
      <c r="G18" s="367"/>
      <c r="H18" s="94" t="s">
        <v>393</v>
      </c>
      <c r="I18" s="131"/>
      <c r="J18" s="131"/>
      <c r="K18" s="131">
        <v>37.200000000000003</v>
      </c>
      <c r="L18" s="131">
        <f t="shared" si="0"/>
        <v>0.11847133757961784</v>
      </c>
      <c r="M18" s="131"/>
      <c r="N18" s="131"/>
      <c r="O18" s="131">
        <f>(0.08847-1.46936*L18+11.98979*L18^2+1.97056*L18^3)*'Key Data'!$I$15*'Key Data'!$F$15</f>
        <v>6.7687037328558158E-2</v>
      </c>
      <c r="P18" s="131">
        <f>O18*(1+'Key Data'!F$3)</f>
        <v>8.4608796660697705E-2</v>
      </c>
      <c r="Q18" s="366"/>
      <c r="R18" s="366"/>
      <c r="S18" s="397"/>
    </row>
    <row r="19" spans="1:20" x14ac:dyDescent="0.3">
      <c r="A19" s="367"/>
      <c r="B19" s="367"/>
      <c r="C19" s="367"/>
      <c r="D19" s="367"/>
      <c r="E19" s="416"/>
      <c r="F19" s="367"/>
      <c r="G19" s="367"/>
      <c r="H19" s="94" t="s">
        <v>393</v>
      </c>
      <c r="I19" s="131"/>
      <c r="J19" s="131"/>
      <c r="K19" s="131">
        <v>35.9</v>
      </c>
      <c r="L19" s="131">
        <f t="shared" si="0"/>
        <v>0.11433121019108279</v>
      </c>
      <c r="M19" s="131"/>
      <c r="N19" s="131"/>
      <c r="O19" s="131">
        <f>(0.08847-1.46936*L19+11.98979*L19^2+1.97056*L19^3)*'Key Data'!$I$15*'Key Data'!$F$15</f>
        <v>6.31160230115628E-2</v>
      </c>
      <c r="P19" s="131">
        <f>O19*(1+'Key Data'!F$3)</f>
        <v>7.8895028764453506E-2</v>
      </c>
      <c r="Q19" s="366"/>
      <c r="R19" s="366"/>
      <c r="S19" s="397"/>
    </row>
    <row r="20" spans="1:20" x14ac:dyDescent="0.3">
      <c r="A20" s="367"/>
      <c r="B20" s="367"/>
      <c r="C20" s="367"/>
      <c r="D20" s="367"/>
      <c r="E20" s="416"/>
      <c r="F20" s="367"/>
      <c r="G20" s="367"/>
      <c r="H20" s="94" t="s">
        <v>393</v>
      </c>
      <c r="I20" s="131"/>
      <c r="J20" s="131"/>
      <c r="K20" s="131">
        <v>41</v>
      </c>
      <c r="L20" s="131">
        <f t="shared" si="0"/>
        <v>0.13057324840764331</v>
      </c>
      <c r="M20" s="131"/>
      <c r="N20" s="131"/>
      <c r="O20" s="131">
        <f>(0.08847-1.46936*L20+11.98979*L20^2+1.97056*L20^3)*'Key Data'!$I$15*'Key Data'!$F$15</f>
        <v>8.301521104250327E-2</v>
      </c>
      <c r="P20" s="131">
        <f>O20*(1+'Key Data'!F$3)</f>
        <v>0.10376901380312908</v>
      </c>
      <c r="Q20" s="366"/>
      <c r="R20" s="366"/>
      <c r="S20" s="397"/>
      <c r="T20" s="163"/>
    </row>
    <row r="21" spans="1:20" x14ac:dyDescent="0.3">
      <c r="A21" s="367"/>
      <c r="B21" s="367"/>
      <c r="C21" s="367"/>
      <c r="D21" s="367"/>
      <c r="E21" s="416"/>
      <c r="F21" s="367"/>
      <c r="G21" s="367"/>
      <c r="H21" s="94" t="s">
        <v>393</v>
      </c>
      <c r="I21" s="131"/>
      <c r="J21" s="131"/>
      <c r="K21" s="131">
        <v>27.8</v>
      </c>
      <c r="L21" s="131">
        <f t="shared" si="0"/>
        <v>8.8535031847133752E-2</v>
      </c>
      <c r="M21" s="131"/>
      <c r="N21" s="131"/>
      <c r="O21" s="131">
        <f>(0.08847-1.46936*L21+11.98979*L21^2+1.97056*L21^3)*'Key Data'!$I$15*'Key Data'!$F$15</f>
        <v>4.2311651958746713E-2</v>
      </c>
      <c r="P21" s="131">
        <f>O21*(1+'Key Data'!F$3)</f>
        <v>5.2889564948433387E-2</v>
      </c>
      <c r="Q21" s="366"/>
      <c r="R21" s="366"/>
      <c r="S21" s="397"/>
      <c r="T21" s="163"/>
    </row>
    <row r="22" spans="1:20" x14ac:dyDescent="0.3">
      <c r="A22" s="367"/>
      <c r="B22" s="367"/>
      <c r="C22" s="367"/>
      <c r="D22" s="367"/>
      <c r="E22" s="416"/>
      <c r="F22" s="367"/>
      <c r="G22" s="367"/>
      <c r="H22" s="94" t="s">
        <v>393</v>
      </c>
      <c r="I22" s="131"/>
      <c r="J22" s="131"/>
      <c r="K22" s="131">
        <v>42.400000000000006</v>
      </c>
      <c r="L22" s="131">
        <f t="shared" si="0"/>
        <v>0.13503184713375796</v>
      </c>
      <c r="M22" s="131"/>
      <c r="N22" s="131"/>
      <c r="O22" s="131">
        <f>(0.08847-1.46936*L22+11.98979*L22^2+1.97056*L22^3)*'Key Data'!$I$15*'Key Data'!$F$15</f>
        <v>8.9403603595317224E-2</v>
      </c>
      <c r="P22" s="131">
        <f>O22*(1+'Key Data'!F$3)</f>
        <v>0.11175450449414653</v>
      </c>
      <c r="Q22" s="366"/>
      <c r="R22" s="366"/>
      <c r="S22" s="397"/>
    </row>
    <row r="23" spans="1:20" x14ac:dyDescent="0.3">
      <c r="A23" s="367"/>
      <c r="B23" s="367"/>
      <c r="C23" s="367"/>
      <c r="D23" s="367"/>
      <c r="E23" s="416"/>
      <c r="F23" s="367"/>
      <c r="G23" s="367"/>
      <c r="H23" s="94" t="s">
        <v>393</v>
      </c>
      <c r="I23" s="131"/>
      <c r="J23" s="131"/>
      <c r="K23" s="131">
        <v>36.6</v>
      </c>
      <c r="L23" s="131">
        <f t="shared" si="0"/>
        <v>0.11656050955414013</v>
      </c>
      <c r="M23" s="131"/>
      <c r="N23" s="131"/>
      <c r="O23" s="131">
        <f>(0.08847-1.46936*L23+11.98979*L23^2+1.97056*L23^3)*'Key Data'!$I$15*'Key Data'!$F$15</f>
        <v>6.5534808037965964E-2</v>
      </c>
      <c r="P23" s="131">
        <f>O23*(1+'Key Data'!F$3)</f>
        <v>8.1918510047457455E-2</v>
      </c>
      <c r="Q23" s="366"/>
      <c r="R23" s="366"/>
      <c r="S23" s="397"/>
    </row>
    <row r="24" spans="1:20" x14ac:dyDescent="0.3">
      <c r="A24" s="367"/>
      <c r="B24" s="367"/>
      <c r="C24" s="367"/>
      <c r="D24" s="367"/>
      <c r="E24" s="416"/>
      <c r="F24" s="367"/>
      <c r="G24" s="367"/>
      <c r="H24" s="94" t="s">
        <v>393</v>
      </c>
      <c r="I24" s="131"/>
      <c r="J24" s="131"/>
      <c r="K24" s="131">
        <v>35</v>
      </c>
      <c r="L24" s="131">
        <f t="shared" si="0"/>
        <v>0.11146496815286623</v>
      </c>
      <c r="M24" s="131"/>
      <c r="N24" s="131"/>
      <c r="O24" s="131">
        <f>(0.08847-1.46936*L24+11.98979*L24^2+1.97056*L24^3)*'Key Data'!$I$15*'Key Data'!$F$15</f>
        <v>6.0151816182942561E-2</v>
      </c>
      <c r="P24" s="131">
        <f>O24*(1+'Key Data'!F$3)</f>
        <v>7.5189770228678204E-2</v>
      </c>
      <c r="Q24" s="366"/>
      <c r="R24" s="366"/>
      <c r="S24" s="397"/>
    </row>
    <row r="25" spans="1:20" x14ac:dyDescent="0.3">
      <c r="A25" s="367"/>
      <c r="B25" s="367"/>
      <c r="C25" s="367"/>
      <c r="D25" s="367"/>
      <c r="E25" s="416"/>
      <c r="F25" s="367"/>
      <c r="G25" s="367"/>
      <c r="H25" s="94" t="s">
        <v>393</v>
      </c>
      <c r="I25" s="131"/>
      <c r="J25" s="131"/>
      <c r="K25" s="131">
        <v>34.1</v>
      </c>
      <c r="L25" s="131">
        <f t="shared" si="0"/>
        <v>0.10859872611464969</v>
      </c>
      <c r="M25" s="131"/>
      <c r="N25" s="131"/>
      <c r="O25" s="131">
        <f>(0.08847-1.46936*L25+11.98979*L25^2+1.97056*L25^3)*'Key Data'!$I$15*'Key Data'!$F$15</f>
        <v>5.7351273437658959E-2</v>
      </c>
      <c r="P25" s="131">
        <f>O25*(1+'Key Data'!F$3)</f>
        <v>7.1689091797073695E-2</v>
      </c>
      <c r="Q25" s="366"/>
      <c r="R25" s="366"/>
      <c r="S25" s="397"/>
    </row>
    <row r="26" spans="1:20" x14ac:dyDescent="0.3">
      <c r="A26" s="367"/>
      <c r="B26" s="367"/>
      <c r="C26" s="367"/>
      <c r="D26" s="367"/>
      <c r="E26" s="416"/>
      <c r="F26" s="367"/>
      <c r="G26" s="367"/>
      <c r="H26" s="94" t="s">
        <v>393</v>
      </c>
      <c r="I26" s="131"/>
      <c r="J26" s="131"/>
      <c r="K26" s="131">
        <v>38.300000000000004</v>
      </c>
      <c r="L26" s="131">
        <f t="shared" si="0"/>
        <v>0.12197452229299363</v>
      </c>
      <c r="M26" s="131"/>
      <c r="N26" s="131"/>
      <c r="O26" s="131">
        <f>(0.08847-1.46936*L26+11.98979*L26^2+1.97056*L26^3)*'Key Data'!$I$15*'Key Data'!$F$15</f>
        <v>7.1822377419165542E-2</v>
      </c>
      <c r="P26" s="131">
        <f>O26*(1+'Key Data'!F$3)</f>
        <v>8.9777971773956924E-2</v>
      </c>
      <c r="Q26" s="366"/>
      <c r="R26" s="366"/>
      <c r="S26" s="397"/>
    </row>
    <row r="27" spans="1:20" x14ac:dyDescent="0.3">
      <c r="A27" s="367"/>
      <c r="B27" s="367"/>
      <c r="C27" s="367"/>
      <c r="D27" s="367"/>
      <c r="E27" s="416"/>
      <c r="F27" s="367"/>
      <c r="G27" s="367"/>
      <c r="H27" s="94" t="s">
        <v>393</v>
      </c>
      <c r="I27" s="131"/>
      <c r="J27" s="131"/>
      <c r="K27" s="131">
        <v>32.299999999999997</v>
      </c>
      <c r="L27" s="131">
        <f t="shared" si="0"/>
        <v>0.10286624203821654</v>
      </c>
      <c r="M27" s="131"/>
      <c r="N27" s="131"/>
      <c r="O27" s="131">
        <f>(0.08847-1.46936*L27+11.98979*L27^2+1.97056*L27^3)*'Key Data'!$I$15*'Key Data'!$F$15</f>
        <v>5.2240303216370368E-2</v>
      </c>
      <c r="P27" s="131">
        <f>O27*(1+'Key Data'!F$3)</f>
        <v>6.5300379020462956E-2</v>
      </c>
      <c r="Q27" s="366"/>
      <c r="R27" s="366"/>
      <c r="S27" s="397"/>
    </row>
    <row r="28" spans="1:20" x14ac:dyDescent="0.3">
      <c r="A28" s="374">
        <v>2</v>
      </c>
      <c r="B28" s="374" t="s">
        <v>440</v>
      </c>
      <c r="C28" s="374"/>
      <c r="D28" s="374"/>
      <c r="E28" s="415">
        <v>24.746905000000002</v>
      </c>
      <c r="F28" s="374">
        <v>86.620009999999994</v>
      </c>
      <c r="G28" s="374">
        <v>2021</v>
      </c>
      <c r="H28" s="72" t="s">
        <v>393</v>
      </c>
      <c r="I28" s="138"/>
      <c r="J28" s="138"/>
      <c r="K28" s="138">
        <v>9.5</v>
      </c>
      <c r="L28" s="138">
        <f t="shared" si="0"/>
        <v>3.0254777070063694E-2</v>
      </c>
      <c r="M28" s="138"/>
      <c r="N28" s="138"/>
      <c r="O28" s="138">
        <f>(0.08847-1.46936*L28+11.98979*L28^2+1.97056*L28^3)*'Key Data'!$I$15*'Key Data'!$F$15</f>
        <v>4.3347374958011192E-2</v>
      </c>
      <c r="P28" s="138">
        <f>O28*(1+'Key Data'!F$3)</f>
        <v>5.418421869751399E-2</v>
      </c>
      <c r="Q28" s="379">
        <f>SUM(P28:P126)</f>
        <v>4.7008043079592046</v>
      </c>
      <c r="R28" s="379">
        <f>Q28*10000/900</f>
        <v>52.231158977324498</v>
      </c>
      <c r="S28" s="397"/>
    </row>
    <row r="29" spans="1:20" x14ac:dyDescent="0.3">
      <c r="A29" s="374"/>
      <c r="B29" s="374"/>
      <c r="C29" s="374"/>
      <c r="D29" s="374"/>
      <c r="E29" s="415"/>
      <c r="F29" s="374"/>
      <c r="G29" s="374"/>
      <c r="H29" s="72" t="s">
        <v>393</v>
      </c>
      <c r="I29" s="138"/>
      <c r="J29" s="138"/>
      <c r="K29" s="138">
        <v>11</v>
      </c>
      <c r="L29" s="138">
        <f t="shared" si="0"/>
        <v>3.5031847133757961E-2</v>
      </c>
      <c r="M29" s="138"/>
      <c r="N29" s="138"/>
      <c r="O29" s="138">
        <f>(0.08847-1.46936*L29+11.98979*L29^2+1.97056*L29^3)*'Key Data'!$I$15*'Key Data'!$F$15</f>
        <v>4.0788213982442471E-2</v>
      </c>
      <c r="P29" s="138">
        <f>O29*(1+'Key Data'!F$3)</f>
        <v>5.0985267478053091E-2</v>
      </c>
      <c r="Q29" s="379"/>
      <c r="R29" s="379"/>
      <c r="S29" s="397"/>
    </row>
    <row r="30" spans="1:20" x14ac:dyDescent="0.3">
      <c r="A30" s="374"/>
      <c r="B30" s="374"/>
      <c r="C30" s="374"/>
      <c r="D30" s="374"/>
      <c r="E30" s="415"/>
      <c r="F30" s="374"/>
      <c r="G30" s="374"/>
      <c r="H30" s="72" t="s">
        <v>393</v>
      </c>
      <c r="I30" s="138"/>
      <c r="J30" s="138"/>
      <c r="K30" s="138">
        <v>14</v>
      </c>
      <c r="L30" s="138">
        <f t="shared" si="0"/>
        <v>4.4585987261146494E-2</v>
      </c>
      <c r="M30" s="138"/>
      <c r="N30" s="138"/>
      <c r="O30" s="138">
        <f>(0.08847-1.46936*L30+11.98979*L30^2+1.97056*L30^3)*'Key Data'!$I$15*'Key Data'!$F$15</f>
        <v>3.6986053264715588E-2</v>
      </c>
      <c r="P30" s="138">
        <f>O30*(1+'Key Data'!F$3)</f>
        <v>4.6232566580894488E-2</v>
      </c>
      <c r="Q30" s="379"/>
      <c r="R30" s="379"/>
      <c r="S30" s="397"/>
    </row>
    <row r="31" spans="1:20" x14ac:dyDescent="0.3">
      <c r="A31" s="374"/>
      <c r="B31" s="374"/>
      <c r="C31" s="374"/>
      <c r="D31" s="374"/>
      <c r="E31" s="415"/>
      <c r="F31" s="374"/>
      <c r="G31" s="374"/>
      <c r="H31" s="72" t="s">
        <v>393</v>
      </c>
      <c r="I31" s="138"/>
      <c r="J31" s="138"/>
      <c r="K31" s="138">
        <v>18</v>
      </c>
      <c r="L31" s="138">
        <f t="shared" si="0"/>
        <v>5.7324840764331204E-2</v>
      </c>
      <c r="M31" s="138"/>
      <c r="N31" s="138"/>
      <c r="O31" s="138">
        <f>(0.08847-1.46936*L31+11.98979*L31^2+1.97056*L31^3)*'Key Data'!$I$15*'Key Data'!$F$15</f>
        <v>3.4658251197319925E-2</v>
      </c>
      <c r="P31" s="138">
        <f>O31*(1+'Key Data'!F$3)</f>
        <v>4.3322813996649903E-2</v>
      </c>
      <c r="Q31" s="379"/>
      <c r="R31" s="379"/>
      <c r="S31" s="397"/>
    </row>
    <row r="32" spans="1:20" x14ac:dyDescent="0.3">
      <c r="A32" s="374"/>
      <c r="B32" s="374"/>
      <c r="C32" s="374"/>
      <c r="D32" s="374"/>
      <c r="E32" s="415"/>
      <c r="F32" s="374"/>
      <c r="G32" s="374"/>
      <c r="H32" s="72" t="s">
        <v>393</v>
      </c>
      <c r="I32" s="138"/>
      <c r="J32" s="138"/>
      <c r="K32" s="138">
        <v>23.5</v>
      </c>
      <c r="L32" s="138">
        <f t="shared" si="0"/>
        <v>7.4840764331210188E-2</v>
      </c>
      <c r="M32" s="138"/>
      <c r="N32" s="138"/>
      <c r="O32" s="138">
        <f>(0.08847-1.46936*L32+11.98979*L32^2+1.97056*L32^3)*'Key Data'!$I$15*'Key Data'!$F$15</f>
        <v>3.6606554058166541E-2</v>
      </c>
      <c r="P32" s="138">
        <f>O32*(1+'Key Data'!F$3)</f>
        <v>4.5758192572708176E-2</v>
      </c>
      <c r="Q32" s="379"/>
      <c r="R32" s="379"/>
      <c r="S32" s="397"/>
    </row>
    <row r="33" spans="1:19" x14ac:dyDescent="0.3">
      <c r="A33" s="374"/>
      <c r="B33" s="374"/>
      <c r="C33" s="374"/>
      <c r="D33" s="374"/>
      <c r="E33" s="415"/>
      <c r="F33" s="374"/>
      <c r="G33" s="374"/>
      <c r="H33" s="72" t="s">
        <v>393</v>
      </c>
      <c r="I33" s="138"/>
      <c r="J33" s="138"/>
      <c r="K33" s="138">
        <v>14.5</v>
      </c>
      <c r="L33" s="138">
        <f t="shared" si="0"/>
        <v>4.617834394904459E-2</v>
      </c>
      <c r="M33" s="138"/>
      <c r="N33" s="138"/>
      <c r="O33" s="138">
        <f>(0.08847-1.46936*L33+11.98979*L33^2+1.97056*L33^3)*'Key Data'!$I$15*'Key Data'!$F$15</f>
        <v>3.652341189559577E-2</v>
      </c>
      <c r="P33" s="138">
        <f>O33*(1+'Key Data'!F$3)</f>
        <v>4.5654264869494712E-2</v>
      </c>
      <c r="Q33" s="379"/>
      <c r="R33" s="379"/>
      <c r="S33" s="397"/>
    </row>
    <row r="34" spans="1:19" x14ac:dyDescent="0.3">
      <c r="A34" s="374"/>
      <c r="B34" s="374"/>
      <c r="C34" s="374"/>
      <c r="D34" s="374"/>
      <c r="E34" s="415"/>
      <c r="F34" s="374"/>
      <c r="G34" s="374"/>
      <c r="H34" s="72" t="s">
        <v>393</v>
      </c>
      <c r="I34" s="138"/>
      <c r="J34" s="138"/>
      <c r="K34" s="138">
        <v>20</v>
      </c>
      <c r="L34" s="138">
        <f t="shared" si="0"/>
        <v>6.3694267515923567E-2</v>
      </c>
      <c r="M34" s="138"/>
      <c r="N34" s="138"/>
      <c r="O34" s="138">
        <f>(0.08847-1.46936*L34+11.98979*L34^2+1.97056*L34^3)*'Key Data'!$I$15*'Key Data'!$F$15</f>
        <v>3.4674797434741736E-2</v>
      </c>
      <c r="P34" s="138">
        <f>O34*(1+'Key Data'!F$3)</f>
        <v>4.3343496793427166E-2</v>
      </c>
      <c r="Q34" s="379"/>
      <c r="R34" s="379"/>
      <c r="S34" s="397"/>
    </row>
    <row r="35" spans="1:19" x14ac:dyDescent="0.3">
      <c r="A35" s="374"/>
      <c r="B35" s="374"/>
      <c r="C35" s="374"/>
      <c r="D35" s="374"/>
      <c r="E35" s="415"/>
      <c r="F35" s="374"/>
      <c r="G35" s="374"/>
      <c r="H35" s="72" t="s">
        <v>393</v>
      </c>
      <c r="I35" s="138"/>
      <c r="J35" s="138"/>
      <c r="K35" s="138">
        <v>28.2</v>
      </c>
      <c r="L35" s="138">
        <f t="shared" si="0"/>
        <v>8.9808917197452237E-2</v>
      </c>
      <c r="M35" s="138"/>
      <c r="N35" s="138"/>
      <c r="O35" s="138">
        <f>(0.08847-1.46936*L35+11.98979*L35^2+1.97056*L35^3)*'Key Data'!$I$15*'Key Data'!$F$15</f>
        <v>4.3029886923313443E-2</v>
      </c>
      <c r="P35" s="138">
        <f>O35*(1+'Key Data'!F$3)</f>
        <v>5.3787358654141804E-2</v>
      </c>
      <c r="Q35" s="379"/>
      <c r="R35" s="379"/>
      <c r="S35" s="397"/>
    </row>
    <row r="36" spans="1:19" x14ac:dyDescent="0.3">
      <c r="A36" s="374"/>
      <c r="B36" s="374"/>
      <c r="C36" s="374"/>
      <c r="D36" s="374"/>
      <c r="E36" s="415"/>
      <c r="F36" s="374"/>
      <c r="G36" s="374"/>
      <c r="H36" s="72" t="s">
        <v>393</v>
      </c>
      <c r="I36" s="138"/>
      <c r="J36" s="138"/>
      <c r="K36" s="138">
        <v>18</v>
      </c>
      <c r="L36" s="138">
        <f t="shared" si="0"/>
        <v>5.7324840764331204E-2</v>
      </c>
      <c r="M36" s="138"/>
      <c r="N36" s="138"/>
      <c r="O36" s="138">
        <f>(0.08847-1.46936*L36+11.98979*L36^2+1.97056*L36^3)*'Key Data'!$I$15*'Key Data'!$F$15</f>
        <v>3.4658251197319925E-2</v>
      </c>
      <c r="P36" s="138">
        <f>O36*(1+'Key Data'!F$3)</f>
        <v>4.3322813996649903E-2</v>
      </c>
      <c r="Q36" s="379"/>
      <c r="R36" s="379"/>
      <c r="S36" s="397"/>
    </row>
    <row r="37" spans="1:19" ht="16.2" customHeight="1" x14ac:dyDescent="0.3">
      <c r="A37" s="374"/>
      <c r="B37" s="374"/>
      <c r="C37" s="374"/>
      <c r="D37" s="374"/>
      <c r="E37" s="415"/>
      <c r="F37" s="374"/>
      <c r="G37" s="374"/>
      <c r="H37" s="72" t="s">
        <v>393</v>
      </c>
      <c r="I37" s="138"/>
      <c r="J37" s="138"/>
      <c r="K37" s="138">
        <v>9.5</v>
      </c>
      <c r="L37" s="138">
        <f t="shared" si="0"/>
        <v>3.0254777070063694E-2</v>
      </c>
      <c r="M37" s="138"/>
      <c r="N37" s="138"/>
      <c r="O37" s="138">
        <f>(0.08847-1.46936*L37+11.98979*L37^2+1.97056*L37^3)*'Key Data'!$I$15*'Key Data'!$F$15</f>
        <v>4.3347374958011192E-2</v>
      </c>
      <c r="P37" s="138">
        <f>O37*(1+'Key Data'!F$3)</f>
        <v>5.418421869751399E-2</v>
      </c>
      <c r="Q37" s="379"/>
      <c r="R37" s="379"/>
      <c r="S37" s="397"/>
    </row>
    <row r="38" spans="1:19" x14ac:dyDescent="0.3">
      <c r="A38" s="374"/>
      <c r="B38" s="374"/>
      <c r="C38" s="374"/>
      <c r="D38" s="374"/>
      <c r="E38" s="415"/>
      <c r="F38" s="374"/>
      <c r="G38" s="374"/>
      <c r="H38" s="72" t="s">
        <v>393</v>
      </c>
      <c r="I38" s="138"/>
      <c r="J38" s="138"/>
      <c r="K38" s="138">
        <v>13.5</v>
      </c>
      <c r="L38" s="138">
        <f t="shared" si="0"/>
        <v>4.2993630573248405E-2</v>
      </c>
      <c r="M38" s="138"/>
      <c r="N38" s="138"/>
      <c r="O38" s="138">
        <f>(0.08847-1.46936*L38+11.98979*L38^2+1.97056*L38^3)*'Key Data'!$I$15*'Key Data'!$F$15</f>
        <v>3.7497629313590262E-2</v>
      </c>
      <c r="P38" s="138">
        <f>O38*(1+'Key Data'!F$3)</f>
        <v>4.687203664198783E-2</v>
      </c>
      <c r="Q38" s="379"/>
      <c r="R38" s="379"/>
      <c r="S38" s="397"/>
    </row>
    <row r="39" spans="1:19" x14ac:dyDescent="0.3">
      <c r="A39" s="374"/>
      <c r="B39" s="374"/>
      <c r="C39" s="374"/>
      <c r="D39" s="374"/>
      <c r="E39" s="415"/>
      <c r="F39" s="374"/>
      <c r="G39" s="374"/>
      <c r="H39" s="72" t="s">
        <v>393</v>
      </c>
      <c r="I39" s="138"/>
      <c r="J39" s="138"/>
      <c r="K39" s="138">
        <v>17.8</v>
      </c>
      <c r="L39" s="138">
        <f t="shared" si="0"/>
        <v>5.6687898089171976E-2</v>
      </c>
      <c r="M39" s="138"/>
      <c r="N39" s="138"/>
      <c r="O39" s="138">
        <f>(0.08847-1.46936*L39+11.98979*L39^2+1.97056*L39^3)*'Key Data'!$I$15*'Key Data'!$F$15</f>
        <v>3.4699963448586363E-2</v>
      </c>
      <c r="P39" s="138">
        <f>O39*(1+'Key Data'!F$3)</f>
        <v>4.3374954310732954E-2</v>
      </c>
      <c r="Q39" s="379"/>
      <c r="R39" s="379"/>
      <c r="S39" s="397"/>
    </row>
    <row r="40" spans="1:19" x14ac:dyDescent="0.3">
      <c r="A40" s="374"/>
      <c r="B40" s="374"/>
      <c r="C40" s="374"/>
      <c r="D40" s="374"/>
      <c r="E40" s="415"/>
      <c r="F40" s="374"/>
      <c r="G40" s="374"/>
      <c r="H40" s="72" t="s">
        <v>393</v>
      </c>
      <c r="I40" s="138"/>
      <c r="J40" s="138"/>
      <c r="K40" s="138">
        <v>12.5</v>
      </c>
      <c r="L40" s="138">
        <f t="shared" si="0"/>
        <v>3.9808917197452227E-2</v>
      </c>
      <c r="M40" s="138"/>
      <c r="N40" s="138"/>
      <c r="O40" s="138">
        <f>(0.08847-1.46936*L40+11.98979*L40^2+1.97056*L40^3)*'Key Data'!$I$15*'Key Data'!$F$15</f>
        <v>3.8667435076679198E-2</v>
      </c>
      <c r="P40" s="138">
        <f>O40*(1+'Key Data'!F$3)</f>
        <v>4.8334293845848995E-2</v>
      </c>
      <c r="Q40" s="379"/>
      <c r="R40" s="379"/>
      <c r="S40" s="397"/>
    </row>
    <row r="41" spans="1:19" x14ac:dyDescent="0.3">
      <c r="A41" s="374"/>
      <c r="B41" s="374"/>
      <c r="C41" s="374"/>
      <c r="D41" s="374"/>
      <c r="E41" s="415"/>
      <c r="F41" s="374"/>
      <c r="G41" s="374"/>
      <c r="H41" s="72" t="s">
        <v>393</v>
      </c>
      <c r="I41" s="138"/>
      <c r="J41" s="138"/>
      <c r="K41" s="138">
        <v>23</v>
      </c>
      <c r="L41" s="138">
        <f t="shared" si="0"/>
        <v>7.32484076433121E-2</v>
      </c>
      <c r="M41" s="138"/>
      <c r="N41" s="138"/>
      <c r="O41" s="138">
        <f>(0.08847-1.46936*L41+11.98979*L41^2+1.97056*L41^3)*'Key Data'!$I$15*'Key Data'!$F$15</f>
        <v>3.6181942706402015E-2</v>
      </c>
      <c r="P41" s="138">
        <f>O41*(1+'Key Data'!F$3)</f>
        <v>4.5227428383002519E-2</v>
      </c>
      <c r="Q41" s="379"/>
      <c r="R41" s="379"/>
      <c r="S41" s="397"/>
    </row>
    <row r="42" spans="1:19" x14ac:dyDescent="0.3">
      <c r="A42" s="374"/>
      <c r="B42" s="374"/>
      <c r="C42" s="374"/>
      <c r="D42" s="374"/>
      <c r="E42" s="415"/>
      <c r="F42" s="374"/>
      <c r="G42" s="374"/>
      <c r="H42" s="72" t="s">
        <v>393</v>
      </c>
      <c r="I42" s="138"/>
      <c r="J42" s="138"/>
      <c r="K42" s="138">
        <f>SQRT(16.5^2+17.8^2)</f>
        <v>24.271176320895535</v>
      </c>
      <c r="L42" s="138">
        <f t="shared" si="0"/>
        <v>7.7296739875463483E-2</v>
      </c>
      <c r="M42" s="138"/>
      <c r="N42" s="138"/>
      <c r="O42" s="138">
        <f>(0.08847-1.46936*L42+11.98979*L42^2+1.97056*L42^3)*'Key Data'!$I$15*'Key Data'!$F$15</f>
        <v>3.7358809673165204E-2</v>
      </c>
      <c r="P42" s="138">
        <f>O42*(1+'Key Data'!F$3)</f>
        <v>4.6698512091456507E-2</v>
      </c>
      <c r="Q42" s="379"/>
      <c r="R42" s="379"/>
      <c r="S42" s="397"/>
    </row>
    <row r="43" spans="1:19" x14ac:dyDescent="0.3">
      <c r="A43" s="374"/>
      <c r="B43" s="374"/>
      <c r="C43" s="374"/>
      <c r="D43" s="374"/>
      <c r="E43" s="415"/>
      <c r="F43" s="374"/>
      <c r="G43" s="374"/>
      <c r="H43" s="72" t="s">
        <v>393</v>
      </c>
      <c r="I43" s="138"/>
      <c r="J43" s="138"/>
      <c r="K43" s="138">
        <v>14</v>
      </c>
      <c r="L43" s="138">
        <f t="shared" si="0"/>
        <v>4.4585987261146494E-2</v>
      </c>
      <c r="M43" s="138"/>
      <c r="N43" s="138"/>
      <c r="O43" s="138">
        <f>(0.08847-1.46936*L43+11.98979*L43^2+1.97056*L43^3)*'Key Data'!$I$15*'Key Data'!$F$15</f>
        <v>3.6986053264715588E-2</v>
      </c>
      <c r="P43" s="138">
        <f>O43*(1+'Key Data'!F$3)</f>
        <v>4.6232566580894488E-2</v>
      </c>
      <c r="Q43" s="379"/>
      <c r="R43" s="379"/>
      <c r="S43" s="397"/>
    </row>
    <row r="44" spans="1:19" x14ac:dyDescent="0.3">
      <c r="A44" s="374"/>
      <c r="B44" s="374"/>
      <c r="C44" s="374"/>
      <c r="D44" s="374"/>
      <c r="E44" s="415"/>
      <c r="F44" s="374"/>
      <c r="G44" s="374"/>
      <c r="H44" s="72" t="s">
        <v>393</v>
      </c>
      <c r="I44" s="138"/>
      <c r="J44" s="138"/>
      <c r="K44" s="138">
        <v>17</v>
      </c>
      <c r="L44" s="138">
        <f t="shared" si="0"/>
        <v>5.4140127388535034E-2</v>
      </c>
      <c r="M44" s="138"/>
      <c r="N44" s="138"/>
      <c r="O44" s="138">
        <f>(0.08847-1.46936*L44+11.98979*L44^2+1.97056*L44^3)*'Key Data'!$I$15*'Key Data'!$F$15</f>
        <v>3.4945541018164127E-2</v>
      </c>
      <c r="P44" s="138">
        <f>O44*(1+'Key Data'!F$3)</f>
        <v>4.368192627270516E-2</v>
      </c>
      <c r="Q44" s="379"/>
      <c r="R44" s="379"/>
      <c r="S44" s="397"/>
    </row>
    <row r="45" spans="1:19" x14ac:dyDescent="0.3">
      <c r="A45" s="374"/>
      <c r="B45" s="374"/>
      <c r="C45" s="374"/>
      <c r="D45" s="374"/>
      <c r="E45" s="415"/>
      <c r="F45" s="374"/>
      <c r="G45" s="374"/>
      <c r="H45" s="72" t="s">
        <v>393</v>
      </c>
      <c r="I45" s="138"/>
      <c r="J45" s="138"/>
      <c r="K45" s="138">
        <v>21.6</v>
      </c>
      <c r="L45" s="138">
        <f t="shared" si="0"/>
        <v>6.8789808917197451E-2</v>
      </c>
      <c r="M45" s="138"/>
      <c r="N45" s="138"/>
      <c r="O45" s="138">
        <f>(0.08847-1.46936*L45+11.98979*L45^2+1.97056*L45^3)*'Key Data'!$I$15*'Key Data'!$F$15</f>
        <v>3.5256843371131177E-2</v>
      </c>
      <c r="P45" s="138">
        <f>O45*(1+'Key Data'!F$3)</f>
        <v>4.4071054213913968E-2</v>
      </c>
      <c r="Q45" s="379"/>
      <c r="R45" s="379"/>
      <c r="S45" s="397"/>
    </row>
    <row r="46" spans="1:19" x14ac:dyDescent="0.3">
      <c r="A46" s="374"/>
      <c r="B46" s="374"/>
      <c r="C46" s="374"/>
      <c r="D46" s="374"/>
      <c r="E46" s="415"/>
      <c r="F46" s="374"/>
      <c r="G46" s="374"/>
      <c r="H46" s="72" t="s">
        <v>393</v>
      </c>
      <c r="I46" s="138"/>
      <c r="J46" s="138"/>
      <c r="K46" s="138">
        <v>17.8</v>
      </c>
      <c r="L46" s="138">
        <f t="shared" si="0"/>
        <v>5.6687898089171976E-2</v>
      </c>
      <c r="M46" s="138"/>
      <c r="N46" s="138"/>
      <c r="O46" s="138">
        <f>(0.08847-1.46936*L46+11.98979*L46^2+1.97056*L46^3)*'Key Data'!$I$15*'Key Data'!$F$15</f>
        <v>3.4699963448586363E-2</v>
      </c>
      <c r="P46" s="138">
        <f>O46*(1+'Key Data'!F$3)</f>
        <v>4.3374954310732954E-2</v>
      </c>
      <c r="Q46" s="379"/>
      <c r="R46" s="379"/>
      <c r="S46" s="397"/>
    </row>
    <row r="47" spans="1:19" x14ac:dyDescent="0.3">
      <c r="A47" s="374"/>
      <c r="B47" s="374"/>
      <c r="C47" s="374"/>
      <c r="D47" s="374"/>
      <c r="E47" s="415"/>
      <c r="F47" s="374"/>
      <c r="G47" s="374"/>
      <c r="H47" s="72" t="s">
        <v>393</v>
      </c>
      <c r="I47" s="138"/>
      <c r="J47" s="138"/>
      <c r="K47" s="138">
        <v>21.5</v>
      </c>
      <c r="L47" s="138">
        <f t="shared" si="0"/>
        <v>6.8471337579617833E-2</v>
      </c>
      <c r="M47" s="138"/>
      <c r="N47" s="138"/>
      <c r="O47" s="138">
        <f>(0.08847-1.46936*L47+11.98979*L47^2+1.97056*L47^3)*'Key Data'!$I$15*'Key Data'!$F$15</f>
        <v>3.520562645168944E-2</v>
      </c>
      <c r="P47" s="138">
        <f>O47*(1+'Key Data'!F$3)</f>
        <v>4.4007033064611803E-2</v>
      </c>
      <c r="Q47" s="379"/>
      <c r="R47" s="379"/>
      <c r="S47" s="397"/>
    </row>
    <row r="48" spans="1:19" x14ac:dyDescent="0.3">
      <c r="A48" s="374"/>
      <c r="B48" s="374"/>
      <c r="C48" s="374"/>
      <c r="D48" s="374"/>
      <c r="E48" s="415"/>
      <c r="F48" s="374"/>
      <c r="G48" s="374"/>
      <c r="H48" s="72" t="s">
        <v>393</v>
      </c>
      <c r="I48" s="138"/>
      <c r="J48" s="138"/>
      <c r="K48" s="138">
        <v>15.5</v>
      </c>
      <c r="L48" s="138">
        <f t="shared" si="0"/>
        <v>4.936305732484076E-2</v>
      </c>
      <c r="M48" s="138"/>
      <c r="N48" s="138"/>
      <c r="O48" s="138">
        <f>(0.08847-1.46936*L48+11.98979*L48^2+1.97056*L48^3)*'Key Data'!$I$15*'Key Data'!$F$15</f>
        <v>3.5745083570545823E-2</v>
      </c>
      <c r="P48" s="138">
        <f>O48*(1+'Key Data'!F$3)</f>
        <v>4.4681354463182277E-2</v>
      </c>
      <c r="Q48" s="379"/>
      <c r="R48" s="379"/>
      <c r="S48" s="397"/>
    </row>
    <row r="49" spans="1:19" x14ac:dyDescent="0.3">
      <c r="A49" s="374"/>
      <c r="B49" s="374"/>
      <c r="C49" s="374"/>
      <c r="D49" s="374"/>
      <c r="E49" s="415"/>
      <c r="F49" s="374"/>
      <c r="G49" s="374"/>
      <c r="H49" s="72" t="s">
        <v>393</v>
      </c>
      <c r="I49" s="138"/>
      <c r="J49" s="138"/>
      <c r="K49" s="138">
        <v>19.8</v>
      </c>
      <c r="L49" s="138">
        <f t="shared" si="0"/>
        <v>6.3057324840764331E-2</v>
      </c>
      <c r="M49" s="138"/>
      <c r="N49" s="138"/>
      <c r="O49" s="138">
        <f>(0.08847-1.46936*L49+11.98979*L49^2+1.97056*L49^3)*'Key Data'!$I$15*'Key Data'!$F$15</f>
        <v>3.4637624732614107E-2</v>
      </c>
      <c r="P49" s="138">
        <f>O49*(1+'Key Data'!F$3)</f>
        <v>4.3297030915767636E-2</v>
      </c>
      <c r="Q49" s="379"/>
      <c r="R49" s="379"/>
      <c r="S49" s="397"/>
    </row>
    <row r="50" spans="1:19" x14ac:dyDescent="0.3">
      <c r="A50" s="374"/>
      <c r="B50" s="374"/>
      <c r="C50" s="374"/>
      <c r="D50" s="374"/>
      <c r="E50" s="415"/>
      <c r="F50" s="374"/>
      <c r="G50" s="374"/>
      <c r="H50" s="72" t="s">
        <v>393</v>
      </c>
      <c r="I50" s="138"/>
      <c r="J50" s="138"/>
      <c r="K50" s="138">
        <f>SQRT(12.6^2+12^2)</f>
        <v>17.399999999999999</v>
      </c>
      <c r="L50" s="138">
        <f t="shared" si="0"/>
        <v>5.5414012738853498E-2</v>
      </c>
      <c r="M50" s="138"/>
      <c r="N50" s="138"/>
      <c r="O50" s="138">
        <f>(0.08847-1.46936*L50+11.98979*L50^2+1.97056*L50^3)*'Key Data'!$I$15*'Key Data'!$F$15</f>
        <v>3.4807011332438451E-2</v>
      </c>
      <c r="P50" s="138">
        <f>O50*(1+'Key Data'!F$3)</f>
        <v>4.3508764165548067E-2</v>
      </c>
      <c r="Q50" s="379"/>
      <c r="R50" s="379"/>
      <c r="S50" s="397"/>
    </row>
    <row r="51" spans="1:19" x14ac:dyDescent="0.3">
      <c r="A51" s="374"/>
      <c r="B51" s="374"/>
      <c r="C51" s="374"/>
      <c r="D51" s="374"/>
      <c r="E51" s="415"/>
      <c r="F51" s="374"/>
      <c r="G51" s="374"/>
      <c r="H51" s="72" t="s">
        <v>393</v>
      </c>
      <c r="I51" s="138"/>
      <c r="J51" s="138"/>
      <c r="K51" s="138">
        <v>18</v>
      </c>
      <c r="L51" s="138">
        <f t="shared" si="0"/>
        <v>5.7324840764331204E-2</v>
      </c>
      <c r="M51" s="138"/>
      <c r="N51" s="138"/>
      <c r="O51" s="138">
        <f>(0.08847-1.46936*L51+11.98979*L51^2+1.97056*L51^3)*'Key Data'!$I$15*'Key Data'!$F$15</f>
        <v>3.4658251197319925E-2</v>
      </c>
      <c r="P51" s="138">
        <f>O51*(1+'Key Data'!F$3)</f>
        <v>4.3322813996649903E-2</v>
      </c>
      <c r="Q51" s="379"/>
      <c r="R51" s="379"/>
      <c r="S51" s="397"/>
    </row>
    <row r="52" spans="1:19" x14ac:dyDescent="0.3">
      <c r="A52" s="374"/>
      <c r="B52" s="374"/>
      <c r="C52" s="374"/>
      <c r="D52" s="374"/>
      <c r="E52" s="415"/>
      <c r="F52" s="374"/>
      <c r="G52" s="374"/>
      <c r="H52" s="72" t="s">
        <v>393</v>
      </c>
      <c r="I52" s="138"/>
      <c r="J52" s="138"/>
      <c r="K52" s="138">
        <f>SQRT(10^2+14^2)</f>
        <v>17.204650534085253</v>
      </c>
      <c r="L52" s="138">
        <f t="shared" si="0"/>
        <v>5.4791880681800166E-2</v>
      </c>
      <c r="M52" s="138"/>
      <c r="N52" s="138"/>
      <c r="O52" s="138">
        <f>(0.08847-1.46936*L52+11.98979*L52^2+1.97056*L52^3)*'Key Data'!$I$15*'Key Data'!$F$15</f>
        <v>3.4870733678249492E-2</v>
      </c>
      <c r="P52" s="138">
        <f>O52*(1+'Key Data'!F$3)</f>
        <v>4.3588417097811867E-2</v>
      </c>
      <c r="Q52" s="379"/>
      <c r="R52" s="379"/>
      <c r="S52" s="397"/>
    </row>
    <row r="53" spans="1:19" x14ac:dyDescent="0.3">
      <c r="A53" s="374"/>
      <c r="B53" s="374"/>
      <c r="C53" s="374"/>
      <c r="D53" s="374"/>
      <c r="E53" s="415"/>
      <c r="F53" s="374"/>
      <c r="G53" s="374"/>
      <c r="H53" s="72" t="s">
        <v>393</v>
      </c>
      <c r="I53" s="138"/>
      <c r="J53" s="138"/>
      <c r="K53" s="138">
        <f>SQRT(20^2+24.5^2)</f>
        <v>31.626729201736939</v>
      </c>
      <c r="L53" s="138">
        <f t="shared" si="0"/>
        <v>0.10072206752145522</v>
      </c>
      <c r="M53" s="138"/>
      <c r="N53" s="138"/>
      <c r="O53" s="138">
        <f>(0.08847-1.46936*L53+11.98979*L53^2+1.97056*L53^3)*'Key Data'!$I$15*'Key Data'!$F$15</f>
        <v>5.0496245886102797E-2</v>
      </c>
      <c r="P53" s="138">
        <f>O53*(1+'Key Data'!F$3)</f>
        <v>6.3120307357628497E-2</v>
      </c>
      <c r="Q53" s="379"/>
      <c r="R53" s="379"/>
      <c r="S53" s="397"/>
    </row>
    <row r="54" spans="1:19" x14ac:dyDescent="0.3">
      <c r="A54" s="374"/>
      <c r="B54" s="374"/>
      <c r="C54" s="374"/>
      <c r="D54" s="374"/>
      <c r="E54" s="415"/>
      <c r="F54" s="374"/>
      <c r="G54" s="374"/>
      <c r="H54" s="72" t="s">
        <v>393</v>
      </c>
      <c r="I54" s="138"/>
      <c r="J54" s="138"/>
      <c r="K54" s="138">
        <v>17.5</v>
      </c>
      <c r="L54" s="138">
        <f t="shared" si="0"/>
        <v>5.5732484076433116E-2</v>
      </c>
      <c r="M54" s="138"/>
      <c r="N54" s="138"/>
      <c r="O54" s="138">
        <f>(0.08847-1.46936*L54+11.98979*L54^2+1.97056*L54^3)*'Key Data'!$I$15*'Key Data'!$F$15</f>
        <v>3.4777297190680151E-2</v>
      </c>
      <c r="P54" s="138">
        <f>O54*(1+'Key Data'!F$3)</f>
        <v>4.3471621488350189E-2</v>
      </c>
      <c r="Q54" s="379"/>
      <c r="R54" s="379"/>
      <c r="S54" s="397"/>
    </row>
    <row r="55" spans="1:19" x14ac:dyDescent="0.3">
      <c r="A55" s="374"/>
      <c r="B55" s="374"/>
      <c r="C55" s="374"/>
      <c r="D55" s="374"/>
      <c r="E55" s="415"/>
      <c r="F55" s="374"/>
      <c r="G55" s="374"/>
      <c r="H55" s="72" t="s">
        <v>393</v>
      </c>
      <c r="I55" s="138"/>
      <c r="J55" s="138"/>
      <c r="K55" s="138">
        <v>22.6</v>
      </c>
      <c r="L55" s="138">
        <f t="shared" si="0"/>
        <v>7.1974522292993628E-2</v>
      </c>
      <c r="M55" s="138"/>
      <c r="N55" s="138"/>
      <c r="O55" s="138">
        <f>(0.08847-1.46936*L55+11.98979*L55^2+1.97056*L55^3)*'Key Data'!$I$15*'Key Data'!$F$15</f>
        <v>3.5877975610418222E-2</v>
      </c>
      <c r="P55" s="138">
        <f>O55*(1+'Key Data'!F$3)</f>
        <v>4.4847469513022778E-2</v>
      </c>
      <c r="Q55" s="379"/>
      <c r="R55" s="379"/>
      <c r="S55" s="397"/>
    </row>
    <row r="56" spans="1:19" x14ac:dyDescent="0.3">
      <c r="A56" s="374"/>
      <c r="B56" s="374"/>
      <c r="C56" s="374"/>
      <c r="D56" s="374"/>
      <c r="E56" s="415"/>
      <c r="F56" s="374"/>
      <c r="G56" s="374"/>
      <c r="H56" s="72" t="s">
        <v>393</v>
      </c>
      <c r="I56" s="138"/>
      <c r="J56" s="138"/>
      <c r="K56" s="138">
        <v>14.5</v>
      </c>
      <c r="L56" s="138">
        <f t="shared" si="0"/>
        <v>4.617834394904459E-2</v>
      </c>
      <c r="M56" s="138"/>
      <c r="N56" s="138"/>
      <c r="O56" s="138">
        <f>(0.08847-1.46936*L56+11.98979*L56^2+1.97056*L56^3)*'Key Data'!$I$15*'Key Data'!$F$15</f>
        <v>3.652341189559577E-2</v>
      </c>
      <c r="P56" s="138">
        <f>O56*(1+'Key Data'!F$3)</f>
        <v>4.5654264869494712E-2</v>
      </c>
      <c r="Q56" s="379"/>
      <c r="R56" s="379"/>
      <c r="S56" s="397"/>
    </row>
    <row r="57" spans="1:19" x14ac:dyDescent="0.3">
      <c r="A57" s="374"/>
      <c r="B57" s="374"/>
      <c r="C57" s="374"/>
      <c r="D57" s="374"/>
      <c r="E57" s="415"/>
      <c r="F57" s="374"/>
      <c r="G57" s="374"/>
      <c r="H57" s="72" t="s">
        <v>393</v>
      </c>
      <c r="I57" s="138"/>
      <c r="J57" s="138"/>
      <c r="K57" s="138">
        <v>23.2</v>
      </c>
      <c r="L57" s="138">
        <f t="shared" si="0"/>
        <v>7.3885350318471335E-2</v>
      </c>
      <c r="M57" s="138"/>
      <c r="N57" s="138"/>
      <c r="O57" s="138">
        <f>(0.08847-1.46936*L57+11.98979*L57^2+1.97056*L57^3)*'Key Data'!$I$15*'Key Data'!$F$15</f>
        <v>3.6345831778382749E-2</v>
      </c>
      <c r="P57" s="138">
        <f>O57*(1+'Key Data'!F$3)</f>
        <v>4.5432289722978435E-2</v>
      </c>
      <c r="Q57" s="379"/>
      <c r="R57" s="379"/>
      <c r="S57" s="397"/>
    </row>
    <row r="58" spans="1:19" x14ac:dyDescent="0.3">
      <c r="A58" s="374"/>
      <c r="B58" s="374"/>
      <c r="C58" s="374"/>
      <c r="D58" s="374"/>
      <c r="E58" s="415"/>
      <c r="F58" s="374"/>
      <c r="G58" s="374"/>
      <c r="H58" s="72" t="s">
        <v>393</v>
      </c>
      <c r="I58" s="138"/>
      <c r="J58" s="138"/>
      <c r="K58" s="138">
        <v>17.8</v>
      </c>
      <c r="L58" s="138">
        <f t="shared" si="0"/>
        <v>5.6687898089171976E-2</v>
      </c>
      <c r="M58" s="138"/>
      <c r="N58" s="138"/>
      <c r="O58" s="138">
        <f>(0.08847-1.46936*L58+11.98979*L58^2+1.97056*L58^3)*'Key Data'!$I$15*'Key Data'!$F$15</f>
        <v>3.4699963448586363E-2</v>
      </c>
      <c r="P58" s="138">
        <f>O58*(1+'Key Data'!F$3)</f>
        <v>4.3374954310732954E-2</v>
      </c>
      <c r="Q58" s="379"/>
      <c r="R58" s="379"/>
      <c r="S58" s="397"/>
    </row>
    <row r="59" spans="1:19" x14ac:dyDescent="0.3">
      <c r="A59" s="374"/>
      <c r="B59" s="374"/>
      <c r="C59" s="374"/>
      <c r="D59" s="374"/>
      <c r="E59" s="415"/>
      <c r="F59" s="374"/>
      <c r="G59" s="374"/>
      <c r="H59" s="72" t="s">
        <v>393</v>
      </c>
      <c r="I59" s="138"/>
      <c r="J59" s="138"/>
      <c r="K59" s="138">
        <v>19</v>
      </c>
      <c r="L59" s="138">
        <f t="shared" si="0"/>
        <v>6.0509554140127389E-2</v>
      </c>
      <c r="M59" s="138"/>
      <c r="N59" s="138"/>
      <c r="O59" s="138">
        <f>(0.08847-1.46936*L59+11.98979*L59^2+1.97056*L59^3)*'Key Data'!$I$15*'Key Data'!$F$15</f>
        <v>3.4567903086895738E-2</v>
      </c>
      <c r="P59" s="138">
        <f>O59*(1+'Key Data'!F$3)</f>
        <v>4.3209878858619669E-2</v>
      </c>
      <c r="Q59" s="379"/>
      <c r="R59" s="379"/>
      <c r="S59" s="397"/>
    </row>
    <row r="60" spans="1:19" x14ac:dyDescent="0.3">
      <c r="A60" s="374"/>
      <c r="B60" s="374"/>
      <c r="C60" s="374"/>
      <c r="D60" s="374"/>
      <c r="E60" s="415"/>
      <c r="F60" s="374"/>
      <c r="G60" s="374"/>
      <c r="H60" s="72" t="s">
        <v>393</v>
      </c>
      <c r="I60" s="138"/>
      <c r="J60" s="138"/>
      <c r="K60" s="138">
        <f>SQRT(15^2+14^2)</f>
        <v>20.518284528683193</v>
      </c>
      <c r="L60" s="138">
        <f t="shared" si="0"/>
        <v>6.534485518688915E-2</v>
      </c>
      <c r="M60" s="138"/>
      <c r="N60" s="138"/>
      <c r="O60" s="138">
        <f>(0.08847-1.46936*L60+11.98979*L60^2+1.97056*L60^3)*'Key Data'!$I$15*'Key Data'!$F$15</f>
        <v>3.4807903829440143E-2</v>
      </c>
      <c r="P60" s="138">
        <f>O60*(1+'Key Data'!F$3)</f>
        <v>4.3509879786800182E-2</v>
      </c>
      <c r="Q60" s="379"/>
      <c r="R60" s="379"/>
      <c r="S60" s="397"/>
    </row>
    <row r="61" spans="1:19" x14ac:dyDescent="0.3">
      <c r="A61" s="374"/>
      <c r="B61" s="374"/>
      <c r="C61" s="374"/>
      <c r="D61" s="374"/>
      <c r="E61" s="415"/>
      <c r="F61" s="374"/>
      <c r="G61" s="374"/>
      <c r="H61" s="72" t="s">
        <v>393</v>
      </c>
      <c r="I61" s="138"/>
      <c r="J61" s="138"/>
      <c r="K61" s="138">
        <v>23</v>
      </c>
      <c r="L61" s="138">
        <f t="shared" si="0"/>
        <v>7.32484076433121E-2</v>
      </c>
      <c r="M61" s="138"/>
      <c r="N61" s="138"/>
      <c r="O61" s="138">
        <f>(0.08847-1.46936*L61+11.98979*L61^2+1.97056*L61^3)*'Key Data'!$I$15*'Key Data'!$F$15</f>
        <v>3.6181942706402015E-2</v>
      </c>
      <c r="P61" s="138">
        <f>O61*(1+'Key Data'!F$3)</f>
        <v>4.5227428383002519E-2</v>
      </c>
      <c r="Q61" s="379"/>
      <c r="R61" s="379"/>
      <c r="S61" s="397"/>
    </row>
    <row r="62" spans="1:19" x14ac:dyDescent="0.3">
      <c r="A62" s="374"/>
      <c r="B62" s="374"/>
      <c r="C62" s="374"/>
      <c r="D62" s="374"/>
      <c r="E62" s="415"/>
      <c r="F62" s="374"/>
      <c r="G62" s="374"/>
      <c r="H62" s="72" t="s">
        <v>393</v>
      </c>
      <c r="I62" s="138"/>
      <c r="J62" s="138"/>
      <c r="K62" s="138">
        <v>16.5</v>
      </c>
      <c r="L62" s="138">
        <f t="shared" si="0"/>
        <v>5.2547770700636945E-2</v>
      </c>
      <c r="M62" s="138"/>
      <c r="N62" s="138"/>
      <c r="O62" s="138">
        <f>(0.08847-1.46936*L62+11.98979*L62^2+1.97056*L62^3)*'Key Data'!$I$15*'Key Data'!$F$15</f>
        <v>3.516294508629058E-2</v>
      </c>
      <c r="P62" s="138">
        <f>O62*(1+'Key Data'!F$3)</f>
        <v>4.3953681357863227E-2</v>
      </c>
      <c r="Q62" s="379"/>
      <c r="R62" s="379"/>
      <c r="S62" s="397"/>
    </row>
    <row r="63" spans="1:19" x14ac:dyDescent="0.3">
      <c r="A63" s="374"/>
      <c r="B63" s="374"/>
      <c r="C63" s="374"/>
      <c r="D63" s="374"/>
      <c r="E63" s="415"/>
      <c r="F63" s="374"/>
      <c r="G63" s="374"/>
      <c r="H63" s="72" t="s">
        <v>393</v>
      </c>
      <c r="I63" s="138"/>
      <c r="J63" s="138"/>
      <c r="K63" s="138">
        <v>17</v>
      </c>
      <c r="L63" s="138">
        <f t="shared" si="0"/>
        <v>5.4140127388535034E-2</v>
      </c>
      <c r="M63" s="138"/>
      <c r="N63" s="138"/>
      <c r="O63" s="138">
        <f>(0.08847-1.46936*L63+11.98979*L63^2+1.97056*L63^3)*'Key Data'!$I$15*'Key Data'!$F$15</f>
        <v>3.4945541018164127E-2</v>
      </c>
      <c r="P63" s="138">
        <f>O63*(1+'Key Data'!F$3)</f>
        <v>4.368192627270516E-2</v>
      </c>
      <c r="Q63" s="379"/>
      <c r="R63" s="379"/>
      <c r="S63" s="397"/>
    </row>
    <row r="64" spans="1:19" x14ac:dyDescent="0.3">
      <c r="A64" s="374"/>
      <c r="B64" s="374"/>
      <c r="C64" s="374"/>
      <c r="D64" s="374"/>
      <c r="E64" s="415"/>
      <c r="F64" s="374"/>
      <c r="G64" s="374"/>
      <c r="H64" s="72" t="s">
        <v>393</v>
      </c>
      <c r="I64" s="138"/>
      <c r="J64" s="138"/>
      <c r="K64" s="138">
        <v>17</v>
      </c>
      <c r="L64" s="138">
        <f t="shared" si="0"/>
        <v>5.4140127388535034E-2</v>
      </c>
      <c r="M64" s="138"/>
      <c r="N64" s="138"/>
      <c r="O64" s="138">
        <f>(0.08847-1.46936*L64+11.98979*L64^2+1.97056*L64^3)*'Key Data'!$I$15*'Key Data'!$F$15</f>
        <v>3.4945541018164127E-2</v>
      </c>
      <c r="P64" s="138">
        <f>O64*(1+'Key Data'!F$3)</f>
        <v>4.368192627270516E-2</v>
      </c>
      <c r="Q64" s="379"/>
      <c r="R64" s="379"/>
      <c r="S64" s="397"/>
    </row>
    <row r="65" spans="1:19" x14ac:dyDescent="0.3">
      <c r="A65" s="374"/>
      <c r="B65" s="374"/>
      <c r="C65" s="374"/>
      <c r="D65" s="374"/>
      <c r="E65" s="415"/>
      <c r="F65" s="374"/>
      <c r="G65" s="374"/>
      <c r="H65" s="72" t="s">
        <v>393</v>
      </c>
      <c r="I65" s="138"/>
      <c r="J65" s="138"/>
      <c r="K65" s="138">
        <f>SQRT(23^2+17^2)</f>
        <v>28.600699292150182</v>
      </c>
      <c r="L65" s="138">
        <f t="shared" si="0"/>
        <v>9.1085029592834973E-2</v>
      </c>
      <c r="M65" s="138"/>
      <c r="N65" s="138"/>
      <c r="O65" s="138">
        <f>(0.08847-1.46936*L65+11.98979*L65^2+1.97056*L65^3)*'Key Data'!$I$15*'Key Data'!$F$15</f>
        <v>4.3781463001345999E-2</v>
      </c>
      <c r="P65" s="138">
        <f>O65*(1+'Key Data'!F$3)</f>
        <v>5.4726828751682499E-2</v>
      </c>
      <c r="Q65" s="379"/>
      <c r="R65" s="379"/>
      <c r="S65" s="397"/>
    </row>
    <row r="66" spans="1:19" x14ac:dyDescent="0.3">
      <c r="A66" s="374"/>
      <c r="B66" s="374"/>
      <c r="C66" s="374"/>
      <c r="D66" s="374"/>
      <c r="E66" s="415"/>
      <c r="F66" s="374"/>
      <c r="G66" s="374"/>
      <c r="H66" s="72" t="s">
        <v>393</v>
      </c>
      <c r="I66" s="138"/>
      <c r="J66" s="138"/>
      <c r="K66" s="138">
        <v>21</v>
      </c>
      <c r="L66" s="138">
        <f t="shared" si="0"/>
        <v>6.6878980891719744E-2</v>
      </c>
      <c r="M66" s="138"/>
      <c r="N66" s="138"/>
      <c r="O66" s="138">
        <f>(0.08847-1.46936*L66+11.98979*L66^2+1.97056*L66^3)*'Key Data'!$I$15*'Key Data'!$F$15</f>
        <v>3.4979234988708016E-2</v>
      </c>
      <c r="P66" s="138">
        <f>O66*(1+'Key Data'!F$3)</f>
        <v>4.3724043735885024E-2</v>
      </c>
      <c r="Q66" s="379"/>
      <c r="R66" s="379"/>
      <c r="S66" s="397"/>
    </row>
    <row r="67" spans="1:19" x14ac:dyDescent="0.3">
      <c r="A67" s="374"/>
      <c r="B67" s="374"/>
      <c r="C67" s="374"/>
      <c r="D67" s="374"/>
      <c r="E67" s="415"/>
      <c r="F67" s="374"/>
      <c r="G67" s="374"/>
      <c r="H67" s="72" t="s">
        <v>393</v>
      </c>
      <c r="I67" s="138"/>
      <c r="J67" s="138"/>
      <c r="K67" s="138">
        <f>SQRT(21.5^2+19^2)</f>
        <v>28.692333470807146</v>
      </c>
      <c r="L67" s="138">
        <f t="shared" ref="L67:L126" si="1">K67/3.14/100</f>
        <v>9.1376858187283888E-2</v>
      </c>
      <c r="M67" s="138"/>
      <c r="N67" s="138"/>
      <c r="O67" s="138">
        <f>(0.08847-1.46936*L67+11.98979*L67^2+1.97056*L67^3)*'Key Data'!$I$15*'Key Data'!$F$15</f>
        <v>4.3957851353792252E-2</v>
      </c>
      <c r="P67" s="138">
        <f>O67*(1+'Key Data'!F$3)</f>
        <v>5.4947314192240318E-2</v>
      </c>
      <c r="Q67" s="379"/>
      <c r="R67" s="379"/>
      <c r="S67" s="397"/>
    </row>
    <row r="68" spans="1:19" x14ac:dyDescent="0.3">
      <c r="A68" s="374"/>
      <c r="B68" s="374"/>
      <c r="C68" s="374"/>
      <c r="D68" s="374"/>
      <c r="E68" s="415"/>
      <c r="F68" s="374"/>
      <c r="G68" s="374"/>
      <c r="H68" s="72" t="s">
        <v>393</v>
      </c>
      <c r="I68" s="138"/>
      <c r="J68" s="138"/>
      <c r="K68" s="138">
        <v>27.4</v>
      </c>
      <c r="L68" s="138">
        <f t="shared" si="1"/>
        <v>8.7261146496815267E-2</v>
      </c>
      <c r="M68" s="138"/>
      <c r="N68" s="138"/>
      <c r="O68" s="138">
        <f>(0.08847-1.46936*L68+11.98979*L68^2+1.97056*L68^3)*'Key Data'!$I$15*'Key Data'!$F$15</f>
        <v>4.1625399240476202E-2</v>
      </c>
      <c r="P68" s="138">
        <f>O68*(1+'Key Data'!F$3)</f>
        <v>5.2031749050595252E-2</v>
      </c>
      <c r="Q68" s="379"/>
      <c r="R68" s="379"/>
      <c r="S68" s="397"/>
    </row>
    <row r="69" spans="1:19" x14ac:dyDescent="0.3">
      <c r="A69" s="374"/>
      <c r="B69" s="374"/>
      <c r="C69" s="374"/>
      <c r="D69" s="374"/>
      <c r="E69" s="415"/>
      <c r="F69" s="374"/>
      <c r="G69" s="374"/>
      <c r="H69" s="72" t="s">
        <v>393</v>
      </c>
      <c r="I69" s="138"/>
      <c r="J69" s="138"/>
      <c r="K69" s="138">
        <v>20.5</v>
      </c>
      <c r="L69" s="138">
        <f t="shared" si="1"/>
        <v>6.5286624203821655E-2</v>
      </c>
      <c r="M69" s="138"/>
      <c r="N69" s="138"/>
      <c r="O69" s="138">
        <f>(0.08847-1.46936*L69+11.98979*L69^2+1.97056*L69^3)*'Key Data'!$I$15*'Key Data'!$F$15</f>
        <v>3.4802304514219201E-2</v>
      </c>
      <c r="P69" s="138">
        <f>O69*(1+'Key Data'!F$3)</f>
        <v>4.3502880642774001E-2</v>
      </c>
      <c r="Q69" s="379"/>
      <c r="R69" s="379"/>
      <c r="S69" s="397"/>
    </row>
    <row r="70" spans="1:19" x14ac:dyDescent="0.3">
      <c r="A70" s="374"/>
      <c r="B70" s="374"/>
      <c r="C70" s="374"/>
      <c r="D70" s="374"/>
      <c r="E70" s="415"/>
      <c r="F70" s="374"/>
      <c r="G70" s="374"/>
      <c r="H70" s="72" t="s">
        <v>393</v>
      </c>
      <c r="I70" s="138"/>
      <c r="J70" s="138"/>
      <c r="K70" s="138">
        <v>21</v>
      </c>
      <c r="L70" s="138">
        <f t="shared" si="1"/>
        <v>6.6878980891719744E-2</v>
      </c>
      <c r="M70" s="138"/>
      <c r="N70" s="138"/>
      <c r="O70" s="138">
        <f>(0.08847-1.46936*L70+11.98979*L70^2+1.97056*L70^3)*'Key Data'!$I$15*'Key Data'!$F$15</f>
        <v>3.4979234988708016E-2</v>
      </c>
      <c r="P70" s="138">
        <f>O70*(1+'Key Data'!F$3)</f>
        <v>4.3724043735885024E-2</v>
      </c>
      <c r="Q70" s="379"/>
      <c r="R70" s="379"/>
      <c r="S70" s="397"/>
    </row>
    <row r="71" spans="1:19" x14ac:dyDescent="0.3">
      <c r="A71" s="374"/>
      <c r="B71" s="374"/>
      <c r="C71" s="374"/>
      <c r="D71" s="374"/>
      <c r="E71" s="415"/>
      <c r="F71" s="374"/>
      <c r="G71" s="374"/>
      <c r="H71" s="72" t="s">
        <v>393</v>
      </c>
      <c r="I71" s="138"/>
      <c r="J71" s="138"/>
      <c r="K71" s="138">
        <v>17</v>
      </c>
      <c r="L71" s="138">
        <f t="shared" si="1"/>
        <v>5.4140127388535034E-2</v>
      </c>
      <c r="M71" s="138"/>
      <c r="N71" s="138"/>
      <c r="O71" s="138">
        <f>(0.08847-1.46936*L71+11.98979*L71^2+1.97056*L71^3)*'Key Data'!$I$15*'Key Data'!$F$15</f>
        <v>3.4945541018164127E-2</v>
      </c>
      <c r="P71" s="138">
        <f>O71*(1+'Key Data'!F$3)</f>
        <v>4.368192627270516E-2</v>
      </c>
      <c r="Q71" s="379"/>
      <c r="R71" s="379"/>
      <c r="S71" s="397"/>
    </row>
    <row r="72" spans="1:19" x14ac:dyDescent="0.3">
      <c r="A72" s="374"/>
      <c r="B72" s="374"/>
      <c r="C72" s="374"/>
      <c r="D72" s="374"/>
      <c r="E72" s="415"/>
      <c r="F72" s="374"/>
      <c r="G72" s="374"/>
      <c r="H72" s="72" t="s">
        <v>393</v>
      </c>
      <c r="I72" s="138"/>
      <c r="J72" s="138"/>
      <c r="K72" s="138">
        <v>16.2</v>
      </c>
      <c r="L72" s="138">
        <f t="shared" si="1"/>
        <v>5.1592356687898085E-2</v>
      </c>
      <c r="M72" s="138"/>
      <c r="N72" s="138"/>
      <c r="O72" s="138">
        <f>(0.08847-1.46936*L72+11.98979*L72^2+1.97056*L72^3)*'Key Data'!$I$15*'Key Data'!$F$15</f>
        <v>3.5316968803786618E-2</v>
      </c>
      <c r="P72" s="138">
        <f>O72*(1+'Key Data'!F$3)</f>
        <v>4.4146211004733274E-2</v>
      </c>
      <c r="Q72" s="379"/>
      <c r="R72" s="379"/>
      <c r="S72" s="397"/>
    </row>
    <row r="73" spans="1:19" x14ac:dyDescent="0.3">
      <c r="A73" s="374"/>
      <c r="B73" s="374"/>
      <c r="C73" s="374"/>
      <c r="D73" s="374"/>
      <c r="E73" s="415"/>
      <c r="F73" s="374"/>
      <c r="G73" s="374"/>
      <c r="H73" s="72" t="s">
        <v>393</v>
      </c>
      <c r="I73" s="138"/>
      <c r="J73" s="138"/>
      <c r="K73" s="138">
        <v>20.8</v>
      </c>
      <c r="L73" s="138">
        <f t="shared" si="1"/>
        <v>6.6242038216560509E-2</v>
      </c>
      <c r="M73" s="138"/>
      <c r="N73" s="138"/>
      <c r="O73" s="138">
        <f>(0.08847-1.46936*L73+11.98979*L73^2+1.97056*L73^3)*'Key Data'!$I$15*'Key Data'!$F$15</f>
        <v>3.4902529585528329E-2</v>
      </c>
      <c r="P73" s="138">
        <f>O73*(1+'Key Data'!F$3)</f>
        <v>4.3628161981910413E-2</v>
      </c>
      <c r="Q73" s="379"/>
      <c r="R73" s="379"/>
      <c r="S73" s="397"/>
    </row>
    <row r="74" spans="1:19" x14ac:dyDescent="0.3">
      <c r="A74" s="374"/>
      <c r="B74" s="374"/>
      <c r="C74" s="374"/>
      <c r="D74" s="374"/>
      <c r="E74" s="415"/>
      <c r="F74" s="374"/>
      <c r="G74" s="374"/>
      <c r="H74" s="72" t="s">
        <v>393</v>
      </c>
      <c r="I74" s="138"/>
      <c r="J74" s="138"/>
      <c r="K74" s="138">
        <v>15.4</v>
      </c>
      <c r="L74" s="138">
        <f t="shared" si="1"/>
        <v>4.9044585987261149E-2</v>
      </c>
      <c r="M74" s="138"/>
      <c r="N74" s="138"/>
      <c r="O74" s="138">
        <f>(0.08847-1.46936*L74+11.98979*L74^2+1.97056*L74^3)*'Key Data'!$I$15*'Key Data'!$F$15</f>
        <v>3.5814092822554579E-2</v>
      </c>
      <c r="P74" s="138">
        <f>O74*(1+'Key Data'!F$3)</f>
        <v>4.4767616028193222E-2</v>
      </c>
      <c r="Q74" s="379"/>
      <c r="R74" s="379"/>
      <c r="S74" s="397"/>
    </row>
    <row r="75" spans="1:19" x14ac:dyDescent="0.3">
      <c r="A75" s="374"/>
      <c r="B75" s="374"/>
      <c r="C75" s="374"/>
      <c r="D75" s="374"/>
      <c r="E75" s="415"/>
      <c r="F75" s="374"/>
      <c r="G75" s="374"/>
      <c r="H75" s="72" t="s">
        <v>393</v>
      </c>
      <c r="I75" s="138"/>
      <c r="J75" s="138"/>
      <c r="K75" s="138">
        <v>12</v>
      </c>
      <c r="L75" s="138">
        <f t="shared" si="1"/>
        <v>3.8216560509554139E-2</v>
      </c>
      <c r="M75" s="138"/>
      <c r="N75" s="138"/>
      <c r="O75" s="138">
        <f>(0.08847-1.46936*L75+11.98979*L75^2+1.97056*L75^3)*'Key Data'!$I$15*'Key Data'!$F$15</f>
        <v>3.9325589603930899E-2</v>
      </c>
      <c r="P75" s="138">
        <f>O75*(1+'Key Data'!F$3)</f>
        <v>4.9156987004913624E-2</v>
      </c>
      <c r="Q75" s="379"/>
      <c r="R75" s="379"/>
      <c r="S75" s="397"/>
    </row>
    <row r="76" spans="1:19" x14ac:dyDescent="0.3">
      <c r="A76" s="374"/>
      <c r="B76" s="374"/>
      <c r="C76" s="374"/>
      <c r="D76" s="374"/>
      <c r="E76" s="415"/>
      <c r="F76" s="374"/>
      <c r="G76" s="374"/>
      <c r="H76" s="72" t="s">
        <v>393</v>
      </c>
      <c r="I76" s="138"/>
      <c r="J76" s="138"/>
      <c r="K76" s="138">
        <f>SQRT(19.5^2+24^2)</f>
        <v>30.923292192132454</v>
      </c>
      <c r="L76" s="138">
        <f t="shared" si="1"/>
        <v>9.8481822267937738E-2</v>
      </c>
      <c r="M76" s="138"/>
      <c r="N76" s="138"/>
      <c r="O76" s="138">
        <f>(0.08847-1.46936*L76+11.98979*L76^2+1.97056*L76^3)*'Key Data'!$I$15*'Key Data'!$F$15</f>
        <v>4.8771390057168462E-2</v>
      </c>
      <c r="P76" s="138">
        <f>O76*(1+'Key Data'!F$3)</f>
        <v>6.0964237571460578E-2</v>
      </c>
      <c r="Q76" s="379"/>
      <c r="R76" s="379"/>
      <c r="S76" s="397"/>
    </row>
    <row r="77" spans="1:19" x14ac:dyDescent="0.3">
      <c r="A77" s="374"/>
      <c r="B77" s="374"/>
      <c r="C77" s="374"/>
      <c r="D77" s="374"/>
      <c r="E77" s="415"/>
      <c r="F77" s="374"/>
      <c r="G77" s="374"/>
      <c r="H77" s="72" t="s">
        <v>393</v>
      </c>
      <c r="I77" s="138"/>
      <c r="J77" s="138"/>
      <c r="K77" s="138">
        <v>24</v>
      </c>
      <c r="L77" s="138">
        <f t="shared" si="1"/>
        <v>7.6433121019108277E-2</v>
      </c>
      <c r="M77" s="138"/>
      <c r="N77" s="138"/>
      <c r="O77" s="138">
        <f>(0.08847-1.46936*L77+11.98979*L77^2+1.97056*L77^3)*'Key Data'!$I$15*'Key Data'!$F$15</f>
        <v>3.7080814365829995E-2</v>
      </c>
      <c r="P77" s="138">
        <f>O77*(1+'Key Data'!F$3)</f>
        <v>4.6351017957287494E-2</v>
      </c>
      <c r="Q77" s="379"/>
      <c r="R77" s="379"/>
      <c r="S77" s="397"/>
    </row>
    <row r="78" spans="1:19" x14ac:dyDescent="0.3">
      <c r="A78" s="374"/>
      <c r="B78" s="374"/>
      <c r="C78" s="374"/>
      <c r="D78" s="374"/>
      <c r="E78" s="415"/>
      <c r="F78" s="374"/>
      <c r="G78" s="374"/>
      <c r="H78" s="72" t="s">
        <v>393</v>
      </c>
      <c r="I78" s="138"/>
      <c r="J78" s="138"/>
      <c r="K78" s="138">
        <v>25</v>
      </c>
      <c r="L78" s="138">
        <f t="shared" si="1"/>
        <v>7.9617834394904455E-2</v>
      </c>
      <c r="M78" s="138"/>
      <c r="N78" s="138"/>
      <c r="O78" s="138">
        <f>(0.08847-1.46936*L78+11.98979*L78^2+1.97056*L78^3)*'Key Data'!$I$15*'Key Data'!$F$15</f>
        <v>3.8178432222778814E-2</v>
      </c>
      <c r="P78" s="138">
        <f>O78*(1+'Key Data'!F$3)</f>
        <v>4.7723040278473516E-2</v>
      </c>
      <c r="Q78" s="379"/>
      <c r="R78" s="379"/>
      <c r="S78" s="397"/>
    </row>
    <row r="79" spans="1:19" x14ac:dyDescent="0.3">
      <c r="A79" s="374"/>
      <c r="B79" s="374"/>
      <c r="C79" s="374"/>
      <c r="D79" s="374"/>
      <c r="E79" s="415"/>
      <c r="F79" s="374"/>
      <c r="G79" s="374"/>
      <c r="H79" s="72" t="s">
        <v>393</v>
      </c>
      <c r="I79" s="138"/>
      <c r="J79" s="138"/>
      <c r="K79" s="138">
        <v>23</v>
      </c>
      <c r="L79" s="138">
        <f t="shared" si="1"/>
        <v>7.32484076433121E-2</v>
      </c>
      <c r="M79" s="138"/>
      <c r="N79" s="138"/>
      <c r="O79" s="138">
        <f>(0.08847-1.46936*L79+11.98979*L79^2+1.97056*L79^3)*'Key Data'!$I$15*'Key Data'!$F$15</f>
        <v>3.6181942706402015E-2</v>
      </c>
      <c r="P79" s="138">
        <f>O79*(1+'Key Data'!F$3)</f>
        <v>4.5227428383002519E-2</v>
      </c>
      <c r="Q79" s="379"/>
      <c r="R79" s="379"/>
      <c r="S79" s="397"/>
    </row>
    <row r="80" spans="1:19" x14ac:dyDescent="0.3">
      <c r="A80" s="374"/>
      <c r="B80" s="374"/>
      <c r="C80" s="374"/>
      <c r="D80" s="374"/>
      <c r="E80" s="415"/>
      <c r="F80" s="374"/>
      <c r="G80" s="374"/>
      <c r="H80" s="72" t="s">
        <v>393</v>
      </c>
      <c r="I80" s="138"/>
      <c r="J80" s="138"/>
      <c r="K80" s="138">
        <v>24.2</v>
      </c>
      <c r="L80" s="138">
        <f t="shared" si="1"/>
        <v>7.7070063694267513E-2</v>
      </c>
      <c r="M80" s="138"/>
      <c r="N80" s="138"/>
      <c r="O80" s="138">
        <f>(0.08847-1.46936*L80+11.98979*L80^2+1.97056*L80^3)*'Key Data'!$I$15*'Key Data'!$F$15</f>
        <v>3.7284428617486882E-2</v>
      </c>
      <c r="P80" s="138">
        <f>O80*(1+'Key Data'!F$3)</f>
        <v>4.6605535771858601E-2</v>
      </c>
      <c r="Q80" s="379"/>
      <c r="R80" s="379"/>
      <c r="S80" s="397"/>
    </row>
    <row r="81" spans="1:19" x14ac:dyDescent="0.3">
      <c r="A81" s="374"/>
      <c r="B81" s="374"/>
      <c r="C81" s="374"/>
      <c r="D81" s="374"/>
      <c r="E81" s="415"/>
      <c r="F81" s="374"/>
      <c r="G81" s="374"/>
      <c r="H81" s="72" t="s">
        <v>393</v>
      </c>
      <c r="I81" s="138"/>
      <c r="J81" s="138"/>
      <c r="K81" s="138">
        <f>SQRT(16.5^2+8^2)</f>
        <v>18.337120820892249</v>
      </c>
      <c r="L81" s="138">
        <f t="shared" si="1"/>
        <v>5.8398473951886139E-2</v>
      </c>
      <c r="M81" s="138"/>
      <c r="N81" s="138"/>
      <c r="O81" s="138">
        <f>(0.08847-1.46936*L81+11.98979*L81^2+1.97056*L81^3)*'Key Data'!$I$15*'Key Data'!$F$15</f>
        <v>3.4605772671834727E-2</v>
      </c>
      <c r="P81" s="138">
        <f>O81*(1+'Key Data'!F$3)</f>
        <v>4.325721583979341E-2</v>
      </c>
      <c r="Q81" s="379"/>
      <c r="R81" s="379"/>
      <c r="S81" s="397"/>
    </row>
    <row r="82" spans="1:19" x14ac:dyDescent="0.3">
      <c r="A82" s="374"/>
      <c r="B82" s="374"/>
      <c r="C82" s="374"/>
      <c r="D82" s="374"/>
      <c r="E82" s="415"/>
      <c r="F82" s="374"/>
      <c r="G82" s="374"/>
      <c r="H82" s="72" t="s">
        <v>393</v>
      </c>
      <c r="I82" s="138"/>
      <c r="J82" s="138"/>
      <c r="K82" s="138">
        <v>18.8</v>
      </c>
      <c r="L82" s="138">
        <f t="shared" si="1"/>
        <v>5.9872611464968147E-2</v>
      </c>
      <c r="M82" s="138"/>
      <c r="N82" s="138"/>
      <c r="O82" s="138">
        <f>(0.08847-1.46936*L82+11.98979*L82^2+1.97056*L82^3)*'Key Data'!$I$15*'Key Data'!$F$15</f>
        <v>3.4570202936250169E-2</v>
      </c>
      <c r="P82" s="138">
        <f>O82*(1+'Key Data'!F$3)</f>
        <v>4.3212753670312715E-2</v>
      </c>
      <c r="Q82" s="379"/>
      <c r="R82" s="379"/>
      <c r="S82" s="397"/>
    </row>
    <row r="83" spans="1:19" x14ac:dyDescent="0.3">
      <c r="A83" s="374"/>
      <c r="B83" s="374"/>
      <c r="C83" s="374"/>
      <c r="D83" s="374"/>
      <c r="E83" s="415"/>
      <c r="F83" s="374"/>
      <c r="G83" s="374"/>
      <c r="H83" s="72" t="s">
        <v>393</v>
      </c>
      <c r="I83" s="138"/>
      <c r="J83" s="138"/>
      <c r="K83" s="138">
        <v>19</v>
      </c>
      <c r="L83" s="138">
        <f t="shared" si="1"/>
        <v>6.0509554140127389E-2</v>
      </c>
      <c r="M83" s="138"/>
      <c r="N83" s="138"/>
      <c r="O83" s="138">
        <f>(0.08847-1.46936*L83+11.98979*L83^2+1.97056*L83^3)*'Key Data'!$I$15*'Key Data'!$F$15</f>
        <v>3.4567903086895738E-2</v>
      </c>
      <c r="P83" s="138">
        <f>O83*(1+'Key Data'!F$3)</f>
        <v>4.3209878858619669E-2</v>
      </c>
      <c r="Q83" s="379"/>
      <c r="R83" s="379"/>
      <c r="S83" s="397"/>
    </row>
    <row r="84" spans="1:19" x14ac:dyDescent="0.3">
      <c r="A84" s="374"/>
      <c r="B84" s="374"/>
      <c r="C84" s="374"/>
      <c r="D84" s="374"/>
      <c r="E84" s="415"/>
      <c r="F84" s="374"/>
      <c r="G84" s="374"/>
      <c r="H84" s="72" t="s">
        <v>393</v>
      </c>
      <c r="I84" s="138"/>
      <c r="J84" s="138"/>
      <c r="K84" s="138">
        <v>16.600000000000001</v>
      </c>
      <c r="L84" s="138">
        <f t="shared" si="1"/>
        <v>5.2866242038216563E-2</v>
      </c>
      <c r="M84" s="138"/>
      <c r="N84" s="138"/>
      <c r="O84" s="138">
        <f>(0.08847-1.46936*L84+11.98979*L84^2+1.97056*L84^3)*'Key Data'!$I$15*'Key Data'!$F$15</f>
        <v>3.5115533257900976E-2</v>
      </c>
      <c r="P84" s="138">
        <f>O84*(1+'Key Data'!F$3)</f>
        <v>4.3894416572376221E-2</v>
      </c>
      <c r="Q84" s="379"/>
      <c r="R84" s="379"/>
      <c r="S84" s="397"/>
    </row>
    <row r="85" spans="1:19" x14ac:dyDescent="0.3">
      <c r="A85" s="374"/>
      <c r="B85" s="374"/>
      <c r="C85" s="374"/>
      <c r="D85" s="374"/>
      <c r="E85" s="415"/>
      <c r="F85" s="374"/>
      <c r="G85" s="374"/>
      <c r="H85" s="72" t="s">
        <v>393</v>
      </c>
      <c r="I85" s="138"/>
      <c r="J85" s="138"/>
      <c r="K85" s="138">
        <v>20.2</v>
      </c>
      <c r="L85" s="138">
        <f t="shared" si="1"/>
        <v>6.4331210191082802E-2</v>
      </c>
      <c r="M85" s="138"/>
      <c r="N85" s="138"/>
      <c r="O85" s="138">
        <f>(0.08847-1.46936*L85+11.98979*L85^2+1.97056*L85^3)*'Key Data'!$I$15*'Key Data'!$F$15</f>
        <v>3.471987186511416E-2</v>
      </c>
      <c r="P85" s="138">
        <f>O85*(1+'Key Data'!F$3)</f>
        <v>4.33998398313927E-2</v>
      </c>
      <c r="Q85" s="379"/>
      <c r="R85" s="379"/>
      <c r="S85" s="397"/>
    </row>
    <row r="86" spans="1:19" x14ac:dyDescent="0.3">
      <c r="A86" s="374"/>
      <c r="B86" s="374"/>
      <c r="C86" s="374"/>
      <c r="D86" s="374"/>
      <c r="E86" s="415"/>
      <c r="F86" s="374"/>
      <c r="G86" s="374"/>
      <c r="H86" s="72" t="s">
        <v>393</v>
      </c>
      <c r="I86" s="138"/>
      <c r="J86" s="138"/>
      <c r="K86" s="138">
        <v>23.5</v>
      </c>
      <c r="L86" s="138">
        <f t="shared" si="1"/>
        <v>7.4840764331210188E-2</v>
      </c>
      <c r="M86" s="138"/>
      <c r="N86" s="138"/>
      <c r="O86" s="138">
        <f>(0.08847-1.46936*L86+11.98979*L86^2+1.97056*L86^3)*'Key Data'!$I$15*'Key Data'!$F$15</f>
        <v>3.6606554058166541E-2</v>
      </c>
      <c r="P86" s="138">
        <f>O86*(1+'Key Data'!F$3)</f>
        <v>4.5758192572708176E-2</v>
      </c>
      <c r="Q86" s="379"/>
      <c r="R86" s="379"/>
      <c r="S86" s="397"/>
    </row>
    <row r="87" spans="1:19" x14ac:dyDescent="0.3">
      <c r="A87" s="374"/>
      <c r="B87" s="374"/>
      <c r="C87" s="374"/>
      <c r="D87" s="374"/>
      <c r="E87" s="415"/>
      <c r="F87" s="374"/>
      <c r="G87" s="374"/>
      <c r="H87" s="72" t="s">
        <v>393</v>
      </c>
      <c r="I87" s="138"/>
      <c r="J87" s="138"/>
      <c r="K87" s="138">
        <v>26</v>
      </c>
      <c r="L87" s="138">
        <f t="shared" si="1"/>
        <v>8.2802547770700632E-2</v>
      </c>
      <c r="M87" s="138"/>
      <c r="N87" s="138"/>
      <c r="O87" s="138">
        <f>(0.08847-1.46936*L87+11.98979*L87^2+1.97056*L87^3)*'Key Data'!$I$15*'Key Data'!$F$15</f>
        <v>3.9475097025098618E-2</v>
      </c>
      <c r="P87" s="138">
        <f>O87*(1+'Key Data'!F$3)</f>
        <v>4.9343871281373269E-2</v>
      </c>
      <c r="Q87" s="379"/>
      <c r="R87" s="379"/>
      <c r="S87" s="397"/>
    </row>
    <row r="88" spans="1:19" x14ac:dyDescent="0.3">
      <c r="A88" s="374"/>
      <c r="B88" s="374"/>
      <c r="C88" s="374"/>
      <c r="D88" s="374"/>
      <c r="E88" s="415"/>
      <c r="F88" s="374"/>
      <c r="G88" s="374"/>
      <c r="H88" s="72" t="s">
        <v>393</v>
      </c>
      <c r="I88" s="138"/>
      <c r="J88" s="138"/>
      <c r="K88" s="138">
        <v>21</v>
      </c>
      <c r="L88" s="138">
        <f t="shared" si="1"/>
        <v>6.6878980891719744E-2</v>
      </c>
      <c r="M88" s="138"/>
      <c r="N88" s="138"/>
      <c r="O88" s="138">
        <f>(0.08847-1.46936*L88+11.98979*L88^2+1.97056*L88^3)*'Key Data'!$I$15*'Key Data'!$F$15</f>
        <v>3.4979234988708016E-2</v>
      </c>
      <c r="P88" s="138">
        <f>O88*(1+'Key Data'!F$3)</f>
        <v>4.3724043735885024E-2</v>
      </c>
      <c r="Q88" s="379"/>
      <c r="R88" s="379"/>
      <c r="S88" s="397"/>
    </row>
    <row r="89" spans="1:19" x14ac:dyDescent="0.3">
      <c r="A89" s="374"/>
      <c r="B89" s="374"/>
      <c r="C89" s="374"/>
      <c r="D89" s="374"/>
      <c r="E89" s="415"/>
      <c r="F89" s="374"/>
      <c r="G89" s="374"/>
      <c r="H89" s="72" t="s">
        <v>393</v>
      </c>
      <c r="I89" s="138"/>
      <c r="J89" s="138"/>
      <c r="K89" s="138">
        <v>19.5</v>
      </c>
      <c r="L89" s="138">
        <f t="shared" si="1"/>
        <v>6.2101910828025478E-2</v>
      </c>
      <c r="M89" s="138"/>
      <c r="N89" s="138"/>
      <c r="O89" s="138">
        <f>(0.08847-1.46936*L89+11.98979*L89^2+1.97056*L89^3)*'Key Data'!$I$15*'Key Data'!$F$15</f>
        <v>3.4596676156794334E-2</v>
      </c>
      <c r="P89" s="138">
        <f>O89*(1+'Key Data'!F$3)</f>
        <v>4.3245845195992921E-2</v>
      </c>
      <c r="Q89" s="379"/>
      <c r="R89" s="379"/>
      <c r="S89" s="397"/>
    </row>
    <row r="90" spans="1:19" x14ac:dyDescent="0.3">
      <c r="A90" s="374"/>
      <c r="B90" s="374"/>
      <c r="C90" s="374"/>
      <c r="D90" s="374"/>
      <c r="E90" s="415"/>
      <c r="F90" s="374"/>
      <c r="G90" s="374"/>
      <c r="H90" s="72" t="s">
        <v>393</v>
      </c>
      <c r="I90" s="138"/>
      <c r="J90" s="138"/>
      <c r="K90" s="138">
        <f>SQRT(17.8^2+19.9^2)</f>
        <v>26.699250925821868</v>
      </c>
      <c r="L90" s="138">
        <f t="shared" si="1"/>
        <v>8.5029461547203394E-2</v>
      </c>
      <c r="M90" s="138"/>
      <c r="N90" s="138"/>
      <c r="O90" s="138">
        <f>(0.08847-1.46936*L90+11.98979*L90^2+1.97056*L90^3)*'Key Data'!$I$15*'Key Data'!$F$15</f>
        <v>4.0500205918459591E-2</v>
      </c>
      <c r="P90" s="138">
        <f>O90*(1+'Key Data'!F$3)</f>
        <v>5.062525739807449E-2</v>
      </c>
      <c r="Q90" s="379"/>
      <c r="R90" s="379"/>
      <c r="S90" s="397"/>
    </row>
    <row r="91" spans="1:19" x14ac:dyDescent="0.3">
      <c r="A91" s="374"/>
      <c r="B91" s="374"/>
      <c r="C91" s="374"/>
      <c r="D91" s="374"/>
      <c r="E91" s="415"/>
      <c r="F91" s="374"/>
      <c r="G91" s="374"/>
      <c r="H91" s="72" t="s">
        <v>393</v>
      </c>
      <c r="I91" s="138"/>
      <c r="J91" s="138"/>
      <c r="K91" s="138">
        <v>12</v>
      </c>
      <c r="L91" s="138">
        <f t="shared" si="1"/>
        <v>3.8216560509554139E-2</v>
      </c>
      <c r="M91" s="138"/>
      <c r="N91" s="138"/>
      <c r="O91" s="138">
        <f>(0.08847-1.46936*L91+11.98979*L91^2+1.97056*L91^3)*'Key Data'!$I$15*'Key Data'!$F$15</f>
        <v>3.9325589603930899E-2</v>
      </c>
      <c r="P91" s="138">
        <f>O91*(1+'Key Data'!F$3)</f>
        <v>4.9156987004913624E-2</v>
      </c>
      <c r="Q91" s="379"/>
      <c r="R91" s="379"/>
      <c r="S91" s="397"/>
    </row>
    <row r="92" spans="1:19" x14ac:dyDescent="0.3">
      <c r="A92" s="374"/>
      <c r="B92" s="374"/>
      <c r="C92" s="374"/>
      <c r="D92" s="374"/>
      <c r="E92" s="415"/>
      <c r="F92" s="374"/>
      <c r="G92" s="374"/>
      <c r="H92" s="72" t="s">
        <v>393</v>
      </c>
      <c r="I92" s="138"/>
      <c r="J92" s="138"/>
      <c r="K92" s="138">
        <v>13.5</v>
      </c>
      <c r="L92" s="138">
        <f t="shared" si="1"/>
        <v>4.2993630573248405E-2</v>
      </c>
      <c r="M92" s="138"/>
      <c r="N92" s="138"/>
      <c r="O92" s="138">
        <f>(0.08847-1.46936*L92+11.98979*L92^2+1.97056*L92^3)*'Key Data'!$I$15*'Key Data'!$F$15</f>
        <v>3.7497629313590262E-2</v>
      </c>
      <c r="P92" s="138">
        <f>O92*(1+'Key Data'!F$3)</f>
        <v>4.687203664198783E-2</v>
      </c>
      <c r="Q92" s="379"/>
      <c r="R92" s="379"/>
      <c r="S92" s="397"/>
    </row>
    <row r="93" spans="1:19" x14ac:dyDescent="0.3">
      <c r="A93" s="374"/>
      <c r="B93" s="374"/>
      <c r="C93" s="374"/>
      <c r="D93" s="374"/>
      <c r="E93" s="415"/>
      <c r="F93" s="374"/>
      <c r="G93" s="374"/>
      <c r="H93" s="72" t="s">
        <v>393</v>
      </c>
      <c r="I93" s="138"/>
      <c r="J93" s="138"/>
      <c r="K93" s="138">
        <f>SQRT(16^2+19.2^2)</f>
        <v>24.992798962901293</v>
      </c>
      <c r="L93" s="138">
        <f t="shared" si="1"/>
        <v>7.95949011557366E-2</v>
      </c>
      <c r="M93" s="138"/>
      <c r="N93" s="138"/>
      <c r="O93" s="138">
        <f>(0.08847-1.46936*L93+11.98979*L93^2+1.97056*L93^3)*'Key Data'!$I$15*'Key Data'!$F$15</f>
        <v>3.8169817085365661E-2</v>
      </c>
      <c r="P93" s="138">
        <f>O93*(1+'Key Data'!F$3)</f>
        <v>4.7712271356707074E-2</v>
      </c>
      <c r="Q93" s="379"/>
      <c r="R93" s="379"/>
      <c r="S93" s="397"/>
    </row>
    <row r="94" spans="1:19" x14ac:dyDescent="0.3">
      <c r="A94" s="374"/>
      <c r="B94" s="374"/>
      <c r="C94" s="374"/>
      <c r="D94" s="374"/>
      <c r="E94" s="415"/>
      <c r="F94" s="374"/>
      <c r="G94" s="374"/>
      <c r="H94" s="72" t="s">
        <v>393</v>
      </c>
      <c r="I94" s="138"/>
      <c r="J94" s="138"/>
      <c r="K94" s="138">
        <f>SQRT(15.7^2+13.5^2)</f>
        <v>20.706037766796427</v>
      </c>
      <c r="L94" s="138">
        <f t="shared" si="1"/>
        <v>6.5942795435657411E-2</v>
      </c>
      <c r="M94" s="138"/>
      <c r="N94" s="138"/>
      <c r="O94" s="138">
        <f>(0.08847-1.46936*L94+11.98979*L94^2+1.97056*L94^3)*'Key Data'!$I$15*'Key Data'!$F$15</f>
        <v>3.4869224205067058E-2</v>
      </c>
      <c r="P94" s="138">
        <f>O94*(1+'Key Data'!F$3)</f>
        <v>4.3586530256333821E-2</v>
      </c>
      <c r="Q94" s="379"/>
      <c r="R94" s="379"/>
      <c r="S94" s="397"/>
    </row>
    <row r="95" spans="1:19" x14ac:dyDescent="0.3">
      <c r="A95" s="374"/>
      <c r="B95" s="374"/>
      <c r="C95" s="374"/>
      <c r="D95" s="374"/>
      <c r="E95" s="415"/>
      <c r="F95" s="374"/>
      <c r="G95" s="374"/>
      <c r="H95" s="72" t="s">
        <v>393</v>
      </c>
      <c r="I95" s="138"/>
      <c r="J95" s="138"/>
      <c r="K95" s="138">
        <v>16.5</v>
      </c>
      <c r="L95" s="138">
        <f t="shared" si="1"/>
        <v>5.2547770700636945E-2</v>
      </c>
      <c r="M95" s="138"/>
      <c r="N95" s="138"/>
      <c r="O95" s="138">
        <f>(0.08847-1.46936*L95+11.98979*L95^2+1.97056*L95^3)*'Key Data'!$I$15*'Key Data'!$F$15</f>
        <v>3.516294508629058E-2</v>
      </c>
      <c r="P95" s="138">
        <f>O95*(1+'Key Data'!F$3)</f>
        <v>4.3953681357863227E-2</v>
      </c>
      <c r="Q95" s="379"/>
      <c r="R95" s="379"/>
      <c r="S95" s="397"/>
    </row>
    <row r="96" spans="1:19" x14ac:dyDescent="0.3">
      <c r="A96" s="374"/>
      <c r="B96" s="374"/>
      <c r="C96" s="374"/>
      <c r="D96" s="374"/>
      <c r="E96" s="415"/>
      <c r="F96" s="374"/>
      <c r="G96" s="374"/>
      <c r="H96" s="72" t="s">
        <v>393</v>
      </c>
      <c r="I96" s="138"/>
      <c r="J96" s="138"/>
      <c r="K96" s="138">
        <v>22.7</v>
      </c>
      <c r="L96" s="138">
        <f t="shared" si="1"/>
        <v>7.2292993630573232E-2</v>
      </c>
      <c r="M96" s="138"/>
      <c r="N96" s="138"/>
      <c r="O96" s="138">
        <f>(0.08847-1.46936*L96+11.98979*L96^2+1.97056*L96^3)*'Key Data'!$I$15*'Key Data'!$F$15</f>
        <v>3.5950991755286571E-2</v>
      </c>
      <c r="P96" s="138">
        <f>O96*(1+'Key Data'!F$3)</f>
        <v>4.4938739694108214E-2</v>
      </c>
      <c r="Q96" s="379"/>
      <c r="R96" s="379"/>
      <c r="S96" s="397"/>
    </row>
    <row r="97" spans="1:19" x14ac:dyDescent="0.3">
      <c r="A97" s="374"/>
      <c r="B97" s="374"/>
      <c r="C97" s="374"/>
      <c r="D97" s="374"/>
      <c r="E97" s="415"/>
      <c r="F97" s="374"/>
      <c r="G97" s="374"/>
      <c r="H97" s="72" t="s">
        <v>393</v>
      </c>
      <c r="I97" s="138"/>
      <c r="J97" s="138"/>
      <c r="K97" s="138">
        <v>22.8</v>
      </c>
      <c r="L97" s="138">
        <f t="shared" si="1"/>
        <v>7.2611464968152864E-2</v>
      </c>
      <c r="M97" s="138"/>
      <c r="N97" s="138"/>
      <c r="O97" s="138">
        <f>(0.08847-1.46936*L97+11.98979*L97^2+1.97056*L97^3)*'Key Data'!$I$15*'Key Data'!$F$15</f>
        <v>3.6025991452408104E-2</v>
      </c>
      <c r="P97" s="138">
        <f>O97*(1+'Key Data'!F$3)</f>
        <v>4.5032489315510127E-2</v>
      </c>
      <c r="Q97" s="379"/>
      <c r="R97" s="379"/>
      <c r="S97" s="397"/>
    </row>
    <row r="98" spans="1:19" x14ac:dyDescent="0.3">
      <c r="A98" s="374"/>
      <c r="B98" s="374"/>
      <c r="C98" s="374"/>
      <c r="D98" s="374"/>
      <c r="E98" s="415"/>
      <c r="F98" s="374"/>
      <c r="G98" s="374"/>
      <c r="H98" s="72" t="s">
        <v>393</v>
      </c>
      <c r="I98" s="138"/>
      <c r="J98" s="138"/>
      <c r="K98" s="138">
        <v>22.8</v>
      </c>
      <c r="L98" s="138">
        <f t="shared" si="1"/>
        <v>7.2611464968152864E-2</v>
      </c>
      <c r="M98" s="138"/>
      <c r="N98" s="138"/>
      <c r="O98" s="138">
        <f>(0.08847-1.46936*L98+11.98979*L98^2+1.97056*L98^3)*'Key Data'!$I$15*'Key Data'!$F$15</f>
        <v>3.6025991452408104E-2</v>
      </c>
      <c r="P98" s="138">
        <f>O98*(1+'Key Data'!F$3)</f>
        <v>4.5032489315510127E-2</v>
      </c>
      <c r="Q98" s="379"/>
      <c r="R98" s="379"/>
      <c r="S98" s="397"/>
    </row>
    <row r="99" spans="1:19" x14ac:dyDescent="0.3">
      <c r="A99" s="374"/>
      <c r="B99" s="374"/>
      <c r="C99" s="374"/>
      <c r="D99" s="374"/>
      <c r="E99" s="415"/>
      <c r="F99" s="374"/>
      <c r="G99" s="374"/>
      <c r="H99" s="72" t="s">
        <v>393</v>
      </c>
      <c r="I99" s="138"/>
      <c r="J99" s="138"/>
      <c r="K99" s="138">
        <f>SQRT(10.5^2+15.8^2)</f>
        <v>18.970766985021982</v>
      </c>
      <c r="L99" s="138">
        <f t="shared" si="1"/>
        <v>6.0416455366312044E-2</v>
      </c>
      <c r="M99" s="138"/>
      <c r="N99" s="138"/>
      <c r="O99" s="138">
        <f>(0.08847-1.46936*L99+11.98979*L99^2+1.97056*L99^3)*'Key Data'!$I$15*'Key Data'!$F$15</f>
        <v>3.4567746981396162E-2</v>
      </c>
      <c r="P99" s="138">
        <f>O99*(1+'Key Data'!F$3)</f>
        <v>4.3209683726745204E-2</v>
      </c>
      <c r="Q99" s="379"/>
      <c r="R99" s="379"/>
      <c r="S99" s="397"/>
    </row>
    <row r="100" spans="1:19" x14ac:dyDescent="0.3">
      <c r="A100" s="374"/>
      <c r="B100" s="374"/>
      <c r="C100" s="374"/>
      <c r="D100" s="374"/>
      <c r="E100" s="415"/>
      <c r="F100" s="374"/>
      <c r="G100" s="374"/>
      <c r="H100" s="72" t="s">
        <v>393</v>
      </c>
      <c r="I100" s="138"/>
      <c r="J100" s="138"/>
      <c r="K100" s="138">
        <f>SQRT(20.5^2+20^2)</f>
        <v>28.64000698323937</v>
      </c>
      <c r="L100" s="138">
        <f t="shared" si="1"/>
        <v>9.1210213322418368E-2</v>
      </c>
      <c r="M100" s="138"/>
      <c r="N100" s="138"/>
      <c r="O100" s="138">
        <f>(0.08847-1.46936*L100+11.98979*L100^2+1.97056*L100^3)*'Key Data'!$I$15*'Key Data'!$F$15</f>
        <v>4.3856921284197999E-2</v>
      </c>
      <c r="P100" s="138">
        <f>O100*(1+'Key Data'!F$3)</f>
        <v>5.4821151605247496E-2</v>
      </c>
      <c r="Q100" s="379"/>
      <c r="R100" s="379"/>
      <c r="S100" s="397"/>
    </row>
    <row r="101" spans="1:19" x14ac:dyDescent="0.3">
      <c r="A101" s="374"/>
      <c r="B101" s="374"/>
      <c r="C101" s="374"/>
      <c r="D101" s="374"/>
      <c r="E101" s="415"/>
      <c r="F101" s="374"/>
      <c r="G101" s="374"/>
      <c r="H101" s="72" t="s">
        <v>393</v>
      </c>
      <c r="I101" s="138"/>
      <c r="J101" s="138"/>
      <c r="K101" s="138">
        <v>18.5</v>
      </c>
      <c r="L101" s="138">
        <f t="shared" si="1"/>
        <v>5.89171974522293E-2</v>
      </c>
      <c r="M101" s="138"/>
      <c r="N101" s="138"/>
      <c r="O101" s="138">
        <f>(0.08847-1.46936*L101+11.98979*L101^2+1.97056*L101^3)*'Key Data'!$I$15*'Key Data'!$F$15</f>
        <v>3.4588440631564694E-2</v>
      </c>
      <c r="P101" s="138">
        <f>O101*(1+'Key Data'!F$3)</f>
        <v>4.3235550789455866E-2</v>
      </c>
      <c r="Q101" s="379"/>
      <c r="R101" s="379"/>
      <c r="S101" s="397"/>
    </row>
    <row r="102" spans="1:19" x14ac:dyDescent="0.3">
      <c r="A102" s="374"/>
      <c r="B102" s="374"/>
      <c r="C102" s="374"/>
      <c r="D102" s="374"/>
      <c r="E102" s="415"/>
      <c r="F102" s="374"/>
      <c r="G102" s="374"/>
      <c r="H102" s="72" t="s">
        <v>393</v>
      </c>
      <c r="I102" s="138"/>
      <c r="J102" s="138"/>
      <c r="K102" s="138">
        <v>25</v>
      </c>
      <c r="L102" s="138">
        <f t="shared" si="1"/>
        <v>7.9617834394904455E-2</v>
      </c>
      <c r="M102" s="138"/>
      <c r="N102" s="138"/>
      <c r="O102" s="138">
        <f>(0.08847-1.46936*L102+11.98979*L102^2+1.97056*L102^3)*'Key Data'!$I$15*'Key Data'!$F$15</f>
        <v>3.8178432222778814E-2</v>
      </c>
      <c r="P102" s="138">
        <f>O102*(1+'Key Data'!F$3)</f>
        <v>4.7723040278473516E-2</v>
      </c>
      <c r="Q102" s="379"/>
      <c r="R102" s="379"/>
      <c r="S102" s="397"/>
    </row>
    <row r="103" spans="1:19" x14ac:dyDescent="0.3">
      <c r="A103" s="374"/>
      <c r="B103" s="374"/>
      <c r="C103" s="374"/>
      <c r="D103" s="374"/>
      <c r="E103" s="415"/>
      <c r="F103" s="374"/>
      <c r="G103" s="374"/>
      <c r="H103" s="72" t="s">
        <v>393</v>
      </c>
      <c r="I103" s="138"/>
      <c r="J103" s="138"/>
      <c r="K103" s="138">
        <v>23.5</v>
      </c>
      <c r="L103" s="138">
        <f t="shared" si="1"/>
        <v>7.4840764331210188E-2</v>
      </c>
      <c r="M103" s="138"/>
      <c r="N103" s="138"/>
      <c r="O103" s="138">
        <f>(0.08847-1.46936*L103+11.98979*L103^2+1.97056*L103^3)*'Key Data'!$I$15*'Key Data'!$F$15</f>
        <v>3.6606554058166541E-2</v>
      </c>
      <c r="P103" s="138">
        <f>O103*(1+'Key Data'!F$3)</f>
        <v>4.5758192572708176E-2</v>
      </c>
      <c r="Q103" s="379"/>
      <c r="R103" s="379"/>
      <c r="S103" s="397"/>
    </row>
    <row r="104" spans="1:19" x14ac:dyDescent="0.3">
      <c r="A104" s="374"/>
      <c r="B104" s="374"/>
      <c r="C104" s="374"/>
      <c r="D104" s="374"/>
      <c r="E104" s="415"/>
      <c r="F104" s="374"/>
      <c r="G104" s="374"/>
      <c r="H104" s="72" t="s">
        <v>393</v>
      </c>
      <c r="I104" s="138"/>
      <c r="J104" s="138"/>
      <c r="K104" s="138">
        <v>22</v>
      </c>
      <c r="L104" s="138">
        <f t="shared" si="1"/>
        <v>7.0063694267515922E-2</v>
      </c>
      <c r="M104" s="138"/>
      <c r="N104" s="138"/>
      <c r="O104" s="138">
        <f>(0.08847-1.46936*L104+11.98979*L104^2+1.97056*L104^3)*'Key Data'!$I$15*'Key Data'!$F$15</f>
        <v>3.548151649664473E-2</v>
      </c>
      <c r="P104" s="138">
        <f>O104*(1+'Key Data'!F$3)</f>
        <v>4.4351895620805909E-2</v>
      </c>
      <c r="Q104" s="379"/>
      <c r="R104" s="379"/>
      <c r="S104" s="397"/>
    </row>
    <row r="105" spans="1:19" x14ac:dyDescent="0.3">
      <c r="A105" s="374"/>
      <c r="B105" s="374"/>
      <c r="C105" s="374"/>
      <c r="D105" s="374"/>
      <c r="E105" s="415"/>
      <c r="F105" s="374"/>
      <c r="G105" s="374"/>
      <c r="H105" s="72" t="s">
        <v>393</v>
      </c>
      <c r="I105" s="138"/>
      <c r="J105" s="138"/>
      <c r="K105" s="138">
        <v>18.5</v>
      </c>
      <c r="L105" s="138">
        <f t="shared" si="1"/>
        <v>5.89171974522293E-2</v>
      </c>
      <c r="M105" s="138"/>
      <c r="N105" s="138"/>
      <c r="O105" s="138">
        <f>(0.08847-1.46936*L105+11.98979*L105^2+1.97056*L105^3)*'Key Data'!$I$15*'Key Data'!$F$15</f>
        <v>3.4588440631564694E-2</v>
      </c>
      <c r="P105" s="138">
        <f>O105*(1+'Key Data'!F$3)</f>
        <v>4.3235550789455866E-2</v>
      </c>
      <c r="Q105" s="379"/>
      <c r="R105" s="379"/>
      <c r="S105" s="397"/>
    </row>
    <row r="106" spans="1:19" x14ac:dyDescent="0.3">
      <c r="A106" s="374"/>
      <c r="B106" s="374"/>
      <c r="C106" s="374"/>
      <c r="D106" s="374"/>
      <c r="E106" s="415"/>
      <c r="F106" s="374"/>
      <c r="G106" s="374"/>
      <c r="H106" s="72" t="s">
        <v>393</v>
      </c>
      <c r="I106" s="138"/>
      <c r="J106" s="138"/>
      <c r="K106" s="138">
        <v>18</v>
      </c>
      <c r="L106" s="138">
        <f t="shared" si="1"/>
        <v>5.7324840764331204E-2</v>
      </c>
      <c r="M106" s="138"/>
      <c r="N106" s="138"/>
      <c r="O106" s="138">
        <f>(0.08847-1.46936*L106+11.98979*L106^2+1.97056*L106^3)*'Key Data'!$I$15*'Key Data'!$F$15</f>
        <v>3.4658251197319925E-2</v>
      </c>
      <c r="P106" s="138">
        <f>O106*(1+'Key Data'!F$3)</f>
        <v>4.3322813996649903E-2</v>
      </c>
      <c r="Q106" s="379"/>
      <c r="R106" s="379"/>
      <c r="S106" s="397"/>
    </row>
    <row r="107" spans="1:19" x14ac:dyDescent="0.3">
      <c r="A107" s="374"/>
      <c r="B107" s="374"/>
      <c r="C107" s="374"/>
      <c r="D107" s="374"/>
      <c r="E107" s="415"/>
      <c r="F107" s="374"/>
      <c r="G107" s="374"/>
      <c r="H107" s="72" t="s">
        <v>393</v>
      </c>
      <c r="I107" s="138"/>
      <c r="J107" s="138"/>
      <c r="K107" s="138">
        <f>SQRT(20.2^2+18^2)</f>
        <v>27.056237728109945</v>
      </c>
      <c r="L107" s="138">
        <f t="shared" si="1"/>
        <v>8.6166362191432935E-2</v>
      </c>
      <c r="M107" s="138"/>
      <c r="N107" s="138"/>
      <c r="O107" s="138">
        <f>(0.08847-1.46936*L107+11.98979*L107^2+1.97056*L107^3)*'Key Data'!$I$15*'Key Data'!$F$15</f>
        <v>4.1061168654277121E-2</v>
      </c>
      <c r="P107" s="138">
        <f>O107*(1+'Key Data'!F$3)</f>
        <v>5.1326460817846399E-2</v>
      </c>
      <c r="Q107" s="379"/>
      <c r="R107" s="379"/>
      <c r="S107" s="397"/>
    </row>
    <row r="108" spans="1:19" x14ac:dyDescent="0.3">
      <c r="A108" s="374"/>
      <c r="B108" s="374"/>
      <c r="C108" s="374"/>
      <c r="D108" s="374"/>
      <c r="E108" s="415"/>
      <c r="F108" s="374"/>
      <c r="G108" s="374"/>
      <c r="H108" s="72" t="s">
        <v>393</v>
      </c>
      <c r="I108" s="138"/>
      <c r="J108" s="138"/>
      <c r="K108" s="138">
        <v>21.4</v>
      </c>
      <c r="L108" s="138">
        <f t="shared" si="1"/>
        <v>6.8152866242038201E-2</v>
      </c>
      <c r="M108" s="138"/>
      <c r="N108" s="138"/>
      <c r="O108" s="138">
        <f>(0.08847-1.46936*L108+11.98979*L108^2+1.97056*L108^3)*'Key Data'!$I$15*'Key Data'!$F$15</f>
        <v>3.5156389475526635E-2</v>
      </c>
      <c r="P108" s="138">
        <f>O108*(1+'Key Data'!F$3)</f>
        <v>4.3945486844408292E-2</v>
      </c>
      <c r="Q108" s="379"/>
      <c r="R108" s="379"/>
      <c r="S108" s="397"/>
    </row>
    <row r="109" spans="1:19" x14ac:dyDescent="0.3">
      <c r="A109" s="374"/>
      <c r="B109" s="374"/>
      <c r="C109" s="374"/>
      <c r="D109" s="374"/>
      <c r="E109" s="415"/>
      <c r="F109" s="374"/>
      <c r="G109" s="374"/>
      <c r="H109" s="72" t="s">
        <v>393</v>
      </c>
      <c r="I109" s="138"/>
      <c r="J109" s="138"/>
      <c r="K109" s="138">
        <v>21.2</v>
      </c>
      <c r="L109" s="138">
        <f t="shared" si="1"/>
        <v>6.751592356687898E-2</v>
      </c>
      <c r="M109" s="138"/>
      <c r="N109" s="138"/>
      <c r="O109" s="138">
        <f>(0.08847-1.46936*L109+11.98979*L109^2+1.97056*L109^3)*'Key Data'!$I$15*'Key Data'!$F$15</f>
        <v>3.5063854150046515E-2</v>
      </c>
      <c r="P109" s="138">
        <f>O109*(1+'Key Data'!F$3)</f>
        <v>4.3829817687558142E-2</v>
      </c>
      <c r="Q109" s="379"/>
      <c r="R109" s="379"/>
      <c r="S109" s="397"/>
    </row>
    <row r="110" spans="1:19" x14ac:dyDescent="0.3">
      <c r="A110" s="374"/>
      <c r="B110" s="374"/>
      <c r="C110" s="374"/>
      <c r="D110" s="374"/>
      <c r="E110" s="415"/>
      <c r="F110" s="374"/>
      <c r="G110" s="374"/>
      <c r="H110" s="72" t="s">
        <v>393</v>
      </c>
      <c r="I110" s="138"/>
      <c r="J110" s="138"/>
      <c r="K110" s="138">
        <f>SQRT(15.8^2+15.8^2)</f>
        <v>22.344574285494904</v>
      </c>
      <c r="L110" s="138">
        <f t="shared" si="1"/>
        <v>7.1161064603486951E-2</v>
      </c>
      <c r="M110" s="138"/>
      <c r="N110" s="138"/>
      <c r="O110" s="138">
        <f>(0.08847-1.46936*L110+11.98979*L110^2+1.97056*L110^3)*'Key Data'!$I$15*'Key Data'!$F$15</f>
        <v>3.570047535462513E-2</v>
      </c>
      <c r="P110" s="138">
        <f>O110*(1+'Key Data'!F$3)</f>
        <v>4.4625594193281409E-2</v>
      </c>
      <c r="Q110" s="379"/>
      <c r="R110" s="379"/>
      <c r="S110" s="397"/>
    </row>
    <row r="111" spans="1:19" x14ac:dyDescent="0.3">
      <c r="A111" s="374"/>
      <c r="B111" s="374"/>
      <c r="C111" s="374"/>
      <c r="D111" s="374"/>
      <c r="E111" s="415"/>
      <c r="F111" s="374"/>
      <c r="G111" s="374"/>
      <c r="H111" s="72" t="s">
        <v>393</v>
      </c>
      <c r="I111" s="138"/>
      <c r="J111" s="138"/>
      <c r="K111" s="138">
        <v>27.4</v>
      </c>
      <c r="L111" s="138">
        <f t="shared" si="1"/>
        <v>8.7261146496815267E-2</v>
      </c>
      <c r="M111" s="138"/>
      <c r="N111" s="138"/>
      <c r="O111" s="138">
        <f>(0.08847-1.46936*L111+11.98979*L111^2+1.97056*L111^3)*'Key Data'!$I$15*'Key Data'!$F$15</f>
        <v>4.1625399240476202E-2</v>
      </c>
      <c r="P111" s="138">
        <f>O111*(1+'Key Data'!F$3)</f>
        <v>5.2031749050595252E-2</v>
      </c>
      <c r="Q111" s="379"/>
      <c r="R111" s="379"/>
      <c r="S111" s="397"/>
    </row>
    <row r="112" spans="1:19" x14ac:dyDescent="0.3">
      <c r="A112" s="374"/>
      <c r="B112" s="374"/>
      <c r="C112" s="374"/>
      <c r="D112" s="374"/>
      <c r="E112" s="415"/>
      <c r="F112" s="374"/>
      <c r="G112" s="374"/>
      <c r="H112" s="72" t="s">
        <v>393</v>
      </c>
      <c r="I112" s="138"/>
      <c r="J112" s="138"/>
      <c r="K112" s="138">
        <v>18</v>
      </c>
      <c r="L112" s="138">
        <f t="shared" si="1"/>
        <v>5.7324840764331204E-2</v>
      </c>
      <c r="M112" s="138"/>
      <c r="N112" s="138"/>
      <c r="O112" s="138">
        <f>(0.08847-1.46936*L112+11.98979*L112^2+1.97056*L112^3)*'Key Data'!$I$15*'Key Data'!$F$15</f>
        <v>3.4658251197319925E-2</v>
      </c>
      <c r="P112" s="138">
        <f>O112*(1+'Key Data'!F$3)</f>
        <v>4.3322813996649903E-2</v>
      </c>
      <c r="Q112" s="379"/>
      <c r="R112" s="379"/>
      <c r="S112" s="397"/>
    </row>
    <row r="113" spans="1:19" x14ac:dyDescent="0.3">
      <c r="A113" s="374"/>
      <c r="B113" s="374"/>
      <c r="C113" s="374"/>
      <c r="D113" s="374"/>
      <c r="E113" s="415"/>
      <c r="F113" s="374"/>
      <c r="G113" s="374"/>
      <c r="H113" s="72" t="s">
        <v>393</v>
      </c>
      <c r="I113" s="138"/>
      <c r="J113" s="138"/>
      <c r="K113" s="138">
        <v>14</v>
      </c>
      <c r="L113" s="138">
        <f t="shared" si="1"/>
        <v>4.4585987261146494E-2</v>
      </c>
      <c r="M113" s="138"/>
      <c r="N113" s="138"/>
      <c r="O113" s="138">
        <f>(0.08847-1.46936*L113+11.98979*L113^2+1.97056*L113^3)*'Key Data'!$I$15*'Key Data'!$F$15</f>
        <v>3.6986053264715588E-2</v>
      </c>
      <c r="P113" s="138">
        <f>O113*(1+'Key Data'!F$3)</f>
        <v>4.6232566580894488E-2</v>
      </c>
      <c r="Q113" s="379"/>
      <c r="R113" s="379"/>
      <c r="S113" s="397"/>
    </row>
    <row r="114" spans="1:19" x14ac:dyDescent="0.3">
      <c r="A114" s="374"/>
      <c r="B114" s="374"/>
      <c r="C114" s="374"/>
      <c r="D114" s="374"/>
      <c r="E114" s="415"/>
      <c r="F114" s="374"/>
      <c r="G114" s="374"/>
      <c r="H114" s="72" t="s">
        <v>393</v>
      </c>
      <c r="I114" s="138"/>
      <c r="J114" s="138"/>
      <c r="K114" s="138">
        <v>24</v>
      </c>
      <c r="L114" s="138">
        <f t="shared" si="1"/>
        <v>7.6433121019108277E-2</v>
      </c>
      <c r="M114" s="138"/>
      <c r="N114" s="138"/>
      <c r="O114" s="138">
        <f>(0.08847-1.46936*L114+11.98979*L114^2+1.97056*L114^3)*'Key Data'!$I$15*'Key Data'!$F$15</f>
        <v>3.7080814365829995E-2</v>
      </c>
      <c r="P114" s="138">
        <f>O114*(1+'Key Data'!F$3)</f>
        <v>4.6351017957287494E-2</v>
      </c>
      <c r="Q114" s="379"/>
      <c r="R114" s="379"/>
      <c r="S114" s="397"/>
    </row>
    <row r="115" spans="1:19" x14ac:dyDescent="0.3">
      <c r="A115" s="374"/>
      <c r="B115" s="374"/>
      <c r="C115" s="374"/>
      <c r="D115" s="374"/>
      <c r="E115" s="415"/>
      <c r="F115" s="374"/>
      <c r="G115" s="374"/>
      <c r="H115" s="72" t="s">
        <v>393</v>
      </c>
      <c r="I115" s="138"/>
      <c r="J115" s="138"/>
      <c r="K115" s="138">
        <v>29</v>
      </c>
      <c r="L115" s="138">
        <f t="shared" si="1"/>
        <v>9.2356687898089179E-2</v>
      </c>
      <c r="M115" s="138"/>
      <c r="N115" s="138"/>
      <c r="O115" s="138">
        <f>(0.08847-1.46936*L115+11.98979*L115^2+1.97056*L115^3)*'Key Data'!$I$15*'Key Data'!$F$15</f>
        <v>4.4562380582785173E-2</v>
      </c>
      <c r="P115" s="138">
        <f>O115*(1+'Key Data'!F$3)</f>
        <v>5.5702975728481464E-2</v>
      </c>
      <c r="Q115" s="379"/>
      <c r="R115" s="379"/>
      <c r="S115" s="397"/>
    </row>
    <row r="116" spans="1:19" x14ac:dyDescent="0.3">
      <c r="A116" s="374"/>
      <c r="B116" s="374"/>
      <c r="C116" s="374"/>
      <c r="D116" s="374"/>
      <c r="E116" s="415"/>
      <c r="F116" s="374"/>
      <c r="G116" s="374"/>
      <c r="H116" s="72" t="s">
        <v>393</v>
      </c>
      <c r="I116" s="138"/>
      <c r="J116" s="138"/>
      <c r="K116" s="138">
        <v>20.5</v>
      </c>
      <c r="L116" s="138">
        <f t="shared" si="1"/>
        <v>6.5286624203821655E-2</v>
      </c>
      <c r="M116" s="138"/>
      <c r="N116" s="138"/>
      <c r="O116" s="138">
        <f>(0.08847-1.46936*L116+11.98979*L116^2+1.97056*L116^3)*'Key Data'!$I$15*'Key Data'!$F$15</f>
        <v>3.4802304514219201E-2</v>
      </c>
      <c r="P116" s="138">
        <f>O116*(1+'Key Data'!F$3)</f>
        <v>4.3502880642774001E-2</v>
      </c>
      <c r="Q116" s="379"/>
      <c r="R116" s="379"/>
      <c r="S116" s="397"/>
    </row>
    <row r="117" spans="1:19" x14ac:dyDescent="0.3">
      <c r="A117" s="374"/>
      <c r="B117" s="374"/>
      <c r="C117" s="374"/>
      <c r="D117" s="374"/>
      <c r="E117" s="415"/>
      <c r="F117" s="374"/>
      <c r="G117" s="374"/>
      <c r="H117" s="72" t="s">
        <v>393</v>
      </c>
      <c r="I117" s="138"/>
      <c r="J117" s="138"/>
      <c r="K117" s="138">
        <v>20</v>
      </c>
      <c r="L117" s="138">
        <f t="shared" si="1"/>
        <v>6.3694267515923567E-2</v>
      </c>
      <c r="M117" s="138"/>
      <c r="N117" s="138"/>
      <c r="O117" s="138">
        <f>(0.08847-1.46936*L117+11.98979*L117^2+1.97056*L117^3)*'Key Data'!$I$15*'Key Data'!$F$15</f>
        <v>3.4674797434741736E-2</v>
      </c>
      <c r="P117" s="138">
        <f>O117*(1+'Key Data'!F$3)</f>
        <v>4.3343496793427166E-2</v>
      </c>
      <c r="Q117" s="379"/>
      <c r="R117" s="379"/>
      <c r="S117" s="397"/>
    </row>
    <row r="118" spans="1:19" x14ac:dyDescent="0.3">
      <c r="A118" s="374"/>
      <c r="B118" s="374"/>
      <c r="C118" s="374"/>
      <c r="D118" s="374"/>
      <c r="E118" s="415"/>
      <c r="F118" s="374"/>
      <c r="G118" s="374"/>
      <c r="H118" s="72" t="s">
        <v>393</v>
      </c>
      <c r="I118" s="138"/>
      <c r="J118" s="138"/>
      <c r="K118" s="138">
        <v>27</v>
      </c>
      <c r="L118" s="138">
        <f t="shared" si="1"/>
        <v>8.598726114649681E-2</v>
      </c>
      <c r="M118" s="138"/>
      <c r="N118" s="138"/>
      <c r="O118" s="138">
        <f>(0.08847-1.46936*L118+11.98979*L118^2+1.97056*L118^3)*'Key Data'!$I$15*'Key Data'!$F$15</f>
        <v>4.0971109520639502E-2</v>
      </c>
      <c r="P118" s="138">
        <f>O118*(1+'Key Data'!F$3)</f>
        <v>5.121388690079938E-2</v>
      </c>
      <c r="Q118" s="379"/>
      <c r="R118" s="379"/>
      <c r="S118" s="397"/>
    </row>
    <row r="119" spans="1:19" x14ac:dyDescent="0.3">
      <c r="A119" s="374"/>
      <c r="B119" s="374"/>
      <c r="C119" s="374"/>
      <c r="D119" s="374"/>
      <c r="E119" s="415"/>
      <c r="F119" s="374"/>
      <c r="G119" s="374"/>
      <c r="H119" s="72" t="s">
        <v>393</v>
      </c>
      <c r="I119" s="138"/>
      <c r="J119" s="138"/>
      <c r="K119" s="138">
        <v>28.2</v>
      </c>
      <c r="L119" s="138">
        <f t="shared" si="1"/>
        <v>8.9808917197452237E-2</v>
      </c>
      <c r="M119" s="138"/>
      <c r="N119" s="138"/>
      <c r="O119" s="138">
        <f>(0.08847-1.46936*L119+11.98979*L119^2+1.97056*L119^3)*'Key Data'!$I$15*'Key Data'!$F$15</f>
        <v>4.3029886923313443E-2</v>
      </c>
      <c r="P119" s="138">
        <f>O119*(1+'Key Data'!F$3)</f>
        <v>5.3787358654141804E-2</v>
      </c>
      <c r="Q119" s="379"/>
      <c r="R119" s="379"/>
      <c r="S119" s="397"/>
    </row>
    <row r="120" spans="1:19" x14ac:dyDescent="0.3">
      <c r="A120" s="374"/>
      <c r="B120" s="374"/>
      <c r="C120" s="374"/>
      <c r="D120" s="374"/>
      <c r="E120" s="415"/>
      <c r="F120" s="374"/>
      <c r="G120" s="374"/>
      <c r="H120" s="72" t="s">
        <v>393</v>
      </c>
      <c r="I120" s="138"/>
      <c r="J120" s="138"/>
      <c r="K120" s="138">
        <v>21.7</v>
      </c>
      <c r="L120" s="138">
        <f t="shared" si="1"/>
        <v>6.9108280254777069E-2</v>
      </c>
      <c r="M120" s="138"/>
      <c r="N120" s="138"/>
      <c r="O120" s="138">
        <f>(0.08847-1.46936*L120+11.98979*L120^2+1.97056*L120^3)*'Key Data'!$I$15*'Key Data'!$F$15</f>
        <v>3.531004053459974E-2</v>
      </c>
      <c r="P120" s="138">
        <f>O120*(1+'Key Data'!F$3)</f>
        <v>4.4137550668249675E-2</v>
      </c>
      <c r="Q120" s="379"/>
      <c r="R120" s="379"/>
      <c r="S120" s="397"/>
    </row>
    <row r="121" spans="1:19" x14ac:dyDescent="0.3">
      <c r="A121" s="374"/>
      <c r="B121" s="374"/>
      <c r="C121" s="374"/>
      <c r="D121" s="374"/>
      <c r="E121" s="415"/>
      <c r="F121" s="374"/>
      <c r="G121" s="374"/>
      <c r="H121" s="72" t="s">
        <v>393</v>
      </c>
      <c r="I121" s="138"/>
      <c r="J121" s="138"/>
      <c r="K121" s="138">
        <v>22</v>
      </c>
      <c r="L121" s="138">
        <f t="shared" si="1"/>
        <v>7.0063694267515922E-2</v>
      </c>
      <c r="M121" s="138"/>
      <c r="N121" s="138"/>
      <c r="O121" s="138">
        <f>(0.08847-1.46936*L121+11.98979*L121^2+1.97056*L121^3)*'Key Data'!$I$15*'Key Data'!$F$15</f>
        <v>3.548151649664473E-2</v>
      </c>
      <c r="P121" s="138">
        <f>O121*(1+'Key Data'!F$3)</f>
        <v>4.4351895620805909E-2</v>
      </c>
      <c r="Q121" s="379"/>
      <c r="R121" s="379"/>
      <c r="S121" s="397"/>
    </row>
    <row r="122" spans="1:19" x14ac:dyDescent="0.3">
      <c r="A122" s="374"/>
      <c r="B122" s="374"/>
      <c r="C122" s="374"/>
      <c r="D122" s="374"/>
      <c r="E122" s="415"/>
      <c r="F122" s="374"/>
      <c r="G122" s="374"/>
      <c r="H122" s="72" t="s">
        <v>393</v>
      </c>
      <c r="I122" s="138"/>
      <c r="J122" s="138"/>
      <c r="K122" s="138">
        <v>45.5</v>
      </c>
      <c r="L122" s="138">
        <f t="shared" si="1"/>
        <v>0.14490445859872611</v>
      </c>
      <c r="M122" s="138"/>
      <c r="N122" s="138"/>
      <c r="O122" s="138">
        <f>(0.08847-1.46936*L122+11.98979*L122^2+1.97056*L122^3)*'Key Data'!$I$15*'Key Data'!$F$15</f>
        <v>0.10497537137493403</v>
      </c>
      <c r="P122" s="138">
        <f>O122*(1+'Key Data'!F$3)</f>
        <v>0.13121921421866753</v>
      </c>
      <c r="Q122" s="379"/>
      <c r="R122" s="379"/>
      <c r="S122" s="397"/>
    </row>
    <row r="123" spans="1:19" x14ac:dyDescent="0.3">
      <c r="A123" s="374"/>
      <c r="B123" s="374"/>
      <c r="C123" s="374"/>
      <c r="D123" s="374"/>
      <c r="E123" s="415"/>
      <c r="F123" s="374"/>
      <c r="G123" s="374"/>
      <c r="H123" s="72" t="s">
        <v>393</v>
      </c>
      <c r="I123" s="138"/>
      <c r="J123" s="138"/>
      <c r="K123" s="138">
        <v>10.199999999999999</v>
      </c>
      <c r="L123" s="138">
        <f t="shared" si="1"/>
        <v>3.2484076433121019E-2</v>
      </c>
      <c r="M123" s="138"/>
      <c r="N123" s="138"/>
      <c r="O123" s="138">
        <f>(0.08847-1.46936*L123+11.98979*L123^2+1.97056*L123^3)*'Key Data'!$I$15*'Key Data'!$F$15</f>
        <v>4.2098610183486262E-2</v>
      </c>
      <c r="P123" s="138">
        <f>O123*(1+'Key Data'!F$3)</f>
        <v>5.2623262729357828E-2</v>
      </c>
      <c r="Q123" s="379"/>
      <c r="R123" s="379"/>
      <c r="S123" s="397"/>
    </row>
    <row r="124" spans="1:19" x14ac:dyDescent="0.3">
      <c r="A124" s="374"/>
      <c r="B124" s="374"/>
      <c r="C124" s="374"/>
      <c r="D124" s="374"/>
      <c r="E124" s="415"/>
      <c r="F124" s="374"/>
      <c r="G124" s="374"/>
      <c r="H124" s="72" t="s">
        <v>393</v>
      </c>
      <c r="I124" s="138"/>
      <c r="J124" s="138"/>
      <c r="K124" s="138">
        <v>15.2</v>
      </c>
      <c r="L124" s="138">
        <f t="shared" si="1"/>
        <v>4.8407643312101907E-2</v>
      </c>
      <c r="M124" s="138"/>
      <c r="N124" s="138"/>
      <c r="O124" s="138">
        <f>(0.08847-1.46936*L124+11.98979*L124^2+1.97056*L124^3)*'Key Data'!$I$15*'Key Data'!$F$15</f>
        <v>3.5957995818804545E-2</v>
      </c>
      <c r="P124" s="138">
        <f>O124*(1+'Key Data'!F$3)</f>
        <v>4.4947494773505681E-2</v>
      </c>
      <c r="Q124" s="379"/>
      <c r="R124" s="379"/>
      <c r="S124" s="397"/>
    </row>
    <row r="125" spans="1:19" x14ac:dyDescent="0.3">
      <c r="A125" s="374"/>
      <c r="B125" s="374"/>
      <c r="C125" s="374"/>
      <c r="D125" s="374"/>
      <c r="E125" s="415"/>
      <c r="F125" s="374"/>
      <c r="G125" s="374"/>
      <c r="H125" s="72" t="s">
        <v>393</v>
      </c>
      <c r="I125" s="138"/>
      <c r="J125" s="138"/>
      <c r="K125" s="138">
        <v>25</v>
      </c>
      <c r="L125" s="138">
        <f t="shared" si="1"/>
        <v>7.9617834394904455E-2</v>
      </c>
      <c r="M125" s="138"/>
      <c r="N125" s="138"/>
      <c r="O125" s="138">
        <f>(0.08847-1.46936*L125+11.98979*L125^2+1.97056*L125^3)*'Key Data'!$I$15*'Key Data'!$F$15</f>
        <v>3.8178432222778814E-2</v>
      </c>
      <c r="P125" s="138">
        <f>O125*(1+'Key Data'!F$3)</f>
        <v>4.7723040278473516E-2</v>
      </c>
      <c r="Q125" s="379"/>
      <c r="R125" s="379"/>
      <c r="S125" s="397"/>
    </row>
    <row r="126" spans="1:19" x14ac:dyDescent="0.3">
      <c r="A126" s="374"/>
      <c r="B126" s="374"/>
      <c r="C126" s="374"/>
      <c r="D126" s="374"/>
      <c r="E126" s="415"/>
      <c r="F126" s="374"/>
      <c r="G126" s="374"/>
      <c r="H126" s="72" t="s">
        <v>393</v>
      </c>
      <c r="I126" s="138"/>
      <c r="J126" s="138"/>
      <c r="K126" s="138">
        <f>SQRT(23^2+24.5^2)</f>
        <v>33.604315199093108</v>
      </c>
      <c r="L126" s="138">
        <f t="shared" si="1"/>
        <v>0.10702011209902264</v>
      </c>
      <c r="M126" s="138"/>
      <c r="N126" s="138"/>
      <c r="O126" s="138">
        <f>(0.08847-1.46936*L126+11.98979*L126^2+1.97056*L126^3)*'Key Data'!$I$15*'Key Data'!$F$15</f>
        <v>5.5878657034877835E-2</v>
      </c>
      <c r="P126" s="138">
        <f>O126*(1+'Key Data'!F$3)</f>
        <v>6.984832129359729E-2</v>
      </c>
      <c r="Q126" s="379"/>
      <c r="R126" s="379"/>
      <c r="S126" s="397"/>
    </row>
    <row r="127" spans="1:19" x14ac:dyDescent="0.3">
      <c r="A127" s="367">
        <v>3</v>
      </c>
      <c r="B127" s="367" t="s">
        <v>460</v>
      </c>
      <c r="C127" s="367"/>
      <c r="D127" s="367"/>
      <c r="E127" s="416">
        <v>24.701805</v>
      </c>
      <c r="F127" s="367">
        <v>86.626176999999998</v>
      </c>
      <c r="G127" s="367">
        <v>2021</v>
      </c>
      <c r="H127" s="94" t="s">
        <v>263</v>
      </c>
      <c r="I127" s="131">
        <v>33</v>
      </c>
      <c r="J127" s="131">
        <f t="shared" ref="J127:J139" si="2">I127/3.14</f>
        <v>10.509554140127388</v>
      </c>
      <c r="K127" s="131"/>
      <c r="L127" s="131"/>
      <c r="M127" s="131"/>
      <c r="N127" s="131"/>
      <c r="O127" s="131">
        <f>30.4*EXP(-5.07*EXP(-0.26*J127)+1.277)/1000</f>
        <v>7.8382538522569559E-2</v>
      </c>
      <c r="P127" s="131">
        <f>O127*(1+'Key Data'!F$3)</f>
        <v>9.7978173153211945E-2</v>
      </c>
      <c r="Q127" s="366">
        <f>SUM(P127:P142)</f>
        <v>1.4846233530757806</v>
      </c>
      <c r="R127" s="366">
        <f>Q127*10000/900</f>
        <v>16.49581503417534</v>
      </c>
      <c r="S127" s="397"/>
    </row>
    <row r="128" spans="1:19" x14ac:dyDescent="0.3">
      <c r="A128" s="367"/>
      <c r="B128" s="367"/>
      <c r="C128" s="367"/>
      <c r="D128" s="367"/>
      <c r="E128" s="416"/>
      <c r="F128" s="367"/>
      <c r="G128" s="367"/>
      <c r="H128" s="94" t="s">
        <v>263</v>
      </c>
      <c r="I128" s="131">
        <v>34.200000000000003</v>
      </c>
      <c r="J128" s="131">
        <f t="shared" si="2"/>
        <v>10.891719745222931</v>
      </c>
      <c r="K128" s="131"/>
      <c r="L128" s="131"/>
      <c r="M128" s="131"/>
      <c r="N128" s="131"/>
      <c r="O128" s="131">
        <f t="shared" ref="O128:O139" si="3">30.4*EXP(-5.07*EXP(-0.26*J128)+1.277)/1000</f>
        <v>8.0866494894979851E-2</v>
      </c>
      <c r="P128" s="131">
        <f>O128*(1+'Key Data'!F$3)</f>
        <v>0.10108311861872482</v>
      </c>
      <c r="Q128" s="366"/>
      <c r="R128" s="366"/>
      <c r="S128" s="397"/>
    </row>
    <row r="129" spans="1:19" x14ac:dyDescent="0.3">
      <c r="A129" s="367"/>
      <c r="B129" s="367"/>
      <c r="C129" s="367"/>
      <c r="D129" s="367"/>
      <c r="E129" s="416"/>
      <c r="F129" s="367"/>
      <c r="G129" s="367"/>
      <c r="H129" s="94" t="s">
        <v>263</v>
      </c>
      <c r="I129" s="131">
        <v>35.700000000000003</v>
      </c>
      <c r="J129" s="131">
        <f t="shared" si="2"/>
        <v>11.369426751592357</v>
      </c>
      <c r="K129" s="131"/>
      <c r="L129" s="131"/>
      <c r="M129" s="131"/>
      <c r="N129" s="131"/>
      <c r="O129" s="131">
        <f t="shared" si="3"/>
        <v>8.3737017732697774E-2</v>
      </c>
      <c r="P129" s="131">
        <f>O129*(1+'Key Data'!F$3)</f>
        <v>0.10467127216587221</v>
      </c>
      <c r="Q129" s="366"/>
      <c r="R129" s="366"/>
      <c r="S129" s="397"/>
    </row>
    <row r="130" spans="1:19" x14ac:dyDescent="0.3">
      <c r="A130" s="367"/>
      <c r="B130" s="367"/>
      <c r="C130" s="367"/>
      <c r="D130" s="367"/>
      <c r="E130" s="416"/>
      <c r="F130" s="367"/>
      <c r="G130" s="367"/>
      <c r="H130" s="94" t="s">
        <v>263</v>
      </c>
      <c r="I130" s="131">
        <v>44.5</v>
      </c>
      <c r="J130" s="131">
        <f t="shared" si="2"/>
        <v>14.171974522292993</v>
      </c>
      <c r="K130" s="131"/>
      <c r="L130" s="131"/>
      <c r="M130" s="131"/>
      <c r="N130" s="131"/>
      <c r="O130" s="131">
        <f t="shared" si="3"/>
        <v>9.5982267081716616E-2</v>
      </c>
      <c r="P130" s="131">
        <f>O130*(1+'Key Data'!F$3)</f>
        <v>0.11997783385214578</v>
      </c>
      <c r="Q130" s="366"/>
      <c r="R130" s="366"/>
      <c r="S130" s="397"/>
    </row>
    <row r="131" spans="1:19" x14ac:dyDescent="0.3">
      <c r="A131" s="367"/>
      <c r="B131" s="367"/>
      <c r="C131" s="367"/>
      <c r="D131" s="367"/>
      <c r="E131" s="416"/>
      <c r="F131" s="367"/>
      <c r="G131" s="367"/>
      <c r="H131" s="94" t="s">
        <v>263</v>
      </c>
      <c r="I131" s="131">
        <v>39</v>
      </c>
      <c r="J131" s="131">
        <f t="shared" si="2"/>
        <v>12.420382165605096</v>
      </c>
      <c r="K131" s="131"/>
      <c r="L131" s="131"/>
      <c r="M131" s="131"/>
      <c r="N131" s="131"/>
      <c r="O131" s="131">
        <f t="shared" si="3"/>
        <v>8.9187912740586753E-2</v>
      </c>
      <c r="P131" s="131">
        <f>O131*(1+'Key Data'!F$3)</f>
        <v>0.11148489092573344</v>
      </c>
      <c r="Q131" s="366"/>
      <c r="R131" s="366"/>
      <c r="S131" s="397"/>
    </row>
    <row r="132" spans="1:19" x14ac:dyDescent="0.3">
      <c r="A132" s="367"/>
      <c r="B132" s="367"/>
      <c r="C132" s="367"/>
      <c r="D132" s="367"/>
      <c r="E132" s="416"/>
      <c r="F132" s="367"/>
      <c r="G132" s="367"/>
      <c r="H132" s="94" t="s">
        <v>263</v>
      </c>
      <c r="I132" s="131">
        <v>36</v>
      </c>
      <c r="J132" s="131">
        <f t="shared" si="2"/>
        <v>11.464968152866241</v>
      </c>
      <c r="K132" s="131"/>
      <c r="L132" s="131"/>
      <c r="M132" s="131"/>
      <c r="N132" s="131"/>
      <c r="O132" s="131">
        <f t="shared" si="3"/>
        <v>8.4280664533466707E-2</v>
      </c>
      <c r="P132" s="131">
        <f>O132*(1+'Key Data'!F$3)</f>
        <v>0.10535083066683339</v>
      </c>
      <c r="Q132" s="366"/>
      <c r="R132" s="366"/>
      <c r="S132" s="397"/>
    </row>
    <row r="133" spans="1:19" x14ac:dyDescent="0.3">
      <c r="A133" s="367"/>
      <c r="B133" s="367"/>
      <c r="C133" s="367"/>
      <c r="D133" s="367"/>
      <c r="E133" s="416"/>
      <c r="F133" s="367"/>
      <c r="G133" s="367"/>
      <c r="H133" s="94" t="s">
        <v>263</v>
      </c>
      <c r="I133" s="131">
        <v>41.5</v>
      </c>
      <c r="J133" s="131">
        <f t="shared" si="2"/>
        <v>13.216560509554139</v>
      </c>
      <c r="K133" s="131"/>
      <c r="L133" s="131"/>
      <c r="M133" s="131"/>
      <c r="N133" s="131"/>
      <c r="O133" s="131">
        <f>30.4*EXP(-5.07*EXP(-0.26*J133)+1.277)/1000</f>
        <v>9.2598502849227715E-2</v>
      </c>
      <c r="P133" s="131">
        <f>O133*(1+'Key Data'!F$3)</f>
        <v>0.11574812856153464</v>
      </c>
      <c r="Q133" s="366"/>
      <c r="R133" s="366"/>
      <c r="S133" s="397"/>
    </row>
    <row r="134" spans="1:19" x14ac:dyDescent="0.3">
      <c r="A134" s="367"/>
      <c r="B134" s="367"/>
      <c r="C134" s="367"/>
      <c r="D134" s="367"/>
      <c r="E134" s="416"/>
      <c r="F134" s="367"/>
      <c r="G134" s="367"/>
      <c r="H134" s="94" t="s">
        <v>263</v>
      </c>
      <c r="I134" s="131">
        <v>31</v>
      </c>
      <c r="J134" s="131">
        <f t="shared" si="2"/>
        <v>9.872611464968152</v>
      </c>
      <c r="K134" s="131"/>
      <c r="L134" s="131"/>
      <c r="M134" s="131"/>
      <c r="N134" s="131"/>
      <c r="O134" s="131">
        <f t="shared" si="3"/>
        <v>7.3861700758365859E-2</v>
      </c>
      <c r="P134" s="131">
        <f>O134*(1+'Key Data'!F$3)</f>
        <v>9.232712594795732E-2</v>
      </c>
      <c r="Q134" s="366"/>
      <c r="R134" s="366"/>
      <c r="S134" s="397"/>
    </row>
    <row r="135" spans="1:19" x14ac:dyDescent="0.3">
      <c r="A135" s="367"/>
      <c r="B135" s="367"/>
      <c r="C135" s="367"/>
      <c r="D135" s="367"/>
      <c r="E135" s="416"/>
      <c r="F135" s="367"/>
      <c r="G135" s="367"/>
      <c r="H135" s="94" t="s">
        <v>263</v>
      </c>
      <c r="I135" s="131">
        <v>37.5</v>
      </c>
      <c r="J135" s="131">
        <f t="shared" si="2"/>
        <v>11.942675159235668</v>
      </c>
      <c r="K135" s="131"/>
      <c r="L135" s="131"/>
      <c r="M135" s="131"/>
      <c r="N135" s="131"/>
      <c r="O135" s="131">
        <f>30.4*EXP(-5.07*EXP(-0.26*J135)+1.277)/1000</f>
        <v>8.6851868889739878E-2</v>
      </c>
      <c r="P135" s="131">
        <f>O135*(1+'Key Data'!F$3)</f>
        <v>0.10856483611217485</v>
      </c>
      <c r="Q135" s="366"/>
      <c r="R135" s="366"/>
      <c r="S135" s="397"/>
    </row>
    <row r="136" spans="1:19" x14ac:dyDescent="0.3">
      <c r="A136" s="367"/>
      <c r="B136" s="367"/>
      <c r="C136" s="367"/>
      <c r="D136" s="367"/>
      <c r="E136" s="416"/>
      <c r="F136" s="367"/>
      <c r="G136" s="367"/>
      <c r="H136" s="94" t="s">
        <v>263</v>
      </c>
      <c r="I136" s="131">
        <v>33.700000000000003</v>
      </c>
      <c r="J136" s="131">
        <f t="shared" si="2"/>
        <v>10.732484076433121</v>
      </c>
      <c r="K136" s="131"/>
      <c r="L136" s="131"/>
      <c r="M136" s="131"/>
      <c r="N136" s="131"/>
      <c r="O136" s="131">
        <f t="shared" si="3"/>
        <v>7.9852075447869209E-2</v>
      </c>
      <c r="P136" s="131">
        <f>O136*(1+'Key Data'!F$3)</f>
        <v>9.9815094309836511E-2</v>
      </c>
      <c r="Q136" s="366"/>
      <c r="R136" s="366"/>
      <c r="S136" s="397"/>
    </row>
    <row r="137" spans="1:19" x14ac:dyDescent="0.3">
      <c r="A137" s="367"/>
      <c r="B137" s="367"/>
      <c r="C137" s="367"/>
      <c r="D137" s="367"/>
      <c r="E137" s="416"/>
      <c r="F137" s="367"/>
      <c r="G137" s="367"/>
      <c r="H137" s="94" t="s">
        <v>263</v>
      </c>
      <c r="I137" s="131">
        <v>32.5</v>
      </c>
      <c r="J137" s="131">
        <f t="shared" si="2"/>
        <v>10.350318471337578</v>
      </c>
      <c r="K137" s="131"/>
      <c r="L137" s="131"/>
      <c r="M137" s="131"/>
      <c r="N137" s="131"/>
      <c r="O137" s="131">
        <f t="shared" si="3"/>
        <v>7.7297274597536658E-2</v>
      </c>
      <c r="P137" s="131">
        <f>O137*(1+'Key Data'!F$3)</f>
        <v>9.6621593246920823E-2</v>
      </c>
      <c r="Q137" s="366"/>
      <c r="R137" s="366"/>
      <c r="S137" s="397"/>
    </row>
    <row r="138" spans="1:19" x14ac:dyDescent="0.3">
      <c r="A138" s="367"/>
      <c r="B138" s="367"/>
      <c r="C138" s="367"/>
      <c r="D138" s="367"/>
      <c r="E138" s="416"/>
      <c r="F138" s="367"/>
      <c r="G138" s="367"/>
      <c r="H138" s="94" t="s">
        <v>263</v>
      </c>
      <c r="I138" s="131">
        <v>35.700000000000003</v>
      </c>
      <c r="J138" s="131">
        <f t="shared" si="2"/>
        <v>11.369426751592357</v>
      </c>
      <c r="K138" s="131"/>
      <c r="L138" s="131"/>
      <c r="M138" s="131"/>
      <c r="N138" s="131"/>
      <c r="O138" s="131">
        <f t="shared" si="3"/>
        <v>8.3737017732697774E-2</v>
      </c>
      <c r="P138" s="131">
        <f>O138*(1+'Key Data'!F$3)</f>
        <v>0.10467127216587221</v>
      </c>
      <c r="Q138" s="366"/>
      <c r="R138" s="366"/>
      <c r="S138" s="397"/>
    </row>
    <row r="139" spans="1:19" x14ac:dyDescent="0.3">
      <c r="A139" s="367"/>
      <c r="B139" s="367"/>
      <c r="C139" s="367"/>
      <c r="D139" s="367"/>
      <c r="E139" s="416"/>
      <c r="F139" s="367"/>
      <c r="G139" s="367"/>
      <c r="H139" s="94" t="s">
        <v>263</v>
      </c>
      <c r="I139" s="131">
        <v>30.7</v>
      </c>
      <c r="J139" s="131">
        <f t="shared" si="2"/>
        <v>9.7770700636942678</v>
      </c>
      <c r="K139" s="131"/>
      <c r="L139" s="131"/>
      <c r="M139" s="131"/>
      <c r="N139" s="131"/>
      <c r="O139" s="131">
        <f t="shared" si="3"/>
        <v>7.3142099517029366E-2</v>
      </c>
      <c r="P139" s="131">
        <f>O139*(1+'Key Data'!F$3)</f>
        <v>9.1427624396286711E-2</v>
      </c>
      <c r="Q139" s="366"/>
      <c r="R139" s="366"/>
      <c r="S139" s="397"/>
    </row>
    <row r="140" spans="1:19" x14ac:dyDescent="0.3">
      <c r="A140" s="367"/>
      <c r="B140" s="367"/>
      <c r="C140" s="367"/>
      <c r="D140" s="367"/>
      <c r="E140" s="416"/>
      <c r="F140" s="367"/>
      <c r="G140" s="367"/>
      <c r="H140" s="94" t="s">
        <v>393</v>
      </c>
      <c r="I140" s="131"/>
      <c r="J140" s="131"/>
      <c r="K140" s="131">
        <f>SQRT(20.6^2+7.5^2)</f>
        <v>21.922819161777532</v>
      </c>
      <c r="L140" s="131">
        <f>K140/3.14/100</f>
        <v>6.9817895419673676E-2</v>
      </c>
      <c r="M140" s="131"/>
      <c r="N140" s="131"/>
      <c r="O140" s="131">
        <f>(0.08847-1.46936*L140+11.98979*L140^2+1.97056*L140^3)*'Key Data'!$I$15*'Key Data'!$F$15</f>
        <v>3.5435697509650213E-2</v>
      </c>
      <c r="P140" s="131">
        <f>O140*(1+'Key Data'!F$3)</f>
        <v>4.4294621887062763E-2</v>
      </c>
      <c r="Q140" s="366"/>
      <c r="R140" s="366"/>
      <c r="S140" s="397"/>
    </row>
    <row r="141" spans="1:19" x14ac:dyDescent="0.3">
      <c r="A141" s="367"/>
      <c r="B141" s="367"/>
      <c r="C141" s="367"/>
      <c r="D141" s="367"/>
      <c r="E141" s="416"/>
      <c r="F141" s="367"/>
      <c r="G141" s="367"/>
      <c r="H141" s="94" t="s">
        <v>393</v>
      </c>
      <c r="I141" s="131"/>
      <c r="J141" s="131"/>
      <c r="K141" s="131">
        <v>16.7</v>
      </c>
      <c r="L141" s="131">
        <f t="shared" ref="L141:L204" si="4">K141/3.14/100</f>
        <v>5.3184713375796173E-2</v>
      </c>
      <c r="M141" s="131"/>
      <c r="N141" s="131"/>
      <c r="O141" s="131">
        <f>(0.08847-1.46936*L141+11.98979*L141^2+1.97056*L141^3)*'Key Data'!$I$15*'Key Data'!$F$15</f>
        <v>3.5070086636145699E-2</v>
      </c>
      <c r="P141" s="131">
        <f>O141*(1+'Key Data'!F$3)</f>
        <v>4.3837608295182122E-2</v>
      </c>
      <c r="Q141" s="366"/>
      <c r="R141" s="366"/>
      <c r="S141" s="397"/>
    </row>
    <row r="142" spans="1:19" x14ac:dyDescent="0.3">
      <c r="A142" s="367"/>
      <c r="B142" s="367"/>
      <c r="C142" s="367"/>
      <c r="D142" s="367"/>
      <c r="E142" s="416"/>
      <c r="F142" s="367"/>
      <c r="G142" s="367"/>
      <c r="H142" s="94" t="s">
        <v>393</v>
      </c>
      <c r="I142" s="131"/>
      <c r="J142" s="131"/>
      <c r="K142" s="131">
        <f>SQRT(9.7^2+9.5^2)</f>
        <v>13.577186748365802</v>
      </c>
      <c r="L142" s="131">
        <f t="shared" si="4"/>
        <v>4.3239448243203187E-2</v>
      </c>
      <c r="M142" s="131"/>
      <c r="N142" s="131"/>
      <c r="O142" s="131">
        <f>(0.08847-1.46936*L142+11.98979*L142^2+1.97056*L142^3)*'Key Data'!$I$15*'Key Data'!$F$15</f>
        <v>3.7415463016344755E-2</v>
      </c>
      <c r="P142" s="131">
        <f>O142*(1+'Key Data'!F$3)</f>
        <v>4.676932877043094E-2</v>
      </c>
      <c r="Q142" s="366"/>
      <c r="R142" s="366"/>
      <c r="S142" s="397"/>
    </row>
    <row r="143" spans="1:19" x14ac:dyDescent="0.3">
      <c r="A143" s="420">
        <v>4</v>
      </c>
      <c r="B143" s="420" t="s">
        <v>480</v>
      </c>
      <c r="C143" s="420"/>
      <c r="D143" s="420"/>
      <c r="E143" s="423">
        <v>24.746984999999999</v>
      </c>
      <c r="F143" s="420">
        <v>86.166882000000001</v>
      </c>
      <c r="G143" s="420">
        <v>2021</v>
      </c>
      <c r="H143" s="72" t="s">
        <v>393</v>
      </c>
      <c r="I143" s="138"/>
      <c r="J143" s="138"/>
      <c r="K143" s="138">
        <v>15.6</v>
      </c>
      <c r="L143" s="138">
        <f t="shared" si="4"/>
        <v>4.9681528662420378E-2</v>
      </c>
      <c r="M143" s="138"/>
      <c r="N143" s="138"/>
      <c r="O143" s="138">
        <f>(0.08847-1.46936*L143+11.98979*L143^2+1.97056*L143^3)*'Key Data'!$I$15*'Key Data'!$F$15</f>
        <v>3.5678036216945007E-2</v>
      </c>
      <c r="P143" s="138">
        <f>O143*(1+'Key Data'!F$3)</f>
        <v>4.459754527118126E-2</v>
      </c>
      <c r="Q143" s="426">
        <f>SUM(P143:P250)</f>
        <v>4.8744021538608884</v>
      </c>
      <c r="R143" s="426">
        <f>Q143*10000/900</f>
        <v>54.160023931787649</v>
      </c>
      <c r="S143" s="397"/>
    </row>
    <row r="144" spans="1:19" x14ac:dyDescent="0.3">
      <c r="A144" s="421"/>
      <c r="B144" s="421"/>
      <c r="C144" s="421"/>
      <c r="D144" s="421"/>
      <c r="E144" s="424"/>
      <c r="F144" s="421"/>
      <c r="G144" s="421"/>
      <c r="H144" s="72" t="s">
        <v>393</v>
      </c>
      <c r="I144" s="138"/>
      <c r="J144" s="138"/>
      <c r="K144" s="138">
        <v>16</v>
      </c>
      <c r="L144" s="138">
        <f t="shared" si="4"/>
        <v>5.0955414012738849E-2</v>
      </c>
      <c r="M144" s="138"/>
      <c r="N144" s="138"/>
      <c r="O144" s="138">
        <f>(0.08847-1.46936*L144+11.98979*L144^2+1.97056*L144^3)*'Key Data'!$I$15*'Key Data'!$F$15</f>
        <v>3.5429471801578225E-2</v>
      </c>
      <c r="P144" s="138">
        <f>O144*(1+'Key Data'!F$3)</f>
        <v>4.4286839751972784E-2</v>
      </c>
      <c r="Q144" s="427"/>
      <c r="R144" s="427"/>
      <c r="S144" s="397"/>
    </row>
    <row r="145" spans="1:19" x14ac:dyDescent="0.3">
      <c r="A145" s="421"/>
      <c r="B145" s="421"/>
      <c r="C145" s="421"/>
      <c r="D145" s="421"/>
      <c r="E145" s="424"/>
      <c r="F145" s="421"/>
      <c r="G145" s="421"/>
      <c r="H145" s="72" t="s">
        <v>393</v>
      </c>
      <c r="I145" s="138"/>
      <c r="J145" s="138"/>
      <c r="K145" s="138">
        <v>18</v>
      </c>
      <c r="L145" s="138">
        <f t="shared" si="4"/>
        <v>5.7324840764331204E-2</v>
      </c>
      <c r="M145" s="138"/>
      <c r="N145" s="138"/>
      <c r="O145" s="138">
        <f>(0.08847-1.46936*L145+11.98979*L145^2+1.97056*L145^3)*'Key Data'!$I$15*'Key Data'!$F$15</f>
        <v>3.4658251197319925E-2</v>
      </c>
      <c r="P145" s="138">
        <f>O145*(1+'Key Data'!F$3)</f>
        <v>4.3322813996649903E-2</v>
      </c>
      <c r="Q145" s="427"/>
      <c r="R145" s="427"/>
      <c r="S145" s="397"/>
    </row>
    <row r="146" spans="1:19" x14ac:dyDescent="0.3">
      <c r="A146" s="421"/>
      <c r="B146" s="421"/>
      <c r="C146" s="421"/>
      <c r="D146" s="421"/>
      <c r="E146" s="424"/>
      <c r="F146" s="421"/>
      <c r="G146" s="421"/>
      <c r="H146" s="72" t="s">
        <v>393</v>
      </c>
      <c r="I146" s="138"/>
      <c r="J146" s="138"/>
      <c r="K146" s="138">
        <v>29</v>
      </c>
      <c r="L146" s="138">
        <f t="shared" si="4"/>
        <v>9.2356687898089179E-2</v>
      </c>
      <c r="M146" s="138"/>
      <c r="N146" s="138"/>
      <c r="O146" s="138">
        <f>(0.08847-1.46936*L146+11.98979*L146^2+1.97056*L146^3)*'Key Data'!$I$15*'Key Data'!$F$15</f>
        <v>4.4562380582785173E-2</v>
      </c>
      <c r="P146" s="138">
        <f>O146*(1+'Key Data'!F$3)</f>
        <v>5.5702975728481464E-2</v>
      </c>
      <c r="Q146" s="427"/>
      <c r="R146" s="427"/>
      <c r="S146" s="397"/>
    </row>
    <row r="147" spans="1:19" x14ac:dyDescent="0.3">
      <c r="A147" s="421"/>
      <c r="B147" s="421"/>
      <c r="C147" s="421"/>
      <c r="D147" s="421"/>
      <c r="E147" s="424"/>
      <c r="F147" s="421"/>
      <c r="G147" s="421"/>
      <c r="H147" s="72" t="s">
        <v>393</v>
      </c>
      <c r="I147" s="138"/>
      <c r="J147" s="138"/>
      <c r="K147" s="138">
        <f>SQRT(14.5^2+100+15^2)</f>
        <v>23.135470602518549</v>
      </c>
      <c r="L147" s="138">
        <f t="shared" si="4"/>
        <v>7.3679842683180091E-2</v>
      </c>
      <c r="M147" s="138"/>
      <c r="N147" s="138"/>
      <c r="O147" s="138">
        <f>(0.08847-1.46936*L147+11.98979*L147^2+1.97056*L147^3)*'Key Data'!$I$15*'Key Data'!$F$15</f>
        <v>3.629208592721881E-2</v>
      </c>
      <c r="P147" s="138">
        <f>O147*(1+'Key Data'!F$3)</f>
        <v>4.5365107409023511E-2</v>
      </c>
      <c r="Q147" s="427"/>
      <c r="R147" s="427"/>
      <c r="S147" s="397"/>
    </row>
    <row r="148" spans="1:19" x14ac:dyDescent="0.3">
      <c r="A148" s="421"/>
      <c r="B148" s="421"/>
      <c r="C148" s="421"/>
      <c r="D148" s="421"/>
      <c r="E148" s="424"/>
      <c r="F148" s="421"/>
      <c r="G148" s="421"/>
      <c r="H148" s="72" t="s">
        <v>393</v>
      </c>
      <c r="I148" s="138"/>
      <c r="J148" s="138"/>
      <c r="K148" s="138">
        <v>19.5</v>
      </c>
      <c r="L148" s="138">
        <f t="shared" si="4"/>
        <v>6.2101910828025478E-2</v>
      </c>
      <c r="M148" s="138"/>
      <c r="N148" s="138"/>
      <c r="O148" s="138">
        <f>(0.08847-1.46936*L148+11.98979*L148^2+1.97056*L148^3)*'Key Data'!$I$15*'Key Data'!$F$15</f>
        <v>3.4596676156794334E-2</v>
      </c>
      <c r="P148" s="138">
        <f>O148*(1+'Key Data'!F$3)</f>
        <v>4.3245845195992921E-2</v>
      </c>
      <c r="Q148" s="427"/>
      <c r="R148" s="427"/>
      <c r="S148" s="397"/>
    </row>
    <row r="149" spans="1:19" x14ac:dyDescent="0.3">
      <c r="A149" s="421"/>
      <c r="B149" s="421"/>
      <c r="C149" s="421"/>
      <c r="D149" s="421"/>
      <c r="E149" s="424"/>
      <c r="F149" s="421"/>
      <c r="G149" s="421"/>
      <c r="H149" s="72" t="s">
        <v>393</v>
      </c>
      <c r="I149" s="138"/>
      <c r="J149" s="138"/>
      <c r="K149" s="138">
        <v>19</v>
      </c>
      <c r="L149" s="138">
        <f t="shared" si="4"/>
        <v>6.0509554140127389E-2</v>
      </c>
      <c r="M149" s="138"/>
      <c r="N149" s="138"/>
      <c r="O149" s="138">
        <f>(0.08847-1.46936*L149+11.98979*L149^2+1.97056*L149^3)*'Key Data'!$I$15*'Key Data'!$F$15</f>
        <v>3.4567903086895738E-2</v>
      </c>
      <c r="P149" s="138">
        <f>O149*(1+'Key Data'!F$3)</f>
        <v>4.3209878858619669E-2</v>
      </c>
      <c r="Q149" s="427"/>
      <c r="R149" s="427"/>
      <c r="S149" s="397"/>
    </row>
    <row r="150" spans="1:19" x14ac:dyDescent="0.3">
      <c r="A150" s="421"/>
      <c r="B150" s="421"/>
      <c r="C150" s="421"/>
      <c r="D150" s="421"/>
      <c r="E150" s="424"/>
      <c r="F150" s="421"/>
      <c r="G150" s="421"/>
      <c r="H150" s="72" t="s">
        <v>393</v>
      </c>
      <c r="I150" s="138"/>
      <c r="J150" s="138"/>
      <c r="K150" s="138">
        <v>3.5</v>
      </c>
      <c r="L150" s="138">
        <v>0</v>
      </c>
      <c r="M150" s="138"/>
      <c r="N150" s="138"/>
      <c r="O150" s="138">
        <f>(0.08847-1.46936*L150+11.98979*L150^2+1.97056*L150^3)*'Key Data'!$I$15*'Key Data'!$F$15</f>
        <v>6.9670124999999999E-2</v>
      </c>
      <c r="P150" s="138">
        <f>O150*(1+'Key Data'!F$3)</f>
        <v>8.7087656250000006E-2</v>
      </c>
      <c r="Q150" s="427"/>
      <c r="R150" s="427"/>
      <c r="S150" s="397"/>
    </row>
    <row r="151" spans="1:19" x14ac:dyDescent="0.3">
      <c r="A151" s="421"/>
      <c r="B151" s="421"/>
      <c r="C151" s="421"/>
      <c r="D151" s="421"/>
      <c r="E151" s="424"/>
      <c r="F151" s="421"/>
      <c r="G151" s="421"/>
      <c r="H151" s="72" t="s">
        <v>393</v>
      </c>
      <c r="I151" s="138"/>
      <c r="J151" s="138"/>
      <c r="K151" s="138">
        <v>15</v>
      </c>
      <c r="L151" s="138">
        <f t="shared" si="4"/>
        <v>4.7770700636942671E-2</v>
      </c>
      <c r="M151" s="138"/>
      <c r="N151" s="138"/>
      <c r="O151" s="138">
        <f>(0.08847-1.46936*L151+11.98979*L151^2+1.97056*L151^3)*'Key Data'!$I$15*'Key Data'!$F$15</f>
        <v>3.6109742799712088E-2</v>
      </c>
      <c r="P151" s="138">
        <f>O151*(1+'Key Data'!F$3)</f>
        <v>4.5137178499640107E-2</v>
      </c>
      <c r="Q151" s="427"/>
      <c r="R151" s="427"/>
      <c r="S151" s="397"/>
    </row>
    <row r="152" spans="1:19" x14ac:dyDescent="0.3">
      <c r="A152" s="421"/>
      <c r="B152" s="421"/>
      <c r="C152" s="421"/>
      <c r="D152" s="421"/>
      <c r="E152" s="424"/>
      <c r="F152" s="421"/>
      <c r="G152" s="421"/>
      <c r="H152" s="72" t="s">
        <v>393</v>
      </c>
      <c r="I152" s="138"/>
      <c r="J152" s="138"/>
      <c r="K152" s="138">
        <v>13.8</v>
      </c>
      <c r="L152" s="138">
        <f t="shared" si="4"/>
        <v>4.3949044585987265E-2</v>
      </c>
      <c r="M152" s="138"/>
      <c r="N152" s="138"/>
      <c r="O152" s="138">
        <f>(0.08847-1.46936*L152+11.98979*L152^2+1.97056*L152^3)*'Key Data'!$I$15*'Key Data'!$F$15</f>
        <v>3.7184813627929823E-2</v>
      </c>
      <c r="P152" s="138">
        <f>O152*(1+'Key Data'!F$3)</f>
        <v>4.6481017034912281E-2</v>
      </c>
      <c r="Q152" s="427"/>
      <c r="R152" s="427"/>
      <c r="S152" s="397"/>
    </row>
    <row r="153" spans="1:19" x14ac:dyDescent="0.3">
      <c r="A153" s="421"/>
      <c r="B153" s="421"/>
      <c r="C153" s="421"/>
      <c r="D153" s="421"/>
      <c r="E153" s="424"/>
      <c r="F153" s="421"/>
      <c r="G153" s="421"/>
      <c r="H153" s="72" t="s">
        <v>393</v>
      </c>
      <c r="I153" s="138"/>
      <c r="J153" s="138"/>
      <c r="K153" s="138">
        <v>20</v>
      </c>
      <c r="L153" s="138">
        <f t="shared" si="4"/>
        <v>6.3694267515923567E-2</v>
      </c>
      <c r="M153" s="138"/>
      <c r="N153" s="138"/>
      <c r="O153" s="138">
        <f>(0.08847-1.46936*L153+11.98979*L153^2+1.97056*L153^3)*'Key Data'!$I$15*'Key Data'!$F$15</f>
        <v>3.4674797434741736E-2</v>
      </c>
      <c r="P153" s="138">
        <f>O153*(1+'Key Data'!F$3)</f>
        <v>4.3343496793427166E-2</v>
      </c>
      <c r="Q153" s="427"/>
      <c r="R153" s="427"/>
      <c r="S153" s="397"/>
    </row>
    <row r="154" spans="1:19" x14ac:dyDescent="0.3">
      <c r="A154" s="421"/>
      <c r="B154" s="421"/>
      <c r="C154" s="421"/>
      <c r="D154" s="421"/>
      <c r="E154" s="424"/>
      <c r="F154" s="421"/>
      <c r="G154" s="421"/>
      <c r="H154" s="72" t="s">
        <v>393</v>
      </c>
      <c r="I154" s="138"/>
      <c r="J154" s="138"/>
      <c r="K154" s="138">
        <f>SQRT(13.2^2+18.6^2)</f>
        <v>22.807893370497855</v>
      </c>
      <c r="L154" s="138">
        <f t="shared" si="4"/>
        <v>7.2636603090757493E-2</v>
      </c>
      <c r="M154" s="138"/>
      <c r="N154" s="138"/>
      <c r="O154" s="138">
        <f>(0.08847-1.46936*L154+11.98979*L154^2+1.97056*L154^3)*'Key Data'!$I$15*'Key Data'!$F$15</f>
        <v>3.6031995929103659E-2</v>
      </c>
      <c r="P154" s="138">
        <f>O154*(1+'Key Data'!F$3)</f>
        <v>4.5039994911379576E-2</v>
      </c>
      <c r="Q154" s="427"/>
      <c r="R154" s="427"/>
      <c r="S154" s="397"/>
    </row>
    <row r="155" spans="1:19" x14ac:dyDescent="0.3">
      <c r="A155" s="421"/>
      <c r="B155" s="421"/>
      <c r="C155" s="421"/>
      <c r="D155" s="421"/>
      <c r="E155" s="424"/>
      <c r="F155" s="421"/>
      <c r="G155" s="421"/>
      <c r="H155" s="72" t="s">
        <v>393</v>
      </c>
      <c r="I155" s="138"/>
      <c r="J155" s="138"/>
      <c r="K155" s="138">
        <v>19.600000000000001</v>
      </c>
      <c r="L155" s="138">
        <f t="shared" si="4"/>
        <v>6.2420382165605102E-2</v>
      </c>
      <c r="M155" s="138"/>
      <c r="N155" s="138"/>
      <c r="O155" s="138">
        <f>(0.08847-1.46936*L155+11.98979*L155^2+1.97056*L155^3)*'Key Data'!$I$15*'Key Data'!$F$15</f>
        <v>3.4608351352748506E-2</v>
      </c>
      <c r="P155" s="138">
        <f>O155*(1+'Key Data'!F$3)</f>
        <v>4.3260439190935633E-2</v>
      </c>
      <c r="Q155" s="427"/>
      <c r="R155" s="427"/>
      <c r="S155" s="397"/>
    </row>
    <row r="156" spans="1:19" x14ac:dyDescent="0.3">
      <c r="A156" s="421"/>
      <c r="B156" s="421"/>
      <c r="C156" s="421"/>
      <c r="D156" s="421"/>
      <c r="E156" s="424"/>
      <c r="F156" s="421"/>
      <c r="G156" s="421"/>
      <c r="H156" s="72" t="s">
        <v>393</v>
      </c>
      <c r="I156" s="138"/>
      <c r="J156" s="138"/>
      <c r="K156" s="138">
        <v>22</v>
      </c>
      <c r="L156" s="138">
        <f t="shared" si="4"/>
        <v>7.0063694267515922E-2</v>
      </c>
      <c r="M156" s="138"/>
      <c r="N156" s="138"/>
      <c r="O156" s="138">
        <f>(0.08847-1.46936*L156+11.98979*L156^2+1.97056*L156^3)*'Key Data'!$I$15*'Key Data'!$F$15</f>
        <v>3.548151649664473E-2</v>
      </c>
      <c r="P156" s="138">
        <f>O156*(1+'Key Data'!F$3)</f>
        <v>4.4351895620805909E-2</v>
      </c>
      <c r="Q156" s="427"/>
      <c r="R156" s="427"/>
      <c r="S156" s="397"/>
    </row>
    <row r="157" spans="1:19" x14ac:dyDescent="0.3">
      <c r="A157" s="421"/>
      <c r="B157" s="421"/>
      <c r="C157" s="421"/>
      <c r="D157" s="421"/>
      <c r="E157" s="424"/>
      <c r="F157" s="421"/>
      <c r="G157" s="421"/>
      <c r="H157" s="72" t="s">
        <v>393</v>
      </c>
      <c r="I157" s="138"/>
      <c r="J157" s="138"/>
      <c r="K157" s="138">
        <f>SQRT(18.5^2+18^2)</f>
        <v>25.811818998280614</v>
      </c>
      <c r="L157" s="138">
        <f t="shared" si="4"/>
        <v>8.2203245217454188E-2</v>
      </c>
      <c r="M157" s="138"/>
      <c r="N157" s="138"/>
      <c r="O157" s="138">
        <f>(0.08847-1.46936*L157+11.98979*L157^2+1.97056*L157^3)*'Key Data'!$I$15*'Key Data'!$F$15</f>
        <v>3.9215871377051799E-2</v>
      </c>
      <c r="P157" s="138">
        <f>O157*(1+'Key Data'!F$3)</f>
        <v>4.9019839221314747E-2</v>
      </c>
      <c r="Q157" s="427"/>
      <c r="R157" s="427"/>
      <c r="S157" s="397"/>
    </row>
    <row r="158" spans="1:19" x14ac:dyDescent="0.3">
      <c r="A158" s="421"/>
      <c r="B158" s="421"/>
      <c r="C158" s="421"/>
      <c r="D158" s="421"/>
      <c r="E158" s="424"/>
      <c r="F158" s="421"/>
      <c r="G158" s="421"/>
      <c r="H158" s="72" t="s">
        <v>393</v>
      </c>
      <c r="I158" s="138"/>
      <c r="J158" s="138"/>
      <c r="K158" s="138">
        <f>SQRT(22^2+6.2^2)</f>
        <v>22.856946427727394</v>
      </c>
      <c r="L158" s="138">
        <f t="shared" si="4"/>
        <v>7.279282301824011E-2</v>
      </c>
      <c r="M158" s="138"/>
      <c r="N158" s="138"/>
      <c r="O158" s="138">
        <f>(0.08847-1.46936*L158+11.98979*L158^2+1.97056*L158^3)*'Key Data'!$I$15*'Key Data'!$F$15</f>
        <v>3.6069587619556753E-2</v>
      </c>
      <c r="P158" s="138">
        <f>O158*(1+'Key Data'!F$3)</f>
        <v>4.5086984524445942E-2</v>
      </c>
      <c r="Q158" s="427"/>
      <c r="R158" s="427"/>
      <c r="S158" s="397"/>
    </row>
    <row r="159" spans="1:19" x14ac:dyDescent="0.3">
      <c r="A159" s="421"/>
      <c r="B159" s="421"/>
      <c r="C159" s="421"/>
      <c r="D159" s="421"/>
      <c r="E159" s="424"/>
      <c r="F159" s="421"/>
      <c r="G159" s="421"/>
      <c r="H159" s="72" t="s">
        <v>393</v>
      </c>
      <c r="I159" s="138"/>
      <c r="J159" s="138"/>
      <c r="K159" s="138">
        <f>SQRT(14^2+5.7^2)</f>
        <v>15.115885683611133</v>
      </c>
      <c r="L159" s="138">
        <f t="shared" si="4"/>
        <v>4.8139763323602328E-2</v>
      </c>
      <c r="M159" s="138"/>
      <c r="N159" s="138"/>
      <c r="O159" s="138">
        <f>(0.08847-1.46936*L159+11.98979*L159^2+1.97056*L159^3)*'Key Data'!$I$15*'Key Data'!$F$15</f>
        <v>3.6020860670709219E-2</v>
      </c>
      <c r="P159" s="138">
        <f>O159*(1+'Key Data'!F$3)</f>
        <v>4.5026075838386526E-2</v>
      </c>
      <c r="Q159" s="427"/>
      <c r="R159" s="427"/>
      <c r="S159" s="397"/>
    </row>
    <row r="160" spans="1:19" x14ac:dyDescent="0.3">
      <c r="A160" s="421"/>
      <c r="B160" s="421"/>
      <c r="C160" s="421"/>
      <c r="D160" s="421"/>
      <c r="E160" s="424"/>
      <c r="F160" s="421"/>
      <c r="G160" s="421"/>
      <c r="H160" s="72" t="s">
        <v>393</v>
      </c>
      <c r="I160" s="138"/>
      <c r="J160" s="138"/>
      <c r="K160" s="138">
        <v>20</v>
      </c>
      <c r="L160" s="138">
        <f t="shared" si="4"/>
        <v>6.3694267515923567E-2</v>
      </c>
      <c r="M160" s="138"/>
      <c r="N160" s="138"/>
      <c r="O160" s="138">
        <f>(0.08847-1.46936*L160+11.98979*L160^2+1.97056*L160^3)*'Key Data'!$I$15*'Key Data'!$F$15</f>
        <v>3.4674797434741736E-2</v>
      </c>
      <c r="P160" s="138">
        <f>O160*(1+'Key Data'!F$3)</f>
        <v>4.3343496793427166E-2</v>
      </c>
      <c r="Q160" s="427"/>
      <c r="R160" s="427"/>
      <c r="S160" s="397"/>
    </row>
    <row r="161" spans="1:20" x14ac:dyDescent="0.3">
      <c r="A161" s="421"/>
      <c r="B161" s="421"/>
      <c r="C161" s="421"/>
      <c r="D161" s="421"/>
      <c r="E161" s="424"/>
      <c r="F161" s="421"/>
      <c r="G161" s="421"/>
      <c r="H161" s="72" t="s">
        <v>393</v>
      </c>
      <c r="I161" s="138"/>
      <c r="J161" s="138"/>
      <c r="K161" s="138">
        <f>SQRT(18^2+8.2^2)</f>
        <v>19.779787663167671</v>
      </c>
      <c r="L161" s="138">
        <f t="shared" si="4"/>
        <v>6.2992954341298313E-2</v>
      </c>
      <c r="M161" s="138"/>
      <c r="N161" s="138"/>
      <c r="O161" s="138">
        <f>(0.08847-1.46936*L161+11.98979*L161^2+1.97056*L161^3)*'Key Data'!$I$15*'Key Data'!$F$15</f>
        <v>3.4634307535971354E-2</v>
      </c>
      <c r="P161" s="138">
        <f>O161*(1+'Key Data'!F$3)</f>
        <v>4.3292884419964192E-2</v>
      </c>
      <c r="Q161" s="427"/>
      <c r="R161" s="427"/>
      <c r="S161" s="397"/>
    </row>
    <row r="162" spans="1:20" x14ac:dyDescent="0.3">
      <c r="A162" s="421"/>
      <c r="B162" s="421"/>
      <c r="C162" s="421"/>
      <c r="D162" s="421"/>
      <c r="E162" s="424"/>
      <c r="F162" s="421"/>
      <c r="G162" s="421"/>
      <c r="H162" s="72" t="s">
        <v>393</v>
      </c>
      <c r="I162" s="138"/>
      <c r="J162" s="138"/>
      <c r="K162" s="138">
        <v>14.4</v>
      </c>
      <c r="L162" s="138">
        <f t="shared" si="4"/>
        <v>4.5859872611464965E-2</v>
      </c>
      <c r="M162" s="138"/>
      <c r="N162" s="138"/>
      <c r="O162" s="138">
        <f>(0.08847-1.46936*L162+11.98979*L162^2+1.97056*L162^3)*'Key Data'!$I$15*'Key Data'!$F$15</f>
        <v>3.661202359055224E-2</v>
      </c>
      <c r="P162" s="138">
        <f>O162*(1+'Key Data'!F$3)</f>
        <v>4.5765029488190299E-2</v>
      </c>
      <c r="Q162" s="427"/>
      <c r="R162" s="427"/>
      <c r="S162" s="397"/>
    </row>
    <row r="163" spans="1:20" x14ac:dyDescent="0.3">
      <c r="A163" s="421"/>
      <c r="B163" s="421"/>
      <c r="C163" s="421"/>
      <c r="D163" s="421"/>
      <c r="E163" s="424"/>
      <c r="F163" s="421"/>
      <c r="G163" s="421"/>
      <c r="H163" s="72" t="s">
        <v>393</v>
      </c>
      <c r="I163" s="138"/>
      <c r="J163" s="138"/>
      <c r="K163" s="138">
        <v>10.5</v>
      </c>
      <c r="L163" s="138">
        <f t="shared" si="4"/>
        <v>3.3439490445859872E-2</v>
      </c>
      <c r="M163" s="138"/>
      <c r="N163" s="138"/>
      <c r="O163" s="138">
        <f>(0.08847-1.46936*L163+11.98979*L163^2+1.97056*L163^3)*'Key Data'!$I$15*'Key Data'!$F$15</f>
        <v>4.159260864673979E-2</v>
      </c>
      <c r="P163" s="138">
        <f>O163*(1+'Key Data'!F$3)</f>
        <v>5.1990760808424741E-2</v>
      </c>
      <c r="Q163" s="427"/>
      <c r="R163" s="427"/>
      <c r="S163" s="397"/>
    </row>
    <row r="164" spans="1:20" x14ac:dyDescent="0.3">
      <c r="A164" s="421"/>
      <c r="B164" s="421"/>
      <c r="C164" s="421"/>
      <c r="D164" s="421"/>
      <c r="E164" s="424"/>
      <c r="F164" s="421"/>
      <c r="G164" s="421"/>
      <c r="H164" s="72" t="s">
        <v>393</v>
      </c>
      <c r="I164" s="138"/>
      <c r="J164" s="138"/>
      <c r="K164" s="138">
        <v>17</v>
      </c>
      <c r="L164" s="138">
        <f t="shared" si="4"/>
        <v>5.4140127388535034E-2</v>
      </c>
      <c r="M164" s="138"/>
      <c r="N164" s="138"/>
      <c r="O164" s="138">
        <f>(0.08847-1.46936*L164+11.98979*L164^2+1.97056*L164^3)*'Key Data'!$I$15*'Key Data'!$F$15</f>
        <v>3.4945541018164127E-2</v>
      </c>
      <c r="P164" s="138">
        <f>O164*(1+'Key Data'!F$3)</f>
        <v>4.368192627270516E-2</v>
      </c>
      <c r="Q164" s="427"/>
      <c r="R164" s="427"/>
      <c r="S164" s="397"/>
    </row>
    <row r="165" spans="1:20" x14ac:dyDescent="0.3">
      <c r="A165" s="421"/>
      <c r="B165" s="421"/>
      <c r="C165" s="421"/>
      <c r="D165" s="421"/>
      <c r="E165" s="424"/>
      <c r="F165" s="421"/>
      <c r="G165" s="421"/>
      <c r="H165" s="72" t="s">
        <v>393</v>
      </c>
      <c r="I165" s="138"/>
      <c r="J165" s="138"/>
      <c r="K165" s="138">
        <v>20</v>
      </c>
      <c r="L165" s="138">
        <f t="shared" si="4"/>
        <v>6.3694267515923567E-2</v>
      </c>
      <c r="M165" s="138"/>
      <c r="N165" s="138"/>
      <c r="O165" s="138">
        <f>(0.08847-1.46936*L165+11.98979*L165^2+1.97056*L165^3)*'Key Data'!$I$15*'Key Data'!$F$15</f>
        <v>3.4674797434741736E-2</v>
      </c>
      <c r="P165" s="138">
        <f>O165*(1+'Key Data'!F$3)</f>
        <v>4.3343496793427166E-2</v>
      </c>
      <c r="Q165" s="427"/>
      <c r="R165" s="427"/>
      <c r="S165" s="397"/>
    </row>
    <row r="166" spans="1:20" x14ac:dyDescent="0.3">
      <c r="A166" s="421"/>
      <c r="B166" s="421"/>
      <c r="C166" s="421"/>
      <c r="D166" s="421"/>
      <c r="E166" s="424"/>
      <c r="F166" s="421"/>
      <c r="G166" s="421"/>
      <c r="H166" s="72" t="s">
        <v>393</v>
      </c>
      <c r="I166" s="138"/>
      <c r="J166" s="138"/>
      <c r="K166" s="138">
        <v>17</v>
      </c>
      <c r="L166" s="138">
        <f t="shared" si="4"/>
        <v>5.4140127388535034E-2</v>
      </c>
      <c r="M166" s="138"/>
      <c r="N166" s="138"/>
      <c r="O166" s="138">
        <f>(0.08847-1.46936*L166+11.98979*L166^2+1.97056*L166^3)*'Key Data'!$I$15*'Key Data'!$F$15</f>
        <v>3.4945541018164127E-2</v>
      </c>
      <c r="P166" s="138">
        <f>O166*(1+'Key Data'!F$3)</f>
        <v>4.368192627270516E-2</v>
      </c>
      <c r="Q166" s="427"/>
      <c r="R166" s="427"/>
      <c r="S166" s="397"/>
    </row>
    <row r="167" spans="1:20" x14ac:dyDescent="0.3">
      <c r="A167" s="421"/>
      <c r="B167" s="421"/>
      <c r="C167" s="421"/>
      <c r="D167" s="421"/>
      <c r="E167" s="424"/>
      <c r="F167" s="421"/>
      <c r="G167" s="421"/>
      <c r="H167" s="72" t="s">
        <v>393</v>
      </c>
      <c r="I167" s="138"/>
      <c r="J167" s="138"/>
      <c r="K167" s="138">
        <v>22.8</v>
      </c>
      <c r="L167" s="138">
        <f t="shared" si="4"/>
        <v>7.2611464968152864E-2</v>
      </c>
      <c r="M167" s="138"/>
      <c r="N167" s="138"/>
      <c r="O167" s="138">
        <f>(0.08847-1.46936*L167+11.98979*L167^2+1.97056*L167^3)*'Key Data'!$I$15*'Key Data'!$F$15</f>
        <v>3.6025991452408104E-2</v>
      </c>
      <c r="P167" s="138">
        <f>O167*(1+'Key Data'!F$3)</f>
        <v>4.5032489315510127E-2</v>
      </c>
      <c r="Q167" s="427"/>
      <c r="R167" s="427"/>
      <c r="S167" s="397"/>
    </row>
    <row r="168" spans="1:20" x14ac:dyDescent="0.3">
      <c r="A168" s="421"/>
      <c r="B168" s="421"/>
      <c r="C168" s="421"/>
      <c r="D168" s="421"/>
      <c r="E168" s="424"/>
      <c r="F168" s="421"/>
      <c r="G168" s="421"/>
      <c r="H168" s="72" t="s">
        <v>393</v>
      </c>
      <c r="I168" s="138"/>
      <c r="J168" s="138"/>
      <c r="K168" s="138">
        <v>19</v>
      </c>
      <c r="L168" s="138">
        <f t="shared" si="4"/>
        <v>6.0509554140127389E-2</v>
      </c>
      <c r="M168" s="138"/>
      <c r="N168" s="138"/>
      <c r="O168" s="138">
        <f>(0.08847-1.46936*L168+11.98979*L168^2+1.97056*L168^3)*'Key Data'!$I$15*'Key Data'!$F$15</f>
        <v>3.4567903086895738E-2</v>
      </c>
      <c r="P168" s="138">
        <f>O168*(1+'Key Data'!F$3)</f>
        <v>4.3209878858619669E-2</v>
      </c>
      <c r="Q168" s="427"/>
      <c r="R168" s="427"/>
      <c r="S168" s="397"/>
    </row>
    <row r="169" spans="1:20" x14ac:dyDescent="0.3">
      <c r="A169" s="421"/>
      <c r="B169" s="421"/>
      <c r="C169" s="421"/>
      <c r="D169" s="421"/>
      <c r="E169" s="424"/>
      <c r="F169" s="421"/>
      <c r="G169" s="421"/>
      <c r="H169" s="72" t="s">
        <v>393</v>
      </c>
      <c r="I169" s="138"/>
      <c r="J169" s="138"/>
      <c r="K169" s="138">
        <v>19.600000000000001</v>
      </c>
      <c r="L169" s="138">
        <f t="shared" si="4"/>
        <v>6.2420382165605102E-2</v>
      </c>
      <c r="M169" s="138"/>
      <c r="N169" s="138"/>
      <c r="O169" s="138">
        <f>(0.08847-1.46936*L169+11.98979*L169^2+1.97056*L169^3)*'Key Data'!$I$15*'Key Data'!$F$15</f>
        <v>3.4608351352748506E-2</v>
      </c>
      <c r="P169" s="138">
        <f>O169*(1+'Key Data'!F$3)</f>
        <v>4.3260439190935633E-2</v>
      </c>
      <c r="Q169" s="427"/>
      <c r="R169" s="427"/>
      <c r="S169" s="397"/>
    </row>
    <row r="170" spans="1:20" ht="15.6" x14ac:dyDescent="0.3">
      <c r="A170" s="421"/>
      <c r="B170" s="421"/>
      <c r="C170" s="421"/>
      <c r="D170" s="421"/>
      <c r="E170" s="424"/>
      <c r="F170" s="421"/>
      <c r="G170" s="421"/>
      <c r="H170" s="72" t="s">
        <v>393</v>
      </c>
      <c r="I170" s="138"/>
      <c r="J170" s="138"/>
      <c r="K170" s="138">
        <v>14</v>
      </c>
      <c r="L170" s="138">
        <f t="shared" si="4"/>
        <v>4.4585987261146494E-2</v>
      </c>
      <c r="M170" s="138"/>
      <c r="N170" s="138"/>
      <c r="O170" s="138">
        <f>(0.08847-1.46936*L170+11.98979*L170^2+1.97056*L170^3)*'Key Data'!$I$15*'Key Data'!$F$15</f>
        <v>3.6986053264715588E-2</v>
      </c>
      <c r="P170" s="138">
        <f>O170*(1+'Key Data'!F$3)</f>
        <v>4.6232566580894488E-2</v>
      </c>
      <c r="Q170" s="427"/>
      <c r="R170" s="427"/>
      <c r="S170" s="397"/>
      <c r="T170" s="176"/>
    </row>
    <row r="171" spans="1:20" x14ac:dyDescent="0.3">
      <c r="A171" s="421"/>
      <c r="B171" s="421"/>
      <c r="C171" s="421"/>
      <c r="D171" s="421"/>
      <c r="E171" s="424"/>
      <c r="F171" s="421"/>
      <c r="G171" s="421"/>
      <c r="H171" s="72" t="s">
        <v>393</v>
      </c>
      <c r="I171" s="138"/>
      <c r="J171" s="138"/>
      <c r="K171" s="138">
        <v>19</v>
      </c>
      <c r="L171" s="138">
        <f t="shared" si="4"/>
        <v>6.0509554140127389E-2</v>
      </c>
      <c r="M171" s="138"/>
      <c r="N171" s="138"/>
      <c r="O171" s="138">
        <f>(0.08847-1.46936*L171+11.98979*L171^2+1.97056*L171^3)*'Key Data'!$I$15*'Key Data'!$F$15</f>
        <v>3.4567903086895738E-2</v>
      </c>
      <c r="P171" s="138">
        <f>O171*(1+'Key Data'!F$3)</f>
        <v>4.3209878858619669E-2</v>
      </c>
      <c r="Q171" s="427"/>
      <c r="R171" s="427"/>
      <c r="S171" s="397"/>
    </row>
    <row r="172" spans="1:20" x14ac:dyDescent="0.3">
      <c r="A172" s="421"/>
      <c r="B172" s="421"/>
      <c r="C172" s="421"/>
      <c r="D172" s="421"/>
      <c r="E172" s="424"/>
      <c r="F172" s="421"/>
      <c r="G172" s="421"/>
      <c r="H172" s="72" t="s">
        <v>393</v>
      </c>
      <c r="I172" s="138"/>
      <c r="J172" s="138"/>
      <c r="K172" s="138">
        <v>23.2</v>
      </c>
      <c r="L172" s="138">
        <f t="shared" si="4"/>
        <v>7.3885350318471335E-2</v>
      </c>
      <c r="M172" s="138"/>
      <c r="N172" s="138"/>
      <c r="O172" s="138">
        <f>(0.08847-1.46936*L172+11.98979*L172^2+1.97056*L172^3)*'Key Data'!$I$15*'Key Data'!$F$15</f>
        <v>3.6345831778382749E-2</v>
      </c>
      <c r="P172" s="138">
        <f>O172*(1+'Key Data'!F$3)</f>
        <v>4.5432289722978435E-2</v>
      </c>
      <c r="Q172" s="427"/>
      <c r="R172" s="427"/>
      <c r="S172" s="397"/>
    </row>
    <row r="173" spans="1:20" x14ac:dyDescent="0.3">
      <c r="A173" s="421"/>
      <c r="B173" s="421"/>
      <c r="C173" s="421"/>
      <c r="D173" s="421"/>
      <c r="E173" s="424"/>
      <c r="F173" s="421"/>
      <c r="G173" s="421"/>
      <c r="H173" s="72" t="s">
        <v>393</v>
      </c>
      <c r="I173" s="138"/>
      <c r="J173" s="138"/>
      <c r="K173" s="138">
        <v>17.2</v>
      </c>
      <c r="L173" s="138">
        <f t="shared" si="4"/>
        <v>5.4777070063694262E-2</v>
      </c>
      <c r="M173" s="138"/>
      <c r="N173" s="138"/>
      <c r="O173" s="138">
        <f>(0.08847-1.46936*L173+11.98979*L173^2+1.97056*L173^3)*'Key Data'!$I$15*'Key Data'!$F$15</f>
        <v>3.4872342153058483E-2</v>
      </c>
      <c r="P173" s="138">
        <f>O173*(1+'Key Data'!F$3)</f>
        <v>4.3590427691323104E-2</v>
      </c>
      <c r="Q173" s="427"/>
      <c r="R173" s="427"/>
      <c r="S173" s="397"/>
    </row>
    <row r="174" spans="1:20" x14ac:dyDescent="0.3">
      <c r="A174" s="421"/>
      <c r="B174" s="421"/>
      <c r="C174" s="421"/>
      <c r="D174" s="421"/>
      <c r="E174" s="424"/>
      <c r="F174" s="421"/>
      <c r="G174" s="421"/>
      <c r="H174" s="72" t="s">
        <v>393</v>
      </c>
      <c r="I174" s="138"/>
      <c r="J174" s="138"/>
      <c r="K174" s="138">
        <v>16.399999999999999</v>
      </c>
      <c r="L174" s="138">
        <f t="shared" si="4"/>
        <v>5.222929936305732E-2</v>
      </c>
      <c r="M174" s="138"/>
      <c r="N174" s="138"/>
      <c r="O174" s="138">
        <f>(0.08847-1.46936*L174+11.98979*L174^2+1.97056*L174^3)*'Key Data'!$I$15*'Key Data'!$F$15</f>
        <v>3.5212321820566612E-2</v>
      </c>
      <c r="P174" s="138">
        <f>O174*(1+'Key Data'!F$3)</f>
        <v>4.4015402275708264E-2</v>
      </c>
      <c r="Q174" s="427"/>
      <c r="R174" s="427"/>
      <c r="S174" s="397"/>
    </row>
    <row r="175" spans="1:20" x14ac:dyDescent="0.3">
      <c r="A175" s="421"/>
      <c r="B175" s="421"/>
      <c r="C175" s="421"/>
      <c r="D175" s="421"/>
      <c r="E175" s="424"/>
      <c r="F175" s="421"/>
      <c r="G175" s="421"/>
      <c r="H175" s="72" t="s">
        <v>393</v>
      </c>
      <c r="I175" s="138"/>
      <c r="J175" s="138"/>
      <c r="K175" s="138">
        <v>22.2</v>
      </c>
      <c r="L175" s="138">
        <f t="shared" si="4"/>
        <v>7.0700636942675157E-2</v>
      </c>
      <c r="M175" s="138"/>
      <c r="N175" s="138"/>
      <c r="O175" s="138">
        <f>(0.08847-1.46936*L175+11.98979*L175^2+1.97056*L175^3)*'Key Data'!$I$15*'Key Data'!$F$15</f>
        <v>3.560574053851933E-2</v>
      </c>
      <c r="P175" s="138">
        <f>O175*(1+'Key Data'!F$3)</f>
        <v>4.4507175673149164E-2</v>
      </c>
      <c r="Q175" s="427"/>
      <c r="R175" s="427"/>
      <c r="S175" s="397"/>
    </row>
    <row r="176" spans="1:20" x14ac:dyDescent="0.3">
      <c r="A176" s="421"/>
      <c r="B176" s="421"/>
      <c r="C176" s="421"/>
      <c r="D176" s="421"/>
      <c r="E176" s="424"/>
      <c r="F176" s="421"/>
      <c r="G176" s="421"/>
      <c r="H176" s="72" t="s">
        <v>393</v>
      </c>
      <c r="I176" s="138"/>
      <c r="J176" s="138"/>
      <c r="K176" s="138">
        <v>19</v>
      </c>
      <c r="L176" s="138">
        <f t="shared" si="4"/>
        <v>6.0509554140127389E-2</v>
      </c>
      <c r="M176" s="138"/>
      <c r="N176" s="138"/>
      <c r="O176" s="138">
        <f>(0.08847-1.46936*L176+11.98979*L176^2+1.97056*L176^3)*'Key Data'!$I$15*'Key Data'!$F$15</f>
        <v>3.4567903086895738E-2</v>
      </c>
      <c r="P176" s="138">
        <f>O176*(1+'Key Data'!F$3)</f>
        <v>4.3209878858619669E-2</v>
      </c>
      <c r="Q176" s="427"/>
      <c r="R176" s="427"/>
      <c r="S176" s="397"/>
    </row>
    <row r="177" spans="1:19" x14ac:dyDescent="0.3">
      <c r="A177" s="421"/>
      <c r="B177" s="421"/>
      <c r="C177" s="421"/>
      <c r="D177" s="421"/>
      <c r="E177" s="424"/>
      <c r="F177" s="421"/>
      <c r="G177" s="421"/>
      <c r="H177" s="72" t="s">
        <v>393</v>
      </c>
      <c r="I177" s="138"/>
      <c r="J177" s="138"/>
      <c r="K177" s="138">
        <v>21.5</v>
      </c>
      <c r="L177" s="138">
        <f t="shared" si="4"/>
        <v>6.8471337579617833E-2</v>
      </c>
      <c r="M177" s="138"/>
      <c r="N177" s="138"/>
      <c r="O177" s="138">
        <f>(0.08847-1.46936*L177+11.98979*L177^2+1.97056*L177^3)*'Key Data'!$I$15*'Key Data'!$F$15</f>
        <v>3.520562645168944E-2</v>
      </c>
      <c r="P177" s="138">
        <f>O177*(1+'Key Data'!F$3)</f>
        <v>4.4007033064611803E-2</v>
      </c>
      <c r="Q177" s="427"/>
      <c r="R177" s="427"/>
      <c r="S177" s="397"/>
    </row>
    <row r="178" spans="1:19" x14ac:dyDescent="0.3">
      <c r="A178" s="421"/>
      <c r="B178" s="421"/>
      <c r="C178" s="421"/>
      <c r="D178" s="421"/>
      <c r="E178" s="424"/>
      <c r="F178" s="421"/>
      <c r="G178" s="421"/>
      <c r="H178" s="72" t="s">
        <v>393</v>
      </c>
      <c r="I178" s="138"/>
      <c r="J178" s="138"/>
      <c r="K178" s="138">
        <v>26.2</v>
      </c>
      <c r="L178" s="138">
        <f t="shared" si="4"/>
        <v>8.3439490445859868E-2</v>
      </c>
      <c r="M178" s="138"/>
      <c r="N178" s="138"/>
      <c r="O178" s="138">
        <f>(0.08847-1.46936*L178+11.98979*L178^2+1.97056*L178^3)*'Key Data'!$I$15*'Key Data'!$F$15</f>
        <v>3.9758342084817898E-2</v>
      </c>
      <c r="P178" s="138">
        <f>O178*(1+'Key Data'!F$3)</f>
        <v>4.9697927606022374E-2</v>
      </c>
      <c r="Q178" s="427"/>
      <c r="R178" s="427"/>
      <c r="S178" s="397"/>
    </row>
    <row r="179" spans="1:19" x14ac:dyDescent="0.3">
      <c r="A179" s="421"/>
      <c r="B179" s="421"/>
      <c r="C179" s="421"/>
      <c r="D179" s="421"/>
      <c r="E179" s="424"/>
      <c r="F179" s="421"/>
      <c r="G179" s="421"/>
      <c r="H179" s="72" t="s">
        <v>393</v>
      </c>
      <c r="I179" s="138"/>
      <c r="J179" s="138"/>
      <c r="K179" s="138">
        <v>23.5</v>
      </c>
      <c r="L179" s="138">
        <f t="shared" si="4"/>
        <v>7.4840764331210188E-2</v>
      </c>
      <c r="M179" s="138"/>
      <c r="N179" s="138"/>
      <c r="O179" s="138">
        <f>(0.08847-1.46936*L179+11.98979*L179^2+1.97056*L179^3)*'Key Data'!$I$15*'Key Data'!$F$15</f>
        <v>3.6606554058166541E-2</v>
      </c>
      <c r="P179" s="138">
        <f>O179*(1+'Key Data'!F$3)</f>
        <v>4.5758192572708176E-2</v>
      </c>
      <c r="Q179" s="427"/>
      <c r="R179" s="427"/>
      <c r="S179" s="397"/>
    </row>
    <row r="180" spans="1:19" x14ac:dyDescent="0.3">
      <c r="A180" s="421"/>
      <c r="B180" s="421"/>
      <c r="C180" s="421"/>
      <c r="D180" s="421"/>
      <c r="E180" s="424"/>
      <c r="F180" s="421"/>
      <c r="G180" s="421"/>
      <c r="H180" s="72" t="s">
        <v>393</v>
      </c>
      <c r="I180" s="138"/>
      <c r="J180" s="138"/>
      <c r="K180" s="138">
        <f>SQRT(18^2+16)</f>
        <v>18.439088914585774</v>
      </c>
      <c r="L180" s="138">
        <f t="shared" si="4"/>
        <v>5.8723213103776352E-2</v>
      </c>
      <c r="M180" s="138"/>
      <c r="N180" s="138"/>
      <c r="O180" s="138">
        <f>(0.08847-1.46936*L180+11.98979*L180^2+1.97056*L180^3)*'Key Data'!$I$15*'Key Data'!$F$15</f>
        <v>3.4594310206610662E-2</v>
      </c>
      <c r="P180" s="138">
        <f>O180*(1+'Key Data'!F$3)</f>
        <v>4.3242887758263328E-2</v>
      </c>
      <c r="Q180" s="427"/>
      <c r="R180" s="427"/>
      <c r="S180" s="397"/>
    </row>
    <row r="181" spans="1:19" x14ac:dyDescent="0.3">
      <c r="A181" s="421"/>
      <c r="B181" s="421"/>
      <c r="C181" s="421"/>
      <c r="D181" s="421"/>
      <c r="E181" s="424"/>
      <c r="F181" s="421"/>
      <c r="G181" s="421"/>
      <c r="H181" s="72" t="s">
        <v>393</v>
      </c>
      <c r="I181" s="138"/>
      <c r="J181" s="138"/>
      <c r="K181" s="138">
        <v>19</v>
      </c>
      <c r="L181" s="138">
        <f t="shared" si="4"/>
        <v>6.0509554140127389E-2</v>
      </c>
      <c r="M181" s="138"/>
      <c r="N181" s="138"/>
      <c r="O181" s="138">
        <f>(0.08847-1.46936*L181+11.98979*L181^2+1.97056*L181^3)*'Key Data'!$I$15*'Key Data'!$F$15</f>
        <v>3.4567903086895738E-2</v>
      </c>
      <c r="P181" s="138">
        <f>O181*(1+'Key Data'!F$3)</f>
        <v>4.3209878858619669E-2</v>
      </c>
      <c r="Q181" s="427"/>
      <c r="R181" s="427"/>
      <c r="S181" s="397"/>
    </row>
    <row r="182" spans="1:19" x14ac:dyDescent="0.3">
      <c r="A182" s="421"/>
      <c r="B182" s="421"/>
      <c r="C182" s="421"/>
      <c r="D182" s="421"/>
      <c r="E182" s="424"/>
      <c r="F182" s="421"/>
      <c r="G182" s="421"/>
      <c r="H182" s="72" t="s">
        <v>393</v>
      </c>
      <c r="I182" s="138"/>
      <c r="J182" s="138"/>
      <c r="K182" s="138">
        <v>18</v>
      </c>
      <c r="L182" s="138">
        <f t="shared" si="4"/>
        <v>5.7324840764331204E-2</v>
      </c>
      <c r="M182" s="138"/>
      <c r="N182" s="138"/>
      <c r="O182" s="138">
        <f>(0.08847-1.46936*L182+11.98979*L182^2+1.97056*L182^3)*'Key Data'!$I$15*'Key Data'!$F$15</f>
        <v>3.4658251197319925E-2</v>
      </c>
      <c r="P182" s="138">
        <f>O182*(1+'Key Data'!F$3)</f>
        <v>4.3322813996649903E-2</v>
      </c>
      <c r="Q182" s="427"/>
      <c r="R182" s="427"/>
      <c r="S182" s="397"/>
    </row>
    <row r="183" spans="1:19" x14ac:dyDescent="0.3">
      <c r="A183" s="421"/>
      <c r="B183" s="421"/>
      <c r="C183" s="421"/>
      <c r="D183" s="421"/>
      <c r="E183" s="424"/>
      <c r="F183" s="421"/>
      <c r="G183" s="421"/>
      <c r="H183" s="72" t="s">
        <v>393</v>
      </c>
      <c r="I183" s="138"/>
      <c r="J183" s="138"/>
      <c r="K183" s="138">
        <v>15.2</v>
      </c>
      <c r="L183" s="138">
        <f t="shared" si="4"/>
        <v>4.8407643312101907E-2</v>
      </c>
      <c r="M183" s="138"/>
      <c r="N183" s="138"/>
      <c r="O183" s="138">
        <f>(0.08847-1.46936*L183+11.98979*L183^2+1.97056*L183^3)*'Key Data'!$I$15*'Key Data'!$F$15</f>
        <v>3.5957995818804545E-2</v>
      </c>
      <c r="P183" s="138">
        <f>O183*(1+'Key Data'!F$3)</f>
        <v>4.4947494773505681E-2</v>
      </c>
      <c r="Q183" s="427"/>
      <c r="R183" s="427"/>
      <c r="S183" s="397"/>
    </row>
    <row r="184" spans="1:19" x14ac:dyDescent="0.3">
      <c r="A184" s="421"/>
      <c r="B184" s="421"/>
      <c r="C184" s="421"/>
      <c r="D184" s="421"/>
      <c r="E184" s="424"/>
      <c r="F184" s="421"/>
      <c r="G184" s="421"/>
      <c r="H184" s="72" t="s">
        <v>393</v>
      </c>
      <c r="I184" s="138"/>
      <c r="J184" s="138"/>
      <c r="K184" s="138">
        <v>20</v>
      </c>
      <c r="L184" s="138">
        <f t="shared" si="4"/>
        <v>6.3694267515923567E-2</v>
      </c>
      <c r="M184" s="138"/>
      <c r="N184" s="138"/>
      <c r="O184" s="138">
        <f>(0.08847-1.46936*L184+11.98979*L184^2+1.97056*L184^3)*'Key Data'!$I$15*'Key Data'!$F$15</f>
        <v>3.4674797434741736E-2</v>
      </c>
      <c r="P184" s="138">
        <f>O184*(1+'Key Data'!F$3)</f>
        <v>4.3343496793427166E-2</v>
      </c>
      <c r="Q184" s="427"/>
      <c r="R184" s="427"/>
      <c r="S184" s="397"/>
    </row>
    <row r="185" spans="1:19" x14ac:dyDescent="0.3">
      <c r="A185" s="421"/>
      <c r="B185" s="421"/>
      <c r="C185" s="421"/>
      <c r="D185" s="421"/>
      <c r="E185" s="424"/>
      <c r="F185" s="421"/>
      <c r="G185" s="421"/>
      <c r="H185" s="72" t="s">
        <v>393</v>
      </c>
      <c r="I185" s="138"/>
      <c r="J185" s="138"/>
      <c r="K185" s="138">
        <v>14.2</v>
      </c>
      <c r="L185" s="138">
        <f t="shared" si="4"/>
        <v>4.5222929936305729E-2</v>
      </c>
      <c r="M185" s="138"/>
      <c r="N185" s="138"/>
      <c r="O185" s="138">
        <f>(0.08847-1.46936*L185+11.98979*L185^2+1.97056*L185^3)*'Key Data'!$I$15*'Key Data'!$F$15</f>
        <v>3.6795122450262119E-2</v>
      </c>
      <c r="P185" s="138">
        <f>O185*(1+'Key Data'!F$3)</f>
        <v>4.5993903062827649E-2</v>
      </c>
      <c r="Q185" s="427"/>
      <c r="R185" s="427"/>
      <c r="S185" s="397"/>
    </row>
    <row r="186" spans="1:19" x14ac:dyDescent="0.3">
      <c r="A186" s="421"/>
      <c r="B186" s="421"/>
      <c r="C186" s="421"/>
      <c r="D186" s="421"/>
      <c r="E186" s="424"/>
      <c r="F186" s="421"/>
      <c r="G186" s="421"/>
      <c r="H186" s="72" t="s">
        <v>393</v>
      </c>
      <c r="I186" s="138"/>
      <c r="J186" s="138"/>
      <c r="K186" s="138">
        <v>13.6</v>
      </c>
      <c r="L186" s="138">
        <f t="shared" si="4"/>
        <v>4.3312101910828023E-2</v>
      </c>
      <c r="M186" s="138"/>
      <c r="N186" s="138"/>
      <c r="O186" s="138">
        <f>(0.08847-1.46936*L186+11.98979*L186^2+1.97056*L186^3)*'Key Data'!$I$15*'Key Data'!$F$15</f>
        <v>3.7391401133922045E-2</v>
      </c>
      <c r="P186" s="138">
        <f>O186*(1+'Key Data'!F$3)</f>
        <v>4.6739251417402553E-2</v>
      </c>
      <c r="Q186" s="427"/>
      <c r="R186" s="427"/>
      <c r="S186" s="397"/>
    </row>
    <row r="187" spans="1:19" x14ac:dyDescent="0.3">
      <c r="A187" s="421"/>
      <c r="B187" s="421"/>
      <c r="C187" s="421"/>
      <c r="D187" s="421"/>
      <c r="E187" s="424"/>
      <c r="F187" s="421"/>
      <c r="G187" s="421"/>
      <c r="H187" s="72" t="s">
        <v>393</v>
      </c>
      <c r="I187" s="138"/>
      <c r="J187" s="138"/>
      <c r="K187" s="138">
        <v>16</v>
      </c>
      <c r="L187" s="138">
        <f t="shared" si="4"/>
        <v>5.0955414012738849E-2</v>
      </c>
      <c r="M187" s="138"/>
      <c r="N187" s="138"/>
      <c r="O187" s="138">
        <f>(0.08847-1.46936*L187+11.98979*L187^2+1.97056*L187^3)*'Key Data'!$I$15*'Key Data'!$F$15</f>
        <v>3.5429471801578225E-2</v>
      </c>
      <c r="P187" s="138">
        <f>O187*(1+'Key Data'!F$3)</f>
        <v>4.4286839751972784E-2</v>
      </c>
      <c r="Q187" s="427"/>
      <c r="R187" s="427"/>
      <c r="S187" s="397"/>
    </row>
    <row r="188" spans="1:19" x14ac:dyDescent="0.3">
      <c r="A188" s="421"/>
      <c r="B188" s="421"/>
      <c r="C188" s="421"/>
      <c r="D188" s="421"/>
      <c r="E188" s="424"/>
      <c r="F188" s="421"/>
      <c r="G188" s="421"/>
      <c r="H188" s="72" t="s">
        <v>393</v>
      </c>
      <c r="I188" s="138"/>
      <c r="J188" s="138"/>
      <c r="K188" s="138">
        <f>SQRT(6.5^2+6.7^2)</f>
        <v>9.3348808240919716</v>
      </c>
      <c r="L188" s="138">
        <f t="shared" si="4"/>
        <v>2.9728919821948953E-2</v>
      </c>
      <c r="M188" s="138"/>
      <c r="N188" s="138"/>
      <c r="O188" s="138">
        <f>(0.08847-1.46936*L188+11.98979*L188^2+1.97056*L188^3)*'Key Data'!$I$15*'Key Data'!$F$15</f>
        <v>4.3655826845235876E-2</v>
      </c>
      <c r="P188" s="138">
        <f>O188*(1+'Key Data'!F$3)</f>
        <v>5.4569783556544849E-2</v>
      </c>
      <c r="Q188" s="427"/>
      <c r="R188" s="427"/>
      <c r="S188" s="397"/>
    </row>
    <row r="189" spans="1:19" x14ac:dyDescent="0.3">
      <c r="A189" s="421"/>
      <c r="B189" s="421"/>
      <c r="C189" s="421"/>
      <c r="D189" s="421"/>
      <c r="E189" s="424"/>
      <c r="F189" s="421"/>
      <c r="G189" s="421"/>
      <c r="H189" s="72" t="s">
        <v>393</v>
      </c>
      <c r="I189" s="138"/>
      <c r="J189" s="138"/>
      <c r="K189" s="138">
        <v>13.5</v>
      </c>
      <c r="L189" s="138">
        <f t="shared" si="4"/>
        <v>4.2993630573248405E-2</v>
      </c>
      <c r="M189" s="138"/>
      <c r="N189" s="138"/>
      <c r="O189" s="138">
        <f>(0.08847-1.46936*L189+11.98979*L189^2+1.97056*L189^3)*'Key Data'!$I$15*'Key Data'!$F$15</f>
        <v>3.7497629313590262E-2</v>
      </c>
      <c r="P189" s="138">
        <f>O189*(1+'Key Data'!F$3)</f>
        <v>4.687203664198783E-2</v>
      </c>
      <c r="Q189" s="427"/>
      <c r="R189" s="427"/>
      <c r="S189" s="397"/>
    </row>
    <row r="190" spans="1:19" x14ac:dyDescent="0.3">
      <c r="A190" s="421"/>
      <c r="B190" s="421"/>
      <c r="C190" s="421"/>
      <c r="D190" s="421"/>
      <c r="E190" s="424"/>
      <c r="F190" s="421"/>
      <c r="G190" s="421"/>
      <c r="H190" s="72" t="s">
        <v>393</v>
      </c>
      <c r="I190" s="138"/>
      <c r="J190" s="138"/>
      <c r="K190" s="138">
        <v>14.7</v>
      </c>
      <c r="L190" s="138">
        <f t="shared" si="4"/>
        <v>4.6815286624203818E-2</v>
      </c>
      <c r="M190" s="138"/>
      <c r="N190" s="138"/>
      <c r="O190" s="138">
        <f>(0.08847-1.46936*L190+11.98979*L190^2+1.97056*L190^3)*'Key Data'!$I$15*'Key Data'!$F$15</f>
        <v>3.6352065479219015E-2</v>
      </c>
      <c r="P190" s="138">
        <f>O190*(1+'Key Data'!F$3)</f>
        <v>4.5440081849023768E-2</v>
      </c>
      <c r="Q190" s="427"/>
      <c r="R190" s="427"/>
      <c r="S190" s="397"/>
    </row>
    <row r="191" spans="1:19" x14ac:dyDescent="0.3">
      <c r="A191" s="421"/>
      <c r="B191" s="421"/>
      <c r="C191" s="421"/>
      <c r="D191" s="421"/>
      <c r="E191" s="424"/>
      <c r="F191" s="421"/>
      <c r="G191" s="421"/>
      <c r="H191" s="72" t="s">
        <v>393</v>
      </c>
      <c r="I191" s="138"/>
      <c r="J191" s="138"/>
      <c r="K191" s="138">
        <v>16.2</v>
      </c>
      <c r="L191" s="138">
        <f t="shared" si="4"/>
        <v>5.1592356687898085E-2</v>
      </c>
      <c r="M191" s="138"/>
      <c r="N191" s="138"/>
      <c r="O191" s="138">
        <f>(0.08847-1.46936*L191+11.98979*L191^2+1.97056*L191^3)*'Key Data'!$I$15*'Key Data'!$F$15</f>
        <v>3.5316968803786618E-2</v>
      </c>
      <c r="P191" s="138">
        <f>O191*(1+'Key Data'!F$3)</f>
        <v>4.4146211004733274E-2</v>
      </c>
      <c r="Q191" s="427"/>
      <c r="R191" s="427"/>
      <c r="S191" s="397"/>
    </row>
    <row r="192" spans="1:19" x14ac:dyDescent="0.3">
      <c r="A192" s="421"/>
      <c r="B192" s="421"/>
      <c r="C192" s="421"/>
      <c r="D192" s="421"/>
      <c r="E192" s="424"/>
      <c r="F192" s="421"/>
      <c r="G192" s="421"/>
      <c r="H192" s="72" t="s">
        <v>393</v>
      </c>
      <c r="I192" s="138"/>
      <c r="J192" s="138"/>
      <c r="K192" s="138">
        <v>4.7</v>
      </c>
      <c r="L192" s="138">
        <f t="shared" si="4"/>
        <v>1.4968152866242037E-2</v>
      </c>
      <c r="M192" s="138"/>
      <c r="N192" s="138"/>
      <c r="O192" s="138">
        <f>(0.08847-1.46936*L192+11.98979*L192^2+1.97056*L192^3)*'Key Data'!$I$15*'Key Data'!$F$15</f>
        <v>5.4470794589439236E-2</v>
      </c>
      <c r="P192" s="138">
        <f>O192*(1+'Key Data'!F$3)</f>
        <v>6.8088493236799053E-2</v>
      </c>
      <c r="Q192" s="427"/>
      <c r="R192" s="427"/>
      <c r="S192" s="397"/>
    </row>
    <row r="193" spans="1:19" x14ac:dyDescent="0.3">
      <c r="A193" s="421"/>
      <c r="B193" s="421"/>
      <c r="C193" s="421"/>
      <c r="D193" s="421"/>
      <c r="E193" s="424"/>
      <c r="F193" s="421"/>
      <c r="G193" s="421"/>
      <c r="H193" s="72" t="s">
        <v>393</v>
      </c>
      <c r="I193" s="138"/>
      <c r="J193" s="138"/>
      <c r="K193" s="138">
        <v>13.3</v>
      </c>
      <c r="L193" s="138">
        <f t="shared" si="4"/>
        <v>4.2356687898089176E-2</v>
      </c>
      <c r="M193" s="138"/>
      <c r="N193" s="138"/>
      <c r="O193" s="138">
        <f>(0.08847-1.46936*L193+11.98979*L193^2+1.97056*L193^3)*'Key Data'!$I$15*'Key Data'!$F$15</f>
        <v>3.7715953022531709E-2</v>
      </c>
      <c r="P193" s="138">
        <f>O193*(1+'Key Data'!F$3)</f>
        <v>4.714494127816464E-2</v>
      </c>
      <c r="Q193" s="427"/>
      <c r="R193" s="427"/>
      <c r="S193" s="397"/>
    </row>
    <row r="194" spans="1:19" x14ac:dyDescent="0.3">
      <c r="A194" s="421"/>
      <c r="B194" s="421"/>
      <c r="C194" s="421"/>
      <c r="D194" s="421"/>
      <c r="E194" s="424"/>
      <c r="F194" s="421"/>
      <c r="G194" s="421"/>
      <c r="H194" s="72" t="s">
        <v>393</v>
      </c>
      <c r="I194" s="138"/>
      <c r="J194" s="138"/>
      <c r="K194" s="138">
        <f>SQRT(18^2+25)</f>
        <v>18.681541692269406</v>
      </c>
      <c r="L194" s="138">
        <f t="shared" si="4"/>
        <v>5.949535570786435E-2</v>
      </c>
      <c r="M194" s="138"/>
      <c r="N194" s="138"/>
      <c r="O194" s="138">
        <f>(0.08847-1.46936*L194+11.98979*L194^2+1.97056*L194^3)*'Key Data'!$I$15*'Key Data'!$F$15</f>
        <v>3.4575284527633407E-2</v>
      </c>
      <c r="P194" s="138">
        <f>O194*(1+'Key Data'!F$3)</f>
        <v>4.3219105659541762E-2</v>
      </c>
      <c r="Q194" s="427"/>
      <c r="R194" s="427"/>
      <c r="S194" s="397"/>
    </row>
    <row r="195" spans="1:19" x14ac:dyDescent="0.3">
      <c r="A195" s="421"/>
      <c r="B195" s="421"/>
      <c r="C195" s="421"/>
      <c r="D195" s="421"/>
      <c r="E195" s="424"/>
      <c r="F195" s="421"/>
      <c r="G195" s="421"/>
      <c r="H195" s="72" t="s">
        <v>393</v>
      </c>
      <c r="I195" s="138"/>
      <c r="J195" s="138"/>
      <c r="K195" s="138">
        <v>11.2</v>
      </c>
      <c r="L195" s="138">
        <f t="shared" si="4"/>
        <v>3.5668789808917196E-2</v>
      </c>
      <c r="M195" s="138"/>
      <c r="N195" s="138"/>
      <c r="O195" s="138">
        <f>(0.08847-1.46936*L195+11.98979*L195^2+1.97056*L195^3)*'Key Data'!$I$15*'Key Data'!$F$15</f>
        <v>4.0480092564771426E-2</v>
      </c>
      <c r="P195" s="138">
        <f>O195*(1+'Key Data'!F$3)</f>
        <v>5.0600115705964281E-2</v>
      </c>
      <c r="Q195" s="427"/>
      <c r="R195" s="427"/>
      <c r="S195" s="397"/>
    </row>
    <row r="196" spans="1:19" x14ac:dyDescent="0.3">
      <c r="A196" s="421"/>
      <c r="B196" s="421"/>
      <c r="C196" s="421"/>
      <c r="D196" s="421"/>
      <c r="E196" s="424"/>
      <c r="F196" s="421"/>
      <c r="G196" s="421"/>
      <c r="H196" s="72" t="s">
        <v>393</v>
      </c>
      <c r="I196" s="138"/>
      <c r="J196" s="138"/>
      <c r="K196" s="138">
        <f>SQRT(18.5^2+12.5^2)</f>
        <v>22.327113561766108</v>
      </c>
      <c r="L196" s="138">
        <f t="shared" si="4"/>
        <v>7.1105457203076775E-2</v>
      </c>
      <c r="M196" s="138"/>
      <c r="N196" s="138"/>
      <c r="O196" s="138">
        <f>(0.08847-1.46936*L196+11.98979*L196^2+1.97056*L196^3)*'Key Data'!$I$15*'Key Data'!$F$15</f>
        <v>3.568881392404958E-2</v>
      </c>
      <c r="P196" s="138">
        <f>O196*(1+'Key Data'!F$3)</f>
        <v>4.4611017405061973E-2</v>
      </c>
      <c r="Q196" s="427"/>
      <c r="R196" s="427"/>
      <c r="S196" s="397"/>
    </row>
    <row r="197" spans="1:19" x14ac:dyDescent="0.3">
      <c r="A197" s="421"/>
      <c r="B197" s="421"/>
      <c r="C197" s="421"/>
      <c r="D197" s="421"/>
      <c r="E197" s="424"/>
      <c r="F197" s="421"/>
      <c r="G197" s="421"/>
      <c r="H197" s="72" t="s">
        <v>393</v>
      </c>
      <c r="I197" s="138"/>
      <c r="J197" s="138"/>
      <c r="K197" s="138">
        <v>20.5</v>
      </c>
      <c r="L197" s="138">
        <f t="shared" si="4"/>
        <v>6.5286624203821655E-2</v>
      </c>
      <c r="M197" s="138"/>
      <c r="N197" s="138"/>
      <c r="O197" s="138">
        <f>(0.08847-1.46936*L197+11.98979*L197^2+1.97056*L197^3)*'Key Data'!$I$15*'Key Data'!$F$15</f>
        <v>3.4802304514219201E-2</v>
      </c>
      <c r="P197" s="138">
        <f>O197*(1+'Key Data'!F$3)</f>
        <v>4.3502880642774001E-2</v>
      </c>
      <c r="Q197" s="427"/>
      <c r="R197" s="427"/>
      <c r="S197" s="397"/>
    </row>
    <row r="198" spans="1:19" x14ac:dyDescent="0.3">
      <c r="A198" s="421"/>
      <c r="B198" s="421"/>
      <c r="C198" s="421"/>
      <c r="D198" s="421"/>
      <c r="E198" s="424"/>
      <c r="F198" s="421"/>
      <c r="G198" s="421"/>
      <c r="H198" s="72" t="s">
        <v>393</v>
      </c>
      <c r="I198" s="138"/>
      <c r="J198" s="138"/>
      <c r="K198" s="138">
        <f>SQRT(18.2^2+5^2+49)</f>
        <v>20.130573762314871</v>
      </c>
      <c r="L198" s="138">
        <f t="shared" si="4"/>
        <v>6.4110107523295767E-2</v>
      </c>
      <c r="M198" s="138"/>
      <c r="N198" s="138"/>
      <c r="O198" s="138">
        <f>(0.08847-1.46936*L198+11.98979*L198^2+1.97056*L198^3)*'Key Data'!$I$15*'Key Data'!$F$15</f>
        <v>3.4703329585534737E-2</v>
      </c>
      <c r="P198" s="138">
        <f>O198*(1+'Key Data'!F$3)</f>
        <v>4.3379161981918421E-2</v>
      </c>
      <c r="Q198" s="427"/>
      <c r="R198" s="427"/>
      <c r="S198" s="397"/>
    </row>
    <row r="199" spans="1:19" x14ac:dyDescent="0.3">
      <c r="A199" s="421"/>
      <c r="B199" s="421"/>
      <c r="C199" s="421"/>
      <c r="D199" s="421"/>
      <c r="E199" s="424"/>
      <c r="F199" s="421"/>
      <c r="G199" s="421"/>
      <c r="H199" s="72" t="s">
        <v>393</v>
      </c>
      <c r="I199" s="138"/>
      <c r="J199" s="138"/>
      <c r="K199" s="138">
        <v>16.7</v>
      </c>
      <c r="L199" s="138">
        <f t="shared" si="4"/>
        <v>5.3184713375796173E-2</v>
      </c>
      <c r="M199" s="138"/>
      <c r="N199" s="138"/>
      <c r="O199" s="138">
        <f>(0.08847-1.46936*L199+11.98979*L199^2+1.97056*L199^3)*'Key Data'!$I$15*'Key Data'!$F$15</f>
        <v>3.5070086636145699E-2</v>
      </c>
      <c r="P199" s="138">
        <f>O199*(1+'Key Data'!F$3)</f>
        <v>4.3837608295182122E-2</v>
      </c>
      <c r="Q199" s="427"/>
      <c r="R199" s="427"/>
      <c r="S199" s="397"/>
    </row>
    <row r="200" spans="1:19" x14ac:dyDescent="0.3">
      <c r="A200" s="421"/>
      <c r="B200" s="421"/>
      <c r="C200" s="421"/>
      <c r="D200" s="421"/>
      <c r="E200" s="424"/>
      <c r="F200" s="421"/>
      <c r="G200" s="421"/>
      <c r="H200" s="72" t="s">
        <v>393</v>
      </c>
      <c r="I200" s="138"/>
      <c r="J200" s="138"/>
      <c r="K200" s="138">
        <v>17.5</v>
      </c>
      <c r="L200" s="138">
        <f t="shared" si="4"/>
        <v>5.5732484076433116E-2</v>
      </c>
      <c r="M200" s="138"/>
      <c r="N200" s="138"/>
      <c r="O200" s="138">
        <f>(0.08847-1.46936*L200+11.98979*L200^2+1.97056*L200^3)*'Key Data'!$I$15*'Key Data'!$F$15</f>
        <v>3.4777297190680151E-2</v>
      </c>
      <c r="P200" s="138">
        <f>O200*(1+'Key Data'!F$3)</f>
        <v>4.3471621488350189E-2</v>
      </c>
      <c r="Q200" s="427"/>
      <c r="R200" s="427"/>
      <c r="S200" s="397"/>
    </row>
    <row r="201" spans="1:19" x14ac:dyDescent="0.3">
      <c r="A201" s="421"/>
      <c r="B201" s="421"/>
      <c r="C201" s="421"/>
      <c r="D201" s="421"/>
      <c r="E201" s="424"/>
      <c r="F201" s="421"/>
      <c r="G201" s="421"/>
      <c r="H201" s="72" t="s">
        <v>393</v>
      </c>
      <c r="I201" s="138"/>
      <c r="J201" s="138"/>
      <c r="K201" s="138">
        <v>11</v>
      </c>
      <c r="L201" s="138">
        <f t="shared" si="4"/>
        <v>3.5031847133757961E-2</v>
      </c>
      <c r="M201" s="138"/>
      <c r="N201" s="138"/>
      <c r="O201" s="138">
        <f>(0.08847-1.46936*L201+11.98979*L201^2+1.97056*L201^3)*'Key Data'!$I$15*'Key Data'!$F$15</f>
        <v>4.0788213982442471E-2</v>
      </c>
      <c r="P201" s="138">
        <f>O201*(1+'Key Data'!F$3)</f>
        <v>5.0985267478053091E-2</v>
      </c>
      <c r="Q201" s="427"/>
      <c r="R201" s="427"/>
      <c r="S201" s="397"/>
    </row>
    <row r="202" spans="1:19" x14ac:dyDescent="0.3">
      <c r="A202" s="421"/>
      <c r="B202" s="421"/>
      <c r="C202" s="421"/>
      <c r="D202" s="421"/>
      <c r="E202" s="424"/>
      <c r="F202" s="421"/>
      <c r="G202" s="421"/>
      <c r="H202" s="72" t="s">
        <v>393</v>
      </c>
      <c r="I202" s="138"/>
      <c r="J202" s="138"/>
      <c r="K202" s="138">
        <f>SQRT(19^2+5^2+7.5^2)</f>
        <v>21.029740844813091</v>
      </c>
      <c r="L202" s="138">
        <f t="shared" si="4"/>
        <v>6.6973696958003467E-2</v>
      </c>
      <c r="M202" s="138"/>
      <c r="N202" s="138"/>
      <c r="O202" s="138">
        <f>(0.08847-1.46936*L202+11.98979*L202^2+1.97056*L202^3)*'Key Data'!$I$15*'Key Data'!$F$15</f>
        <v>3.4991317250745745E-2</v>
      </c>
      <c r="P202" s="138">
        <f>O202*(1+'Key Data'!F$3)</f>
        <v>4.3739146563432182E-2</v>
      </c>
      <c r="Q202" s="427"/>
      <c r="R202" s="427"/>
      <c r="S202" s="397"/>
    </row>
    <row r="203" spans="1:19" x14ac:dyDescent="0.3">
      <c r="A203" s="421"/>
      <c r="B203" s="421"/>
      <c r="C203" s="421"/>
      <c r="D203" s="421"/>
      <c r="E203" s="424"/>
      <c r="F203" s="421"/>
      <c r="G203" s="421"/>
      <c r="H203" s="72" t="s">
        <v>393</v>
      </c>
      <c r="I203" s="138"/>
      <c r="J203" s="138"/>
      <c r="K203" s="138">
        <v>20.100000000000001</v>
      </c>
      <c r="L203" s="138">
        <f t="shared" si="4"/>
        <v>6.4012738853503184E-2</v>
      </c>
      <c r="M203" s="138"/>
      <c r="N203" s="138"/>
      <c r="O203" s="138">
        <f>(0.08847-1.46936*L203+11.98979*L203^2+1.97056*L203^3)*'Key Data'!$I$15*'Key Data'!$F$15</f>
        <v>3.4696346783523416E-2</v>
      </c>
      <c r="P203" s="138">
        <f>O203*(1+'Key Data'!F$3)</f>
        <v>4.3370433479404266E-2</v>
      </c>
      <c r="Q203" s="427"/>
      <c r="R203" s="427"/>
      <c r="S203" s="397"/>
    </row>
    <row r="204" spans="1:19" x14ac:dyDescent="0.3">
      <c r="A204" s="421"/>
      <c r="B204" s="421"/>
      <c r="C204" s="421"/>
      <c r="D204" s="421"/>
      <c r="E204" s="424"/>
      <c r="F204" s="421"/>
      <c r="G204" s="421"/>
      <c r="H204" s="72" t="s">
        <v>393</v>
      </c>
      <c r="I204" s="138"/>
      <c r="J204" s="138"/>
      <c r="K204" s="138">
        <v>11.2</v>
      </c>
      <c r="L204" s="138">
        <f t="shared" si="4"/>
        <v>3.5668789808917196E-2</v>
      </c>
      <c r="M204" s="138"/>
      <c r="N204" s="138"/>
      <c r="O204" s="138">
        <f>(0.08847-1.46936*L204+11.98979*L204^2+1.97056*L204^3)*'Key Data'!$I$15*'Key Data'!$F$15</f>
        <v>4.0480092564771426E-2</v>
      </c>
      <c r="P204" s="138">
        <f>O204*(1+'Key Data'!F$3)</f>
        <v>5.0600115705964281E-2</v>
      </c>
      <c r="Q204" s="427"/>
      <c r="R204" s="427"/>
      <c r="S204" s="397"/>
    </row>
    <row r="205" spans="1:19" x14ac:dyDescent="0.3">
      <c r="A205" s="421"/>
      <c r="B205" s="421"/>
      <c r="C205" s="421"/>
      <c r="D205" s="421"/>
      <c r="E205" s="424"/>
      <c r="F205" s="421"/>
      <c r="G205" s="421"/>
      <c r="H205" s="72" t="s">
        <v>393</v>
      </c>
      <c r="I205" s="138"/>
      <c r="J205" s="138"/>
      <c r="K205" s="138">
        <v>15.8</v>
      </c>
      <c r="L205" s="138">
        <f t="shared" ref="L205:L234" si="5">K205/3.14/100</f>
        <v>5.0318471337579621E-2</v>
      </c>
      <c r="M205" s="138"/>
      <c r="N205" s="138"/>
      <c r="O205" s="138">
        <f>(0.08847-1.46936*L205+11.98979*L205^2+1.97056*L205^3)*'Key Data'!$I$15*'Key Data'!$F$15</f>
        <v>3.5549828407958624E-2</v>
      </c>
      <c r="P205" s="138">
        <f>O205*(1+'Key Data'!F$3)</f>
        <v>4.4437285509948278E-2</v>
      </c>
      <c r="Q205" s="427"/>
      <c r="R205" s="427"/>
      <c r="S205" s="397"/>
    </row>
    <row r="206" spans="1:19" x14ac:dyDescent="0.3">
      <c r="A206" s="421"/>
      <c r="B206" s="421"/>
      <c r="C206" s="421"/>
      <c r="D206" s="421"/>
      <c r="E206" s="424"/>
      <c r="F206" s="421"/>
      <c r="G206" s="421"/>
      <c r="H206" s="72" t="s">
        <v>393</v>
      </c>
      <c r="I206" s="138"/>
      <c r="J206" s="138"/>
      <c r="K206" s="138">
        <v>14</v>
      </c>
      <c r="L206" s="138">
        <f t="shared" si="5"/>
        <v>4.4585987261146494E-2</v>
      </c>
      <c r="M206" s="138"/>
      <c r="N206" s="138"/>
      <c r="O206" s="138">
        <f>(0.08847-1.46936*L206+11.98979*L206^2+1.97056*L206^3)*'Key Data'!$I$15*'Key Data'!$F$15</f>
        <v>3.6986053264715588E-2</v>
      </c>
      <c r="P206" s="138">
        <f>O206*(1+'Key Data'!F$3)</f>
        <v>4.6232566580894488E-2</v>
      </c>
      <c r="Q206" s="427"/>
      <c r="R206" s="427"/>
      <c r="S206" s="397"/>
    </row>
    <row r="207" spans="1:19" x14ac:dyDescent="0.3">
      <c r="A207" s="421"/>
      <c r="B207" s="421"/>
      <c r="C207" s="421"/>
      <c r="D207" s="421"/>
      <c r="E207" s="424"/>
      <c r="F207" s="421"/>
      <c r="G207" s="421"/>
      <c r="H207" s="72" t="s">
        <v>393</v>
      </c>
      <c r="I207" s="138"/>
      <c r="J207" s="138"/>
      <c r="K207" s="138">
        <v>20</v>
      </c>
      <c r="L207" s="138">
        <f t="shared" si="5"/>
        <v>6.3694267515923567E-2</v>
      </c>
      <c r="M207" s="138"/>
      <c r="N207" s="138"/>
      <c r="O207" s="138">
        <f>(0.08847-1.46936*L207+11.98979*L207^2+1.97056*L207^3)*'Key Data'!$I$15*'Key Data'!$F$15</f>
        <v>3.4674797434741736E-2</v>
      </c>
      <c r="P207" s="138">
        <f>O207*(1+'Key Data'!F$3)</f>
        <v>4.3343496793427166E-2</v>
      </c>
      <c r="Q207" s="427"/>
      <c r="R207" s="427"/>
      <c r="S207" s="397"/>
    </row>
    <row r="208" spans="1:19" x14ac:dyDescent="0.3">
      <c r="A208" s="421"/>
      <c r="B208" s="421"/>
      <c r="C208" s="421"/>
      <c r="D208" s="421"/>
      <c r="E208" s="424"/>
      <c r="F208" s="421"/>
      <c r="G208" s="421"/>
      <c r="H208" s="72" t="s">
        <v>393</v>
      </c>
      <c r="I208" s="138"/>
      <c r="J208" s="138"/>
      <c r="K208" s="138">
        <v>15</v>
      </c>
      <c r="L208" s="138">
        <f t="shared" si="5"/>
        <v>4.7770700636942671E-2</v>
      </c>
      <c r="M208" s="138"/>
      <c r="N208" s="138"/>
      <c r="O208" s="138">
        <f>(0.08847-1.46936*L208+11.98979*L208^2+1.97056*L208^3)*'Key Data'!$I$15*'Key Data'!$F$15</f>
        <v>3.6109742799712088E-2</v>
      </c>
      <c r="P208" s="138">
        <f>O208*(1+'Key Data'!F$3)</f>
        <v>4.5137178499640107E-2</v>
      </c>
      <c r="Q208" s="427"/>
      <c r="R208" s="427"/>
      <c r="S208" s="397"/>
    </row>
    <row r="209" spans="1:19" x14ac:dyDescent="0.3">
      <c r="A209" s="421"/>
      <c r="B209" s="421"/>
      <c r="C209" s="421"/>
      <c r="D209" s="421"/>
      <c r="E209" s="424"/>
      <c r="F209" s="421"/>
      <c r="G209" s="421"/>
      <c r="H209" s="72" t="s">
        <v>393</v>
      </c>
      <c r="I209" s="138"/>
      <c r="J209" s="138"/>
      <c r="K209" s="138">
        <f>SQRT(15^2+6.7^2)</f>
        <v>16.428329190760696</v>
      </c>
      <c r="L209" s="138">
        <f t="shared" si="5"/>
        <v>5.2319519715798395E-2</v>
      </c>
      <c r="M209" s="138"/>
      <c r="N209" s="138"/>
      <c r="O209" s="138">
        <f>(0.08847-1.46936*L209+11.98979*L209^2+1.97056*L209^3)*'Key Data'!$I$15*'Key Data'!$F$15</f>
        <v>3.5198134333903064E-2</v>
      </c>
      <c r="P209" s="138">
        <f>O209*(1+'Key Data'!F$3)</f>
        <v>4.399766791737883E-2</v>
      </c>
      <c r="Q209" s="427"/>
      <c r="R209" s="427"/>
      <c r="S209" s="397"/>
    </row>
    <row r="210" spans="1:19" x14ac:dyDescent="0.3">
      <c r="A210" s="421"/>
      <c r="B210" s="421"/>
      <c r="C210" s="421"/>
      <c r="D210" s="421"/>
      <c r="E210" s="424"/>
      <c r="F210" s="421"/>
      <c r="G210" s="421"/>
      <c r="H210" s="72" t="s">
        <v>393</v>
      </c>
      <c r="I210" s="138"/>
      <c r="J210" s="138"/>
      <c r="K210" s="138">
        <v>17.5</v>
      </c>
      <c r="L210" s="138">
        <f t="shared" si="5"/>
        <v>5.5732484076433116E-2</v>
      </c>
      <c r="M210" s="138"/>
      <c r="N210" s="138"/>
      <c r="O210" s="138">
        <f>(0.08847-1.46936*L210+11.98979*L210^2+1.97056*L210^3)*'Key Data'!$I$15*'Key Data'!$F$15</f>
        <v>3.4777297190680151E-2</v>
      </c>
      <c r="P210" s="138">
        <f>O210*(1+'Key Data'!F$3)</f>
        <v>4.3471621488350189E-2</v>
      </c>
      <c r="Q210" s="427"/>
      <c r="R210" s="427"/>
      <c r="S210" s="397"/>
    </row>
    <row r="211" spans="1:19" x14ac:dyDescent="0.3">
      <c r="A211" s="421"/>
      <c r="B211" s="421"/>
      <c r="C211" s="421"/>
      <c r="D211" s="421"/>
      <c r="E211" s="424"/>
      <c r="F211" s="421"/>
      <c r="G211" s="421"/>
      <c r="H211" s="72" t="s">
        <v>393</v>
      </c>
      <c r="I211" s="138"/>
      <c r="J211" s="138"/>
      <c r="K211" s="138">
        <v>15</v>
      </c>
      <c r="L211" s="138">
        <f t="shared" si="5"/>
        <v>4.7770700636942671E-2</v>
      </c>
      <c r="M211" s="138"/>
      <c r="N211" s="138"/>
      <c r="O211" s="138">
        <f>(0.08847-1.46936*L211+11.98979*L211^2+1.97056*L211^3)*'Key Data'!$I$15*'Key Data'!$F$15</f>
        <v>3.6109742799712088E-2</v>
      </c>
      <c r="P211" s="138">
        <f>O211*(1+'Key Data'!F$3)</f>
        <v>4.5137178499640107E-2</v>
      </c>
      <c r="Q211" s="427"/>
      <c r="R211" s="427"/>
      <c r="S211" s="397"/>
    </row>
    <row r="212" spans="1:19" x14ac:dyDescent="0.3">
      <c r="A212" s="421"/>
      <c r="B212" s="421"/>
      <c r="C212" s="421"/>
      <c r="D212" s="421"/>
      <c r="E212" s="424"/>
      <c r="F212" s="421"/>
      <c r="G212" s="421"/>
      <c r="H212" s="72" t="s">
        <v>393</v>
      </c>
      <c r="I212" s="138"/>
      <c r="J212" s="138"/>
      <c r="K212" s="138">
        <v>14</v>
      </c>
      <c r="L212" s="138">
        <f t="shared" si="5"/>
        <v>4.4585987261146494E-2</v>
      </c>
      <c r="M212" s="138"/>
      <c r="N212" s="138"/>
      <c r="O212" s="138">
        <f>(0.08847-1.46936*L212+11.98979*L212^2+1.97056*L212^3)*'Key Data'!$I$15*'Key Data'!$F$15</f>
        <v>3.6986053264715588E-2</v>
      </c>
      <c r="P212" s="138">
        <f>O212*(1+'Key Data'!F$3)</f>
        <v>4.6232566580894488E-2</v>
      </c>
      <c r="Q212" s="427"/>
      <c r="R212" s="427"/>
      <c r="S212" s="397"/>
    </row>
    <row r="213" spans="1:19" x14ac:dyDescent="0.3">
      <c r="A213" s="421"/>
      <c r="B213" s="421"/>
      <c r="C213" s="421"/>
      <c r="D213" s="421"/>
      <c r="E213" s="424"/>
      <c r="F213" s="421"/>
      <c r="G213" s="421"/>
      <c r="H213" s="72" t="s">
        <v>393</v>
      </c>
      <c r="I213" s="138"/>
      <c r="J213" s="138"/>
      <c r="K213" s="138">
        <v>15.8</v>
      </c>
      <c r="L213" s="138">
        <f t="shared" si="5"/>
        <v>5.0318471337579621E-2</v>
      </c>
      <c r="M213" s="138"/>
      <c r="N213" s="138"/>
      <c r="O213" s="138">
        <f>(0.08847-1.46936*L213+11.98979*L213^2+1.97056*L213^3)*'Key Data'!$I$15*'Key Data'!$F$15</f>
        <v>3.5549828407958624E-2</v>
      </c>
      <c r="P213" s="138">
        <f>O213*(1+'Key Data'!F$3)</f>
        <v>4.4437285509948278E-2</v>
      </c>
      <c r="Q213" s="427"/>
      <c r="R213" s="427"/>
      <c r="S213" s="397"/>
    </row>
    <row r="214" spans="1:19" x14ac:dyDescent="0.3">
      <c r="A214" s="421"/>
      <c r="B214" s="421"/>
      <c r="C214" s="421"/>
      <c r="D214" s="421"/>
      <c r="E214" s="424"/>
      <c r="F214" s="421"/>
      <c r="G214" s="421"/>
      <c r="H214" s="72" t="s">
        <v>393</v>
      </c>
      <c r="I214" s="138"/>
      <c r="J214" s="138"/>
      <c r="K214" s="138">
        <v>5.7</v>
      </c>
      <c r="L214" s="138">
        <f t="shared" si="5"/>
        <v>1.8152866242038216E-2</v>
      </c>
      <c r="M214" s="138"/>
      <c r="N214" s="138"/>
      <c r="O214" s="138">
        <f>(0.08847-1.46936*L214+11.98979*L214^2+1.97056*L214^3)*'Key Data'!$I$15*'Key Data'!$F$15</f>
        <v>5.1785721400830403E-2</v>
      </c>
      <c r="P214" s="138">
        <f>O214*(1+'Key Data'!F$3)</f>
        <v>6.4732151751037997E-2</v>
      </c>
      <c r="Q214" s="427"/>
      <c r="R214" s="427"/>
      <c r="S214" s="397"/>
    </row>
    <row r="215" spans="1:19" x14ac:dyDescent="0.3">
      <c r="A215" s="421"/>
      <c r="B215" s="421"/>
      <c r="C215" s="421"/>
      <c r="D215" s="421"/>
      <c r="E215" s="424"/>
      <c r="F215" s="421"/>
      <c r="G215" s="421"/>
      <c r="H215" s="72" t="s">
        <v>393</v>
      </c>
      <c r="I215" s="138"/>
      <c r="J215" s="138"/>
      <c r="K215" s="138">
        <v>13</v>
      </c>
      <c r="L215" s="138">
        <f t="shared" si="5"/>
        <v>4.1401273885350316E-2</v>
      </c>
      <c r="M215" s="138"/>
      <c r="N215" s="138"/>
      <c r="O215" s="138">
        <f>(0.08847-1.46936*L215+11.98979*L215^2+1.97056*L215^3)*'Key Data'!$I$15*'Key Data'!$F$15</f>
        <v>3.8058102448738564E-2</v>
      </c>
      <c r="P215" s="138">
        <f>O215*(1+'Key Data'!F$3)</f>
        <v>4.7572628060923203E-2</v>
      </c>
      <c r="Q215" s="427"/>
      <c r="R215" s="427"/>
      <c r="S215" s="397"/>
    </row>
    <row r="216" spans="1:19" x14ac:dyDescent="0.3">
      <c r="A216" s="421"/>
      <c r="B216" s="421"/>
      <c r="C216" s="421"/>
      <c r="D216" s="421"/>
      <c r="E216" s="424"/>
      <c r="F216" s="421"/>
      <c r="G216" s="421"/>
      <c r="H216" s="72" t="s">
        <v>393</v>
      </c>
      <c r="I216" s="138"/>
      <c r="J216" s="138"/>
      <c r="K216" s="138">
        <f>SQRT(16^2+36)</f>
        <v>17.088007490635061</v>
      </c>
      <c r="L216" s="138">
        <f t="shared" si="5"/>
        <v>5.4420406021130761E-2</v>
      </c>
      <c r="M216" s="138"/>
      <c r="N216" s="138"/>
      <c r="O216" s="138">
        <f>(0.08847-1.46936*L216+11.98979*L216^2+1.97056*L216^3)*'Key Data'!$I$15*'Key Data'!$F$15</f>
        <v>3.4912361569367605E-2</v>
      </c>
      <c r="P216" s="138">
        <f>O216*(1+'Key Data'!F$3)</f>
        <v>4.3640451961709507E-2</v>
      </c>
      <c r="Q216" s="427"/>
      <c r="R216" s="427"/>
      <c r="S216" s="397"/>
    </row>
    <row r="217" spans="1:19" x14ac:dyDescent="0.3">
      <c r="A217" s="421"/>
      <c r="B217" s="421"/>
      <c r="C217" s="421"/>
      <c r="D217" s="421"/>
      <c r="E217" s="424"/>
      <c r="F217" s="421"/>
      <c r="G217" s="421"/>
      <c r="H217" s="72" t="s">
        <v>393</v>
      </c>
      <c r="I217" s="138"/>
      <c r="J217" s="138"/>
      <c r="K217" s="138">
        <v>16</v>
      </c>
      <c r="L217" s="138">
        <f t="shared" si="5"/>
        <v>5.0955414012738849E-2</v>
      </c>
      <c r="M217" s="138"/>
      <c r="N217" s="138"/>
      <c r="O217" s="138">
        <f>(0.08847-1.46936*L217+11.98979*L217^2+1.97056*L217^3)*'Key Data'!$I$15*'Key Data'!$F$15</f>
        <v>3.5429471801578225E-2</v>
      </c>
      <c r="P217" s="138">
        <f>O217*(1+'Key Data'!F$3)</f>
        <v>4.4286839751972784E-2</v>
      </c>
      <c r="Q217" s="427"/>
      <c r="R217" s="427"/>
      <c r="S217" s="397"/>
    </row>
    <row r="218" spans="1:19" x14ac:dyDescent="0.3">
      <c r="A218" s="421"/>
      <c r="B218" s="421"/>
      <c r="C218" s="421"/>
      <c r="D218" s="421"/>
      <c r="E218" s="424"/>
      <c r="F218" s="421"/>
      <c r="G218" s="421"/>
      <c r="H218" s="72" t="s">
        <v>393</v>
      </c>
      <c r="I218" s="138"/>
      <c r="J218" s="138"/>
      <c r="K218" s="138">
        <v>15</v>
      </c>
      <c r="L218" s="138">
        <f t="shared" si="5"/>
        <v>4.7770700636942671E-2</v>
      </c>
      <c r="M218" s="138"/>
      <c r="N218" s="138"/>
      <c r="O218" s="138">
        <f>(0.08847-1.46936*L218+11.98979*L218^2+1.97056*L218^3)*'Key Data'!$I$15*'Key Data'!$F$15</f>
        <v>3.6109742799712088E-2</v>
      </c>
      <c r="P218" s="138">
        <f>O218*(1+'Key Data'!F$3)</f>
        <v>4.5137178499640107E-2</v>
      </c>
      <c r="Q218" s="427"/>
      <c r="R218" s="427"/>
      <c r="S218" s="397"/>
    </row>
    <row r="219" spans="1:19" x14ac:dyDescent="0.3">
      <c r="A219" s="421"/>
      <c r="B219" s="421"/>
      <c r="C219" s="421"/>
      <c r="D219" s="421"/>
      <c r="E219" s="424"/>
      <c r="F219" s="421"/>
      <c r="G219" s="421"/>
      <c r="H219" s="72" t="s">
        <v>393</v>
      </c>
      <c r="I219" s="138"/>
      <c r="J219" s="138"/>
      <c r="K219" s="138">
        <f>SQRT(18.5^2+10.4^2)</f>
        <v>21.222865028077617</v>
      </c>
      <c r="L219" s="138">
        <f t="shared" si="5"/>
        <v>6.7588742127635715E-2</v>
      </c>
      <c r="M219" s="138"/>
      <c r="N219" s="138"/>
      <c r="O219" s="138">
        <f>(0.08847-1.46936*L219+11.98979*L219^2+1.97056*L219^3)*'Key Data'!$I$15*'Key Data'!$F$15</f>
        <v>3.5074032443663208E-2</v>
      </c>
      <c r="P219" s="138">
        <f>O219*(1+'Key Data'!F$3)</f>
        <v>4.3842540554579007E-2</v>
      </c>
      <c r="Q219" s="427"/>
      <c r="R219" s="427"/>
      <c r="S219" s="397"/>
    </row>
    <row r="220" spans="1:19" x14ac:dyDescent="0.3">
      <c r="A220" s="421"/>
      <c r="B220" s="421"/>
      <c r="C220" s="421"/>
      <c r="D220" s="421"/>
      <c r="E220" s="424"/>
      <c r="F220" s="421"/>
      <c r="G220" s="421"/>
      <c r="H220" s="72" t="s">
        <v>393</v>
      </c>
      <c r="I220" s="138"/>
      <c r="J220" s="138"/>
      <c r="K220" s="138">
        <v>14.5</v>
      </c>
      <c r="L220" s="138">
        <f t="shared" si="5"/>
        <v>4.617834394904459E-2</v>
      </c>
      <c r="M220" s="138"/>
      <c r="N220" s="138"/>
      <c r="O220" s="138">
        <f>(0.08847-1.46936*L220+11.98979*L220^2+1.97056*L220^3)*'Key Data'!$I$15*'Key Data'!$F$15</f>
        <v>3.652341189559577E-2</v>
      </c>
      <c r="P220" s="138">
        <f>O220*(1+'Key Data'!F$3)</f>
        <v>4.5654264869494712E-2</v>
      </c>
      <c r="Q220" s="427"/>
      <c r="R220" s="427"/>
      <c r="S220" s="397"/>
    </row>
    <row r="221" spans="1:19" x14ac:dyDescent="0.3">
      <c r="A221" s="421"/>
      <c r="B221" s="421"/>
      <c r="C221" s="421"/>
      <c r="D221" s="421"/>
      <c r="E221" s="424"/>
      <c r="F221" s="421"/>
      <c r="G221" s="421"/>
      <c r="H221" s="72" t="s">
        <v>393</v>
      </c>
      <c r="I221" s="138"/>
      <c r="J221" s="138"/>
      <c r="K221" s="138">
        <v>10.4</v>
      </c>
      <c r="L221" s="138">
        <f t="shared" si="5"/>
        <v>3.3121019108280254E-2</v>
      </c>
      <c r="M221" s="138"/>
      <c r="N221" s="138"/>
      <c r="O221" s="138">
        <f>(0.08847-1.46936*L221+11.98979*L221^2+1.97056*L221^3)*'Key Data'!$I$15*'Key Data'!$F$15</f>
        <v>4.1759329365636977E-2</v>
      </c>
      <c r="P221" s="138">
        <f>O221*(1+'Key Data'!F$3)</f>
        <v>5.2199161707046221E-2</v>
      </c>
      <c r="Q221" s="427"/>
      <c r="R221" s="427"/>
      <c r="S221" s="397"/>
    </row>
    <row r="222" spans="1:19" x14ac:dyDescent="0.3">
      <c r="A222" s="421"/>
      <c r="B222" s="421"/>
      <c r="C222" s="421"/>
      <c r="D222" s="421"/>
      <c r="E222" s="424"/>
      <c r="F222" s="421"/>
      <c r="G222" s="421"/>
      <c r="H222" s="72" t="s">
        <v>393</v>
      </c>
      <c r="I222" s="138"/>
      <c r="J222" s="138"/>
      <c r="K222" s="138">
        <v>14.5</v>
      </c>
      <c r="L222" s="138">
        <f t="shared" si="5"/>
        <v>4.617834394904459E-2</v>
      </c>
      <c r="M222" s="138"/>
      <c r="N222" s="138"/>
      <c r="O222" s="138">
        <f>(0.08847-1.46936*L222+11.98979*L222^2+1.97056*L222^3)*'Key Data'!$I$15*'Key Data'!$F$15</f>
        <v>3.652341189559577E-2</v>
      </c>
      <c r="P222" s="138">
        <f>O222*(1+'Key Data'!F$3)</f>
        <v>4.5654264869494712E-2</v>
      </c>
      <c r="Q222" s="427"/>
      <c r="R222" s="427"/>
      <c r="S222" s="397"/>
    </row>
    <row r="223" spans="1:19" x14ac:dyDescent="0.3">
      <c r="A223" s="421"/>
      <c r="B223" s="421"/>
      <c r="C223" s="421"/>
      <c r="D223" s="421"/>
      <c r="E223" s="424"/>
      <c r="F223" s="421"/>
      <c r="G223" s="421"/>
      <c r="H223" s="72" t="s">
        <v>393</v>
      </c>
      <c r="I223" s="138"/>
      <c r="J223" s="138"/>
      <c r="K223" s="138">
        <v>15.2</v>
      </c>
      <c r="L223" s="138">
        <f t="shared" si="5"/>
        <v>4.8407643312101907E-2</v>
      </c>
      <c r="M223" s="138"/>
      <c r="N223" s="138"/>
      <c r="O223" s="138">
        <f>(0.08847-1.46936*L223+11.98979*L223^2+1.97056*L223^3)*'Key Data'!$I$15*'Key Data'!$F$15</f>
        <v>3.5957995818804545E-2</v>
      </c>
      <c r="P223" s="138">
        <f>O223*(1+'Key Data'!F$3)</f>
        <v>4.4947494773505681E-2</v>
      </c>
      <c r="Q223" s="427"/>
      <c r="R223" s="427"/>
      <c r="S223" s="397"/>
    </row>
    <row r="224" spans="1:19" x14ac:dyDescent="0.3">
      <c r="A224" s="421"/>
      <c r="B224" s="421"/>
      <c r="C224" s="421"/>
      <c r="D224" s="421"/>
      <c r="E224" s="424"/>
      <c r="F224" s="421"/>
      <c r="G224" s="421"/>
      <c r="H224" s="72" t="s">
        <v>393</v>
      </c>
      <c r="I224" s="138"/>
      <c r="J224" s="138"/>
      <c r="K224" s="138">
        <v>15</v>
      </c>
      <c r="L224" s="138">
        <f t="shared" si="5"/>
        <v>4.7770700636942671E-2</v>
      </c>
      <c r="M224" s="138"/>
      <c r="N224" s="138"/>
      <c r="O224" s="138">
        <f>(0.08847-1.46936*L224+11.98979*L224^2+1.97056*L224^3)*'Key Data'!$I$15*'Key Data'!$F$15</f>
        <v>3.6109742799712088E-2</v>
      </c>
      <c r="P224" s="138">
        <f>O224*(1+'Key Data'!F$3)</f>
        <v>4.5137178499640107E-2</v>
      </c>
      <c r="Q224" s="427"/>
      <c r="R224" s="427"/>
      <c r="S224" s="397"/>
    </row>
    <row r="225" spans="1:19" x14ac:dyDescent="0.3">
      <c r="A225" s="421"/>
      <c r="B225" s="421"/>
      <c r="C225" s="421"/>
      <c r="D225" s="421"/>
      <c r="E225" s="424"/>
      <c r="F225" s="421"/>
      <c r="G225" s="421"/>
      <c r="H225" s="72" t="s">
        <v>393</v>
      </c>
      <c r="I225" s="138"/>
      <c r="J225" s="138"/>
      <c r="K225" s="138">
        <v>15.7</v>
      </c>
      <c r="L225" s="138">
        <f t="shared" si="5"/>
        <v>0.05</v>
      </c>
      <c r="M225" s="138"/>
      <c r="N225" s="138"/>
      <c r="O225" s="138">
        <f>(0.08847-1.46936*L225+11.98979*L225^2+1.97056*L225^3)*'Key Data'!$I$15*'Key Data'!$F$15</f>
        <v>3.5612951062499988E-2</v>
      </c>
      <c r="P225" s="138">
        <f>O225*(1+'Key Data'!F$3)</f>
        <v>4.4516188828124983E-2</v>
      </c>
      <c r="Q225" s="427"/>
      <c r="R225" s="427"/>
      <c r="S225" s="397"/>
    </row>
    <row r="226" spans="1:19" x14ac:dyDescent="0.3">
      <c r="A226" s="421"/>
      <c r="B226" s="421"/>
      <c r="C226" s="421"/>
      <c r="D226" s="421"/>
      <c r="E226" s="424"/>
      <c r="F226" s="421"/>
      <c r="G226" s="421"/>
      <c r="H226" s="72" t="s">
        <v>393</v>
      </c>
      <c r="I226" s="138"/>
      <c r="J226" s="138"/>
      <c r="K226" s="138">
        <v>10</v>
      </c>
      <c r="L226" s="138">
        <f t="shared" si="5"/>
        <v>3.1847133757961783E-2</v>
      </c>
      <c r="M226" s="138"/>
      <c r="N226" s="138"/>
      <c r="O226" s="138">
        <f>(0.08847-1.46936*L226+11.98979*L226^2+1.97056*L226^3)*'Key Data'!$I$15*'Key Data'!$F$15</f>
        <v>4.2445674836423121E-2</v>
      </c>
      <c r="P226" s="138">
        <f>O226*(1+'Key Data'!F$3)</f>
        <v>5.3057093545528899E-2</v>
      </c>
      <c r="Q226" s="427"/>
      <c r="R226" s="427"/>
      <c r="S226" s="397"/>
    </row>
    <row r="227" spans="1:19" x14ac:dyDescent="0.3">
      <c r="A227" s="421"/>
      <c r="B227" s="421"/>
      <c r="C227" s="421"/>
      <c r="D227" s="421"/>
      <c r="E227" s="424"/>
      <c r="F227" s="421"/>
      <c r="G227" s="421"/>
      <c r="H227" s="72" t="s">
        <v>393</v>
      </c>
      <c r="I227" s="138"/>
      <c r="J227" s="138"/>
      <c r="K227" s="138">
        <v>14</v>
      </c>
      <c r="L227" s="138">
        <f t="shared" si="5"/>
        <v>4.4585987261146494E-2</v>
      </c>
      <c r="M227" s="138"/>
      <c r="N227" s="138"/>
      <c r="O227" s="138">
        <f>(0.08847-1.46936*L227+11.98979*L227^2+1.97056*L227^3)*'Key Data'!$I$15*'Key Data'!$F$15</f>
        <v>3.6986053264715588E-2</v>
      </c>
      <c r="P227" s="138">
        <f>O227*(1+'Key Data'!F$3)</f>
        <v>4.6232566580894488E-2</v>
      </c>
      <c r="Q227" s="427"/>
      <c r="R227" s="427"/>
      <c r="S227" s="397"/>
    </row>
    <row r="228" spans="1:19" x14ac:dyDescent="0.3">
      <c r="A228" s="421"/>
      <c r="B228" s="421"/>
      <c r="C228" s="421"/>
      <c r="D228" s="421"/>
      <c r="E228" s="424"/>
      <c r="F228" s="421"/>
      <c r="G228" s="421"/>
      <c r="H228" s="72" t="s">
        <v>393</v>
      </c>
      <c r="I228" s="138"/>
      <c r="J228" s="138"/>
      <c r="K228" s="138">
        <v>12</v>
      </c>
      <c r="L228" s="138">
        <f t="shared" si="5"/>
        <v>3.8216560509554139E-2</v>
      </c>
      <c r="M228" s="138"/>
      <c r="N228" s="138"/>
      <c r="O228" s="138">
        <f>(0.08847-1.46936*L228+11.98979*L228^2+1.97056*L228^3)*'Key Data'!$I$15*'Key Data'!$F$15</f>
        <v>3.9325589603930899E-2</v>
      </c>
      <c r="P228" s="138">
        <f>O228*(1+'Key Data'!F$3)</f>
        <v>4.9156987004913624E-2</v>
      </c>
      <c r="Q228" s="427"/>
      <c r="R228" s="427"/>
      <c r="S228" s="397"/>
    </row>
    <row r="229" spans="1:19" x14ac:dyDescent="0.3">
      <c r="A229" s="421"/>
      <c r="B229" s="421"/>
      <c r="C229" s="421"/>
      <c r="D229" s="421"/>
      <c r="E229" s="424"/>
      <c r="F229" s="421"/>
      <c r="G229" s="421"/>
      <c r="H229" s="72" t="s">
        <v>393</v>
      </c>
      <c r="I229" s="138"/>
      <c r="J229" s="138"/>
      <c r="K229" s="138">
        <v>15.6</v>
      </c>
      <c r="L229" s="138">
        <f t="shared" si="5"/>
        <v>4.9681528662420378E-2</v>
      </c>
      <c r="M229" s="138"/>
      <c r="N229" s="138"/>
      <c r="O229" s="138">
        <f>(0.08847-1.46936*L229+11.98979*L229^2+1.97056*L229^3)*'Key Data'!$I$15*'Key Data'!$F$15</f>
        <v>3.5678036216945007E-2</v>
      </c>
      <c r="P229" s="138">
        <f>O229*(1+'Key Data'!F$3)</f>
        <v>4.459754527118126E-2</v>
      </c>
      <c r="Q229" s="427"/>
      <c r="R229" s="427"/>
      <c r="S229" s="397"/>
    </row>
    <row r="230" spans="1:19" x14ac:dyDescent="0.3">
      <c r="A230" s="421"/>
      <c r="B230" s="421"/>
      <c r="C230" s="421"/>
      <c r="D230" s="421"/>
      <c r="E230" s="424"/>
      <c r="F230" s="421"/>
      <c r="G230" s="421"/>
      <c r="H230" s="72" t="s">
        <v>393</v>
      </c>
      <c r="I230" s="138"/>
      <c r="J230" s="138"/>
      <c r="K230" s="138">
        <v>18.399999999999999</v>
      </c>
      <c r="L230" s="138">
        <f t="shared" si="5"/>
        <v>5.8598726114649675E-2</v>
      </c>
      <c r="M230" s="138"/>
      <c r="N230" s="138"/>
      <c r="O230" s="138">
        <f>(0.08847-1.46936*L230+11.98979*L230^2+1.97056*L230^3)*'Key Data'!$I$15*'Key Data'!$F$15</f>
        <v>3.4598462106020238E-2</v>
      </c>
      <c r="P230" s="138">
        <f>O230*(1+'Key Data'!F$3)</f>
        <v>4.3248077632525299E-2</v>
      </c>
      <c r="Q230" s="427"/>
      <c r="R230" s="427"/>
      <c r="S230" s="397"/>
    </row>
    <row r="231" spans="1:19" x14ac:dyDescent="0.3">
      <c r="A231" s="421"/>
      <c r="B231" s="421"/>
      <c r="C231" s="421"/>
      <c r="D231" s="421"/>
      <c r="E231" s="424"/>
      <c r="F231" s="421"/>
      <c r="G231" s="421"/>
      <c r="H231" s="72" t="s">
        <v>393</v>
      </c>
      <c r="I231" s="138"/>
      <c r="J231" s="138"/>
      <c r="K231" s="138">
        <v>14.5</v>
      </c>
      <c r="L231" s="138">
        <f t="shared" si="5"/>
        <v>4.617834394904459E-2</v>
      </c>
      <c r="M231" s="138"/>
      <c r="N231" s="138"/>
      <c r="O231" s="138">
        <f>(0.08847-1.46936*L231+11.98979*L231^2+1.97056*L231^3)*'Key Data'!$I$15*'Key Data'!$F$15</f>
        <v>3.652341189559577E-2</v>
      </c>
      <c r="P231" s="138">
        <f>O231*(1+'Key Data'!F$3)</f>
        <v>4.5654264869494712E-2</v>
      </c>
      <c r="Q231" s="427"/>
      <c r="R231" s="427"/>
      <c r="S231" s="397"/>
    </row>
    <row r="232" spans="1:19" x14ac:dyDescent="0.3">
      <c r="A232" s="421"/>
      <c r="B232" s="421"/>
      <c r="C232" s="421"/>
      <c r="D232" s="421"/>
      <c r="E232" s="424"/>
      <c r="F232" s="421"/>
      <c r="G232" s="421"/>
      <c r="H232" s="72" t="s">
        <v>393</v>
      </c>
      <c r="I232" s="138"/>
      <c r="J232" s="138"/>
      <c r="K232" s="138">
        <v>15.5</v>
      </c>
      <c r="L232" s="138">
        <f t="shared" si="5"/>
        <v>4.936305732484076E-2</v>
      </c>
      <c r="M232" s="138"/>
      <c r="N232" s="138"/>
      <c r="O232" s="138">
        <f>(0.08847-1.46936*L232+11.98979*L232^2+1.97056*L232^3)*'Key Data'!$I$15*'Key Data'!$F$15</f>
        <v>3.5745083570545823E-2</v>
      </c>
      <c r="P232" s="138">
        <f>O232*(1+'Key Data'!F$3)</f>
        <v>4.4681354463182277E-2</v>
      </c>
      <c r="Q232" s="427"/>
      <c r="R232" s="427"/>
      <c r="S232" s="397"/>
    </row>
    <row r="233" spans="1:19" x14ac:dyDescent="0.3">
      <c r="A233" s="421"/>
      <c r="B233" s="421"/>
      <c r="C233" s="421"/>
      <c r="D233" s="421"/>
      <c r="E233" s="424"/>
      <c r="F233" s="421"/>
      <c r="G233" s="421"/>
      <c r="H233" s="72" t="s">
        <v>393</v>
      </c>
      <c r="I233" s="138"/>
      <c r="J233" s="138"/>
      <c r="K233" s="138">
        <v>16</v>
      </c>
      <c r="L233" s="138">
        <f t="shared" si="5"/>
        <v>5.0955414012738849E-2</v>
      </c>
      <c r="M233" s="138"/>
      <c r="N233" s="138"/>
      <c r="O233" s="138">
        <f>(0.08847-1.46936*L233+11.98979*L233^2+1.97056*L233^3)*'Key Data'!$I$15*'Key Data'!$F$15</f>
        <v>3.5429471801578225E-2</v>
      </c>
      <c r="P233" s="138">
        <f>O233*(1+'Key Data'!F$3)</f>
        <v>4.4286839751972784E-2</v>
      </c>
      <c r="Q233" s="427"/>
      <c r="R233" s="427"/>
      <c r="S233" s="397"/>
    </row>
    <row r="234" spans="1:19" x14ac:dyDescent="0.3">
      <c r="A234" s="421"/>
      <c r="B234" s="421"/>
      <c r="C234" s="421"/>
      <c r="D234" s="421"/>
      <c r="E234" s="424"/>
      <c r="F234" s="421"/>
      <c r="G234" s="421"/>
      <c r="H234" s="72" t="s">
        <v>393</v>
      </c>
      <c r="I234" s="138"/>
      <c r="J234" s="138"/>
      <c r="K234" s="138">
        <v>19</v>
      </c>
      <c r="L234" s="138">
        <f t="shared" si="5"/>
        <v>6.0509554140127389E-2</v>
      </c>
      <c r="M234" s="138"/>
      <c r="N234" s="138"/>
      <c r="O234" s="138">
        <f>(0.08847-1.46936*L234+11.98979*L234^2+1.97056*L234^3)*'Key Data'!$I$15*'Key Data'!$F$15</f>
        <v>3.4567903086895738E-2</v>
      </c>
      <c r="P234" s="138">
        <f>O234*(1+'Key Data'!F$3)</f>
        <v>4.3209878858619669E-2</v>
      </c>
      <c r="Q234" s="427"/>
      <c r="R234" s="427"/>
      <c r="S234" s="397"/>
    </row>
    <row r="235" spans="1:19" x14ac:dyDescent="0.3">
      <c r="A235" s="421"/>
      <c r="B235" s="421"/>
      <c r="C235" s="421"/>
      <c r="D235" s="421"/>
      <c r="E235" s="424"/>
      <c r="F235" s="421"/>
      <c r="G235" s="421"/>
      <c r="H235" s="72" t="s">
        <v>263</v>
      </c>
      <c r="I235" s="138">
        <v>35.6</v>
      </c>
      <c r="J235" s="138">
        <f>I235/3.14</f>
        <v>11.337579617834395</v>
      </c>
      <c r="K235" s="138"/>
      <c r="L235" s="138"/>
      <c r="M235" s="138"/>
      <c r="N235" s="138"/>
      <c r="O235" s="138">
        <f>30.4*EXP(-5.07*EXP(-0.26*J235)+1.277)/1000</f>
        <v>8.3553577044201202E-2</v>
      </c>
      <c r="P235" s="138">
        <f>O235*(1+'Key Data'!F$3)</f>
        <v>0.1044419713052515</v>
      </c>
      <c r="Q235" s="427"/>
      <c r="R235" s="427"/>
      <c r="S235" s="397"/>
    </row>
    <row r="236" spans="1:19" x14ac:dyDescent="0.3">
      <c r="A236" s="421"/>
      <c r="B236" s="421"/>
      <c r="C236" s="421"/>
      <c r="D236" s="421"/>
      <c r="E236" s="424"/>
      <c r="F236" s="421"/>
      <c r="G236" s="421"/>
      <c r="H236" s="72" t="s">
        <v>263</v>
      </c>
      <c r="I236" s="138">
        <v>28.3</v>
      </c>
      <c r="J236" s="138">
        <f t="shared" ref="J236:J241" si="6">I236/3.14</f>
        <v>9.0127388535031852</v>
      </c>
      <c r="K236" s="138"/>
      <c r="L236" s="138"/>
      <c r="M236" s="138"/>
      <c r="N236" s="138"/>
      <c r="O236" s="138">
        <f>30.4*EXP(-5.07*EXP(-0.26*J236)+1.277)/1000</f>
        <v>6.6998911622821622E-2</v>
      </c>
      <c r="P236" s="138">
        <f>O236*(1+'Key Data'!F$3)</f>
        <v>8.3748639528527027E-2</v>
      </c>
      <c r="Q236" s="427"/>
      <c r="R236" s="427"/>
      <c r="S236" s="397"/>
    </row>
    <row r="237" spans="1:19" x14ac:dyDescent="0.3">
      <c r="A237" s="421"/>
      <c r="B237" s="421"/>
      <c r="C237" s="421"/>
      <c r="D237" s="421"/>
      <c r="E237" s="424"/>
      <c r="F237" s="421"/>
      <c r="G237" s="421"/>
      <c r="H237" s="72" t="s">
        <v>263</v>
      </c>
      <c r="I237" s="138">
        <v>25.5</v>
      </c>
      <c r="J237" s="138">
        <f t="shared" si="6"/>
        <v>8.1210191082802545</v>
      </c>
      <c r="K237" s="138"/>
      <c r="L237" s="138"/>
      <c r="M237" s="138"/>
      <c r="N237" s="138"/>
      <c r="O237" s="138">
        <f t="shared" ref="O237:O240" si="7">30.4*EXP(-5.07*EXP(-0.26*J237)+1.277)/1000</f>
        <v>5.9007581804488222E-2</v>
      </c>
      <c r="P237" s="138">
        <f>O237*(1+'Key Data'!F$3)</f>
        <v>7.3759477255610273E-2</v>
      </c>
      <c r="Q237" s="427"/>
      <c r="R237" s="427"/>
      <c r="S237" s="397"/>
    </row>
    <row r="238" spans="1:19" x14ac:dyDescent="0.3">
      <c r="A238" s="421"/>
      <c r="B238" s="421"/>
      <c r="C238" s="421"/>
      <c r="D238" s="421"/>
      <c r="E238" s="424"/>
      <c r="F238" s="421"/>
      <c r="G238" s="421"/>
      <c r="H238" s="72" t="s">
        <v>263</v>
      </c>
      <c r="I238" s="138">
        <v>27.4</v>
      </c>
      <c r="J238" s="138">
        <f t="shared" si="6"/>
        <v>8.7261146496815272</v>
      </c>
      <c r="K238" s="138"/>
      <c r="L238" s="138"/>
      <c r="M238" s="138"/>
      <c r="N238" s="138"/>
      <c r="O238" s="138">
        <f t="shared" si="7"/>
        <v>6.4522602085777689E-2</v>
      </c>
      <c r="P238" s="138">
        <f>O238*(1+'Key Data'!F$3)</f>
        <v>8.0653252607222115E-2</v>
      </c>
      <c r="Q238" s="427"/>
      <c r="R238" s="427"/>
      <c r="S238" s="397"/>
    </row>
    <row r="239" spans="1:19" x14ac:dyDescent="0.3">
      <c r="A239" s="421"/>
      <c r="B239" s="421"/>
      <c r="C239" s="421"/>
      <c r="D239" s="421"/>
      <c r="E239" s="424"/>
      <c r="F239" s="421"/>
      <c r="G239" s="421"/>
      <c r="H239" s="72" t="s">
        <v>263</v>
      </c>
      <c r="I239" s="138">
        <v>20.5</v>
      </c>
      <c r="J239" s="138">
        <f t="shared" si="6"/>
        <v>6.5286624203821653</v>
      </c>
      <c r="K239" s="138"/>
      <c r="L239" s="138"/>
      <c r="M239" s="138"/>
      <c r="N239" s="138"/>
      <c r="O239" s="138">
        <f t="shared" si="7"/>
        <v>4.3072053395268629E-2</v>
      </c>
      <c r="P239" s="138">
        <f>O239*(1+'Key Data'!F$3)</f>
        <v>5.3840066744085785E-2</v>
      </c>
      <c r="Q239" s="427"/>
      <c r="R239" s="427"/>
      <c r="S239" s="397"/>
    </row>
    <row r="240" spans="1:19" x14ac:dyDescent="0.3">
      <c r="A240" s="421"/>
      <c r="B240" s="421"/>
      <c r="C240" s="421"/>
      <c r="D240" s="421"/>
      <c r="E240" s="424"/>
      <c r="F240" s="421"/>
      <c r="G240" s="421"/>
      <c r="H240" s="72" t="s">
        <v>263</v>
      </c>
      <c r="I240" s="138">
        <v>12.5</v>
      </c>
      <c r="J240" s="138">
        <f t="shared" si="6"/>
        <v>3.9808917197452227</v>
      </c>
      <c r="K240" s="138"/>
      <c r="L240" s="138"/>
      <c r="M240" s="138"/>
      <c r="N240" s="138"/>
      <c r="O240" s="138">
        <f t="shared" si="7"/>
        <v>1.800234834190366E-2</v>
      </c>
      <c r="P240" s="138">
        <f>O240*(1+'Key Data'!F$3)</f>
        <v>2.2502935427379574E-2</v>
      </c>
      <c r="Q240" s="427"/>
      <c r="R240" s="427"/>
      <c r="S240" s="397"/>
    </row>
    <row r="241" spans="1:19" x14ac:dyDescent="0.3">
      <c r="A241" s="421"/>
      <c r="B241" s="421"/>
      <c r="C241" s="421"/>
      <c r="D241" s="421"/>
      <c r="E241" s="424"/>
      <c r="F241" s="421"/>
      <c r="G241" s="421"/>
      <c r="H241" s="72" t="s">
        <v>263</v>
      </c>
      <c r="I241" s="138">
        <v>17.5</v>
      </c>
      <c r="J241" s="138">
        <f t="shared" si="6"/>
        <v>5.5732484076433115</v>
      </c>
      <c r="K241" s="138"/>
      <c r="L241" s="138"/>
      <c r="M241" s="138"/>
      <c r="N241" s="138"/>
      <c r="O241" s="138">
        <f>30.4*EXP(-5.07*EXP(-0.26*J241)+1.277)/1000</f>
        <v>3.3149726237027465E-2</v>
      </c>
      <c r="P241" s="138">
        <f>O241*(1+'Key Data'!F$3)</f>
        <v>4.1437157796284332E-2</v>
      </c>
      <c r="Q241" s="427"/>
      <c r="R241" s="427"/>
      <c r="S241" s="397"/>
    </row>
    <row r="242" spans="1:19" x14ac:dyDescent="0.3">
      <c r="A242" s="421"/>
      <c r="B242" s="421"/>
      <c r="C242" s="421"/>
      <c r="D242" s="421"/>
      <c r="E242" s="424"/>
      <c r="F242" s="421"/>
      <c r="G242" s="421"/>
      <c r="H242" s="72" t="s">
        <v>459</v>
      </c>
      <c r="I242" s="138"/>
      <c r="J242" s="138"/>
      <c r="K242" s="138">
        <v>20</v>
      </c>
      <c r="L242" s="138">
        <f t="shared" ref="L242:L250" si="8">K242/3.14</f>
        <v>6.3694267515923562</v>
      </c>
      <c r="M242" s="138"/>
      <c r="N242" s="138"/>
      <c r="O242" s="138"/>
      <c r="P242" s="138">
        <f>0.904*L242^1.76/1000</f>
        <v>2.351716911443304E-2</v>
      </c>
      <c r="Q242" s="427"/>
      <c r="R242" s="427"/>
      <c r="S242" s="397"/>
    </row>
    <row r="243" spans="1:19" x14ac:dyDescent="0.3">
      <c r="A243" s="421"/>
      <c r="B243" s="421"/>
      <c r="C243" s="421"/>
      <c r="D243" s="421"/>
      <c r="E243" s="424"/>
      <c r="F243" s="421"/>
      <c r="G243" s="421"/>
      <c r="H243" s="72" t="s">
        <v>459</v>
      </c>
      <c r="I243" s="138"/>
      <c r="J243" s="138"/>
      <c r="K243" s="138">
        <v>18</v>
      </c>
      <c r="L243" s="138">
        <f t="shared" si="8"/>
        <v>5.7324840764331206</v>
      </c>
      <c r="M243" s="138"/>
      <c r="N243" s="138"/>
      <c r="O243" s="138"/>
      <c r="P243" s="138">
        <f t="shared" ref="P243:P250" si="9">0.904*L243^1.76/1000</f>
        <v>1.9536729294044448E-2</v>
      </c>
      <c r="Q243" s="427"/>
      <c r="R243" s="427"/>
      <c r="S243" s="397"/>
    </row>
    <row r="244" spans="1:19" x14ac:dyDescent="0.3">
      <c r="A244" s="421"/>
      <c r="B244" s="421"/>
      <c r="C244" s="421"/>
      <c r="D244" s="421"/>
      <c r="E244" s="424"/>
      <c r="F244" s="421"/>
      <c r="G244" s="421"/>
      <c r="H244" s="72" t="s">
        <v>459</v>
      </c>
      <c r="I244" s="138"/>
      <c r="J244" s="138"/>
      <c r="K244" s="138">
        <v>19.399999999999999</v>
      </c>
      <c r="L244" s="138">
        <f t="shared" si="8"/>
        <v>6.1783439490445851</v>
      </c>
      <c r="M244" s="138"/>
      <c r="N244" s="138"/>
      <c r="O244" s="138"/>
      <c r="P244" s="138">
        <f t="shared" si="9"/>
        <v>2.2289652332981164E-2</v>
      </c>
      <c r="Q244" s="427"/>
      <c r="R244" s="427"/>
      <c r="S244" s="397"/>
    </row>
    <row r="245" spans="1:19" x14ac:dyDescent="0.3">
      <c r="A245" s="421"/>
      <c r="B245" s="421"/>
      <c r="C245" s="421"/>
      <c r="D245" s="421"/>
      <c r="E245" s="424"/>
      <c r="F245" s="421"/>
      <c r="G245" s="421"/>
      <c r="H245" s="72" t="s">
        <v>459</v>
      </c>
      <c r="I245" s="138"/>
      <c r="J245" s="138"/>
      <c r="K245" s="138">
        <v>23.5</v>
      </c>
      <c r="L245" s="138">
        <f t="shared" si="8"/>
        <v>7.484076433121019</v>
      </c>
      <c r="M245" s="138"/>
      <c r="N245" s="138"/>
      <c r="O245" s="138"/>
      <c r="P245" s="138">
        <f t="shared" si="9"/>
        <v>3.123573196423203E-2</v>
      </c>
      <c r="Q245" s="427"/>
      <c r="R245" s="427"/>
      <c r="S245" s="397"/>
    </row>
    <row r="246" spans="1:19" x14ac:dyDescent="0.3">
      <c r="A246" s="421"/>
      <c r="B246" s="421"/>
      <c r="C246" s="421"/>
      <c r="D246" s="421"/>
      <c r="E246" s="424"/>
      <c r="F246" s="421"/>
      <c r="G246" s="421"/>
      <c r="H246" s="72" t="s">
        <v>459</v>
      </c>
      <c r="I246" s="138"/>
      <c r="J246" s="138"/>
      <c r="K246" s="138">
        <v>15.5</v>
      </c>
      <c r="L246" s="138">
        <f t="shared" si="8"/>
        <v>4.936305732484076</v>
      </c>
      <c r="M246" s="138"/>
      <c r="N246" s="138"/>
      <c r="O246" s="138"/>
      <c r="P246" s="138">
        <f t="shared" si="9"/>
        <v>1.5016061511288488E-2</v>
      </c>
      <c r="Q246" s="427"/>
      <c r="R246" s="427"/>
      <c r="S246" s="397"/>
    </row>
    <row r="247" spans="1:19" x14ac:dyDescent="0.3">
      <c r="A247" s="421"/>
      <c r="B247" s="421"/>
      <c r="C247" s="421"/>
      <c r="D247" s="421"/>
      <c r="E247" s="424"/>
      <c r="F247" s="421"/>
      <c r="G247" s="421"/>
      <c r="H247" s="72" t="s">
        <v>459</v>
      </c>
      <c r="I247" s="138"/>
      <c r="J247" s="138"/>
      <c r="K247" s="138">
        <v>7</v>
      </c>
      <c r="L247" s="138">
        <f t="shared" si="8"/>
        <v>2.2292993630573248</v>
      </c>
      <c r="M247" s="138"/>
      <c r="N247" s="138"/>
      <c r="O247" s="138"/>
      <c r="P247" s="138">
        <f t="shared" si="9"/>
        <v>3.7063361050598E-3</v>
      </c>
      <c r="Q247" s="427"/>
      <c r="R247" s="427"/>
      <c r="S247" s="397"/>
    </row>
    <row r="248" spans="1:19" x14ac:dyDescent="0.3">
      <c r="A248" s="421"/>
      <c r="B248" s="421"/>
      <c r="C248" s="421"/>
      <c r="D248" s="421"/>
      <c r="E248" s="424"/>
      <c r="F248" s="421"/>
      <c r="G248" s="421"/>
      <c r="H248" s="72" t="s">
        <v>459</v>
      </c>
      <c r="I248" s="138"/>
      <c r="J248" s="138"/>
      <c r="K248" s="138">
        <v>15.8</v>
      </c>
      <c r="L248" s="138">
        <f t="shared" si="8"/>
        <v>5.031847133757962</v>
      </c>
      <c r="M248" s="138"/>
      <c r="N248" s="138"/>
      <c r="O248" s="138"/>
      <c r="P248" s="138">
        <f t="shared" si="9"/>
        <v>1.5531332699647116E-2</v>
      </c>
      <c r="Q248" s="427"/>
      <c r="R248" s="427"/>
      <c r="S248" s="397"/>
    </row>
    <row r="249" spans="1:19" x14ac:dyDescent="0.3">
      <c r="A249" s="421"/>
      <c r="B249" s="421"/>
      <c r="C249" s="421"/>
      <c r="D249" s="421"/>
      <c r="E249" s="424"/>
      <c r="F249" s="421"/>
      <c r="G249" s="421"/>
      <c r="H249" s="72" t="s">
        <v>459</v>
      </c>
      <c r="I249" s="138"/>
      <c r="J249" s="138"/>
      <c r="K249" s="138">
        <f>SQRT(16.8^2+81)</f>
        <v>19.058856209122311</v>
      </c>
      <c r="L249" s="138">
        <f t="shared" si="8"/>
        <v>6.0696994296567865</v>
      </c>
      <c r="M249" s="138"/>
      <c r="N249" s="138"/>
      <c r="O249" s="138"/>
      <c r="P249" s="138">
        <f t="shared" si="9"/>
        <v>2.1604423246013034E-2</v>
      </c>
      <c r="Q249" s="427"/>
      <c r="R249" s="427"/>
      <c r="S249" s="397"/>
    </row>
    <row r="250" spans="1:19" x14ac:dyDescent="0.3">
      <c r="A250" s="422"/>
      <c r="B250" s="422"/>
      <c r="C250" s="422"/>
      <c r="D250" s="422"/>
      <c r="E250" s="425"/>
      <c r="F250" s="422"/>
      <c r="G250" s="422"/>
      <c r="H250" s="72" t="s">
        <v>459</v>
      </c>
      <c r="I250" s="138"/>
      <c r="J250" s="138"/>
      <c r="K250" s="138">
        <v>8.5</v>
      </c>
      <c r="L250" s="138">
        <f t="shared" si="8"/>
        <v>2.7070063694267517</v>
      </c>
      <c r="M250" s="138"/>
      <c r="N250" s="138"/>
      <c r="O250" s="138"/>
      <c r="P250" s="138">
        <f t="shared" si="9"/>
        <v>5.2161438419443297E-3</v>
      </c>
      <c r="Q250" s="428"/>
      <c r="R250" s="428"/>
      <c r="S250" s="397"/>
    </row>
    <row r="251" spans="1:19" x14ac:dyDescent="0.3">
      <c r="S251" s="86"/>
    </row>
    <row r="252" spans="1:19" x14ac:dyDescent="0.3">
      <c r="O252" s="86"/>
      <c r="S252" s="86"/>
    </row>
    <row r="253" spans="1:19" x14ac:dyDescent="0.3">
      <c r="S253" s="86"/>
    </row>
    <row r="254" spans="1:19" x14ac:dyDescent="0.3">
      <c r="M254" s="74"/>
      <c r="N254" s="74"/>
      <c r="S254" s="86"/>
    </row>
    <row r="255" spans="1:19" x14ac:dyDescent="0.3">
      <c r="M255" s="74"/>
      <c r="N255" s="74"/>
      <c r="S255" s="86"/>
    </row>
    <row r="256" spans="1:19" x14ac:dyDescent="0.3">
      <c r="M256" s="74"/>
      <c r="N256" s="74"/>
      <c r="S256" s="86"/>
    </row>
    <row r="257" spans="13:19" x14ac:dyDescent="0.3">
      <c r="M257" s="74"/>
      <c r="N257" s="74"/>
      <c r="S257" s="86"/>
    </row>
    <row r="258" spans="13:19" x14ac:dyDescent="0.3">
      <c r="S258" s="86"/>
    </row>
    <row r="259" spans="13:19" x14ac:dyDescent="0.3">
      <c r="S259" s="86"/>
    </row>
    <row r="260" spans="13:19" x14ac:dyDescent="0.3">
      <c r="S260" s="86"/>
    </row>
    <row r="261" spans="13:19" x14ac:dyDescent="0.3">
      <c r="S261" s="86"/>
    </row>
    <row r="262" spans="13:19" x14ac:dyDescent="0.3">
      <c r="S262" s="86"/>
    </row>
    <row r="263" spans="13:19" x14ac:dyDescent="0.3">
      <c r="S263" s="86"/>
    </row>
    <row r="264" spans="13:19" x14ac:dyDescent="0.3">
      <c r="S264" s="86"/>
    </row>
    <row r="265" spans="13:19" x14ac:dyDescent="0.3">
      <c r="S265" s="86"/>
    </row>
    <row r="266" spans="13:19" x14ac:dyDescent="0.3">
      <c r="S266" s="86"/>
    </row>
    <row r="267" spans="13:19" x14ac:dyDescent="0.3">
      <c r="S267" s="86"/>
    </row>
    <row r="268" spans="13:19" x14ac:dyDescent="0.3">
      <c r="S268" s="86"/>
    </row>
    <row r="269" spans="13:19" x14ac:dyDescent="0.3">
      <c r="S269" s="86"/>
    </row>
    <row r="270" spans="13:19" x14ac:dyDescent="0.3">
      <c r="S270" s="86"/>
    </row>
    <row r="271" spans="13:19" x14ac:dyDescent="0.3">
      <c r="S271" s="86"/>
    </row>
    <row r="272" spans="13:19" x14ac:dyDescent="0.3">
      <c r="S272" s="86"/>
    </row>
    <row r="273" spans="19:19" x14ac:dyDescent="0.3">
      <c r="S273" s="86"/>
    </row>
    <row r="277" spans="19:19" ht="38.25" customHeight="1" x14ac:dyDescent="0.3"/>
  </sheetData>
  <autoFilter ref="H1:H277" xr:uid="{A4E560EF-241F-4BAA-8F6A-FD70450811DC}"/>
  <mergeCells count="37">
    <mergeCell ref="S2:S250"/>
    <mergeCell ref="A127:A142"/>
    <mergeCell ref="B127:B142"/>
    <mergeCell ref="E127:E142"/>
    <mergeCell ref="F127:F142"/>
    <mergeCell ref="G127:G142"/>
    <mergeCell ref="F2:F27"/>
    <mergeCell ref="G2:G27"/>
    <mergeCell ref="Q2:Q27"/>
    <mergeCell ref="R2:R27"/>
    <mergeCell ref="A2:A27"/>
    <mergeCell ref="B2:B27"/>
    <mergeCell ref="C2:C27"/>
    <mergeCell ref="D2:D27"/>
    <mergeCell ref="E2:E27"/>
    <mergeCell ref="Q28:Q126"/>
    <mergeCell ref="R28:R126"/>
    <mergeCell ref="Q127:Q142"/>
    <mergeCell ref="R127:R142"/>
    <mergeCell ref="Q143:Q250"/>
    <mergeCell ref="R143:R250"/>
    <mergeCell ref="G143:G250"/>
    <mergeCell ref="A143:A250"/>
    <mergeCell ref="C28:C126"/>
    <mergeCell ref="D28:D126"/>
    <mergeCell ref="C127:C142"/>
    <mergeCell ref="D127:D142"/>
    <mergeCell ref="B143:B250"/>
    <mergeCell ref="C143:C250"/>
    <mergeCell ref="D143:D250"/>
    <mergeCell ref="E143:E250"/>
    <mergeCell ref="F143:F250"/>
    <mergeCell ref="B28:B126"/>
    <mergeCell ref="A28:A126"/>
    <mergeCell ref="E28:E126"/>
    <mergeCell ref="F28:F126"/>
    <mergeCell ref="G28:G12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7AA4-0E9D-4825-AD18-2E65965CC6C7}">
  <dimension ref="A1:T307"/>
  <sheetViews>
    <sheetView topLeftCell="C287" zoomScaleNormal="100" workbookViewId="0">
      <selection activeCell="T48" sqref="T48"/>
    </sheetView>
  </sheetViews>
  <sheetFormatPr defaultRowHeight="14.4" x14ac:dyDescent="0.3"/>
  <cols>
    <col min="1" max="1" width="9.33203125" bestFit="1" customWidth="1"/>
    <col min="2" max="2" width="28" bestFit="1" customWidth="1"/>
    <col min="5" max="5" width="12.44140625" bestFit="1" customWidth="1"/>
    <col min="6" max="6" width="12.44140625" style="177" bestFit="1" customWidth="1"/>
    <col min="7" max="7" width="10.5546875" customWidth="1"/>
    <col min="8" max="8" width="18.109375" customWidth="1"/>
    <col min="9" max="10" width="9.33203125" style="87" bestFit="1" customWidth="1"/>
    <col min="11" max="12" width="9.109375" style="87"/>
    <col min="13" max="14" width="9.33203125" style="87" bestFit="1" customWidth="1"/>
    <col min="15" max="15" width="15" style="86" bestFit="1" customWidth="1"/>
    <col min="16" max="16" width="13" style="86" bestFit="1" customWidth="1"/>
    <col min="17" max="17" width="13.33203125" style="181" customWidth="1"/>
    <col min="18" max="18" width="9.33203125" style="181" bestFit="1" customWidth="1"/>
    <col min="19" max="19" width="14.109375" style="86" customWidth="1"/>
    <col min="20" max="20" width="9.109375" style="86"/>
  </cols>
  <sheetData>
    <row r="1" spans="1:20" s="68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  <c r="T1" s="85"/>
    </row>
    <row r="2" spans="1:20" ht="15" customHeight="1" x14ac:dyDescent="0.3">
      <c r="A2" s="367">
        <v>1</v>
      </c>
      <c r="B2" s="367" t="s">
        <v>410</v>
      </c>
      <c r="C2" s="367" t="s">
        <v>276</v>
      </c>
      <c r="D2" s="367" t="s">
        <v>275</v>
      </c>
      <c r="E2" s="367">
        <v>15.226812000000001</v>
      </c>
      <c r="F2" s="416">
        <v>79.295162000000005</v>
      </c>
      <c r="G2" s="367">
        <v>2020</v>
      </c>
      <c r="H2" s="109" t="s">
        <v>265</v>
      </c>
      <c r="I2" s="131">
        <v>33</v>
      </c>
      <c r="J2" s="126">
        <f t="shared" ref="J2:J36" si="0">I2/3.14</f>
        <v>10.509554140127388</v>
      </c>
      <c r="K2" s="131"/>
      <c r="L2" s="131"/>
      <c r="M2" s="131"/>
      <c r="N2" s="131">
        <f t="shared" ref="N2:N36" si="1">3.14*J2/2*J2/2</f>
        <v>86.703821656050948</v>
      </c>
      <c r="O2" s="131">
        <f>(10^(-0.535+LOG10(N2)))/1000</f>
        <v>2.5295207151650251E-2</v>
      </c>
      <c r="P2" s="135">
        <f>O2*(1+'Key Data'!$F$3)</f>
        <v>3.1619008939562813E-2</v>
      </c>
      <c r="Q2" s="366">
        <f>SUM(P2:P36)</f>
        <v>1.4215839638951444</v>
      </c>
      <c r="R2" s="366">
        <f>Q2*10000/900</f>
        <v>15.795377376612715</v>
      </c>
      <c r="S2" s="368">
        <f>AVERAGE(R2:R307)</f>
        <v>61.536394842559183</v>
      </c>
      <c r="T2"/>
    </row>
    <row r="3" spans="1:20" x14ac:dyDescent="0.3">
      <c r="A3" s="367"/>
      <c r="B3" s="367"/>
      <c r="C3" s="367"/>
      <c r="D3" s="367"/>
      <c r="E3" s="367"/>
      <c r="F3" s="416"/>
      <c r="G3" s="367"/>
      <c r="H3" s="109" t="s">
        <v>265</v>
      </c>
      <c r="I3" s="131">
        <v>35.1</v>
      </c>
      <c r="J3" s="126">
        <f t="shared" si="0"/>
        <v>11.178343949044587</v>
      </c>
      <c r="K3" s="131"/>
      <c r="L3" s="131"/>
      <c r="M3" s="131"/>
      <c r="N3" s="131">
        <f t="shared" si="1"/>
        <v>98.089968152866248</v>
      </c>
      <c r="O3" s="131">
        <f t="shared" ref="O3:O36" si="2">(10^(-0.535+LOG10(N3)))/1000</f>
        <v>2.8617032289168613E-2</v>
      </c>
      <c r="P3" s="135">
        <f>O3*(1+'Key Data'!$F$3)</f>
        <v>3.5771290361460768E-2</v>
      </c>
      <c r="Q3" s="366"/>
      <c r="R3" s="366"/>
      <c r="S3" s="369"/>
      <c r="T3"/>
    </row>
    <row r="4" spans="1:20" x14ac:dyDescent="0.3">
      <c r="A4" s="367"/>
      <c r="B4" s="367"/>
      <c r="C4" s="367"/>
      <c r="D4" s="367"/>
      <c r="E4" s="367"/>
      <c r="F4" s="416"/>
      <c r="G4" s="367"/>
      <c r="H4" s="109" t="s">
        <v>265</v>
      </c>
      <c r="I4" s="131">
        <v>42</v>
      </c>
      <c r="J4" s="126">
        <f t="shared" si="0"/>
        <v>13.375796178343949</v>
      </c>
      <c r="K4" s="131"/>
      <c r="L4" s="131"/>
      <c r="M4" s="131"/>
      <c r="N4" s="131">
        <f t="shared" si="1"/>
        <v>140.44585987261146</v>
      </c>
      <c r="O4" s="131">
        <f t="shared" si="2"/>
        <v>4.0974054559697944E-2</v>
      </c>
      <c r="P4" s="135">
        <f>O4*(1+'Key Data'!$F$3)</f>
        <v>5.1217568199622428E-2</v>
      </c>
      <c r="Q4" s="366"/>
      <c r="R4" s="366"/>
      <c r="S4" s="369"/>
      <c r="T4"/>
    </row>
    <row r="5" spans="1:20" x14ac:dyDescent="0.3">
      <c r="A5" s="367"/>
      <c r="B5" s="367"/>
      <c r="C5" s="367"/>
      <c r="D5" s="367"/>
      <c r="E5" s="367"/>
      <c r="F5" s="416"/>
      <c r="G5" s="367"/>
      <c r="H5" s="109" t="s">
        <v>265</v>
      </c>
      <c r="I5" s="131">
        <v>29</v>
      </c>
      <c r="J5" s="126">
        <f t="shared" si="0"/>
        <v>9.2356687898089174</v>
      </c>
      <c r="K5" s="131"/>
      <c r="L5" s="131"/>
      <c r="M5" s="131"/>
      <c r="N5" s="131">
        <f t="shared" si="1"/>
        <v>66.958598726114644</v>
      </c>
      <c r="O5" s="131">
        <f t="shared" si="2"/>
        <v>1.9534682474323103E-2</v>
      </c>
      <c r="P5" s="135">
        <f>O5*(1+'Key Data'!$F$3)</f>
        <v>2.4418353092903879E-2</v>
      </c>
      <c r="Q5" s="366"/>
      <c r="R5" s="366"/>
      <c r="S5" s="369"/>
      <c r="T5"/>
    </row>
    <row r="6" spans="1:20" x14ac:dyDescent="0.3">
      <c r="A6" s="367"/>
      <c r="B6" s="367"/>
      <c r="C6" s="367"/>
      <c r="D6" s="367"/>
      <c r="E6" s="367"/>
      <c r="F6" s="416"/>
      <c r="G6" s="367"/>
      <c r="H6" s="109" t="s">
        <v>265</v>
      </c>
      <c r="I6" s="131">
        <v>38</v>
      </c>
      <c r="J6" s="126">
        <f t="shared" si="0"/>
        <v>12.101910828025478</v>
      </c>
      <c r="K6" s="131"/>
      <c r="L6" s="131"/>
      <c r="M6" s="131"/>
      <c r="N6" s="131">
        <f t="shared" si="1"/>
        <v>114.96815286624204</v>
      </c>
      <c r="O6" s="131">
        <f t="shared" si="2"/>
        <v>3.3541119492179007E-2</v>
      </c>
      <c r="P6" s="135">
        <f>O6*(1+'Key Data'!$F$3)</f>
        <v>4.1926399365223757E-2</v>
      </c>
      <c r="Q6" s="366"/>
      <c r="R6" s="366"/>
      <c r="S6" s="369"/>
      <c r="T6"/>
    </row>
    <row r="7" spans="1:20" x14ac:dyDescent="0.3">
      <c r="A7" s="367"/>
      <c r="B7" s="367"/>
      <c r="C7" s="367"/>
      <c r="D7" s="367"/>
      <c r="E7" s="367"/>
      <c r="F7" s="416"/>
      <c r="G7" s="367"/>
      <c r="H7" s="109" t="s">
        <v>265</v>
      </c>
      <c r="I7" s="131">
        <v>36</v>
      </c>
      <c r="J7" s="126">
        <f t="shared" si="0"/>
        <v>11.464968152866241</v>
      </c>
      <c r="K7" s="131"/>
      <c r="L7" s="131"/>
      <c r="M7" s="131"/>
      <c r="N7" s="131">
        <f t="shared" si="1"/>
        <v>103.18471337579618</v>
      </c>
      <c r="O7" s="131">
        <f t="shared" si="2"/>
        <v>3.0103387023451535E-2</v>
      </c>
      <c r="P7" s="135">
        <f>O7*(1+'Key Data'!$F$3)</f>
        <v>3.7629233779314417E-2</v>
      </c>
      <c r="Q7" s="366"/>
      <c r="R7" s="366"/>
      <c r="S7" s="369"/>
      <c r="T7"/>
    </row>
    <row r="8" spans="1:20" x14ac:dyDescent="0.3">
      <c r="A8" s="367"/>
      <c r="B8" s="367"/>
      <c r="C8" s="367"/>
      <c r="D8" s="367"/>
      <c r="E8" s="367"/>
      <c r="F8" s="416"/>
      <c r="G8" s="367"/>
      <c r="H8" s="109" t="s">
        <v>265</v>
      </c>
      <c r="I8" s="131">
        <v>32.700000000000003</v>
      </c>
      <c r="J8" s="126">
        <f t="shared" si="0"/>
        <v>10.414012738853504</v>
      </c>
      <c r="K8" s="131"/>
      <c r="L8" s="131"/>
      <c r="M8" s="131"/>
      <c r="N8" s="131">
        <f t="shared" si="1"/>
        <v>85.134554140127406</v>
      </c>
      <c r="O8" s="131">
        <f t="shared" si="2"/>
        <v>2.4837384807335265E-2</v>
      </c>
      <c r="P8" s="135">
        <f>O8*(1+'Key Data'!$F$3)</f>
        <v>3.1046731009169083E-2</v>
      </c>
      <c r="Q8" s="366"/>
      <c r="R8" s="366"/>
      <c r="S8" s="369"/>
      <c r="T8"/>
    </row>
    <row r="9" spans="1:20" x14ac:dyDescent="0.3">
      <c r="A9" s="367"/>
      <c r="B9" s="367"/>
      <c r="C9" s="367"/>
      <c r="D9" s="367"/>
      <c r="E9" s="367"/>
      <c r="F9" s="416"/>
      <c r="G9" s="367"/>
      <c r="H9" s="109" t="s">
        <v>265</v>
      </c>
      <c r="I9" s="131">
        <v>34.799999999999997</v>
      </c>
      <c r="J9" s="126">
        <f t="shared" si="0"/>
        <v>11.082802547770699</v>
      </c>
      <c r="K9" s="131"/>
      <c r="L9" s="131"/>
      <c r="M9" s="131"/>
      <c r="N9" s="131">
        <f t="shared" si="1"/>
        <v>96.420382165605076</v>
      </c>
      <c r="O9" s="131">
        <f t="shared" si="2"/>
        <v>2.8129942763025269E-2</v>
      </c>
      <c r="P9" s="135">
        <f>O9*(1+'Key Data'!$F$3)</f>
        <v>3.5162428453781584E-2</v>
      </c>
      <c r="Q9" s="366"/>
      <c r="R9" s="366"/>
      <c r="S9" s="369"/>
      <c r="T9"/>
    </row>
    <row r="10" spans="1:20" x14ac:dyDescent="0.3">
      <c r="A10" s="367"/>
      <c r="B10" s="367"/>
      <c r="C10" s="367"/>
      <c r="D10" s="367"/>
      <c r="E10" s="367"/>
      <c r="F10" s="416"/>
      <c r="G10" s="367"/>
      <c r="H10" s="109" t="s">
        <v>265</v>
      </c>
      <c r="I10" s="131">
        <v>33.799999999999997</v>
      </c>
      <c r="J10" s="126">
        <f t="shared" si="0"/>
        <v>10.764331210191081</v>
      </c>
      <c r="K10" s="131"/>
      <c r="L10" s="131"/>
      <c r="M10" s="131"/>
      <c r="N10" s="131">
        <f t="shared" si="1"/>
        <v>90.95859872611463</v>
      </c>
      <c r="O10" s="131">
        <f t="shared" si="2"/>
        <v>2.653650730792589E-2</v>
      </c>
      <c r="P10" s="135">
        <f>O10*(1+'Key Data'!$F$3)</f>
        <v>3.3170634134907361E-2</v>
      </c>
      <c r="Q10" s="366"/>
      <c r="R10" s="366"/>
      <c r="S10" s="369"/>
      <c r="T10"/>
    </row>
    <row r="11" spans="1:20" x14ac:dyDescent="0.3">
      <c r="A11" s="367"/>
      <c r="B11" s="367"/>
      <c r="C11" s="367"/>
      <c r="D11" s="367"/>
      <c r="E11" s="367"/>
      <c r="F11" s="416"/>
      <c r="G11" s="367"/>
      <c r="H11" s="109" t="s">
        <v>265</v>
      </c>
      <c r="I11" s="131">
        <v>34.799999999999997</v>
      </c>
      <c r="J11" s="126">
        <f t="shared" si="0"/>
        <v>11.082802547770699</v>
      </c>
      <c r="K11" s="131"/>
      <c r="L11" s="131"/>
      <c r="M11" s="131"/>
      <c r="N11" s="131">
        <f t="shared" si="1"/>
        <v>96.420382165605076</v>
      </c>
      <c r="O11" s="131">
        <f t="shared" si="2"/>
        <v>2.8129942763025269E-2</v>
      </c>
      <c r="P11" s="135">
        <f>O11*(1+'Key Data'!$F$3)</f>
        <v>3.5162428453781584E-2</v>
      </c>
      <c r="Q11" s="366"/>
      <c r="R11" s="366"/>
      <c r="S11" s="369"/>
      <c r="T11"/>
    </row>
    <row r="12" spans="1:20" x14ac:dyDescent="0.3">
      <c r="A12" s="367"/>
      <c r="B12" s="367"/>
      <c r="C12" s="367"/>
      <c r="D12" s="367"/>
      <c r="E12" s="367"/>
      <c r="F12" s="416"/>
      <c r="G12" s="367"/>
      <c r="H12" s="109" t="s">
        <v>265</v>
      </c>
      <c r="I12" s="131">
        <v>28.2</v>
      </c>
      <c r="J12" s="126">
        <f t="shared" si="0"/>
        <v>8.9808917197452232</v>
      </c>
      <c r="K12" s="131"/>
      <c r="L12" s="131"/>
      <c r="M12" s="131"/>
      <c r="N12" s="131">
        <f t="shared" si="1"/>
        <v>63.315286624203829</v>
      </c>
      <c r="O12" s="131">
        <f t="shared" si="2"/>
        <v>1.8471772759667902E-2</v>
      </c>
      <c r="P12" s="135">
        <f>O12*(1+'Key Data'!$F$3)</f>
        <v>2.308971594958488E-2</v>
      </c>
      <c r="Q12" s="366"/>
      <c r="R12" s="366"/>
      <c r="S12" s="369"/>
      <c r="T12"/>
    </row>
    <row r="13" spans="1:20" x14ac:dyDescent="0.3">
      <c r="A13" s="367"/>
      <c r="B13" s="367"/>
      <c r="C13" s="367"/>
      <c r="D13" s="367"/>
      <c r="E13" s="367"/>
      <c r="F13" s="416"/>
      <c r="G13" s="367"/>
      <c r="H13" s="109" t="s">
        <v>265</v>
      </c>
      <c r="I13" s="131">
        <v>34</v>
      </c>
      <c r="J13" s="126">
        <f t="shared" si="0"/>
        <v>10.828025477707007</v>
      </c>
      <c r="K13" s="131"/>
      <c r="L13" s="131"/>
      <c r="M13" s="131"/>
      <c r="N13" s="131">
        <f t="shared" si="1"/>
        <v>92.038216560509554</v>
      </c>
      <c r="O13" s="131">
        <f t="shared" si="2"/>
        <v>2.6851477931412019E-2</v>
      </c>
      <c r="P13" s="135">
        <f>O13*(1+'Key Data'!$F$3)</f>
        <v>3.3564347414265026E-2</v>
      </c>
      <c r="Q13" s="366"/>
      <c r="R13" s="366"/>
      <c r="S13" s="369"/>
      <c r="T13"/>
    </row>
    <row r="14" spans="1:20" x14ac:dyDescent="0.3">
      <c r="A14" s="367"/>
      <c r="B14" s="367"/>
      <c r="C14" s="367"/>
      <c r="D14" s="367"/>
      <c r="E14" s="367"/>
      <c r="F14" s="416"/>
      <c r="G14" s="367"/>
      <c r="H14" s="109" t="s">
        <v>265</v>
      </c>
      <c r="I14" s="131">
        <v>40.1</v>
      </c>
      <c r="J14" s="126">
        <f t="shared" si="0"/>
        <v>12.770700636942674</v>
      </c>
      <c r="K14" s="131"/>
      <c r="L14" s="131"/>
      <c r="M14" s="131"/>
      <c r="N14" s="131">
        <f t="shared" si="1"/>
        <v>128.02627388535032</v>
      </c>
      <c r="O14" s="131">
        <f t="shared" si="2"/>
        <v>3.735073099350332E-2</v>
      </c>
      <c r="P14" s="135">
        <f>O14*(1+'Key Data'!$F$3)</f>
        <v>4.6688413741879153E-2</v>
      </c>
      <c r="Q14" s="366"/>
      <c r="R14" s="366"/>
      <c r="S14" s="369"/>
      <c r="T14"/>
    </row>
    <row r="15" spans="1:20" x14ac:dyDescent="0.3">
      <c r="A15" s="367"/>
      <c r="B15" s="367"/>
      <c r="C15" s="367"/>
      <c r="D15" s="367"/>
      <c r="E15" s="367"/>
      <c r="F15" s="416"/>
      <c r="G15" s="367"/>
      <c r="H15" s="109" t="s">
        <v>265</v>
      </c>
      <c r="I15" s="131">
        <v>38</v>
      </c>
      <c r="J15" s="126">
        <f t="shared" si="0"/>
        <v>12.101910828025478</v>
      </c>
      <c r="K15" s="131"/>
      <c r="L15" s="131"/>
      <c r="M15" s="131"/>
      <c r="N15" s="131">
        <f t="shared" si="1"/>
        <v>114.96815286624204</v>
      </c>
      <c r="O15" s="131">
        <f t="shared" si="2"/>
        <v>3.3541119492179007E-2</v>
      </c>
      <c r="P15" s="135">
        <f>O15*(1+'Key Data'!$F$3)</f>
        <v>4.1926399365223757E-2</v>
      </c>
      <c r="Q15" s="366"/>
      <c r="R15" s="366"/>
      <c r="S15" s="369"/>
      <c r="T15"/>
    </row>
    <row r="16" spans="1:20" x14ac:dyDescent="0.3">
      <c r="A16" s="367"/>
      <c r="B16" s="367"/>
      <c r="C16" s="367"/>
      <c r="D16" s="367"/>
      <c r="E16" s="367"/>
      <c r="F16" s="416"/>
      <c r="G16" s="367"/>
      <c r="H16" s="109" t="s">
        <v>265</v>
      </c>
      <c r="I16" s="131">
        <v>46</v>
      </c>
      <c r="J16" s="126">
        <f t="shared" si="0"/>
        <v>14.64968152866242</v>
      </c>
      <c r="K16" s="131"/>
      <c r="L16" s="131"/>
      <c r="M16" s="131"/>
      <c r="N16" s="131">
        <f t="shared" si="1"/>
        <v>168.47133757961782</v>
      </c>
      <c r="O16" s="131">
        <f t="shared" si="2"/>
        <v>4.9150283133968707E-2</v>
      </c>
      <c r="P16" s="135">
        <f>O16*(1+'Key Data'!$F$3)</f>
        <v>6.1437853917460886E-2</v>
      </c>
      <c r="Q16" s="366"/>
      <c r="R16" s="366"/>
      <c r="S16" s="369"/>
      <c r="T16"/>
    </row>
    <row r="17" spans="1:20" x14ac:dyDescent="0.3">
      <c r="A17" s="367"/>
      <c r="B17" s="367"/>
      <c r="C17" s="367"/>
      <c r="D17" s="367"/>
      <c r="E17" s="367"/>
      <c r="F17" s="416"/>
      <c r="G17" s="367"/>
      <c r="H17" s="109" t="s">
        <v>265</v>
      </c>
      <c r="I17" s="131">
        <v>34.1</v>
      </c>
      <c r="J17" s="126">
        <f t="shared" si="0"/>
        <v>10.859872611464969</v>
      </c>
      <c r="K17" s="131"/>
      <c r="L17" s="131"/>
      <c r="M17" s="131"/>
      <c r="N17" s="131">
        <f t="shared" si="1"/>
        <v>92.580414012738856</v>
      </c>
      <c r="O17" s="131">
        <f t="shared" si="2"/>
        <v>2.7009660080817652E-2</v>
      </c>
      <c r="P17" s="135">
        <f>O17*(1+'Key Data'!$F$3)</f>
        <v>3.3762075101022068E-2</v>
      </c>
      <c r="Q17" s="366"/>
      <c r="R17" s="366"/>
      <c r="S17" s="369"/>
      <c r="T17"/>
    </row>
    <row r="18" spans="1:20" x14ac:dyDescent="0.3">
      <c r="A18" s="367"/>
      <c r="B18" s="367"/>
      <c r="C18" s="367"/>
      <c r="D18" s="367"/>
      <c r="E18" s="367"/>
      <c r="F18" s="416"/>
      <c r="G18" s="367"/>
      <c r="H18" s="109" t="s">
        <v>265</v>
      </c>
      <c r="I18" s="131">
        <v>43</v>
      </c>
      <c r="J18" s="126">
        <f t="shared" si="0"/>
        <v>13.694267515923567</v>
      </c>
      <c r="K18" s="131"/>
      <c r="L18" s="131"/>
      <c r="M18" s="131"/>
      <c r="N18" s="131">
        <f t="shared" si="1"/>
        <v>147.21337579617835</v>
      </c>
      <c r="O18" s="131">
        <f t="shared" si="2"/>
        <v>4.2948427937007649E-2</v>
      </c>
      <c r="P18" s="135">
        <f>O18*(1+'Key Data'!$F$3)</f>
        <v>5.3685534921259562E-2</v>
      </c>
      <c r="Q18" s="366"/>
      <c r="R18" s="366"/>
      <c r="S18" s="369"/>
      <c r="T18"/>
    </row>
    <row r="19" spans="1:20" x14ac:dyDescent="0.3">
      <c r="A19" s="367"/>
      <c r="B19" s="367"/>
      <c r="C19" s="367"/>
      <c r="D19" s="367"/>
      <c r="E19" s="367"/>
      <c r="F19" s="416"/>
      <c r="G19" s="367"/>
      <c r="H19" s="109" t="s">
        <v>265</v>
      </c>
      <c r="I19" s="131">
        <v>39</v>
      </c>
      <c r="J19" s="126">
        <f t="shared" si="0"/>
        <v>12.420382165605096</v>
      </c>
      <c r="K19" s="131"/>
      <c r="L19" s="131"/>
      <c r="M19" s="131"/>
      <c r="N19" s="131">
        <f t="shared" si="1"/>
        <v>121.09872611464968</v>
      </c>
      <c r="O19" s="131">
        <f t="shared" si="2"/>
        <v>3.5329669492800739E-2</v>
      </c>
      <c r="P19" s="135">
        <f>O19*(1+'Key Data'!$F$3)</f>
        <v>4.4162086866000927E-2</v>
      </c>
      <c r="Q19" s="366"/>
      <c r="R19" s="366"/>
      <c r="S19" s="369"/>
      <c r="T19"/>
    </row>
    <row r="20" spans="1:20" x14ac:dyDescent="0.3">
      <c r="A20" s="367"/>
      <c r="B20" s="367"/>
      <c r="C20" s="367"/>
      <c r="D20" s="367"/>
      <c r="E20" s="367"/>
      <c r="F20" s="416"/>
      <c r="G20" s="367"/>
      <c r="H20" s="109" t="s">
        <v>265</v>
      </c>
      <c r="I20" s="131">
        <v>40</v>
      </c>
      <c r="J20" s="126">
        <f t="shared" si="0"/>
        <v>12.738853503184712</v>
      </c>
      <c r="K20" s="131"/>
      <c r="L20" s="131"/>
      <c r="M20" s="131"/>
      <c r="N20" s="131">
        <f t="shared" si="1"/>
        <v>127.38853503184713</v>
      </c>
      <c r="O20" s="131">
        <f t="shared" si="2"/>
        <v>3.7164675337594461E-2</v>
      </c>
      <c r="P20" s="135">
        <f>O20*(1+'Key Data'!$F$3)</f>
        <v>4.6455844171993076E-2</v>
      </c>
      <c r="Q20" s="366"/>
      <c r="R20" s="366"/>
      <c r="S20" s="369"/>
      <c r="T20"/>
    </row>
    <row r="21" spans="1:20" x14ac:dyDescent="0.3">
      <c r="A21" s="367"/>
      <c r="B21" s="367"/>
      <c r="C21" s="367"/>
      <c r="D21" s="367"/>
      <c r="E21" s="367"/>
      <c r="F21" s="416"/>
      <c r="G21" s="367"/>
      <c r="H21" s="109" t="s">
        <v>265</v>
      </c>
      <c r="I21" s="131">
        <v>36.5</v>
      </c>
      <c r="J21" s="126">
        <f t="shared" si="0"/>
        <v>11.624203821656051</v>
      </c>
      <c r="K21" s="131"/>
      <c r="L21" s="131"/>
      <c r="M21" s="131"/>
      <c r="N21" s="131">
        <f t="shared" si="1"/>
        <v>106.07085987261146</v>
      </c>
      <c r="O21" s="131">
        <f t="shared" si="2"/>
        <v>3.0945399199068899E-2</v>
      </c>
      <c r="P21" s="135">
        <f>O21*(1+'Key Data'!$F$3)</f>
        <v>3.8681748998836127E-2</v>
      </c>
      <c r="Q21" s="366"/>
      <c r="R21" s="366"/>
      <c r="S21" s="369"/>
      <c r="T21"/>
    </row>
    <row r="22" spans="1:20" x14ac:dyDescent="0.3">
      <c r="A22" s="367"/>
      <c r="B22" s="367"/>
      <c r="C22" s="367"/>
      <c r="D22" s="367"/>
      <c r="E22" s="367"/>
      <c r="F22" s="416"/>
      <c r="G22" s="367"/>
      <c r="H22" s="109" t="s">
        <v>265</v>
      </c>
      <c r="I22" s="131">
        <v>39</v>
      </c>
      <c r="J22" s="126">
        <f t="shared" si="0"/>
        <v>12.420382165605096</v>
      </c>
      <c r="K22" s="131"/>
      <c r="L22" s="131"/>
      <c r="M22" s="131"/>
      <c r="N22" s="131">
        <f t="shared" si="1"/>
        <v>121.09872611464968</v>
      </c>
      <c r="O22" s="131">
        <f t="shared" si="2"/>
        <v>3.5329669492800739E-2</v>
      </c>
      <c r="P22" s="135">
        <f>O22*(1+'Key Data'!$F$3)</f>
        <v>4.4162086866000927E-2</v>
      </c>
      <c r="Q22" s="366"/>
      <c r="R22" s="366"/>
      <c r="S22" s="369"/>
      <c r="T22"/>
    </row>
    <row r="23" spans="1:20" x14ac:dyDescent="0.3">
      <c r="A23" s="367"/>
      <c r="B23" s="367"/>
      <c r="C23" s="367"/>
      <c r="D23" s="367"/>
      <c r="E23" s="367"/>
      <c r="F23" s="416"/>
      <c r="G23" s="367"/>
      <c r="H23" s="109" t="s">
        <v>265</v>
      </c>
      <c r="I23" s="131">
        <v>39</v>
      </c>
      <c r="J23" s="126">
        <f t="shared" si="0"/>
        <v>12.420382165605096</v>
      </c>
      <c r="K23" s="131"/>
      <c r="L23" s="131"/>
      <c r="M23" s="131"/>
      <c r="N23" s="131">
        <f t="shared" si="1"/>
        <v>121.09872611464968</v>
      </c>
      <c r="O23" s="131">
        <f t="shared" si="2"/>
        <v>3.5329669492800739E-2</v>
      </c>
      <c r="P23" s="135">
        <f>O23*(1+'Key Data'!$F$3)</f>
        <v>4.4162086866000927E-2</v>
      </c>
      <c r="Q23" s="366"/>
      <c r="R23" s="366"/>
      <c r="S23" s="369"/>
      <c r="T23"/>
    </row>
    <row r="24" spans="1:20" x14ac:dyDescent="0.3">
      <c r="A24" s="367"/>
      <c r="B24" s="367"/>
      <c r="C24" s="367"/>
      <c r="D24" s="367"/>
      <c r="E24" s="367"/>
      <c r="F24" s="416"/>
      <c r="G24" s="367"/>
      <c r="H24" s="109" t="s">
        <v>265</v>
      </c>
      <c r="I24" s="131">
        <f>SQRT(22*22+34.1*34.1)</f>
        <v>40.580906840532776</v>
      </c>
      <c r="J24" s="126">
        <f t="shared" si="0"/>
        <v>12.923855681698337</v>
      </c>
      <c r="K24" s="131"/>
      <c r="L24" s="131"/>
      <c r="M24" s="131"/>
      <c r="N24" s="131">
        <f t="shared" si="1"/>
        <v>131.11544585987261</v>
      </c>
      <c r="O24" s="131">
        <f t="shared" si="2"/>
        <v>3.8251974370439965E-2</v>
      </c>
      <c r="P24" s="135">
        <f>O24*(1+'Key Data'!$F$3)</f>
        <v>4.7814967963049959E-2</v>
      </c>
      <c r="Q24" s="366"/>
      <c r="R24" s="366"/>
      <c r="S24" s="369"/>
      <c r="T24"/>
    </row>
    <row r="25" spans="1:20" x14ac:dyDescent="0.3">
      <c r="A25" s="367"/>
      <c r="B25" s="367"/>
      <c r="C25" s="367"/>
      <c r="D25" s="367"/>
      <c r="E25" s="367"/>
      <c r="F25" s="416"/>
      <c r="G25" s="367"/>
      <c r="H25" s="109" t="s">
        <v>265</v>
      </c>
      <c r="I25" s="131">
        <v>33</v>
      </c>
      <c r="J25" s="126">
        <f t="shared" si="0"/>
        <v>10.509554140127388</v>
      </c>
      <c r="K25" s="131"/>
      <c r="L25" s="131"/>
      <c r="M25" s="131"/>
      <c r="N25" s="131">
        <f t="shared" si="1"/>
        <v>86.703821656050948</v>
      </c>
      <c r="O25" s="131">
        <f t="shared" si="2"/>
        <v>2.5295207151650251E-2</v>
      </c>
      <c r="P25" s="135">
        <f>O25*(1+'Key Data'!$F$3)</f>
        <v>3.1619008939562813E-2</v>
      </c>
      <c r="Q25" s="366"/>
      <c r="R25" s="366"/>
      <c r="S25" s="369"/>
      <c r="T25"/>
    </row>
    <row r="26" spans="1:20" x14ac:dyDescent="0.3">
      <c r="A26" s="367"/>
      <c r="B26" s="367"/>
      <c r="C26" s="367"/>
      <c r="D26" s="367"/>
      <c r="E26" s="367"/>
      <c r="F26" s="416"/>
      <c r="G26" s="367"/>
      <c r="H26" s="109" t="s">
        <v>265</v>
      </c>
      <c r="I26" s="131">
        <v>43.5</v>
      </c>
      <c r="J26" s="126">
        <f t="shared" si="0"/>
        <v>13.853503184713375</v>
      </c>
      <c r="K26" s="131"/>
      <c r="L26" s="131"/>
      <c r="M26" s="131"/>
      <c r="N26" s="131">
        <f t="shared" si="1"/>
        <v>150.65684713375796</v>
      </c>
      <c r="O26" s="131">
        <f t="shared" si="2"/>
        <v>4.3953035567226996E-2</v>
      </c>
      <c r="P26" s="135">
        <f>O26*(1+'Key Data'!$F$3)</f>
        <v>5.4941294459033743E-2</v>
      </c>
      <c r="Q26" s="366"/>
      <c r="R26" s="366"/>
      <c r="S26" s="369"/>
      <c r="T26"/>
    </row>
    <row r="27" spans="1:20" x14ac:dyDescent="0.3">
      <c r="A27" s="367"/>
      <c r="B27" s="367"/>
      <c r="C27" s="367"/>
      <c r="D27" s="367"/>
      <c r="E27" s="367"/>
      <c r="F27" s="416"/>
      <c r="G27" s="367"/>
      <c r="H27" s="109" t="s">
        <v>265</v>
      </c>
      <c r="I27" s="131">
        <v>42</v>
      </c>
      <c r="J27" s="126">
        <f t="shared" si="0"/>
        <v>13.375796178343949</v>
      </c>
      <c r="K27" s="131"/>
      <c r="L27" s="131"/>
      <c r="M27" s="131"/>
      <c r="N27" s="131">
        <f t="shared" si="1"/>
        <v>140.44585987261146</v>
      </c>
      <c r="O27" s="131">
        <f t="shared" si="2"/>
        <v>4.0974054559697944E-2</v>
      </c>
      <c r="P27" s="135">
        <f>O27*(1+'Key Data'!$F$3)</f>
        <v>5.1217568199622428E-2</v>
      </c>
      <c r="Q27" s="366"/>
      <c r="R27" s="366"/>
      <c r="S27" s="369"/>
      <c r="T27"/>
    </row>
    <row r="28" spans="1:20" x14ac:dyDescent="0.3">
      <c r="A28" s="367"/>
      <c r="B28" s="367"/>
      <c r="C28" s="367"/>
      <c r="D28" s="367"/>
      <c r="E28" s="367"/>
      <c r="F28" s="416"/>
      <c r="G28" s="367"/>
      <c r="H28" s="109" t="s">
        <v>265</v>
      </c>
      <c r="I28" s="131">
        <v>22</v>
      </c>
      <c r="J28" s="126">
        <f t="shared" si="0"/>
        <v>7.0063694267515917</v>
      </c>
      <c r="K28" s="131"/>
      <c r="L28" s="131"/>
      <c r="M28" s="131"/>
      <c r="N28" s="131">
        <f t="shared" si="1"/>
        <v>38.535031847133752</v>
      </c>
      <c r="O28" s="131">
        <f t="shared" si="2"/>
        <v>1.1242314289622324E-2</v>
      </c>
      <c r="P28" s="135">
        <f>O28*(1+'Key Data'!$F$3)</f>
        <v>1.4052892862027905E-2</v>
      </c>
      <c r="Q28" s="366"/>
      <c r="R28" s="366"/>
      <c r="S28" s="369"/>
      <c r="T28"/>
    </row>
    <row r="29" spans="1:20" x14ac:dyDescent="0.3">
      <c r="A29" s="367"/>
      <c r="B29" s="367"/>
      <c r="C29" s="367"/>
      <c r="D29" s="367"/>
      <c r="E29" s="367"/>
      <c r="F29" s="416"/>
      <c r="G29" s="367"/>
      <c r="H29" s="109" t="s">
        <v>265</v>
      </c>
      <c r="I29" s="131">
        <f>SQRT(26*26+33*33)</f>
        <v>42.01190307520001</v>
      </c>
      <c r="J29" s="126">
        <f t="shared" si="0"/>
        <v>13.379586966624206</v>
      </c>
      <c r="K29" s="131"/>
      <c r="L29" s="131"/>
      <c r="M29" s="131"/>
      <c r="N29" s="131">
        <f t="shared" si="1"/>
        <v>140.52547770700636</v>
      </c>
      <c r="O29" s="131">
        <f t="shared" si="2"/>
        <v>4.0997282481783921E-2</v>
      </c>
      <c r="P29" s="135">
        <f>O29*(1+'Key Data'!$F$3)</f>
        <v>5.12466031022299E-2</v>
      </c>
      <c r="Q29" s="366"/>
      <c r="R29" s="366"/>
      <c r="S29" s="369"/>
      <c r="T29"/>
    </row>
    <row r="30" spans="1:20" x14ac:dyDescent="0.3">
      <c r="A30" s="367"/>
      <c r="B30" s="367"/>
      <c r="C30" s="367"/>
      <c r="D30" s="367"/>
      <c r="E30" s="367"/>
      <c r="F30" s="416"/>
      <c r="G30" s="367"/>
      <c r="H30" s="109" t="s">
        <v>265</v>
      </c>
      <c r="I30" s="131">
        <v>42</v>
      </c>
      <c r="J30" s="126">
        <f t="shared" si="0"/>
        <v>13.375796178343949</v>
      </c>
      <c r="K30" s="131"/>
      <c r="L30" s="131"/>
      <c r="M30" s="131"/>
      <c r="N30" s="131">
        <f t="shared" si="1"/>
        <v>140.44585987261146</v>
      </c>
      <c r="O30" s="131">
        <f t="shared" si="2"/>
        <v>4.0974054559697944E-2</v>
      </c>
      <c r="P30" s="135">
        <f>O30*(1+'Key Data'!$F$3)</f>
        <v>5.1217568199622428E-2</v>
      </c>
      <c r="Q30" s="366"/>
      <c r="R30" s="366"/>
      <c r="S30" s="369"/>
      <c r="T30"/>
    </row>
    <row r="31" spans="1:20" x14ac:dyDescent="0.3">
      <c r="A31" s="367"/>
      <c r="B31" s="367"/>
      <c r="C31" s="367"/>
      <c r="D31" s="367"/>
      <c r="E31" s="367"/>
      <c r="F31" s="416"/>
      <c r="G31" s="367"/>
      <c r="H31" s="109" t="s">
        <v>265</v>
      </c>
      <c r="I31" s="131">
        <v>43.1</v>
      </c>
      <c r="J31" s="126">
        <f t="shared" si="0"/>
        <v>13.726114649681529</v>
      </c>
      <c r="K31" s="131"/>
      <c r="L31" s="131"/>
      <c r="M31" s="131"/>
      <c r="N31" s="131">
        <f t="shared" si="1"/>
        <v>147.89888535031847</v>
      </c>
      <c r="O31" s="131">
        <f t="shared" si="2"/>
        <v>4.3148420346168039E-2</v>
      </c>
      <c r="P31" s="135">
        <f>O31*(1+'Key Data'!$F$3)</f>
        <v>5.3935525432710046E-2</v>
      </c>
      <c r="Q31" s="366"/>
      <c r="R31" s="366"/>
      <c r="S31" s="369"/>
      <c r="T31"/>
    </row>
    <row r="32" spans="1:20" x14ac:dyDescent="0.3">
      <c r="A32" s="367"/>
      <c r="B32" s="367"/>
      <c r="C32" s="367"/>
      <c r="D32" s="367"/>
      <c r="E32" s="367"/>
      <c r="F32" s="416"/>
      <c r="G32" s="367"/>
      <c r="H32" s="109" t="s">
        <v>265</v>
      </c>
      <c r="I32" s="131">
        <v>32.1</v>
      </c>
      <c r="J32" s="126">
        <f t="shared" si="0"/>
        <v>10.222929936305732</v>
      </c>
      <c r="K32" s="131"/>
      <c r="L32" s="131"/>
      <c r="M32" s="131"/>
      <c r="N32" s="131">
        <f t="shared" si="1"/>
        <v>82.039012738853501</v>
      </c>
      <c r="O32" s="131">
        <f t="shared" si="2"/>
        <v>2.3934283196631712E-2</v>
      </c>
      <c r="P32" s="135">
        <f>O32*(1+'Key Data'!$F$3)</f>
        <v>2.9917853995789639E-2</v>
      </c>
      <c r="Q32" s="366"/>
      <c r="R32" s="366"/>
      <c r="S32" s="369"/>
      <c r="T32"/>
    </row>
    <row r="33" spans="1:20" x14ac:dyDescent="0.3">
      <c r="A33" s="367"/>
      <c r="B33" s="367"/>
      <c r="C33" s="367"/>
      <c r="D33" s="367"/>
      <c r="E33" s="367"/>
      <c r="F33" s="416"/>
      <c r="G33" s="367"/>
      <c r="H33" s="109" t="s">
        <v>265</v>
      </c>
      <c r="I33" s="131">
        <v>34</v>
      </c>
      <c r="J33" s="126">
        <f t="shared" si="0"/>
        <v>10.828025477707007</v>
      </c>
      <c r="K33" s="131"/>
      <c r="L33" s="131"/>
      <c r="M33" s="131"/>
      <c r="N33" s="131">
        <f t="shared" si="1"/>
        <v>92.038216560509554</v>
      </c>
      <c r="O33" s="131">
        <f t="shared" si="2"/>
        <v>2.6851477931412019E-2</v>
      </c>
      <c r="P33" s="135">
        <f>O33*(1+'Key Data'!$F$3)</f>
        <v>3.3564347414265026E-2</v>
      </c>
      <c r="Q33" s="366"/>
      <c r="R33" s="366"/>
      <c r="S33" s="369"/>
      <c r="T33"/>
    </row>
    <row r="34" spans="1:20" x14ac:dyDescent="0.3">
      <c r="A34" s="367"/>
      <c r="B34" s="367"/>
      <c r="C34" s="367"/>
      <c r="D34" s="367"/>
      <c r="E34" s="367"/>
      <c r="F34" s="416"/>
      <c r="G34" s="367"/>
      <c r="H34" s="109" t="s">
        <v>265</v>
      </c>
      <c r="I34" s="131">
        <v>45</v>
      </c>
      <c r="J34" s="126">
        <f t="shared" si="0"/>
        <v>14.331210191082802</v>
      </c>
      <c r="K34" s="131"/>
      <c r="L34" s="131"/>
      <c r="M34" s="131"/>
      <c r="N34" s="131">
        <f t="shared" si="1"/>
        <v>161.22611464968151</v>
      </c>
      <c r="O34" s="131">
        <f t="shared" si="2"/>
        <v>4.7036542224143017E-2</v>
      </c>
      <c r="P34" s="135">
        <f>O34*(1+'Key Data'!$F$3)</f>
        <v>5.8795677780178773E-2</v>
      </c>
      <c r="Q34" s="366"/>
      <c r="R34" s="366"/>
      <c r="S34" s="369"/>
      <c r="T34"/>
    </row>
    <row r="35" spans="1:20" x14ac:dyDescent="0.3">
      <c r="A35" s="367"/>
      <c r="B35" s="367"/>
      <c r="C35" s="367"/>
      <c r="D35" s="367"/>
      <c r="E35" s="367"/>
      <c r="F35" s="416"/>
      <c r="G35" s="367"/>
      <c r="H35" s="109" t="s">
        <v>265</v>
      </c>
      <c r="I35" s="131">
        <v>31</v>
      </c>
      <c r="J35" s="126">
        <f t="shared" si="0"/>
        <v>9.872611464968152</v>
      </c>
      <c r="K35" s="131"/>
      <c r="L35" s="131"/>
      <c r="M35" s="131"/>
      <c r="N35" s="131">
        <f t="shared" si="1"/>
        <v>76.51273885350318</v>
      </c>
      <c r="O35" s="131">
        <f t="shared" si="2"/>
        <v>2.2322033124642683E-2</v>
      </c>
      <c r="P35" s="135">
        <f>O35*(1+'Key Data'!$F$3)</f>
        <v>2.7902541405803352E-2</v>
      </c>
      <c r="Q35" s="366"/>
      <c r="R35" s="366"/>
      <c r="S35" s="369"/>
      <c r="T35"/>
    </row>
    <row r="36" spans="1:20" x14ac:dyDescent="0.3">
      <c r="A36" s="367"/>
      <c r="B36" s="367"/>
      <c r="C36" s="367"/>
      <c r="D36" s="367"/>
      <c r="E36" s="367"/>
      <c r="F36" s="416"/>
      <c r="G36" s="367"/>
      <c r="H36" s="109" t="s">
        <v>265</v>
      </c>
      <c r="I36" s="131">
        <v>40</v>
      </c>
      <c r="J36" s="126">
        <f t="shared" si="0"/>
        <v>12.738853503184712</v>
      </c>
      <c r="K36" s="131"/>
      <c r="L36" s="131"/>
      <c r="M36" s="131"/>
      <c r="N36" s="131">
        <f t="shared" si="1"/>
        <v>127.38853503184713</v>
      </c>
      <c r="O36" s="131">
        <f t="shared" si="2"/>
        <v>3.7164675337594461E-2</v>
      </c>
      <c r="P36" s="135">
        <f>O36*(1+'Key Data'!$F$3)</f>
        <v>4.6455844171993076E-2</v>
      </c>
      <c r="Q36" s="366"/>
      <c r="R36" s="366"/>
      <c r="S36" s="369"/>
      <c r="T36"/>
    </row>
    <row r="37" spans="1:20" x14ac:dyDescent="0.3">
      <c r="A37" s="429">
        <v>2</v>
      </c>
      <c r="B37" s="429" t="s">
        <v>455</v>
      </c>
      <c r="C37" s="429"/>
      <c r="D37" s="429"/>
      <c r="E37" s="429">
        <v>24.746600000000001</v>
      </c>
      <c r="F37" s="444">
        <v>86.619155000000006</v>
      </c>
      <c r="G37" s="429">
        <v>2020</v>
      </c>
      <c r="H37" s="78" t="s">
        <v>393</v>
      </c>
      <c r="I37" s="182"/>
      <c r="J37" s="128"/>
      <c r="K37" s="183">
        <v>24.6</v>
      </c>
      <c r="L37" s="183">
        <f>K37/3.14/100</f>
        <v>7.8343949044585998E-2</v>
      </c>
      <c r="M37" s="182"/>
      <c r="N37" s="182"/>
      <c r="O37" s="138">
        <f>(0.08847-1.46936*L37+11.98979*L37^2+1.97056*L37^3)*'Key Data'!$I$15*'Key Data'!$F$15</f>
        <v>3.7715516288434392E-2</v>
      </c>
      <c r="P37" s="184">
        <f>O37*(1+'Key Data'!$F$3)</f>
        <v>4.714439536054299E-2</v>
      </c>
      <c r="Q37" s="432">
        <f>SUM(P37:P279)</f>
        <v>12.007807414168834</v>
      </c>
      <c r="R37" s="435">
        <f>Q37*10000/900</f>
        <v>133.42008237965371</v>
      </c>
      <c r="S37" s="369"/>
      <c r="T37"/>
    </row>
    <row r="38" spans="1:20" x14ac:dyDescent="0.3">
      <c r="A38" s="430"/>
      <c r="B38" s="430"/>
      <c r="C38" s="430"/>
      <c r="D38" s="430"/>
      <c r="E38" s="430"/>
      <c r="F38" s="445"/>
      <c r="G38" s="430"/>
      <c r="H38" s="78" t="s">
        <v>393</v>
      </c>
      <c r="I38" s="182"/>
      <c r="J38" s="128"/>
      <c r="K38" s="183">
        <v>28.5</v>
      </c>
      <c r="L38" s="183">
        <f t="shared" ref="L38:L101" si="3">K38/3.14/100</f>
        <v>9.0764331210191077E-2</v>
      </c>
      <c r="M38" s="182"/>
      <c r="N38" s="182"/>
      <c r="O38" s="138">
        <f>(0.08847-1.46936*L38+11.98979*L38^2+1.97056*L38^3)*'Key Data'!$I$15*'Key Data'!$F$15</f>
        <v>4.3589563074662614E-2</v>
      </c>
      <c r="P38" s="184">
        <f>O38*(1+'Key Data'!$F$3)</f>
        <v>5.4486953843328266E-2</v>
      </c>
      <c r="Q38" s="433"/>
      <c r="R38" s="436"/>
      <c r="S38" s="369"/>
      <c r="T38"/>
    </row>
    <row r="39" spans="1:20" x14ac:dyDescent="0.3">
      <c r="A39" s="430"/>
      <c r="B39" s="430"/>
      <c r="C39" s="430"/>
      <c r="D39" s="430"/>
      <c r="E39" s="430"/>
      <c r="F39" s="445"/>
      <c r="G39" s="430"/>
      <c r="H39" s="78" t="s">
        <v>393</v>
      </c>
      <c r="I39" s="182"/>
      <c r="J39" s="128"/>
      <c r="K39" s="183">
        <v>17</v>
      </c>
      <c r="L39" s="183">
        <f t="shared" si="3"/>
        <v>5.4140127388535034E-2</v>
      </c>
      <c r="M39" s="182"/>
      <c r="N39" s="182"/>
      <c r="O39" s="138">
        <f>(0.08847-1.46936*L39+11.98979*L39^2+1.97056*L39^3)*'Key Data'!$I$15*'Key Data'!$F$15</f>
        <v>3.4945541018164127E-2</v>
      </c>
      <c r="P39" s="184">
        <f>O39*(1+'Key Data'!$F$3)</f>
        <v>4.368192627270516E-2</v>
      </c>
      <c r="Q39" s="433"/>
      <c r="R39" s="436"/>
      <c r="S39" s="369"/>
      <c r="T39"/>
    </row>
    <row r="40" spans="1:20" x14ac:dyDescent="0.3">
      <c r="A40" s="430"/>
      <c r="B40" s="430"/>
      <c r="C40" s="430"/>
      <c r="D40" s="430"/>
      <c r="E40" s="430"/>
      <c r="F40" s="445"/>
      <c r="G40" s="430"/>
      <c r="H40" s="78" t="s">
        <v>393</v>
      </c>
      <c r="I40" s="182"/>
      <c r="J40" s="128"/>
      <c r="K40" s="183">
        <v>27.5</v>
      </c>
      <c r="L40" s="183">
        <f t="shared" si="3"/>
        <v>8.7579617834394913E-2</v>
      </c>
      <c r="M40" s="182"/>
      <c r="N40" s="182"/>
      <c r="O40" s="138">
        <f>(0.08847-1.46936*L40+11.98979*L40^2+1.97056*L40^3)*'Key Data'!$I$15*'Key Data'!$F$15</f>
        <v>4.1793965137071037E-2</v>
      </c>
      <c r="P40" s="184">
        <f>O40*(1+'Key Data'!$F$3)</f>
        <v>5.2242456421338797E-2</v>
      </c>
      <c r="Q40" s="433"/>
      <c r="R40" s="436"/>
      <c r="S40" s="369"/>
      <c r="T40"/>
    </row>
    <row r="41" spans="1:20" x14ac:dyDescent="0.3">
      <c r="A41" s="430"/>
      <c r="B41" s="430"/>
      <c r="C41" s="430"/>
      <c r="D41" s="430"/>
      <c r="E41" s="430"/>
      <c r="F41" s="445"/>
      <c r="G41" s="430"/>
      <c r="H41" s="78" t="s">
        <v>393</v>
      </c>
      <c r="I41" s="182"/>
      <c r="J41" s="128"/>
      <c r="K41" s="183">
        <v>23</v>
      </c>
      <c r="L41" s="183">
        <f t="shared" si="3"/>
        <v>7.32484076433121E-2</v>
      </c>
      <c r="M41" s="182"/>
      <c r="N41" s="182"/>
      <c r="O41" s="138">
        <f>(0.08847-1.46936*L41+11.98979*L41^2+1.97056*L41^3)*'Key Data'!$I$15*'Key Data'!$F$15</f>
        <v>3.6181942706402015E-2</v>
      </c>
      <c r="P41" s="184">
        <f>O41*(1+'Key Data'!$F$3)</f>
        <v>4.5227428383002519E-2</v>
      </c>
      <c r="Q41" s="433"/>
      <c r="R41" s="436"/>
      <c r="S41" s="369"/>
      <c r="T41"/>
    </row>
    <row r="42" spans="1:20" x14ac:dyDescent="0.3">
      <c r="A42" s="430"/>
      <c r="B42" s="430"/>
      <c r="C42" s="430"/>
      <c r="D42" s="430"/>
      <c r="E42" s="430"/>
      <c r="F42" s="445"/>
      <c r="G42" s="430"/>
      <c r="H42" s="78" t="s">
        <v>393</v>
      </c>
      <c r="I42" s="182"/>
      <c r="J42" s="128"/>
      <c r="K42" s="183">
        <v>24.2</v>
      </c>
      <c r="L42" s="183">
        <f t="shared" si="3"/>
        <v>7.7070063694267513E-2</v>
      </c>
      <c r="M42" s="182"/>
      <c r="N42" s="182"/>
      <c r="O42" s="138">
        <f>(0.08847-1.46936*L42+11.98979*L42^2+1.97056*L42^3)*'Key Data'!$I$15*'Key Data'!$F$15</f>
        <v>3.7284428617486882E-2</v>
      </c>
      <c r="P42" s="184">
        <f>O42*(1+'Key Data'!$F$3)</f>
        <v>4.6605535771858601E-2</v>
      </c>
      <c r="Q42" s="433"/>
      <c r="R42" s="436"/>
      <c r="S42" s="369"/>
      <c r="T42"/>
    </row>
    <row r="43" spans="1:20" x14ac:dyDescent="0.3">
      <c r="A43" s="430"/>
      <c r="B43" s="430"/>
      <c r="C43" s="430"/>
      <c r="D43" s="430"/>
      <c r="E43" s="430"/>
      <c r="F43" s="445"/>
      <c r="G43" s="430"/>
      <c r="H43" s="78" t="s">
        <v>393</v>
      </c>
      <c r="I43" s="182"/>
      <c r="J43" s="128"/>
      <c r="K43" s="183">
        <v>16.2</v>
      </c>
      <c r="L43" s="183">
        <f t="shared" si="3"/>
        <v>5.1592356687898085E-2</v>
      </c>
      <c r="M43" s="182"/>
      <c r="N43" s="182"/>
      <c r="O43" s="138">
        <f>(0.08847-1.46936*L43+11.98979*L43^2+1.97056*L43^3)*'Key Data'!$I$15*'Key Data'!$F$15</f>
        <v>3.5316968803786618E-2</v>
      </c>
      <c r="P43" s="184">
        <f>O43*(1+'Key Data'!$F$3)</f>
        <v>4.4146211004733274E-2</v>
      </c>
      <c r="Q43" s="433"/>
      <c r="R43" s="436"/>
      <c r="S43" s="369"/>
      <c r="T43"/>
    </row>
    <row r="44" spans="1:20" x14ac:dyDescent="0.3">
      <c r="A44" s="430"/>
      <c r="B44" s="430"/>
      <c r="C44" s="430"/>
      <c r="D44" s="430"/>
      <c r="E44" s="430"/>
      <c r="F44" s="445"/>
      <c r="G44" s="430"/>
      <c r="H44" s="78" t="s">
        <v>393</v>
      </c>
      <c r="I44" s="182"/>
      <c r="J44" s="128"/>
      <c r="K44" s="183">
        <v>22.1</v>
      </c>
      <c r="L44" s="183">
        <f t="shared" si="3"/>
        <v>7.038216560509554E-2</v>
      </c>
      <c r="M44" s="182"/>
      <c r="N44" s="182"/>
      <c r="O44" s="138">
        <f>(0.08847-1.46936*L44+11.98979*L44^2+1.97056*L44^3)*'Key Data'!$I$15*'Key Data'!$F$15</f>
        <v>3.5542637643699006E-2</v>
      </c>
      <c r="P44" s="184">
        <f>O44*(1+'Key Data'!$F$3)</f>
        <v>4.4428297054623755E-2</v>
      </c>
      <c r="Q44" s="433"/>
      <c r="R44" s="436"/>
      <c r="S44" s="369"/>
      <c r="T44"/>
    </row>
    <row r="45" spans="1:20" x14ac:dyDescent="0.3">
      <c r="A45" s="430"/>
      <c r="B45" s="430"/>
      <c r="C45" s="430"/>
      <c r="D45" s="430"/>
      <c r="E45" s="430"/>
      <c r="F45" s="445"/>
      <c r="G45" s="430"/>
      <c r="H45" s="78" t="s">
        <v>393</v>
      </c>
      <c r="I45" s="182"/>
      <c r="J45" s="128"/>
      <c r="K45" s="183">
        <v>37.4</v>
      </c>
      <c r="L45" s="183">
        <f t="shared" si="3"/>
        <v>0.11910828025477706</v>
      </c>
      <c r="M45" s="182"/>
      <c r="N45" s="182"/>
      <c r="O45" s="138">
        <f>(0.08847-1.46936*L45+11.98979*L45^2+1.97056*L45^3)*'Key Data'!$I$15*'Key Data'!$F$15</f>
        <v>6.8420661169643238E-2</v>
      </c>
      <c r="P45" s="184">
        <f>O45*(1+'Key Data'!$F$3)</f>
        <v>8.5525826462054047E-2</v>
      </c>
      <c r="Q45" s="433"/>
      <c r="R45" s="436"/>
      <c r="S45" s="369"/>
      <c r="T45"/>
    </row>
    <row r="46" spans="1:20" x14ac:dyDescent="0.3">
      <c r="A46" s="430"/>
      <c r="B46" s="430"/>
      <c r="C46" s="430"/>
      <c r="D46" s="430"/>
      <c r="E46" s="430"/>
      <c r="F46" s="445"/>
      <c r="G46" s="430"/>
      <c r="H46" s="78" t="s">
        <v>393</v>
      </c>
      <c r="I46" s="182"/>
      <c r="J46" s="128"/>
      <c r="K46" s="183">
        <v>17.2</v>
      </c>
      <c r="L46" s="183">
        <f t="shared" si="3"/>
        <v>5.4777070063694262E-2</v>
      </c>
      <c r="M46" s="182"/>
      <c r="N46" s="182"/>
      <c r="O46" s="138">
        <f>(0.08847-1.46936*L46+11.98979*L46^2+1.97056*L46^3)*'Key Data'!$I$15*'Key Data'!$F$15</f>
        <v>3.4872342153058483E-2</v>
      </c>
      <c r="P46" s="184">
        <f>O46*(1+'Key Data'!$F$3)</f>
        <v>4.3590427691323104E-2</v>
      </c>
      <c r="Q46" s="433"/>
      <c r="R46" s="436"/>
      <c r="S46" s="369"/>
      <c r="T46"/>
    </row>
    <row r="47" spans="1:20" x14ac:dyDescent="0.3">
      <c r="A47" s="430"/>
      <c r="B47" s="430"/>
      <c r="C47" s="430"/>
      <c r="D47" s="430"/>
      <c r="E47" s="430"/>
      <c r="F47" s="445"/>
      <c r="G47" s="430"/>
      <c r="H47" s="78" t="s">
        <v>393</v>
      </c>
      <c r="I47" s="182"/>
      <c r="J47" s="128"/>
      <c r="K47" s="183">
        <v>28.9</v>
      </c>
      <c r="L47" s="183">
        <f t="shared" si="3"/>
        <v>9.2038216560509548E-2</v>
      </c>
      <c r="M47" s="182"/>
      <c r="N47" s="182"/>
      <c r="O47" s="138">
        <f>(0.08847-1.46936*L47+11.98979*L47^2+1.97056*L47^3)*'Key Data'!$I$15*'Key Data'!$F$15</f>
        <v>4.4363813285416609E-2</v>
      </c>
      <c r="P47" s="184">
        <f>O47*(1+'Key Data'!$F$3)</f>
        <v>5.5454766606770761E-2</v>
      </c>
      <c r="Q47" s="433"/>
      <c r="R47" s="436"/>
      <c r="S47" s="369"/>
      <c r="T47"/>
    </row>
    <row r="48" spans="1:20" x14ac:dyDescent="0.3">
      <c r="A48" s="430"/>
      <c r="B48" s="430"/>
      <c r="C48" s="430"/>
      <c r="D48" s="430"/>
      <c r="E48" s="430"/>
      <c r="F48" s="445"/>
      <c r="G48" s="430"/>
      <c r="H48" s="78" t="s">
        <v>393</v>
      </c>
      <c r="I48" s="182"/>
      <c r="J48" s="128"/>
      <c r="K48" s="183">
        <v>19.399999999999999</v>
      </c>
      <c r="L48" s="183">
        <f t="shared" si="3"/>
        <v>6.1783439490445853E-2</v>
      </c>
      <c r="M48" s="182"/>
      <c r="N48" s="182"/>
      <c r="O48" s="138">
        <f>(0.08847-1.46936*L48+11.98979*L48^2+1.97056*L48^3)*'Key Data'!$I$15*'Key Data'!$F$15</f>
        <v>3.4586974889162111E-2</v>
      </c>
      <c r="P48" s="184">
        <f>O48*(1+'Key Data'!$F$3)</f>
        <v>4.3233718611452643E-2</v>
      </c>
      <c r="Q48" s="433"/>
      <c r="R48" s="436"/>
      <c r="S48" s="369"/>
      <c r="T48"/>
    </row>
    <row r="49" spans="1:20" x14ac:dyDescent="0.3">
      <c r="A49" s="430"/>
      <c r="B49" s="430"/>
      <c r="C49" s="430"/>
      <c r="D49" s="430"/>
      <c r="E49" s="430"/>
      <c r="F49" s="445"/>
      <c r="G49" s="430"/>
      <c r="H49" s="78" t="s">
        <v>393</v>
      </c>
      <c r="I49" s="182"/>
      <c r="J49" s="128"/>
      <c r="K49" s="183">
        <v>15.3</v>
      </c>
      <c r="L49" s="183">
        <f t="shared" si="3"/>
        <v>4.8726114649681532E-2</v>
      </c>
      <c r="M49" s="182"/>
      <c r="N49" s="182"/>
      <c r="O49" s="138">
        <f>(0.08847-1.46936*L49+11.98979*L49^2+1.97056*L49^3)*'Key Data'!$I$15*'Key Data'!$F$15</f>
        <v>3.5885063672223438E-2</v>
      </c>
      <c r="P49" s="184">
        <f>O49*(1+'Key Data'!$F$3)</f>
        <v>4.4856329590279298E-2</v>
      </c>
      <c r="Q49" s="433"/>
      <c r="R49" s="436"/>
      <c r="S49" s="369"/>
      <c r="T49"/>
    </row>
    <row r="50" spans="1:20" x14ac:dyDescent="0.3">
      <c r="A50" s="430"/>
      <c r="B50" s="430"/>
      <c r="C50" s="430"/>
      <c r="D50" s="430"/>
      <c r="E50" s="430"/>
      <c r="F50" s="445"/>
      <c r="G50" s="430"/>
      <c r="H50" s="78" t="s">
        <v>393</v>
      </c>
      <c r="I50" s="182"/>
      <c r="J50" s="128"/>
      <c r="K50" s="183">
        <v>27.2</v>
      </c>
      <c r="L50" s="183">
        <f t="shared" si="3"/>
        <v>8.6624203821656046E-2</v>
      </c>
      <c r="M50" s="182"/>
      <c r="N50" s="182"/>
      <c r="O50" s="138">
        <f>(0.08847-1.46936*L50+11.98979*L50^2+1.97056*L50^3)*'Key Data'!$I$15*'Key Data'!$F$15</f>
        <v>4.1294260208745034E-2</v>
      </c>
      <c r="P50" s="184">
        <f>O50*(1+'Key Data'!$F$3)</f>
        <v>5.1617825260931297E-2</v>
      </c>
      <c r="Q50" s="433"/>
      <c r="R50" s="436"/>
      <c r="S50" s="369"/>
      <c r="T50"/>
    </row>
    <row r="51" spans="1:20" x14ac:dyDescent="0.3">
      <c r="A51" s="430"/>
      <c r="B51" s="430"/>
      <c r="C51" s="430"/>
      <c r="D51" s="430"/>
      <c r="E51" s="430"/>
      <c r="F51" s="445"/>
      <c r="G51" s="430"/>
      <c r="H51" s="78" t="s">
        <v>393</v>
      </c>
      <c r="I51" s="182"/>
      <c r="J51" s="128"/>
      <c r="K51" s="183">
        <v>9.4</v>
      </c>
      <c r="L51" s="183">
        <f t="shared" si="3"/>
        <v>2.9936305732484073E-2</v>
      </c>
      <c r="M51" s="182"/>
      <c r="N51" s="182"/>
      <c r="O51" s="138">
        <f>(0.08847-1.46936*L51+11.98979*L51^2+1.97056*L51^3)*'Key Data'!$I$15*'Key Data'!$F$15</f>
        <v>4.3533547745931017E-2</v>
      </c>
      <c r="P51" s="184">
        <f>O51*(1+'Key Data'!$F$3)</f>
        <v>5.4416934682413771E-2</v>
      </c>
      <c r="Q51" s="433"/>
      <c r="R51" s="436"/>
      <c r="S51" s="369"/>
      <c r="T51"/>
    </row>
    <row r="52" spans="1:20" x14ac:dyDescent="0.3">
      <c r="A52" s="430"/>
      <c r="B52" s="430"/>
      <c r="C52" s="430"/>
      <c r="D52" s="430"/>
      <c r="E52" s="430"/>
      <c r="F52" s="445"/>
      <c r="G52" s="430"/>
      <c r="H52" s="78" t="s">
        <v>393</v>
      </c>
      <c r="I52" s="182"/>
      <c r="J52" s="128"/>
      <c r="K52" s="183">
        <v>23.8</v>
      </c>
      <c r="L52" s="183">
        <f t="shared" si="3"/>
        <v>7.5796178343949042E-2</v>
      </c>
      <c r="M52" s="182"/>
      <c r="N52" s="182"/>
      <c r="O52" s="138">
        <f>(0.08847-1.46936*L52+11.98979*L52^2+1.97056*L52^3)*'Key Data'!$I$15*'Key Data'!$F$15</f>
        <v>3.688514996207394E-2</v>
      </c>
      <c r="P52" s="184">
        <f>O52*(1+'Key Data'!$F$3)</f>
        <v>4.6106437452592422E-2</v>
      </c>
      <c r="Q52" s="433"/>
      <c r="R52" s="436"/>
      <c r="S52" s="369"/>
      <c r="T52"/>
    </row>
    <row r="53" spans="1:20" x14ac:dyDescent="0.3">
      <c r="A53" s="430"/>
      <c r="B53" s="430"/>
      <c r="C53" s="430"/>
      <c r="D53" s="430"/>
      <c r="E53" s="430"/>
      <c r="F53" s="445"/>
      <c r="G53" s="430"/>
      <c r="H53" s="78" t="s">
        <v>393</v>
      </c>
      <c r="I53" s="182"/>
      <c r="J53" s="128"/>
      <c r="K53" s="183">
        <v>22.5</v>
      </c>
      <c r="L53" s="183">
        <f t="shared" si="3"/>
        <v>7.1656050955414011E-2</v>
      </c>
      <c r="M53" s="182"/>
      <c r="N53" s="182"/>
      <c r="O53" s="138">
        <f>(0.08847-1.46936*L53+11.98979*L53^2+1.97056*L53^3)*'Key Data'!$I$15*'Key Data'!$F$15</f>
        <v>3.5806942717055174E-2</v>
      </c>
      <c r="P53" s="184">
        <f>O53*(1+'Key Data'!$F$3)</f>
        <v>4.4758678396318967E-2</v>
      </c>
      <c r="Q53" s="433"/>
      <c r="R53" s="436"/>
      <c r="S53" s="369"/>
      <c r="T53"/>
    </row>
    <row r="54" spans="1:20" x14ac:dyDescent="0.3">
      <c r="A54" s="430"/>
      <c r="B54" s="430"/>
      <c r="C54" s="430"/>
      <c r="D54" s="430"/>
      <c r="E54" s="430"/>
      <c r="F54" s="445"/>
      <c r="G54" s="430"/>
      <c r="H54" s="78" t="s">
        <v>393</v>
      </c>
      <c r="I54" s="182"/>
      <c r="J54" s="128"/>
      <c r="K54" s="183">
        <v>24.5</v>
      </c>
      <c r="L54" s="183">
        <f t="shared" si="3"/>
        <v>7.8025477707006366E-2</v>
      </c>
      <c r="M54" s="182"/>
      <c r="N54" s="182"/>
      <c r="O54" s="138">
        <f>(0.08847-1.46936*L54+11.98979*L54^2+1.97056*L54^3)*'Key Data'!$I$15*'Key Data'!$F$15</f>
        <v>3.7604761222873685E-2</v>
      </c>
      <c r="P54" s="184">
        <f>O54*(1+'Key Data'!$F$3)</f>
        <v>4.7005951528592105E-2</v>
      </c>
      <c r="Q54" s="433"/>
      <c r="R54" s="436"/>
      <c r="S54" s="369"/>
      <c r="T54"/>
    </row>
    <row r="55" spans="1:20" x14ac:dyDescent="0.3">
      <c r="A55" s="430"/>
      <c r="B55" s="430"/>
      <c r="C55" s="430"/>
      <c r="D55" s="430"/>
      <c r="E55" s="430"/>
      <c r="F55" s="445"/>
      <c r="G55" s="430"/>
      <c r="H55" s="78" t="s">
        <v>393</v>
      </c>
      <c r="I55" s="182"/>
      <c r="J55" s="128"/>
      <c r="K55" s="183">
        <v>23</v>
      </c>
      <c r="L55" s="183">
        <f t="shared" si="3"/>
        <v>7.32484076433121E-2</v>
      </c>
      <c r="M55" s="182"/>
      <c r="N55" s="182"/>
      <c r="O55" s="138">
        <f>(0.08847-1.46936*L55+11.98979*L55^2+1.97056*L55^3)*'Key Data'!$I$15*'Key Data'!$F$15</f>
        <v>3.6181942706402015E-2</v>
      </c>
      <c r="P55" s="184">
        <f>O55*(1+'Key Data'!$F$3)</f>
        <v>4.5227428383002519E-2</v>
      </c>
      <c r="Q55" s="433"/>
      <c r="R55" s="436"/>
      <c r="S55" s="369"/>
      <c r="T55"/>
    </row>
    <row r="56" spans="1:20" x14ac:dyDescent="0.3">
      <c r="A56" s="430"/>
      <c r="B56" s="430"/>
      <c r="C56" s="430"/>
      <c r="D56" s="430"/>
      <c r="E56" s="430"/>
      <c r="F56" s="445"/>
      <c r="G56" s="430"/>
      <c r="H56" s="78" t="s">
        <v>393</v>
      </c>
      <c r="I56" s="182"/>
      <c r="J56" s="128"/>
      <c r="K56" s="183">
        <v>21.5</v>
      </c>
      <c r="L56" s="183">
        <f t="shared" si="3"/>
        <v>6.8471337579617833E-2</v>
      </c>
      <c r="M56" s="182"/>
      <c r="N56" s="182"/>
      <c r="O56" s="138">
        <f>(0.08847-1.46936*L56+11.98979*L56^2+1.97056*L56^3)*'Key Data'!$I$15*'Key Data'!$F$15</f>
        <v>3.520562645168944E-2</v>
      </c>
      <c r="P56" s="184">
        <f>O56*(1+'Key Data'!$F$3)</f>
        <v>4.4007033064611803E-2</v>
      </c>
      <c r="Q56" s="433"/>
      <c r="R56" s="436"/>
      <c r="S56" s="369"/>
      <c r="T56"/>
    </row>
    <row r="57" spans="1:20" x14ac:dyDescent="0.3">
      <c r="A57" s="430"/>
      <c r="B57" s="430"/>
      <c r="C57" s="430"/>
      <c r="D57" s="430"/>
      <c r="E57" s="430"/>
      <c r="F57" s="445"/>
      <c r="G57" s="430"/>
      <c r="H57" s="78" t="s">
        <v>393</v>
      </c>
      <c r="I57" s="182"/>
      <c r="J57" s="128"/>
      <c r="K57" s="183">
        <v>17</v>
      </c>
      <c r="L57" s="183">
        <f t="shared" si="3"/>
        <v>5.4140127388535034E-2</v>
      </c>
      <c r="M57" s="182"/>
      <c r="N57" s="182"/>
      <c r="O57" s="138">
        <f>(0.08847-1.46936*L57+11.98979*L57^2+1.97056*L57^3)*'Key Data'!$I$15*'Key Data'!$F$15</f>
        <v>3.4945541018164127E-2</v>
      </c>
      <c r="P57" s="184">
        <f>O57*(1+'Key Data'!$F$3)</f>
        <v>4.368192627270516E-2</v>
      </c>
      <c r="Q57" s="433"/>
      <c r="R57" s="436"/>
      <c r="S57" s="369"/>
      <c r="T57"/>
    </row>
    <row r="58" spans="1:20" x14ac:dyDescent="0.3">
      <c r="A58" s="430"/>
      <c r="B58" s="430"/>
      <c r="C58" s="430"/>
      <c r="D58" s="430"/>
      <c r="E58" s="430"/>
      <c r="F58" s="445"/>
      <c r="G58" s="430"/>
      <c r="H58" s="78" t="s">
        <v>393</v>
      </c>
      <c r="I58" s="182"/>
      <c r="J58" s="128"/>
      <c r="K58" s="183">
        <v>24.4</v>
      </c>
      <c r="L58" s="183">
        <f t="shared" si="3"/>
        <v>7.7707006369426748E-2</v>
      </c>
      <c r="M58" s="182"/>
      <c r="N58" s="182"/>
      <c r="O58" s="138">
        <f>(0.08847-1.46936*L58+11.98979*L58^2+1.97056*L58^3)*'Key Data'!$I$15*'Key Data'!$F$15</f>
        <v>3.7495995123027426E-2</v>
      </c>
      <c r="P58" s="184">
        <f>O58*(1+'Key Data'!$F$3)</f>
        <v>4.6869993903784282E-2</v>
      </c>
      <c r="Q58" s="433"/>
      <c r="R58" s="436"/>
      <c r="S58" s="369"/>
      <c r="T58"/>
    </row>
    <row r="59" spans="1:20" x14ac:dyDescent="0.3">
      <c r="A59" s="430"/>
      <c r="B59" s="430"/>
      <c r="C59" s="430"/>
      <c r="D59" s="430"/>
      <c r="E59" s="430"/>
      <c r="F59" s="445"/>
      <c r="G59" s="430"/>
      <c r="H59" s="78" t="s">
        <v>393</v>
      </c>
      <c r="I59" s="182"/>
      <c r="J59" s="128"/>
      <c r="K59" s="183">
        <v>8.6</v>
      </c>
      <c r="L59" s="183">
        <f t="shared" si="3"/>
        <v>2.7388535031847131E-2</v>
      </c>
      <c r="M59" s="182"/>
      <c r="N59" s="182"/>
      <c r="O59" s="138">
        <f>(0.08847-1.46936*L59+11.98979*L59^2+1.97056*L59^3)*'Key Data'!$I$15*'Key Data'!$F$15</f>
        <v>4.509287268687745E-2</v>
      </c>
      <c r="P59" s="184">
        <f>O59*(1+'Key Data'!$F$3)</f>
        <v>5.6366090858596812E-2</v>
      </c>
      <c r="Q59" s="433"/>
      <c r="R59" s="436"/>
      <c r="S59" s="369"/>
      <c r="T59"/>
    </row>
    <row r="60" spans="1:20" x14ac:dyDescent="0.3">
      <c r="A60" s="430"/>
      <c r="B60" s="430"/>
      <c r="C60" s="430"/>
      <c r="D60" s="430"/>
      <c r="E60" s="430"/>
      <c r="F60" s="445"/>
      <c r="G60" s="430"/>
      <c r="H60" s="78" t="s">
        <v>393</v>
      </c>
      <c r="I60" s="182"/>
      <c r="J60" s="128"/>
      <c r="K60" s="183">
        <v>24.2</v>
      </c>
      <c r="L60" s="183">
        <f t="shared" si="3"/>
        <v>7.7070063694267513E-2</v>
      </c>
      <c r="M60" s="182"/>
      <c r="N60" s="182"/>
      <c r="O60" s="138">
        <f>(0.08847-1.46936*L60+11.98979*L60^2+1.97056*L60^3)*'Key Data'!$I$15*'Key Data'!$F$15</f>
        <v>3.7284428617486882E-2</v>
      </c>
      <c r="P60" s="184">
        <f>O60*(1+'Key Data'!$F$3)</f>
        <v>4.6605535771858601E-2</v>
      </c>
      <c r="Q60" s="433"/>
      <c r="R60" s="436"/>
      <c r="S60" s="369"/>
      <c r="T60"/>
    </row>
    <row r="61" spans="1:20" x14ac:dyDescent="0.3">
      <c r="A61" s="430"/>
      <c r="B61" s="430"/>
      <c r="C61" s="430"/>
      <c r="D61" s="430"/>
      <c r="E61" s="430"/>
      <c r="F61" s="445"/>
      <c r="G61" s="430"/>
      <c r="H61" s="78" t="s">
        <v>393</v>
      </c>
      <c r="I61" s="182"/>
      <c r="J61" s="128"/>
      <c r="K61" s="183">
        <v>18.600000000000001</v>
      </c>
      <c r="L61" s="183">
        <f t="shared" si="3"/>
        <v>5.9235668789808918E-2</v>
      </c>
      <c r="M61" s="182"/>
      <c r="N61" s="182"/>
      <c r="O61" s="138">
        <f>(0.08847-1.46936*L61+11.98979*L61^2+1.97056*L61^3)*'Key Data'!$I$15*'Key Data'!$F$15</f>
        <v>3.4580390077952598E-2</v>
      </c>
      <c r="P61" s="184">
        <f>O61*(1+'Key Data'!$F$3)</f>
        <v>4.322548759744075E-2</v>
      </c>
      <c r="Q61" s="433"/>
      <c r="R61" s="436"/>
      <c r="S61" s="369"/>
      <c r="T61"/>
    </row>
    <row r="62" spans="1:20" x14ac:dyDescent="0.3">
      <c r="A62" s="430"/>
      <c r="B62" s="430"/>
      <c r="C62" s="430"/>
      <c r="D62" s="430"/>
      <c r="E62" s="430"/>
      <c r="F62" s="445"/>
      <c r="G62" s="430"/>
      <c r="H62" s="78" t="s">
        <v>393</v>
      </c>
      <c r="I62" s="182"/>
      <c r="J62" s="128"/>
      <c r="K62" s="183">
        <v>24.3</v>
      </c>
      <c r="L62" s="183">
        <f t="shared" si="3"/>
        <v>7.738853503184713E-2</v>
      </c>
      <c r="M62" s="182"/>
      <c r="N62" s="182"/>
      <c r="O62" s="138">
        <f>(0.08847-1.46936*L62+11.98979*L62^2+1.97056*L62^3)*'Key Data'!$I$15*'Key Data'!$F$15</f>
        <v>3.738921768814777E-2</v>
      </c>
      <c r="P62" s="184">
        <f>O62*(1+'Key Data'!$F$3)</f>
        <v>4.6736522110184711E-2</v>
      </c>
      <c r="Q62" s="433"/>
      <c r="R62" s="436"/>
      <c r="S62" s="369"/>
      <c r="T62"/>
    </row>
    <row r="63" spans="1:20" x14ac:dyDescent="0.3">
      <c r="A63" s="430"/>
      <c r="B63" s="430"/>
      <c r="C63" s="430"/>
      <c r="D63" s="430"/>
      <c r="E63" s="430"/>
      <c r="F63" s="445"/>
      <c r="G63" s="430"/>
      <c r="H63" s="78" t="s">
        <v>393</v>
      </c>
      <c r="I63" s="182"/>
      <c r="J63" s="128"/>
      <c r="K63" s="183">
        <v>24.8</v>
      </c>
      <c r="L63" s="183">
        <f t="shared" si="3"/>
        <v>7.8980891719745219E-2</v>
      </c>
      <c r="M63" s="182"/>
      <c r="N63" s="182"/>
      <c r="O63" s="138">
        <f>(0.08847-1.46936*L63+11.98979*L63^2+1.97056*L63^3)*'Key Data'!$I$15*'Key Data'!$F$15</f>
        <v>3.794299451969059E-2</v>
      </c>
      <c r="P63" s="184">
        <f>O63*(1+'Key Data'!$F$3)</f>
        <v>4.7428743149613234E-2</v>
      </c>
      <c r="Q63" s="433"/>
      <c r="R63" s="436"/>
      <c r="S63" s="369"/>
      <c r="T63"/>
    </row>
    <row r="64" spans="1:20" x14ac:dyDescent="0.3">
      <c r="A64" s="430"/>
      <c r="B64" s="430"/>
      <c r="C64" s="430"/>
      <c r="D64" s="430"/>
      <c r="E64" s="430"/>
      <c r="F64" s="445"/>
      <c r="G64" s="430"/>
      <c r="H64" s="78" t="s">
        <v>393</v>
      </c>
      <c r="I64" s="182"/>
      <c r="J64" s="128"/>
      <c r="K64" s="183">
        <v>12.6</v>
      </c>
      <c r="L64" s="183">
        <f t="shared" si="3"/>
        <v>4.0127388535031845E-2</v>
      </c>
      <c r="M64" s="182"/>
      <c r="N64" s="182"/>
      <c r="O64" s="138">
        <f>(0.08847-1.46936*L64+11.98979*L64^2+1.97056*L64^3)*'Key Data'!$I$15*'Key Data'!$F$15</f>
        <v>3.8541661596154783E-2</v>
      </c>
      <c r="P64" s="184">
        <f>O64*(1+'Key Data'!$F$3)</f>
        <v>4.8177076995193482E-2</v>
      </c>
      <c r="Q64" s="433"/>
      <c r="R64" s="436"/>
      <c r="S64" s="369"/>
      <c r="T64"/>
    </row>
    <row r="65" spans="1:20" x14ac:dyDescent="0.3">
      <c r="A65" s="430"/>
      <c r="B65" s="430"/>
      <c r="C65" s="430"/>
      <c r="D65" s="430"/>
      <c r="E65" s="430"/>
      <c r="F65" s="445"/>
      <c r="G65" s="430"/>
      <c r="H65" s="78" t="s">
        <v>393</v>
      </c>
      <c r="I65" s="182"/>
      <c r="J65" s="128"/>
      <c r="K65" s="183">
        <v>36.4</v>
      </c>
      <c r="L65" s="183">
        <f t="shared" si="3"/>
        <v>0.11592356687898088</v>
      </c>
      <c r="M65" s="182"/>
      <c r="N65" s="182"/>
      <c r="O65" s="138">
        <f>(0.08847-1.46936*L65+11.98979*L65^2+1.97056*L65^3)*'Key Data'!$I$15*'Key Data'!$F$15</f>
        <v>6.4833604332046865E-2</v>
      </c>
      <c r="P65" s="184">
        <f>O65*(1+'Key Data'!$F$3)</f>
        <v>8.1042005415058585E-2</v>
      </c>
      <c r="Q65" s="433"/>
      <c r="R65" s="436"/>
      <c r="S65" s="369"/>
      <c r="T65"/>
    </row>
    <row r="66" spans="1:20" x14ac:dyDescent="0.3">
      <c r="A66" s="430"/>
      <c r="B66" s="430"/>
      <c r="C66" s="430"/>
      <c r="D66" s="430"/>
      <c r="E66" s="430"/>
      <c r="F66" s="445"/>
      <c r="G66" s="430"/>
      <c r="H66" s="78" t="s">
        <v>393</v>
      </c>
      <c r="I66" s="182"/>
      <c r="J66" s="128"/>
      <c r="K66" s="183">
        <v>22.3</v>
      </c>
      <c r="L66" s="183">
        <f t="shared" si="3"/>
        <v>7.1019108280254775E-2</v>
      </c>
      <c r="M66" s="182"/>
      <c r="N66" s="182"/>
      <c r="O66" s="138">
        <f>(0.08847-1.46936*L66+11.98979*L66^2+1.97056*L66^3)*'Key Data'!$I$15*'Key Data'!$F$15</f>
        <v>3.5670825481853581E-2</v>
      </c>
      <c r="P66" s="184">
        <f>O66*(1+'Key Data'!$F$3)</f>
        <v>4.4588531852316975E-2</v>
      </c>
      <c r="Q66" s="433"/>
      <c r="R66" s="436"/>
      <c r="S66" s="369"/>
      <c r="T66"/>
    </row>
    <row r="67" spans="1:20" x14ac:dyDescent="0.3">
      <c r="A67" s="430"/>
      <c r="B67" s="430"/>
      <c r="C67" s="430"/>
      <c r="D67" s="430"/>
      <c r="E67" s="430"/>
      <c r="F67" s="445"/>
      <c r="G67" s="430"/>
      <c r="H67" s="78" t="s">
        <v>393</v>
      </c>
      <c r="I67" s="182"/>
      <c r="J67" s="128"/>
      <c r="K67" s="183">
        <v>29.4</v>
      </c>
      <c r="L67" s="183">
        <f t="shared" si="3"/>
        <v>9.3630573248407636E-2</v>
      </c>
      <c r="M67" s="182"/>
      <c r="N67" s="182"/>
      <c r="O67" s="138">
        <f>(0.08847-1.46936*L67+11.98979*L67^2+1.97056*L67^3)*'Key Data'!$I$15*'Key Data'!$F$15</f>
        <v>4.5376677773414982E-2</v>
      </c>
      <c r="P67" s="184">
        <f>O67*(1+'Key Data'!$F$3)</f>
        <v>5.6720847216768726E-2</v>
      </c>
      <c r="Q67" s="433"/>
      <c r="R67" s="436"/>
      <c r="S67" s="369"/>
      <c r="T67"/>
    </row>
    <row r="68" spans="1:20" x14ac:dyDescent="0.3">
      <c r="A68" s="430"/>
      <c r="B68" s="430"/>
      <c r="C68" s="430"/>
      <c r="D68" s="430"/>
      <c r="E68" s="430"/>
      <c r="F68" s="445"/>
      <c r="G68" s="430"/>
      <c r="H68" s="78" t="s">
        <v>393</v>
      </c>
      <c r="I68" s="182"/>
      <c r="J68" s="128"/>
      <c r="K68" s="183">
        <v>29.6</v>
      </c>
      <c r="L68" s="183">
        <f t="shared" si="3"/>
        <v>9.4267515923566872E-2</v>
      </c>
      <c r="M68" s="182"/>
      <c r="N68" s="182"/>
      <c r="O68" s="138">
        <f>(0.08847-1.46936*L68+11.98979*L68^2+1.97056*L68^3)*'Key Data'!$I$15*'Key Data'!$F$15</f>
        <v>4.5795847379893173E-2</v>
      </c>
      <c r="P68" s="184">
        <f>O68*(1+'Key Data'!$F$3)</f>
        <v>5.7244809224866466E-2</v>
      </c>
      <c r="Q68" s="433"/>
      <c r="R68" s="436"/>
      <c r="S68" s="369"/>
      <c r="T68"/>
    </row>
    <row r="69" spans="1:20" x14ac:dyDescent="0.3">
      <c r="A69" s="430"/>
      <c r="B69" s="430"/>
      <c r="C69" s="430"/>
      <c r="D69" s="430"/>
      <c r="E69" s="430"/>
      <c r="F69" s="445"/>
      <c r="G69" s="430"/>
      <c r="H69" s="78" t="s">
        <v>393</v>
      </c>
      <c r="I69" s="182"/>
      <c r="J69" s="128"/>
      <c r="K69" s="183">
        <v>12</v>
      </c>
      <c r="L69" s="183">
        <f t="shared" si="3"/>
        <v>3.8216560509554139E-2</v>
      </c>
      <c r="M69" s="182"/>
      <c r="N69" s="182"/>
      <c r="O69" s="138">
        <f>(0.08847-1.46936*L69+11.98979*L69^2+1.97056*L69^3)*'Key Data'!$I$15*'Key Data'!$F$15</f>
        <v>3.9325589603930899E-2</v>
      </c>
      <c r="P69" s="184">
        <f>O69*(1+'Key Data'!$F$3)</f>
        <v>4.9156987004913624E-2</v>
      </c>
      <c r="Q69" s="433"/>
      <c r="R69" s="436"/>
      <c r="S69" s="369"/>
      <c r="T69"/>
    </row>
    <row r="70" spans="1:20" x14ac:dyDescent="0.3">
      <c r="A70" s="430"/>
      <c r="B70" s="430"/>
      <c r="C70" s="430"/>
      <c r="D70" s="430"/>
      <c r="E70" s="430"/>
      <c r="F70" s="445"/>
      <c r="G70" s="430"/>
      <c r="H70" s="78" t="s">
        <v>393</v>
      </c>
      <c r="I70" s="182"/>
      <c r="J70" s="128"/>
      <c r="K70" s="183">
        <v>27</v>
      </c>
      <c r="L70" s="183">
        <f t="shared" si="3"/>
        <v>8.598726114649681E-2</v>
      </c>
      <c r="M70" s="182"/>
      <c r="N70" s="182"/>
      <c r="O70" s="138">
        <f>(0.08847-1.46936*L70+11.98979*L70^2+1.97056*L70^3)*'Key Data'!$I$15*'Key Data'!$F$15</f>
        <v>4.0971109520639502E-2</v>
      </c>
      <c r="P70" s="184">
        <f>O70*(1+'Key Data'!$F$3)</f>
        <v>5.121388690079938E-2</v>
      </c>
      <c r="Q70" s="433"/>
      <c r="R70" s="436"/>
      <c r="S70" s="369"/>
      <c r="T70"/>
    </row>
    <row r="71" spans="1:20" x14ac:dyDescent="0.3">
      <c r="A71" s="430"/>
      <c r="B71" s="430"/>
      <c r="C71" s="430"/>
      <c r="D71" s="430"/>
      <c r="E71" s="430"/>
      <c r="F71" s="445"/>
      <c r="G71" s="430"/>
      <c r="H71" s="78" t="s">
        <v>393</v>
      </c>
      <c r="I71" s="182"/>
      <c r="J71" s="128"/>
      <c r="K71" s="182">
        <f>SQRT(17.5^2+15.5^2)</f>
        <v>23.37733945512192</v>
      </c>
      <c r="L71" s="183">
        <f t="shared" si="3"/>
        <v>7.4450125653254512E-2</v>
      </c>
      <c r="M71" s="182"/>
      <c r="N71" s="182"/>
      <c r="O71" s="138">
        <f>(0.08847-1.46936*L71+11.98979*L71^2+1.97056*L71^3)*'Key Data'!$I$15*'Key Data'!$F$15</f>
        <v>3.6497793412801662E-2</v>
      </c>
      <c r="P71" s="184">
        <f>O71*(1+'Key Data'!$F$3)</f>
        <v>4.5622241766002075E-2</v>
      </c>
      <c r="Q71" s="433"/>
      <c r="R71" s="436"/>
      <c r="S71" s="369"/>
      <c r="T71"/>
    </row>
    <row r="72" spans="1:20" x14ac:dyDescent="0.3">
      <c r="A72" s="430"/>
      <c r="B72" s="430"/>
      <c r="C72" s="430"/>
      <c r="D72" s="430"/>
      <c r="E72" s="430"/>
      <c r="F72" s="445"/>
      <c r="G72" s="430"/>
      <c r="H72" s="78" t="s">
        <v>393</v>
      </c>
      <c r="I72" s="182"/>
      <c r="J72" s="128"/>
      <c r="K72" s="183">
        <v>19</v>
      </c>
      <c r="L72" s="183">
        <f t="shared" si="3"/>
        <v>6.0509554140127389E-2</v>
      </c>
      <c r="M72" s="182"/>
      <c r="N72" s="182"/>
      <c r="O72" s="138">
        <f>(0.08847-1.46936*L72+11.98979*L72^2+1.97056*L72^3)*'Key Data'!$I$15*'Key Data'!$F$15</f>
        <v>3.4567903086895738E-2</v>
      </c>
      <c r="P72" s="184">
        <f>O72*(1+'Key Data'!$F$3)</f>
        <v>4.3209878858619669E-2</v>
      </c>
      <c r="Q72" s="433"/>
      <c r="R72" s="436"/>
      <c r="S72" s="369"/>
      <c r="T72"/>
    </row>
    <row r="73" spans="1:20" x14ac:dyDescent="0.3">
      <c r="A73" s="430"/>
      <c r="B73" s="430"/>
      <c r="C73" s="430"/>
      <c r="D73" s="430"/>
      <c r="E73" s="430"/>
      <c r="F73" s="445"/>
      <c r="G73" s="430"/>
      <c r="H73" s="78" t="s">
        <v>393</v>
      </c>
      <c r="I73" s="182"/>
      <c r="J73" s="128"/>
      <c r="K73" s="183">
        <v>14.5</v>
      </c>
      <c r="L73" s="183">
        <f t="shared" si="3"/>
        <v>4.617834394904459E-2</v>
      </c>
      <c r="M73" s="182"/>
      <c r="N73" s="182"/>
      <c r="O73" s="138">
        <f>(0.08847-1.46936*L73+11.98979*L73^2+1.97056*L73^3)*'Key Data'!$I$15*'Key Data'!$F$15</f>
        <v>3.652341189559577E-2</v>
      </c>
      <c r="P73" s="184">
        <f>O73*(1+'Key Data'!$F$3)</f>
        <v>4.5654264869494712E-2</v>
      </c>
      <c r="Q73" s="433"/>
      <c r="R73" s="436"/>
      <c r="S73" s="369"/>
      <c r="T73"/>
    </row>
    <row r="74" spans="1:20" x14ac:dyDescent="0.3">
      <c r="A74" s="430"/>
      <c r="B74" s="430"/>
      <c r="C74" s="430"/>
      <c r="D74" s="430"/>
      <c r="E74" s="430"/>
      <c r="F74" s="445"/>
      <c r="G74" s="430"/>
      <c r="H74" s="78" t="s">
        <v>393</v>
      </c>
      <c r="I74" s="182"/>
      <c r="J74" s="128"/>
      <c r="K74" s="183">
        <v>31.4</v>
      </c>
      <c r="L74" s="183">
        <f t="shared" si="3"/>
        <v>0.1</v>
      </c>
      <c r="M74" s="182"/>
      <c r="N74" s="182"/>
      <c r="O74" s="138">
        <f>(0.08847-1.46936*L74+11.98979*L74^2+1.97056*L74^3)*'Key Data'!$I$15*'Key Data'!$F$15</f>
        <v>4.9929437249999993E-2</v>
      </c>
      <c r="P74" s="184">
        <f>O74*(1+'Key Data'!$F$3)</f>
        <v>6.241179656249999E-2</v>
      </c>
      <c r="Q74" s="433"/>
      <c r="R74" s="436"/>
      <c r="S74" s="369"/>
      <c r="T74"/>
    </row>
    <row r="75" spans="1:20" x14ac:dyDescent="0.3">
      <c r="A75" s="430"/>
      <c r="B75" s="430"/>
      <c r="C75" s="430"/>
      <c r="D75" s="430"/>
      <c r="E75" s="430"/>
      <c r="F75" s="445"/>
      <c r="G75" s="430"/>
      <c r="H75" s="78" t="s">
        <v>393</v>
      </c>
      <c r="I75" s="182"/>
      <c r="J75" s="128"/>
      <c r="K75" s="183">
        <v>28.9</v>
      </c>
      <c r="L75" s="183">
        <f t="shared" si="3"/>
        <v>9.2038216560509548E-2</v>
      </c>
      <c r="M75" s="182"/>
      <c r="N75" s="182"/>
      <c r="O75" s="138">
        <f>(0.08847-1.46936*L75+11.98979*L75^2+1.97056*L75^3)*'Key Data'!$I$15*'Key Data'!$F$15</f>
        <v>4.4363813285416609E-2</v>
      </c>
      <c r="P75" s="184">
        <f>O75*(1+'Key Data'!$F$3)</f>
        <v>5.5454766606770761E-2</v>
      </c>
      <c r="Q75" s="433"/>
      <c r="R75" s="436"/>
      <c r="S75" s="369"/>
      <c r="T75"/>
    </row>
    <row r="76" spans="1:20" x14ac:dyDescent="0.3">
      <c r="A76" s="430"/>
      <c r="B76" s="430"/>
      <c r="C76" s="430"/>
      <c r="D76" s="430"/>
      <c r="E76" s="430"/>
      <c r="F76" s="445"/>
      <c r="G76" s="430"/>
      <c r="H76" s="78" t="s">
        <v>393</v>
      </c>
      <c r="I76" s="182"/>
      <c r="J76" s="128"/>
      <c r="K76" s="183">
        <v>11.9</v>
      </c>
      <c r="L76" s="183">
        <f t="shared" si="3"/>
        <v>3.7898089171974521E-2</v>
      </c>
      <c r="M76" s="182"/>
      <c r="N76" s="182"/>
      <c r="O76" s="138">
        <f>(0.08847-1.46936*L76+11.98979*L76^2+1.97056*L76^3)*'Key Data'!$I$15*'Key Data'!$F$15</f>
        <v>3.9463075829072221E-2</v>
      </c>
      <c r="P76" s="184">
        <f>O76*(1+'Key Data'!$F$3)</f>
        <v>4.9328844786340274E-2</v>
      </c>
      <c r="Q76" s="433"/>
      <c r="R76" s="436"/>
      <c r="S76" s="369"/>
      <c r="T76"/>
    </row>
    <row r="77" spans="1:20" x14ac:dyDescent="0.3">
      <c r="A77" s="430"/>
      <c r="B77" s="430"/>
      <c r="C77" s="430"/>
      <c r="D77" s="430"/>
      <c r="E77" s="430"/>
      <c r="F77" s="445"/>
      <c r="G77" s="430"/>
      <c r="H77" s="78" t="s">
        <v>393</v>
      </c>
      <c r="I77" s="182"/>
      <c r="J77" s="128"/>
      <c r="K77" s="183">
        <v>28.9</v>
      </c>
      <c r="L77" s="183">
        <f t="shared" si="3"/>
        <v>9.2038216560509548E-2</v>
      </c>
      <c r="M77" s="182"/>
      <c r="N77" s="182"/>
      <c r="O77" s="138">
        <f>(0.08847-1.46936*L77+11.98979*L77^2+1.97056*L77^3)*'Key Data'!$I$15*'Key Data'!$F$15</f>
        <v>4.4363813285416609E-2</v>
      </c>
      <c r="P77" s="184">
        <f>O77*(1+'Key Data'!$F$3)</f>
        <v>5.5454766606770761E-2</v>
      </c>
      <c r="Q77" s="433"/>
      <c r="R77" s="436"/>
      <c r="S77" s="369"/>
      <c r="T77"/>
    </row>
    <row r="78" spans="1:20" x14ac:dyDescent="0.3">
      <c r="A78" s="430"/>
      <c r="B78" s="430"/>
      <c r="C78" s="430"/>
      <c r="D78" s="430"/>
      <c r="E78" s="430"/>
      <c r="F78" s="445"/>
      <c r="G78" s="430"/>
      <c r="H78" s="78" t="s">
        <v>393</v>
      </c>
      <c r="I78" s="182"/>
      <c r="J78" s="128"/>
      <c r="K78" s="183">
        <v>32.4</v>
      </c>
      <c r="L78" s="183">
        <f t="shared" si="3"/>
        <v>0.10318471337579617</v>
      </c>
      <c r="M78" s="182"/>
      <c r="N78" s="182"/>
      <c r="O78" s="138">
        <f>(0.08847-1.46936*L78+11.98979*L78^2+1.97056*L78^3)*'Key Data'!$I$15*'Key Data'!$F$15</f>
        <v>5.2507124211785154E-2</v>
      </c>
      <c r="P78" s="184">
        <f>O78*(1+'Key Data'!$F$3)</f>
        <v>6.5633905264731437E-2</v>
      </c>
      <c r="Q78" s="433"/>
      <c r="R78" s="436"/>
      <c r="S78" s="369"/>
      <c r="T78"/>
    </row>
    <row r="79" spans="1:20" x14ac:dyDescent="0.3">
      <c r="A79" s="430"/>
      <c r="B79" s="430"/>
      <c r="C79" s="430"/>
      <c r="D79" s="430"/>
      <c r="E79" s="430"/>
      <c r="F79" s="445"/>
      <c r="G79" s="430"/>
      <c r="H79" s="78" t="s">
        <v>393</v>
      </c>
      <c r="I79" s="182"/>
      <c r="J79" s="128"/>
      <c r="K79" s="183">
        <v>30.2</v>
      </c>
      <c r="L79" s="183">
        <f t="shared" si="3"/>
        <v>9.6178343949044579E-2</v>
      </c>
      <c r="M79" s="182"/>
      <c r="N79" s="182"/>
      <c r="O79" s="138">
        <f>(0.08847-1.46936*L79+11.98979*L79^2+1.97056*L79^3)*'Key Data'!$I$15*'Key Data'!$F$15</f>
        <v>4.7101469115774564E-2</v>
      </c>
      <c r="P79" s="184">
        <f>O79*(1+'Key Data'!$F$3)</f>
        <v>5.8876836394718204E-2</v>
      </c>
      <c r="Q79" s="433"/>
      <c r="R79" s="436"/>
      <c r="S79" s="369"/>
      <c r="T79"/>
    </row>
    <row r="80" spans="1:20" x14ac:dyDescent="0.3">
      <c r="A80" s="430"/>
      <c r="B80" s="430"/>
      <c r="C80" s="430"/>
      <c r="D80" s="430"/>
      <c r="E80" s="430"/>
      <c r="F80" s="445"/>
      <c r="G80" s="430"/>
      <c r="H80" s="78" t="s">
        <v>393</v>
      </c>
      <c r="I80" s="182"/>
      <c r="J80" s="128"/>
      <c r="K80" s="183">
        <v>17.100000000000001</v>
      </c>
      <c r="L80" s="183">
        <f t="shared" si="3"/>
        <v>5.4458598726114651E-2</v>
      </c>
      <c r="M80" s="182"/>
      <c r="N80" s="182"/>
      <c r="O80" s="138">
        <f>(0.08847-1.46936*L80+11.98979*L80^2+1.97056*L80^3)*'Key Data'!$I$15*'Key Data'!$F$15</f>
        <v>3.4907958230424529E-2</v>
      </c>
      <c r="P80" s="184">
        <f>O80*(1+'Key Data'!$F$3)</f>
        <v>4.3634947788030662E-2</v>
      </c>
      <c r="Q80" s="433"/>
      <c r="R80" s="436"/>
      <c r="S80" s="369"/>
      <c r="T80"/>
    </row>
    <row r="81" spans="1:20" x14ac:dyDescent="0.3">
      <c r="A81" s="430"/>
      <c r="B81" s="430"/>
      <c r="C81" s="430"/>
      <c r="D81" s="430"/>
      <c r="E81" s="430"/>
      <c r="F81" s="445"/>
      <c r="G81" s="430"/>
      <c r="H81" s="78" t="s">
        <v>393</v>
      </c>
      <c r="I81" s="182"/>
      <c r="J81" s="128"/>
      <c r="K81" s="183">
        <v>28.4</v>
      </c>
      <c r="L81" s="183">
        <f t="shared" si="3"/>
        <v>9.0445859872611459E-2</v>
      </c>
      <c r="M81" s="182"/>
      <c r="N81" s="182"/>
      <c r="O81" s="138">
        <f>(0.08847-1.46936*L81+11.98979*L81^2+1.97056*L81^3)*'Key Data'!$I$15*'Key Data'!$F$15</f>
        <v>4.3401003762914864E-2</v>
      </c>
      <c r="P81" s="184">
        <f>O81*(1+'Key Data'!$F$3)</f>
        <v>5.425125470364358E-2</v>
      </c>
      <c r="Q81" s="433"/>
      <c r="R81" s="436"/>
      <c r="S81" s="369"/>
      <c r="T81"/>
    </row>
    <row r="82" spans="1:20" x14ac:dyDescent="0.3">
      <c r="A82" s="430"/>
      <c r="B82" s="430"/>
      <c r="C82" s="430"/>
      <c r="D82" s="430"/>
      <c r="E82" s="430"/>
      <c r="F82" s="445"/>
      <c r="G82" s="430"/>
      <c r="H82" s="78" t="s">
        <v>393</v>
      </c>
      <c r="I82" s="182"/>
      <c r="J82" s="128"/>
      <c r="K82" s="183">
        <v>7.9</v>
      </c>
      <c r="L82" s="183">
        <f t="shared" si="3"/>
        <v>2.515923566878981E-2</v>
      </c>
      <c r="M82" s="182"/>
      <c r="N82" s="182"/>
      <c r="O82" s="138">
        <f>(0.08847-1.46936*L82+11.98979*L82^2+1.97056*L82^3)*'Key Data'!$I$15*'Key Data'!$F$15</f>
        <v>4.6559197480623052E-2</v>
      </c>
      <c r="P82" s="184">
        <f>O82*(1+'Key Data'!$F$3)</f>
        <v>5.8198996850778811E-2</v>
      </c>
      <c r="Q82" s="433"/>
      <c r="R82" s="436"/>
      <c r="S82" s="369"/>
      <c r="T82"/>
    </row>
    <row r="83" spans="1:20" x14ac:dyDescent="0.3">
      <c r="A83" s="430"/>
      <c r="B83" s="430"/>
      <c r="C83" s="430"/>
      <c r="D83" s="430"/>
      <c r="E83" s="430"/>
      <c r="F83" s="445"/>
      <c r="G83" s="430"/>
      <c r="H83" s="78" t="s">
        <v>393</v>
      </c>
      <c r="I83" s="182"/>
      <c r="J83" s="128"/>
      <c r="K83" s="183">
        <v>27.4</v>
      </c>
      <c r="L83" s="183">
        <f t="shared" si="3"/>
        <v>8.7261146496815267E-2</v>
      </c>
      <c r="M83" s="182"/>
      <c r="N83" s="182"/>
      <c r="O83" s="138">
        <f>(0.08847-1.46936*L83+11.98979*L83^2+1.97056*L83^3)*'Key Data'!$I$15*'Key Data'!$F$15</f>
        <v>4.1625399240476202E-2</v>
      </c>
      <c r="P83" s="184">
        <f>O83*(1+'Key Data'!$F$3)</f>
        <v>5.2031749050595252E-2</v>
      </c>
      <c r="Q83" s="433"/>
      <c r="R83" s="436"/>
      <c r="S83" s="369"/>
      <c r="T83"/>
    </row>
    <row r="84" spans="1:20" x14ac:dyDescent="0.3">
      <c r="A84" s="430"/>
      <c r="B84" s="430"/>
      <c r="C84" s="430"/>
      <c r="D84" s="430"/>
      <c r="E84" s="430"/>
      <c r="F84" s="445"/>
      <c r="G84" s="430"/>
      <c r="H84" s="78" t="s">
        <v>393</v>
      </c>
      <c r="I84" s="182"/>
      <c r="J84" s="128"/>
      <c r="K84" s="183">
        <v>24.2</v>
      </c>
      <c r="L84" s="183">
        <f t="shared" si="3"/>
        <v>7.7070063694267513E-2</v>
      </c>
      <c r="M84" s="182"/>
      <c r="N84" s="182"/>
      <c r="O84" s="138">
        <f>(0.08847-1.46936*L84+11.98979*L84^2+1.97056*L84^3)*'Key Data'!$I$15*'Key Data'!$F$15</f>
        <v>3.7284428617486882E-2</v>
      </c>
      <c r="P84" s="184">
        <f>O84*(1+'Key Data'!$F$3)</f>
        <v>4.6605535771858601E-2</v>
      </c>
      <c r="Q84" s="433"/>
      <c r="R84" s="436"/>
      <c r="S84" s="369"/>
      <c r="T84"/>
    </row>
    <row r="85" spans="1:20" x14ac:dyDescent="0.3">
      <c r="A85" s="430"/>
      <c r="B85" s="430"/>
      <c r="C85" s="430"/>
      <c r="D85" s="430"/>
      <c r="E85" s="430"/>
      <c r="F85" s="445"/>
      <c r="G85" s="430"/>
      <c r="H85" s="78" t="s">
        <v>393</v>
      </c>
      <c r="I85" s="182"/>
      <c r="J85" s="128"/>
      <c r="K85" s="183">
        <v>25.7</v>
      </c>
      <c r="L85" s="183">
        <f t="shared" si="3"/>
        <v>8.1847133757961779E-2</v>
      </c>
      <c r="M85" s="182"/>
      <c r="N85" s="182"/>
      <c r="O85" s="138">
        <f>(0.08847-1.46936*L85+11.98979*L85^2+1.97056*L85^3)*'Key Data'!$I$15*'Key Data'!$F$15</f>
        <v>3.9065179760641645E-2</v>
      </c>
      <c r="P85" s="184">
        <f>O85*(1+'Key Data'!$F$3)</f>
        <v>4.8831474700802055E-2</v>
      </c>
      <c r="Q85" s="433"/>
      <c r="R85" s="436"/>
      <c r="S85" s="369"/>
      <c r="T85"/>
    </row>
    <row r="86" spans="1:20" x14ac:dyDescent="0.3">
      <c r="A86" s="430"/>
      <c r="B86" s="430"/>
      <c r="C86" s="430"/>
      <c r="D86" s="430"/>
      <c r="E86" s="430"/>
      <c r="F86" s="445"/>
      <c r="G86" s="430"/>
      <c r="H86" s="78" t="s">
        <v>393</v>
      </c>
      <c r="I86" s="182"/>
      <c r="J86" s="128"/>
      <c r="K86" s="183">
        <v>24</v>
      </c>
      <c r="L86" s="183">
        <f t="shared" si="3"/>
        <v>7.6433121019108277E-2</v>
      </c>
      <c r="M86" s="182"/>
      <c r="N86" s="182"/>
      <c r="O86" s="138">
        <f>(0.08847-1.46936*L86+11.98979*L86^2+1.97056*L86^3)*'Key Data'!$I$15*'Key Data'!$F$15</f>
        <v>3.7080814365829995E-2</v>
      </c>
      <c r="P86" s="184">
        <f>O86*(1+'Key Data'!$F$3)</f>
        <v>4.6351017957287494E-2</v>
      </c>
      <c r="Q86" s="433"/>
      <c r="R86" s="436"/>
      <c r="S86" s="369"/>
      <c r="T86"/>
    </row>
    <row r="87" spans="1:20" x14ac:dyDescent="0.3">
      <c r="A87" s="430"/>
      <c r="B87" s="430"/>
      <c r="C87" s="430"/>
      <c r="D87" s="430"/>
      <c r="E87" s="430"/>
      <c r="F87" s="445"/>
      <c r="G87" s="430"/>
      <c r="H87" s="78" t="s">
        <v>393</v>
      </c>
      <c r="I87" s="182"/>
      <c r="J87" s="128"/>
      <c r="K87" s="183">
        <v>20</v>
      </c>
      <c r="L87" s="183">
        <f t="shared" si="3"/>
        <v>6.3694267515923567E-2</v>
      </c>
      <c r="M87" s="182"/>
      <c r="N87" s="182"/>
      <c r="O87" s="138">
        <f>(0.08847-1.46936*L87+11.98979*L87^2+1.97056*L87^3)*'Key Data'!$I$15*'Key Data'!$F$15</f>
        <v>3.4674797434741736E-2</v>
      </c>
      <c r="P87" s="184">
        <f>O87*(1+'Key Data'!$F$3)</f>
        <v>4.3343496793427166E-2</v>
      </c>
      <c r="Q87" s="433"/>
      <c r="R87" s="436"/>
      <c r="S87" s="369"/>
      <c r="T87"/>
    </row>
    <row r="88" spans="1:20" x14ac:dyDescent="0.3">
      <c r="A88" s="430"/>
      <c r="B88" s="430"/>
      <c r="C88" s="430"/>
      <c r="D88" s="430"/>
      <c r="E88" s="430"/>
      <c r="F88" s="445"/>
      <c r="G88" s="430"/>
      <c r="H88" s="78" t="s">
        <v>393</v>
      </c>
      <c r="I88" s="182"/>
      <c r="J88" s="128"/>
      <c r="K88" s="183">
        <v>21.5</v>
      </c>
      <c r="L88" s="183">
        <f t="shared" si="3"/>
        <v>6.8471337579617833E-2</v>
      </c>
      <c r="M88" s="182"/>
      <c r="N88" s="182"/>
      <c r="O88" s="138">
        <f>(0.08847-1.46936*L88+11.98979*L88^2+1.97056*L88^3)*'Key Data'!$I$15*'Key Data'!$F$15</f>
        <v>3.520562645168944E-2</v>
      </c>
      <c r="P88" s="184">
        <f>O88*(1+'Key Data'!$F$3)</f>
        <v>4.4007033064611803E-2</v>
      </c>
      <c r="Q88" s="433"/>
      <c r="R88" s="436"/>
      <c r="S88" s="369"/>
      <c r="T88"/>
    </row>
    <row r="89" spans="1:20" x14ac:dyDescent="0.3">
      <c r="A89" s="430"/>
      <c r="B89" s="430"/>
      <c r="C89" s="430"/>
      <c r="D89" s="430"/>
      <c r="E89" s="430"/>
      <c r="F89" s="445"/>
      <c r="G89" s="430"/>
      <c r="H89" s="78" t="s">
        <v>393</v>
      </c>
      <c r="I89" s="182"/>
      <c r="J89" s="128"/>
      <c r="K89" s="183">
        <v>24.6</v>
      </c>
      <c r="L89" s="183">
        <f t="shared" si="3"/>
        <v>7.8343949044585998E-2</v>
      </c>
      <c r="M89" s="182"/>
      <c r="N89" s="182"/>
      <c r="O89" s="138">
        <f>(0.08847-1.46936*L89+11.98979*L89^2+1.97056*L89^3)*'Key Data'!$I$15*'Key Data'!$F$15</f>
        <v>3.7715516288434392E-2</v>
      </c>
      <c r="P89" s="184">
        <f>O89*(1+'Key Data'!$F$3)</f>
        <v>4.714439536054299E-2</v>
      </c>
      <c r="Q89" s="433"/>
      <c r="R89" s="436"/>
      <c r="S89" s="369"/>
      <c r="T89"/>
    </row>
    <row r="90" spans="1:20" x14ac:dyDescent="0.3">
      <c r="A90" s="430"/>
      <c r="B90" s="430"/>
      <c r="C90" s="430"/>
      <c r="D90" s="430"/>
      <c r="E90" s="430"/>
      <c r="F90" s="445"/>
      <c r="G90" s="430"/>
      <c r="H90" s="78" t="s">
        <v>393</v>
      </c>
      <c r="I90" s="182"/>
      <c r="J90" s="128"/>
      <c r="K90" s="183">
        <v>23.2</v>
      </c>
      <c r="L90" s="183">
        <f t="shared" si="3"/>
        <v>7.3885350318471335E-2</v>
      </c>
      <c r="M90" s="182"/>
      <c r="N90" s="182"/>
      <c r="O90" s="138">
        <f>(0.08847-1.46936*L90+11.98979*L90^2+1.97056*L90^3)*'Key Data'!$I$15*'Key Data'!$F$15</f>
        <v>3.6345831778382749E-2</v>
      </c>
      <c r="P90" s="184">
        <f>O90*(1+'Key Data'!$F$3)</f>
        <v>4.5432289722978435E-2</v>
      </c>
      <c r="Q90" s="433"/>
      <c r="R90" s="436"/>
      <c r="S90" s="369"/>
      <c r="T90"/>
    </row>
    <row r="91" spans="1:20" x14ac:dyDescent="0.3">
      <c r="A91" s="430"/>
      <c r="B91" s="430"/>
      <c r="C91" s="430"/>
      <c r="D91" s="430"/>
      <c r="E91" s="430"/>
      <c r="F91" s="445"/>
      <c r="G91" s="430"/>
      <c r="H91" s="78" t="s">
        <v>393</v>
      </c>
      <c r="I91" s="182"/>
      <c r="J91" s="128"/>
      <c r="K91" s="183">
        <v>13.4</v>
      </c>
      <c r="L91" s="183">
        <f t="shared" si="3"/>
        <v>4.2675159235668794E-2</v>
      </c>
      <c r="M91" s="182"/>
      <c r="N91" s="182"/>
      <c r="O91" s="138">
        <f>(0.08847-1.46936*L91+11.98979*L91^2+1.97056*L91^3)*'Key Data'!$I$15*'Key Data'!$F$15</f>
        <v>3.7605813376709436E-2</v>
      </c>
      <c r="P91" s="184">
        <f>O91*(1+'Key Data'!$F$3)</f>
        <v>4.7007266720886794E-2</v>
      </c>
      <c r="Q91" s="433"/>
      <c r="R91" s="436"/>
      <c r="S91" s="369"/>
      <c r="T91"/>
    </row>
    <row r="92" spans="1:20" x14ac:dyDescent="0.3">
      <c r="A92" s="430"/>
      <c r="B92" s="430"/>
      <c r="C92" s="430"/>
      <c r="D92" s="430"/>
      <c r="E92" s="430"/>
      <c r="F92" s="445"/>
      <c r="G92" s="430"/>
      <c r="H92" s="78" t="s">
        <v>393</v>
      </c>
      <c r="I92" s="182"/>
      <c r="J92" s="128"/>
      <c r="K92" s="183">
        <v>18.899999999999999</v>
      </c>
      <c r="L92" s="183">
        <f t="shared" si="3"/>
        <v>6.0191082802547757E-2</v>
      </c>
      <c r="M92" s="182"/>
      <c r="N92" s="182"/>
      <c r="O92" s="138">
        <f>(0.08847-1.46936*L92+11.98979*L92^2+1.97056*L92^3)*'Key Data'!$I$15*'Key Data'!$F$15</f>
        <v>3.4568066949655529E-2</v>
      </c>
      <c r="P92" s="184">
        <f>O92*(1+'Key Data'!$F$3)</f>
        <v>4.3210083687069412E-2</v>
      </c>
      <c r="Q92" s="433"/>
      <c r="R92" s="436"/>
      <c r="S92" s="369"/>
      <c r="T92"/>
    </row>
    <row r="93" spans="1:20" x14ac:dyDescent="0.3">
      <c r="A93" s="430"/>
      <c r="B93" s="430"/>
      <c r="C93" s="430"/>
      <c r="D93" s="430"/>
      <c r="E93" s="430"/>
      <c r="F93" s="445"/>
      <c r="G93" s="430"/>
      <c r="H93" s="78" t="s">
        <v>393</v>
      </c>
      <c r="I93" s="182"/>
      <c r="J93" s="128"/>
      <c r="K93" s="183">
        <v>23.9</v>
      </c>
      <c r="L93" s="183">
        <f t="shared" si="3"/>
        <v>7.6114649681528646E-2</v>
      </c>
      <c r="M93" s="182"/>
      <c r="N93" s="182"/>
      <c r="O93" s="138">
        <f>(0.08847-1.46936*L93+11.98979*L93^2+1.97056*L93^3)*'Key Data'!$I$15*'Key Data'!$F$15</f>
        <v>3.6981988583338281E-2</v>
      </c>
      <c r="P93" s="184">
        <f>O93*(1+'Key Data'!$F$3)</f>
        <v>4.6227485729172853E-2</v>
      </c>
      <c r="Q93" s="433"/>
      <c r="R93" s="436"/>
      <c r="S93" s="369"/>
      <c r="T93"/>
    </row>
    <row r="94" spans="1:20" x14ac:dyDescent="0.3">
      <c r="A94" s="430"/>
      <c r="B94" s="430"/>
      <c r="C94" s="430"/>
      <c r="D94" s="430"/>
      <c r="E94" s="430"/>
      <c r="F94" s="445"/>
      <c r="G94" s="430"/>
      <c r="H94" s="78" t="s">
        <v>393</v>
      </c>
      <c r="I94" s="182"/>
      <c r="J94" s="128"/>
      <c r="K94" s="182">
        <v>13.9</v>
      </c>
      <c r="L94" s="183">
        <f t="shared" si="3"/>
        <v>4.4267515923566876E-2</v>
      </c>
      <c r="M94" s="182"/>
      <c r="N94" s="182"/>
      <c r="O94" s="138">
        <f>(0.08847-1.46936*L94+11.98979*L94^2+1.97056*L94^3)*'Key Data'!$I$15*'Key Data'!$F$15</f>
        <v>3.7084454903101527E-2</v>
      </c>
      <c r="P94" s="184">
        <f>O94*(1+'Key Data'!$F$3)</f>
        <v>4.6355568628876909E-2</v>
      </c>
      <c r="Q94" s="433"/>
      <c r="R94" s="436"/>
      <c r="S94" s="369"/>
      <c r="T94"/>
    </row>
    <row r="95" spans="1:20" x14ac:dyDescent="0.3">
      <c r="A95" s="430"/>
      <c r="B95" s="430"/>
      <c r="C95" s="430"/>
      <c r="D95" s="430"/>
      <c r="E95" s="430"/>
      <c r="F95" s="445"/>
      <c r="G95" s="430"/>
      <c r="H95" s="78" t="s">
        <v>393</v>
      </c>
      <c r="I95" s="182"/>
      <c r="J95" s="128"/>
      <c r="K95" s="182">
        <v>12.8</v>
      </c>
      <c r="L95" s="183">
        <f t="shared" si="3"/>
        <v>4.0764331210191081E-2</v>
      </c>
      <c r="M95" s="182"/>
      <c r="N95" s="182"/>
      <c r="O95" s="138">
        <f>(0.08847-1.46936*L95+11.98979*L95^2+1.97056*L95^3)*'Key Data'!$I$15*'Key Data'!$F$15</f>
        <v>3.8295974466014682E-2</v>
      </c>
      <c r="P95" s="184">
        <f>O95*(1+'Key Data'!$F$3)</f>
        <v>4.7869968082518352E-2</v>
      </c>
      <c r="Q95" s="433"/>
      <c r="R95" s="436"/>
      <c r="S95" s="369"/>
      <c r="T95"/>
    </row>
    <row r="96" spans="1:20" x14ac:dyDescent="0.3">
      <c r="A96" s="430"/>
      <c r="B96" s="430"/>
      <c r="C96" s="430"/>
      <c r="D96" s="430"/>
      <c r="E96" s="430"/>
      <c r="F96" s="445"/>
      <c r="G96" s="430"/>
      <c r="H96" s="78" t="s">
        <v>393</v>
      </c>
      <c r="I96" s="182"/>
      <c r="J96" s="128"/>
      <c r="K96" s="182">
        <v>19.899999999999999</v>
      </c>
      <c r="L96" s="183">
        <f t="shared" si="3"/>
        <v>6.3375796178343935E-2</v>
      </c>
      <c r="M96" s="182"/>
      <c r="N96" s="182"/>
      <c r="O96" s="138">
        <f>(0.08847-1.46936*L96+11.98979*L96^2+1.97056*L96^3)*'Key Data'!$I$15*'Key Data'!$F$15</f>
        <v>3.4655223518021236E-2</v>
      </c>
      <c r="P96" s="184">
        <f>O96*(1+'Key Data'!$F$3)</f>
        <v>4.3319029397526548E-2</v>
      </c>
      <c r="Q96" s="433"/>
      <c r="R96" s="436"/>
      <c r="S96" s="369"/>
      <c r="T96"/>
    </row>
    <row r="97" spans="1:20" x14ac:dyDescent="0.3">
      <c r="A97" s="430"/>
      <c r="B97" s="430"/>
      <c r="C97" s="430"/>
      <c r="D97" s="430"/>
      <c r="E97" s="430"/>
      <c r="F97" s="445"/>
      <c r="G97" s="430"/>
      <c r="H97" s="78" t="s">
        <v>393</v>
      </c>
      <c r="I97" s="182"/>
      <c r="J97" s="128"/>
      <c r="K97" s="182">
        <v>23.2</v>
      </c>
      <c r="L97" s="183">
        <f t="shared" si="3"/>
        <v>7.3885350318471335E-2</v>
      </c>
      <c r="M97" s="182"/>
      <c r="N97" s="182"/>
      <c r="O97" s="138">
        <f>(0.08847-1.46936*L97+11.98979*L97^2+1.97056*L97^3)*'Key Data'!$I$15*'Key Data'!$F$15</f>
        <v>3.6345831778382749E-2</v>
      </c>
      <c r="P97" s="184">
        <f>O97*(1+'Key Data'!$F$3)</f>
        <v>4.5432289722978435E-2</v>
      </c>
      <c r="Q97" s="433"/>
      <c r="R97" s="436"/>
      <c r="S97" s="369"/>
      <c r="T97"/>
    </row>
    <row r="98" spans="1:20" x14ac:dyDescent="0.3">
      <c r="A98" s="430"/>
      <c r="B98" s="430"/>
      <c r="C98" s="430"/>
      <c r="D98" s="430"/>
      <c r="E98" s="430"/>
      <c r="F98" s="445"/>
      <c r="G98" s="430"/>
      <c r="H98" s="78" t="s">
        <v>393</v>
      </c>
      <c r="I98" s="182"/>
      <c r="J98" s="128"/>
      <c r="K98" s="182">
        <v>26.4</v>
      </c>
      <c r="L98" s="183">
        <f t="shared" si="3"/>
        <v>8.4076433121019103E-2</v>
      </c>
      <c r="M98" s="182"/>
      <c r="N98" s="182"/>
      <c r="O98" s="138">
        <f>(0.08847-1.46936*L98+11.98979*L98^2+1.97056*L98^3)*'Key Data'!$I$15*'Key Data'!$F$15</f>
        <v>4.0049563458248824E-2</v>
      </c>
      <c r="P98" s="184">
        <f>O98*(1+'Key Data'!$F$3)</f>
        <v>5.0061954322811034E-2</v>
      </c>
      <c r="Q98" s="433"/>
      <c r="R98" s="436"/>
      <c r="S98" s="369"/>
      <c r="T98"/>
    </row>
    <row r="99" spans="1:20" x14ac:dyDescent="0.3">
      <c r="A99" s="430"/>
      <c r="B99" s="430"/>
      <c r="C99" s="430"/>
      <c r="D99" s="430"/>
      <c r="E99" s="430"/>
      <c r="F99" s="445"/>
      <c r="G99" s="430"/>
      <c r="H99" s="78" t="s">
        <v>393</v>
      </c>
      <c r="I99" s="182"/>
      <c r="J99" s="128"/>
      <c r="K99" s="182">
        <v>21.6</v>
      </c>
      <c r="L99" s="183">
        <f t="shared" si="3"/>
        <v>6.8789808917197451E-2</v>
      </c>
      <c r="M99" s="182"/>
      <c r="N99" s="182"/>
      <c r="O99" s="138">
        <f>(0.08847-1.46936*L99+11.98979*L99^2+1.97056*L99^3)*'Key Data'!$I$15*'Key Data'!$F$15</f>
        <v>3.5256843371131177E-2</v>
      </c>
      <c r="P99" s="184">
        <f>O99*(1+'Key Data'!$F$3)</f>
        <v>4.4071054213913968E-2</v>
      </c>
      <c r="Q99" s="433"/>
      <c r="R99" s="436"/>
      <c r="S99" s="369"/>
      <c r="T99"/>
    </row>
    <row r="100" spans="1:20" x14ac:dyDescent="0.3">
      <c r="A100" s="430"/>
      <c r="B100" s="430"/>
      <c r="C100" s="430"/>
      <c r="D100" s="430"/>
      <c r="E100" s="430"/>
      <c r="F100" s="445"/>
      <c r="G100" s="430"/>
      <c r="H100" s="78" t="s">
        <v>393</v>
      </c>
      <c r="I100" s="182"/>
      <c r="J100" s="128"/>
      <c r="K100" s="182">
        <v>26.4</v>
      </c>
      <c r="L100" s="183">
        <f t="shared" si="3"/>
        <v>8.4076433121019103E-2</v>
      </c>
      <c r="M100" s="182"/>
      <c r="N100" s="182"/>
      <c r="O100" s="138">
        <f>(0.08847-1.46936*L100+11.98979*L100^2+1.97056*L100^3)*'Key Data'!$I$15*'Key Data'!$F$15</f>
        <v>4.0049563458248824E-2</v>
      </c>
      <c r="P100" s="184">
        <f>O100*(1+'Key Data'!$F$3)</f>
        <v>5.0061954322811034E-2</v>
      </c>
      <c r="Q100" s="433"/>
      <c r="R100" s="436"/>
      <c r="S100" s="369"/>
      <c r="T100"/>
    </row>
    <row r="101" spans="1:20" x14ac:dyDescent="0.3">
      <c r="A101" s="430"/>
      <c r="B101" s="430"/>
      <c r="C101" s="430"/>
      <c r="D101" s="430"/>
      <c r="E101" s="430"/>
      <c r="F101" s="445"/>
      <c r="G101" s="430"/>
      <c r="H101" s="78" t="s">
        <v>393</v>
      </c>
      <c r="I101" s="182"/>
      <c r="J101" s="128"/>
      <c r="K101" s="182">
        <v>21.5</v>
      </c>
      <c r="L101" s="183">
        <f t="shared" si="3"/>
        <v>6.8471337579617833E-2</v>
      </c>
      <c r="M101" s="182"/>
      <c r="N101" s="182"/>
      <c r="O101" s="138">
        <f>(0.08847-1.46936*L101+11.98979*L101^2+1.97056*L101^3)*'Key Data'!$I$15*'Key Data'!$F$15</f>
        <v>3.520562645168944E-2</v>
      </c>
      <c r="P101" s="184">
        <f>O101*(1+'Key Data'!$F$3)</f>
        <v>4.4007033064611803E-2</v>
      </c>
      <c r="Q101" s="433"/>
      <c r="R101" s="436"/>
      <c r="S101" s="369"/>
      <c r="T101"/>
    </row>
    <row r="102" spans="1:20" x14ac:dyDescent="0.3">
      <c r="A102" s="430"/>
      <c r="B102" s="430"/>
      <c r="C102" s="430"/>
      <c r="D102" s="430"/>
      <c r="E102" s="430"/>
      <c r="F102" s="445"/>
      <c r="G102" s="430"/>
      <c r="H102" s="78" t="s">
        <v>393</v>
      </c>
      <c r="I102" s="182"/>
      <c r="J102" s="128"/>
      <c r="K102" s="182">
        <v>4.4000000000000004</v>
      </c>
      <c r="L102" s="183">
        <f t="shared" ref="L102:L165" si="4">K102/3.14/100</f>
        <v>1.4012738853503187E-2</v>
      </c>
      <c r="M102" s="182"/>
      <c r="N102" s="182"/>
      <c r="O102" s="138">
        <f>(0.08847-1.46936*L102+11.98979*L102^2+1.97056*L102^3)*'Key Data'!$I$15*'Key Data'!$F$15</f>
        <v>5.5313953874031645E-2</v>
      </c>
      <c r="P102" s="184">
        <f>O102*(1+'Key Data'!$F$3)</f>
        <v>6.9142442342539551E-2</v>
      </c>
      <c r="Q102" s="433"/>
      <c r="R102" s="436"/>
      <c r="S102" s="369"/>
      <c r="T102"/>
    </row>
    <row r="103" spans="1:20" x14ac:dyDescent="0.3">
      <c r="A103" s="430"/>
      <c r="B103" s="430"/>
      <c r="C103" s="430"/>
      <c r="D103" s="430"/>
      <c r="E103" s="430"/>
      <c r="F103" s="445"/>
      <c r="G103" s="430"/>
      <c r="H103" s="78" t="s">
        <v>393</v>
      </c>
      <c r="I103" s="182"/>
      <c r="J103" s="128"/>
      <c r="K103" s="182">
        <v>23</v>
      </c>
      <c r="L103" s="183">
        <f t="shared" si="4"/>
        <v>7.32484076433121E-2</v>
      </c>
      <c r="M103" s="182"/>
      <c r="N103" s="182"/>
      <c r="O103" s="138">
        <f>(0.08847-1.46936*L103+11.98979*L103^2+1.97056*L103^3)*'Key Data'!$I$15*'Key Data'!$F$15</f>
        <v>3.6181942706402015E-2</v>
      </c>
      <c r="P103" s="184">
        <f>O103*(1+'Key Data'!$F$3)</f>
        <v>4.5227428383002519E-2</v>
      </c>
      <c r="Q103" s="433"/>
      <c r="R103" s="436"/>
      <c r="S103" s="369"/>
      <c r="T103"/>
    </row>
    <row r="104" spans="1:20" x14ac:dyDescent="0.3">
      <c r="A104" s="430"/>
      <c r="B104" s="430"/>
      <c r="C104" s="430"/>
      <c r="D104" s="430"/>
      <c r="E104" s="430"/>
      <c r="F104" s="445"/>
      <c r="G104" s="430"/>
      <c r="H104" s="78" t="s">
        <v>393</v>
      </c>
      <c r="I104" s="182"/>
      <c r="J104" s="128"/>
      <c r="K104" s="182">
        <v>24.5</v>
      </c>
      <c r="L104" s="183">
        <f t="shared" si="4"/>
        <v>7.8025477707006366E-2</v>
      </c>
      <c r="M104" s="182"/>
      <c r="N104" s="182"/>
      <c r="O104" s="138">
        <f>(0.08847-1.46936*L104+11.98979*L104^2+1.97056*L104^3)*'Key Data'!$I$15*'Key Data'!$F$15</f>
        <v>3.7604761222873685E-2</v>
      </c>
      <c r="P104" s="184">
        <f>O104*(1+'Key Data'!$F$3)</f>
        <v>4.7005951528592105E-2</v>
      </c>
      <c r="Q104" s="433"/>
      <c r="R104" s="436"/>
      <c r="S104" s="369"/>
      <c r="T104"/>
    </row>
    <row r="105" spans="1:20" x14ac:dyDescent="0.3">
      <c r="A105" s="430"/>
      <c r="B105" s="430"/>
      <c r="C105" s="430"/>
      <c r="D105" s="430"/>
      <c r="E105" s="430"/>
      <c r="F105" s="445"/>
      <c r="G105" s="430"/>
      <c r="H105" s="78" t="s">
        <v>393</v>
      </c>
      <c r="I105" s="182"/>
      <c r="J105" s="128"/>
      <c r="K105" s="182">
        <v>19.8</v>
      </c>
      <c r="L105" s="183">
        <f t="shared" si="4"/>
        <v>6.3057324840764331E-2</v>
      </c>
      <c r="M105" s="182"/>
      <c r="N105" s="182"/>
      <c r="O105" s="138">
        <f>(0.08847-1.46936*L105+11.98979*L105^2+1.97056*L105^3)*'Key Data'!$I$15*'Key Data'!$F$15</f>
        <v>3.4637624732614107E-2</v>
      </c>
      <c r="P105" s="184">
        <f>O105*(1+'Key Data'!$F$3)</f>
        <v>4.3297030915767636E-2</v>
      </c>
      <c r="Q105" s="433"/>
      <c r="R105" s="436"/>
      <c r="S105" s="369"/>
      <c r="T105"/>
    </row>
    <row r="106" spans="1:20" x14ac:dyDescent="0.3">
      <c r="A106" s="430"/>
      <c r="B106" s="430"/>
      <c r="C106" s="430"/>
      <c r="D106" s="430"/>
      <c r="E106" s="430"/>
      <c r="F106" s="445"/>
      <c r="G106" s="430"/>
      <c r="H106" s="78" t="s">
        <v>393</v>
      </c>
      <c r="I106" s="182"/>
      <c r="J106" s="128"/>
      <c r="K106" s="182">
        <v>24.8</v>
      </c>
      <c r="L106" s="183">
        <f t="shared" si="4"/>
        <v>7.8980891719745219E-2</v>
      </c>
      <c r="M106" s="182"/>
      <c r="N106" s="182"/>
      <c r="O106" s="138">
        <f>(0.08847-1.46936*L106+11.98979*L106^2+1.97056*L106^3)*'Key Data'!$I$15*'Key Data'!$F$15</f>
        <v>3.794299451969059E-2</v>
      </c>
      <c r="P106" s="184">
        <f>O106*(1+'Key Data'!$F$3)</f>
        <v>4.7428743149613234E-2</v>
      </c>
      <c r="Q106" s="433"/>
      <c r="R106" s="436"/>
      <c r="S106" s="369"/>
      <c r="T106"/>
    </row>
    <row r="107" spans="1:20" x14ac:dyDescent="0.3">
      <c r="A107" s="430"/>
      <c r="B107" s="430"/>
      <c r="C107" s="430"/>
      <c r="D107" s="430"/>
      <c r="E107" s="430"/>
      <c r="F107" s="445"/>
      <c r="G107" s="430"/>
      <c r="H107" s="78" t="s">
        <v>393</v>
      </c>
      <c r="I107" s="182"/>
      <c r="J107" s="128"/>
      <c r="K107" s="182">
        <v>23.1</v>
      </c>
      <c r="L107" s="183">
        <f t="shared" si="4"/>
        <v>7.3566878980891717E-2</v>
      </c>
      <c r="M107" s="182"/>
      <c r="N107" s="182"/>
      <c r="O107" s="138">
        <f>(0.08847-1.46936*L107+11.98979*L107^2+1.97056*L107^3)*'Key Data'!$I$15*'Key Data'!$F$15</f>
        <v>3.6262894864770107E-2</v>
      </c>
      <c r="P107" s="184">
        <f>O107*(1+'Key Data'!$F$3)</f>
        <v>4.5328618580962633E-2</v>
      </c>
      <c r="Q107" s="433"/>
      <c r="R107" s="436"/>
      <c r="S107" s="369"/>
      <c r="T107"/>
    </row>
    <row r="108" spans="1:20" x14ac:dyDescent="0.3">
      <c r="A108" s="430"/>
      <c r="B108" s="430"/>
      <c r="C108" s="430"/>
      <c r="D108" s="430"/>
      <c r="E108" s="430"/>
      <c r="F108" s="445"/>
      <c r="G108" s="430"/>
      <c r="H108" s="78" t="s">
        <v>393</v>
      </c>
      <c r="I108" s="182"/>
      <c r="J108" s="128"/>
      <c r="K108" s="182">
        <v>24.6</v>
      </c>
      <c r="L108" s="183">
        <f t="shared" si="4"/>
        <v>7.8343949044585998E-2</v>
      </c>
      <c r="M108" s="182"/>
      <c r="N108" s="182"/>
      <c r="O108" s="138">
        <f>(0.08847-1.46936*L108+11.98979*L108^2+1.97056*L108^3)*'Key Data'!$I$15*'Key Data'!$F$15</f>
        <v>3.7715516288434392E-2</v>
      </c>
      <c r="P108" s="184">
        <f>O108*(1+'Key Data'!$F$3)</f>
        <v>4.714439536054299E-2</v>
      </c>
      <c r="Q108" s="433"/>
      <c r="R108" s="436"/>
      <c r="S108" s="369"/>
      <c r="T108"/>
    </row>
    <row r="109" spans="1:20" x14ac:dyDescent="0.3">
      <c r="A109" s="430"/>
      <c r="B109" s="430"/>
      <c r="C109" s="430"/>
      <c r="D109" s="430"/>
      <c r="E109" s="430"/>
      <c r="F109" s="445"/>
      <c r="G109" s="430"/>
      <c r="H109" s="78" t="s">
        <v>393</v>
      </c>
      <c r="I109" s="182"/>
      <c r="J109" s="128"/>
      <c r="K109" s="182">
        <v>16.100000000000001</v>
      </c>
      <c r="L109" s="183">
        <f t="shared" si="4"/>
        <v>5.1273885350318474E-2</v>
      </c>
      <c r="M109" s="182"/>
      <c r="N109" s="182"/>
      <c r="O109" s="138">
        <f>(0.08847-1.46936*L109+11.98979*L109^2+1.97056*L109^3)*'Key Data'!$I$15*'Key Data'!$F$15</f>
        <v>3.5372238451234897E-2</v>
      </c>
      <c r="P109" s="184">
        <f>O109*(1+'Key Data'!$F$3)</f>
        <v>4.4215298064043618E-2</v>
      </c>
      <c r="Q109" s="433"/>
      <c r="R109" s="436"/>
      <c r="S109" s="369"/>
      <c r="T109"/>
    </row>
    <row r="110" spans="1:20" x14ac:dyDescent="0.3">
      <c r="A110" s="430"/>
      <c r="B110" s="430"/>
      <c r="C110" s="430"/>
      <c r="D110" s="430"/>
      <c r="E110" s="430"/>
      <c r="F110" s="445"/>
      <c r="G110" s="430"/>
      <c r="H110" s="78" t="s">
        <v>393</v>
      </c>
      <c r="I110" s="182"/>
      <c r="J110" s="128"/>
      <c r="K110" s="182">
        <v>13.4</v>
      </c>
      <c r="L110" s="183">
        <f t="shared" si="4"/>
        <v>4.2675159235668794E-2</v>
      </c>
      <c r="M110" s="182"/>
      <c r="N110" s="182"/>
      <c r="O110" s="138">
        <f>(0.08847-1.46936*L110+11.98979*L110^2+1.97056*L110^3)*'Key Data'!$I$15*'Key Data'!$F$15</f>
        <v>3.7605813376709436E-2</v>
      </c>
      <c r="P110" s="184">
        <f>O110*(1+'Key Data'!$F$3)</f>
        <v>4.7007266720886794E-2</v>
      </c>
      <c r="Q110" s="433"/>
      <c r="R110" s="436"/>
      <c r="S110" s="369"/>
      <c r="T110"/>
    </row>
    <row r="111" spans="1:20" x14ac:dyDescent="0.3">
      <c r="A111" s="430"/>
      <c r="B111" s="430"/>
      <c r="C111" s="430"/>
      <c r="D111" s="430"/>
      <c r="E111" s="430"/>
      <c r="F111" s="445"/>
      <c r="G111" s="430"/>
      <c r="H111" s="78" t="s">
        <v>393</v>
      </c>
      <c r="I111" s="182"/>
      <c r="J111" s="128"/>
      <c r="K111" s="182">
        <v>21.6</v>
      </c>
      <c r="L111" s="183">
        <f t="shared" si="4"/>
        <v>6.8789808917197451E-2</v>
      </c>
      <c r="M111" s="182"/>
      <c r="N111" s="182"/>
      <c r="O111" s="138">
        <f>(0.08847-1.46936*L111+11.98979*L111^2+1.97056*L111^3)*'Key Data'!$I$15*'Key Data'!$F$15</f>
        <v>3.5256843371131177E-2</v>
      </c>
      <c r="P111" s="184">
        <f>O111*(1+'Key Data'!$F$3)</f>
        <v>4.4071054213913968E-2</v>
      </c>
      <c r="Q111" s="433"/>
      <c r="R111" s="436"/>
      <c r="S111" s="369"/>
      <c r="T111"/>
    </row>
    <row r="112" spans="1:20" x14ac:dyDescent="0.3">
      <c r="A112" s="430"/>
      <c r="B112" s="430"/>
      <c r="C112" s="430"/>
      <c r="D112" s="430"/>
      <c r="E112" s="430"/>
      <c r="F112" s="445"/>
      <c r="G112" s="430"/>
      <c r="H112" s="78" t="s">
        <v>393</v>
      </c>
      <c r="I112" s="182"/>
      <c r="J112" s="128"/>
      <c r="K112" s="182">
        <v>21.4</v>
      </c>
      <c r="L112" s="183">
        <f t="shared" si="4"/>
        <v>6.8152866242038201E-2</v>
      </c>
      <c r="M112" s="182"/>
      <c r="N112" s="182"/>
      <c r="O112" s="138">
        <f>(0.08847-1.46936*L112+11.98979*L112^2+1.97056*L112^3)*'Key Data'!$I$15*'Key Data'!$F$15</f>
        <v>3.5156389475526635E-2</v>
      </c>
      <c r="P112" s="184">
        <f>O112*(1+'Key Data'!$F$3)</f>
        <v>4.3945486844408292E-2</v>
      </c>
      <c r="Q112" s="433"/>
      <c r="R112" s="436"/>
      <c r="S112" s="369"/>
      <c r="T112"/>
    </row>
    <row r="113" spans="1:20" x14ac:dyDescent="0.3">
      <c r="A113" s="430"/>
      <c r="B113" s="430"/>
      <c r="C113" s="430"/>
      <c r="D113" s="430"/>
      <c r="E113" s="430"/>
      <c r="F113" s="445"/>
      <c r="G113" s="430"/>
      <c r="H113" s="78" t="s">
        <v>393</v>
      </c>
      <c r="I113" s="182"/>
      <c r="J113" s="128"/>
      <c r="K113" s="182">
        <v>27</v>
      </c>
      <c r="L113" s="183">
        <f t="shared" si="4"/>
        <v>8.598726114649681E-2</v>
      </c>
      <c r="M113" s="182"/>
      <c r="N113" s="182"/>
      <c r="O113" s="138">
        <f>(0.08847-1.46936*L113+11.98979*L113^2+1.97056*L113^3)*'Key Data'!$I$15*'Key Data'!$F$15</f>
        <v>4.0971109520639502E-2</v>
      </c>
      <c r="P113" s="184">
        <f>O113*(1+'Key Data'!$F$3)</f>
        <v>5.121388690079938E-2</v>
      </c>
      <c r="Q113" s="433"/>
      <c r="R113" s="436"/>
      <c r="S113" s="369"/>
      <c r="T113"/>
    </row>
    <row r="114" spans="1:20" x14ac:dyDescent="0.3">
      <c r="A114" s="430"/>
      <c r="B114" s="430"/>
      <c r="C114" s="430"/>
      <c r="D114" s="430"/>
      <c r="E114" s="430"/>
      <c r="F114" s="445"/>
      <c r="G114" s="430"/>
      <c r="H114" s="78" t="s">
        <v>393</v>
      </c>
      <c r="I114" s="182"/>
      <c r="J114" s="128"/>
      <c r="K114" s="182">
        <v>11</v>
      </c>
      <c r="L114" s="183">
        <f t="shared" si="4"/>
        <v>3.5031847133757961E-2</v>
      </c>
      <c r="M114" s="182"/>
      <c r="N114" s="182"/>
      <c r="O114" s="138">
        <f>(0.08847-1.46936*L114+11.98979*L114^2+1.97056*L114^3)*'Key Data'!$I$15*'Key Data'!$F$15</f>
        <v>4.0788213982442471E-2</v>
      </c>
      <c r="P114" s="184">
        <f>O114*(1+'Key Data'!$F$3)</f>
        <v>5.0985267478053091E-2</v>
      </c>
      <c r="Q114" s="433"/>
      <c r="R114" s="436"/>
      <c r="S114" s="369"/>
      <c r="T114"/>
    </row>
    <row r="115" spans="1:20" x14ac:dyDescent="0.3">
      <c r="A115" s="430"/>
      <c r="B115" s="430"/>
      <c r="C115" s="430"/>
      <c r="D115" s="430"/>
      <c r="E115" s="430"/>
      <c r="F115" s="445"/>
      <c r="G115" s="430"/>
      <c r="H115" s="78" t="s">
        <v>393</v>
      </c>
      <c r="I115" s="182"/>
      <c r="J115" s="128"/>
      <c r="K115" s="182">
        <v>28</v>
      </c>
      <c r="L115" s="183">
        <f t="shared" si="4"/>
        <v>8.9171974522292988E-2</v>
      </c>
      <c r="M115" s="182"/>
      <c r="N115" s="182"/>
      <c r="O115" s="138">
        <f>(0.08847-1.46936*L115+11.98979*L115^2+1.97056*L115^3)*'Key Data'!$I$15*'Key Data'!$F$15</f>
        <v>4.266677045725166E-2</v>
      </c>
      <c r="P115" s="184">
        <f>O115*(1+'Key Data'!$F$3)</f>
        <v>5.3333463071564571E-2</v>
      </c>
      <c r="Q115" s="433"/>
      <c r="R115" s="436"/>
      <c r="S115" s="369"/>
      <c r="T115"/>
    </row>
    <row r="116" spans="1:20" x14ac:dyDescent="0.3">
      <c r="A116" s="430"/>
      <c r="B116" s="430"/>
      <c r="C116" s="430"/>
      <c r="D116" s="430"/>
      <c r="E116" s="430"/>
      <c r="F116" s="445"/>
      <c r="G116" s="430"/>
      <c r="H116" s="78" t="s">
        <v>393</v>
      </c>
      <c r="I116" s="182"/>
      <c r="J116" s="128"/>
      <c r="K116" s="182">
        <v>19.399999999999999</v>
      </c>
      <c r="L116" s="183">
        <f t="shared" si="4"/>
        <v>6.1783439490445853E-2</v>
      </c>
      <c r="M116" s="182"/>
      <c r="N116" s="182"/>
      <c r="O116" s="138">
        <f>(0.08847-1.46936*L116+11.98979*L116^2+1.97056*L116^3)*'Key Data'!$I$15*'Key Data'!$F$15</f>
        <v>3.4586974889162111E-2</v>
      </c>
      <c r="P116" s="184">
        <f>O116*(1+'Key Data'!$F$3)</f>
        <v>4.3233718611452643E-2</v>
      </c>
      <c r="Q116" s="433"/>
      <c r="R116" s="436"/>
      <c r="S116" s="369"/>
      <c r="T116"/>
    </row>
    <row r="117" spans="1:20" x14ac:dyDescent="0.3">
      <c r="A117" s="430"/>
      <c r="B117" s="430"/>
      <c r="C117" s="430"/>
      <c r="D117" s="430"/>
      <c r="E117" s="430"/>
      <c r="F117" s="445"/>
      <c r="G117" s="430"/>
      <c r="H117" s="78" t="s">
        <v>393</v>
      </c>
      <c r="I117" s="182"/>
      <c r="J117" s="128"/>
      <c r="K117" s="182">
        <v>12.5</v>
      </c>
      <c r="L117" s="183">
        <f t="shared" si="4"/>
        <v>3.9808917197452227E-2</v>
      </c>
      <c r="M117" s="182"/>
      <c r="N117" s="182"/>
      <c r="O117" s="138">
        <f>(0.08847-1.46936*L117+11.98979*L117^2+1.97056*L117^3)*'Key Data'!$I$15*'Key Data'!$F$15</f>
        <v>3.8667435076679198E-2</v>
      </c>
      <c r="P117" s="184">
        <f>O117*(1+'Key Data'!$F$3)</f>
        <v>4.8334293845848995E-2</v>
      </c>
      <c r="Q117" s="433"/>
      <c r="R117" s="436"/>
      <c r="S117" s="369"/>
      <c r="T117"/>
    </row>
    <row r="118" spans="1:20" x14ac:dyDescent="0.3">
      <c r="A118" s="430"/>
      <c r="B118" s="430"/>
      <c r="C118" s="430"/>
      <c r="D118" s="430"/>
      <c r="E118" s="430"/>
      <c r="F118" s="445"/>
      <c r="G118" s="430"/>
      <c r="H118" s="78" t="s">
        <v>393</v>
      </c>
      <c r="I118" s="182"/>
      <c r="J118" s="128"/>
      <c r="K118" s="182">
        <v>19.399999999999999</v>
      </c>
      <c r="L118" s="183">
        <f t="shared" si="4"/>
        <v>6.1783439490445853E-2</v>
      </c>
      <c r="M118" s="182"/>
      <c r="N118" s="182"/>
      <c r="O118" s="138">
        <f>(0.08847-1.46936*L118+11.98979*L118^2+1.97056*L118^3)*'Key Data'!$I$15*'Key Data'!$F$15</f>
        <v>3.4586974889162111E-2</v>
      </c>
      <c r="P118" s="184">
        <f>O118*(1+'Key Data'!$F$3)</f>
        <v>4.3233718611452643E-2</v>
      </c>
      <c r="Q118" s="433"/>
      <c r="R118" s="436"/>
      <c r="S118" s="369"/>
      <c r="T118"/>
    </row>
    <row r="119" spans="1:20" x14ac:dyDescent="0.3">
      <c r="A119" s="430"/>
      <c r="B119" s="430"/>
      <c r="C119" s="430"/>
      <c r="D119" s="430"/>
      <c r="E119" s="430"/>
      <c r="F119" s="445"/>
      <c r="G119" s="430"/>
      <c r="H119" s="78" t="s">
        <v>393</v>
      </c>
      <c r="I119" s="182"/>
      <c r="J119" s="128"/>
      <c r="K119" s="182">
        <v>19.5</v>
      </c>
      <c r="L119" s="183">
        <f t="shared" si="4"/>
        <v>6.2101910828025478E-2</v>
      </c>
      <c r="M119" s="182"/>
      <c r="N119" s="182"/>
      <c r="O119" s="138">
        <f>(0.08847-1.46936*L119+11.98979*L119^2+1.97056*L119^3)*'Key Data'!$I$15*'Key Data'!$F$15</f>
        <v>3.4596676156794334E-2</v>
      </c>
      <c r="P119" s="184">
        <f>O119*(1+'Key Data'!$F$3)</f>
        <v>4.3245845195992921E-2</v>
      </c>
      <c r="Q119" s="433"/>
      <c r="R119" s="436"/>
      <c r="S119" s="369"/>
      <c r="T119"/>
    </row>
    <row r="120" spans="1:20" x14ac:dyDescent="0.3">
      <c r="A120" s="430"/>
      <c r="B120" s="430"/>
      <c r="C120" s="430"/>
      <c r="D120" s="430"/>
      <c r="E120" s="430"/>
      <c r="F120" s="445"/>
      <c r="G120" s="430"/>
      <c r="H120" s="78" t="s">
        <v>393</v>
      </c>
      <c r="I120" s="182"/>
      <c r="J120" s="128"/>
      <c r="K120" s="182">
        <v>21.4</v>
      </c>
      <c r="L120" s="183">
        <f t="shared" si="4"/>
        <v>6.8152866242038201E-2</v>
      </c>
      <c r="M120" s="182"/>
      <c r="N120" s="182"/>
      <c r="O120" s="138">
        <f>(0.08847-1.46936*L120+11.98979*L120^2+1.97056*L120^3)*'Key Data'!$I$15*'Key Data'!$F$15</f>
        <v>3.5156389475526635E-2</v>
      </c>
      <c r="P120" s="184">
        <f>O120*(1+'Key Data'!$F$3)</f>
        <v>4.3945486844408292E-2</v>
      </c>
      <c r="Q120" s="433"/>
      <c r="R120" s="436"/>
      <c r="S120" s="369"/>
      <c r="T120"/>
    </row>
    <row r="121" spans="1:20" x14ac:dyDescent="0.3">
      <c r="A121" s="430"/>
      <c r="B121" s="430"/>
      <c r="C121" s="430"/>
      <c r="D121" s="430"/>
      <c r="E121" s="430"/>
      <c r="F121" s="445"/>
      <c r="G121" s="430"/>
      <c r="H121" s="78" t="s">
        <v>393</v>
      </c>
      <c r="I121" s="182"/>
      <c r="J121" s="128"/>
      <c r="K121" s="182">
        <v>21.8</v>
      </c>
      <c r="L121" s="183">
        <f t="shared" si="4"/>
        <v>6.9426751592356686E-2</v>
      </c>
      <c r="M121" s="182"/>
      <c r="N121" s="182"/>
      <c r="O121" s="138">
        <f>(0.08847-1.46936*L121+11.98979*L121^2+1.97056*L121^3)*'Key Data'!$I$15*'Key Data'!$F$15</f>
        <v>3.5365218242842951E-2</v>
      </c>
      <c r="P121" s="184">
        <f>O121*(1+'Key Data'!$F$3)</f>
        <v>4.4206522803553687E-2</v>
      </c>
      <c r="Q121" s="433"/>
      <c r="R121" s="436"/>
      <c r="S121" s="369"/>
      <c r="T121"/>
    </row>
    <row r="122" spans="1:20" x14ac:dyDescent="0.3">
      <c r="A122" s="430"/>
      <c r="B122" s="430"/>
      <c r="C122" s="430"/>
      <c r="D122" s="430"/>
      <c r="E122" s="430"/>
      <c r="F122" s="445"/>
      <c r="G122" s="430"/>
      <c r="H122" s="78" t="s">
        <v>393</v>
      </c>
      <c r="I122" s="182"/>
      <c r="J122" s="128"/>
      <c r="K122" s="182">
        <v>30.2</v>
      </c>
      <c r="L122" s="183">
        <f t="shared" si="4"/>
        <v>9.6178343949044579E-2</v>
      </c>
      <c r="M122" s="182"/>
      <c r="N122" s="182"/>
      <c r="O122" s="138">
        <f>(0.08847-1.46936*L122+11.98979*L122^2+1.97056*L122^3)*'Key Data'!$I$15*'Key Data'!$F$15</f>
        <v>4.7101469115774564E-2</v>
      </c>
      <c r="P122" s="184">
        <f>O122*(1+'Key Data'!$F$3)</f>
        <v>5.8876836394718204E-2</v>
      </c>
      <c r="Q122" s="433"/>
      <c r="R122" s="436"/>
      <c r="S122" s="369"/>
      <c r="T122"/>
    </row>
    <row r="123" spans="1:20" x14ac:dyDescent="0.3">
      <c r="A123" s="430"/>
      <c r="B123" s="430"/>
      <c r="C123" s="430"/>
      <c r="D123" s="430"/>
      <c r="E123" s="430"/>
      <c r="F123" s="445"/>
      <c r="G123" s="430"/>
      <c r="H123" s="78" t="s">
        <v>393</v>
      </c>
      <c r="I123" s="182"/>
      <c r="J123" s="128"/>
      <c r="K123" s="182">
        <v>11.4</v>
      </c>
      <c r="L123" s="183">
        <f t="shared" si="4"/>
        <v>3.6305732484076432E-2</v>
      </c>
      <c r="M123" s="182"/>
      <c r="N123" s="182"/>
      <c r="O123" s="138">
        <f>(0.08847-1.46936*L123+11.98979*L123^2+1.97056*L123^3)*'Key Data'!$I$15*'Key Data'!$F$15</f>
        <v>4.0179767012101943E-2</v>
      </c>
      <c r="P123" s="184">
        <f>O123*(1+'Key Data'!$F$3)</f>
        <v>5.0224708765127427E-2</v>
      </c>
      <c r="Q123" s="433"/>
      <c r="R123" s="436"/>
      <c r="S123" s="369"/>
      <c r="T123"/>
    </row>
    <row r="124" spans="1:20" x14ac:dyDescent="0.3">
      <c r="A124" s="430"/>
      <c r="B124" s="430"/>
      <c r="C124" s="430"/>
      <c r="D124" s="430"/>
      <c r="E124" s="430"/>
      <c r="F124" s="445"/>
      <c r="G124" s="430"/>
      <c r="H124" s="78" t="s">
        <v>393</v>
      </c>
      <c r="I124" s="182"/>
      <c r="J124" s="128"/>
      <c r="K124" s="182">
        <v>18.8</v>
      </c>
      <c r="L124" s="183">
        <f t="shared" si="4"/>
        <v>5.9872611464968147E-2</v>
      </c>
      <c r="M124" s="182"/>
      <c r="N124" s="182"/>
      <c r="O124" s="138">
        <f>(0.08847-1.46936*L124+11.98979*L124^2+1.97056*L124^3)*'Key Data'!$I$15*'Key Data'!$F$15</f>
        <v>3.4570202936250169E-2</v>
      </c>
      <c r="P124" s="184">
        <f>O124*(1+'Key Data'!$F$3)</f>
        <v>4.3212753670312715E-2</v>
      </c>
      <c r="Q124" s="433"/>
      <c r="R124" s="436"/>
      <c r="S124" s="369"/>
      <c r="T124"/>
    </row>
    <row r="125" spans="1:20" x14ac:dyDescent="0.3">
      <c r="A125" s="430"/>
      <c r="B125" s="430"/>
      <c r="C125" s="430"/>
      <c r="D125" s="430"/>
      <c r="E125" s="430"/>
      <c r="F125" s="445"/>
      <c r="G125" s="430"/>
      <c r="H125" s="78" t="s">
        <v>393</v>
      </c>
      <c r="I125" s="182"/>
      <c r="J125" s="128"/>
      <c r="K125" s="182">
        <v>25.5</v>
      </c>
      <c r="L125" s="183">
        <f t="shared" si="4"/>
        <v>8.1210191082802544E-2</v>
      </c>
      <c r="M125" s="182"/>
      <c r="N125" s="182"/>
      <c r="O125" s="138">
        <f>(0.08847-1.46936*L125+11.98979*L125^2+1.97056*L125^3)*'Key Data'!$I$15*'Key Data'!$F$15</f>
        <v>3.8801864959026718E-2</v>
      </c>
      <c r="P125" s="184">
        <f>O125*(1+'Key Data'!$F$3)</f>
        <v>4.8502331198783395E-2</v>
      </c>
      <c r="Q125" s="433"/>
      <c r="R125" s="436"/>
      <c r="S125" s="369"/>
      <c r="T125"/>
    </row>
    <row r="126" spans="1:20" x14ac:dyDescent="0.3">
      <c r="A126" s="430"/>
      <c r="B126" s="430"/>
      <c r="C126" s="430"/>
      <c r="D126" s="430"/>
      <c r="E126" s="430"/>
      <c r="F126" s="445"/>
      <c r="G126" s="430"/>
      <c r="H126" s="78" t="s">
        <v>393</v>
      </c>
      <c r="I126" s="182"/>
      <c r="J126" s="128"/>
      <c r="K126" s="182">
        <v>16.8</v>
      </c>
      <c r="L126" s="183">
        <f t="shared" si="4"/>
        <v>5.3503184713375791E-2</v>
      </c>
      <c r="M126" s="182"/>
      <c r="N126" s="182"/>
      <c r="O126" s="138">
        <f>(0.08847-1.46936*L126+11.98979*L126^2+1.97056*L126^3)*'Key Data'!$I$15*'Key Data'!$F$15</f>
        <v>3.5026605521772565E-2</v>
      </c>
      <c r="P126" s="184">
        <f>O126*(1+'Key Data'!$F$3)</f>
        <v>4.3783256902215704E-2</v>
      </c>
      <c r="Q126" s="433"/>
      <c r="R126" s="436"/>
      <c r="S126" s="369"/>
      <c r="T126"/>
    </row>
    <row r="127" spans="1:20" x14ac:dyDescent="0.3">
      <c r="A127" s="430"/>
      <c r="B127" s="430"/>
      <c r="C127" s="430"/>
      <c r="D127" s="430"/>
      <c r="E127" s="430"/>
      <c r="F127" s="445"/>
      <c r="G127" s="430"/>
      <c r="H127" s="78" t="s">
        <v>393</v>
      </c>
      <c r="I127" s="182"/>
      <c r="J127" s="128"/>
      <c r="K127" s="182">
        <v>19.2</v>
      </c>
      <c r="L127" s="183">
        <f t="shared" si="4"/>
        <v>6.1146496815286618E-2</v>
      </c>
      <c r="M127" s="182"/>
      <c r="N127" s="182"/>
      <c r="O127" s="138">
        <f>(0.08847-1.46936*L127+11.98979*L127^2+1.97056*L127^3)*'Key Data'!$I$15*'Key Data'!$F$15</f>
        <v>3.4573492935872113E-2</v>
      </c>
      <c r="P127" s="184">
        <f>O127*(1+'Key Data'!$F$3)</f>
        <v>4.3216866169840142E-2</v>
      </c>
      <c r="Q127" s="433"/>
      <c r="R127" s="436"/>
      <c r="S127" s="369"/>
      <c r="T127"/>
    </row>
    <row r="128" spans="1:20" x14ac:dyDescent="0.3">
      <c r="A128" s="430"/>
      <c r="B128" s="430"/>
      <c r="C128" s="430"/>
      <c r="D128" s="430"/>
      <c r="E128" s="430"/>
      <c r="F128" s="445"/>
      <c r="G128" s="430"/>
      <c r="H128" s="78" t="s">
        <v>393</v>
      </c>
      <c r="I128" s="182"/>
      <c r="J128" s="128"/>
      <c r="K128" s="182">
        <v>21.8</v>
      </c>
      <c r="L128" s="183">
        <f t="shared" si="4"/>
        <v>6.9426751592356686E-2</v>
      </c>
      <c r="M128" s="182"/>
      <c r="N128" s="182"/>
      <c r="O128" s="138">
        <f>(0.08847-1.46936*L128+11.98979*L128^2+1.97056*L128^3)*'Key Data'!$I$15*'Key Data'!$F$15</f>
        <v>3.5365218242842951E-2</v>
      </c>
      <c r="P128" s="184">
        <f>O128*(1+'Key Data'!$F$3)</f>
        <v>4.4206522803553687E-2</v>
      </c>
      <c r="Q128" s="433"/>
      <c r="R128" s="436"/>
      <c r="S128" s="369"/>
      <c r="T128"/>
    </row>
    <row r="129" spans="1:20" x14ac:dyDescent="0.3">
      <c r="A129" s="430"/>
      <c r="B129" s="430"/>
      <c r="C129" s="430"/>
      <c r="D129" s="430"/>
      <c r="E129" s="430"/>
      <c r="F129" s="445"/>
      <c r="G129" s="430"/>
      <c r="H129" s="78" t="s">
        <v>393</v>
      </c>
      <c r="I129" s="182"/>
      <c r="J129" s="128"/>
      <c r="K129" s="182">
        <v>19.8</v>
      </c>
      <c r="L129" s="183">
        <f t="shared" si="4"/>
        <v>6.3057324840764331E-2</v>
      </c>
      <c r="M129" s="182"/>
      <c r="N129" s="182"/>
      <c r="O129" s="138">
        <f>(0.08847-1.46936*L129+11.98979*L129^2+1.97056*L129^3)*'Key Data'!$I$15*'Key Data'!$F$15</f>
        <v>3.4637624732614107E-2</v>
      </c>
      <c r="P129" s="184">
        <f>O129*(1+'Key Data'!$F$3)</f>
        <v>4.3297030915767636E-2</v>
      </c>
      <c r="Q129" s="433"/>
      <c r="R129" s="436"/>
      <c r="S129" s="369"/>
      <c r="T129"/>
    </row>
    <row r="130" spans="1:20" x14ac:dyDescent="0.3">
      <c r="A130" s="430"/>
      <c r="B130" s="430"/>
      <c r="C130" s="430"/>
      <c r="D130" s="430"/>
      <c r="E130" s="430"/>
      <c r="F130" s="445"/>
      <c r="G130" s="430"/>
      <c r="H130" s="78" t="s">
        <v>393</v>
      </c>
      <c r="I130" s="182"/>
      <c r="J130" s="128"/>
      <c r="K130" s="182">
        <v>26.3</v>
      </c>
      <c r="L130" s="183">
        <f t="shared" si="4"/>
        <v>8.3757961783439486E-2</v>
      </c>
      <c r="M130" s="182"/>
      <c r="N130" s="182"/>
      <c r="O130" s="138">
        <f>(0.08847-1.46936*L130+11.98979*L130^2+1.97056*L130^3)*'Key Data'!$I$15*'Key Data'!$F$15</f>
        <v>3.9902955581945489E-2</v>
      </c>
      <c r="P130" s="184">
        <f>O130*(1+'Key Data'!$F$3)</f>
        <v>4.9878694477431859E-2</v>
      </c>
      <c r="Q130" s="433"/>
      <c r="R130" s="436"/>
      <c r="S130" s="369"/>
      <c r="T130"/>
    </row>
    <row r="131" spans="1:20" x14ac:dyDescent="0.3">
      <c r="A131" s="430"/>
      <c r="B131" s="430"/>
      <c r="C131" s="430"/>
      <c r="D131" s="430"/>
      <c r="E131" s="430"/>
      <c r="F131" s="445"/>
      <c r="G131" s="430"/>
      <c r="H131" s="78" t="s">
        <v>393</v>
      </c>
      <c r="I131" s="182"/>
      <c r="J131" s="128"/>
      <c r="K131" s="182">
        <v>20.5</v>
      </c>
      <c r="L131" s="183">
        <f t="shared" si="4"/>
        <v>6.5286624203821655E-2</v>
      </c>
      <c r="M131" s="182"/>
      <c r="N131" s="182"/>
      <c r="O131" s="138">
        <f>(0.08847-1.46936*L131+11.98979*L131^2+1.97056*L131^3)*'Key Data'!$I$15*'Key Data'!$F$15</f>
        <v>3.4802304514219201E-2</v>
      </c>
      <c r="P131" s="184">
        <f>O131*(1+'Key Data'!$F$3)</f>
        <v>4.3502880642774001E-2</v>
      </c>
      <c r="Q131" s="433"/>
      <c r="R131" s="436"/>
      <c r="S131" s="369"/>
      <c r="T131"/>
    </row>
    <row r="132" spans="1:20" x14ac:dyDescent="0.3">
      <c r="A132" s="430"/>
      <c r="B132" s="430"/>
      <c r="C132" s="430"/>
      <c r="D132" s="430"/>
      <c r="E132" s="430"/>
      <c r="F132" s="445"/>
      <c r="G132" s="430"/>
      <c r="H132" s="78" t="s">
        <v>393</v>
      </c>
      <c r="I132" s="182"/>
      <c r="J132" s="128"/>
      <c r="K132" s="182">
        <v>13</v>
      </c>
      <c r="L132" s="183">
        <f t="shared" si="4"/>
        <v>4.1401273885350316E-2</v>
      </c>
      <c r="M132" s="182"/>
      <c r="N132" s="182"/>
      <c r="O132" s="138">
        <f>(0.08847-1.46936*L132+11.98979*L132^2+1.97056*L132^3)*'Key Data'!$I$15*'Key Data'!$F$15</f>
        <v>3.8058102448738564E-2</v>
      </c>
      <c r="P132" s="184">
        <f>O132*(1+'Key Data'!$F$3)</f>
        <v>4.7572628060923203E-2</v>
      </c>
      <c r="Q132" s="433"/>
      <c r="R132" s="436"/>
      <c r="S132" s="369"/>
      <c r="T132"/>
    </row>
    <row r="133" spans="1:20" x14ac:dyDescent="0.3">
      <c r="A133" s="430"/>
      <c r="B133" s="430"/>
      <c r="C133" s="430"/>
      <c r="D133" s="430"/>
      <c r="E133" s="430"/>
      <c r="F133" s="445"/>
      <c r="G133" s="430"/>
      <c r="H133" s="78" t="s">
        <v>393</v>
      </c>
      <c r="I133" s="182"/>
      <c r="J133" s="128"/>
      <c r="K133" s="182">
        <f>SQRT(16.9^2+10.9^2)</f>
        <v>20.110196418732464</v>
      </c>
      <c r="L133" s="183">
        <f t="shared" si="4"/>
        <v>6.4045211524625681E-2</v>
      </c>
      <c r="M133" s="182"/>
      <c r="N133" s="182"/>
      <c r="O133" s="138">
        <f>(0.08847-1.46936*L133+11.98979*L133^2+1.97056*L133^3)*'Key Data'!$I$15*'Key Data'!$F$15</f>
        <v>3.4698655037842863E-2</v>
      </c>
      <c r="P133" s="184">
        <f>O133*(1+'Key Data'!$F$3)</f>
        <v>4.3373318797303578E-2</v>
      </c>
      <c r="Q133" s="433"/>
      <c r="R133" s="436"/>
      <c r="S133" s="369"/>
      <c r="T133"/>
    </row>
    <row r="134" spans="1:20" x14ac:dyDescent="0.3">
      <c r="A134" s="430"/>
      <c r="B134" s="430"/>
      <c r="C134" s="430"/>
      <c r="D134" s="430"/>
      <c r="E134" s="430"/>
      <c r="F134" s="445"/>
      <c r="G134" s="430"/>
      <c r="H134" s="78" t="s">
        <v>393</v>
      </c>
      <c r="I134" s="182"/>
      <c r="J134" s="128"/>
      <c r="K134" s="182">
        <v>21.9</v>
      </c>
      <c r="L134" s="183">
        <f t="shared" si="4"/>
        <v>6.974522292993629E-2</v>
      </c>
      <c r="M134" s="182"/>
      <c r="N134" s="182"/>
      <c r="O134" s="138">
        <f>(0.08847-1.46936*L134+11.98979*L134^2+1.97056*L134^3)*'Key Data'!$I$15*'Key Data'!$F$15</f>
        <v>3.5422376796608653E-2</v>
      </c>
      <c r="P134" s="184">
        <f>O134*(1+'Key Data'!$F$3)</f>
        <v>4.4277970995760814E-2</v>
      </c>
      <c r="Q134" s="433"/>
      <c r="R134" s="436"/>
      <c r="S134" s="369"/>
      <c r="T134"/>
    </row>
    <row r="135" spans="1:20" x14ac:dyDescent="0.3">
      <c r="A135" s="430"/>
      <c r="B135" s="430"/>
      <c r="C135" s="430"/>
      <c r="D135" s="430"/>
      <c r="E135" s="430"/>
      <c r="F135" s="445"/>
      <c r="G135" s="430"/>
      <c r="H135" s="78" t="s">
        <v>393</v>
      </c>
      <c r="I135" s="182"/>
      <c r="J135" s="128"/>
      <c r="K135" s="182">
        <v>28.2</v>
      </c>
      <c r="L135" s="183">
        <f t="shared" si="4"/>
        <v>8.9808917197452237E-2</v>
      </c>
      <c r="M135" s="182"/>
      <c r="N135" s="182"/>
      <c r="O135" s="138">
        <f>(0.08847-1.46936*L135+11.98979*L135^2+1.97056*L135^3)*'Key Data'!$I$15*'Key Data'!$F$15</f>
        <v>4.3029886923313443E-2</v>
      </c>
      <c r="P135" s="184">
        <f>O135*(1+'Key Data'!$F$3)</f>
        <v>5.3787358654141804E-2</v>
      </c>
      <c r="Q135" s="433"/>
      <c r="R135" s="436"/>
      <c r="S135" s="369"/>
      <c r="T135"/>
    </row>
    <row r="136" spans="1:20" x14ac:dyDescent="0.3">
      <c r="A136" s="430"/>
      <c r="B136" s="430"/>
      <c r="C136" s="430"/>
      <c r="D136" s="430"/>
      <c r="E136" s="430"/>
      <c r="F136" s="445"/>
      <c r="G136" s="430"/>
      <c r="H136" s="78" t="s">
        <v>393</v>
      </c>
      <c r="I136" s="182"/>
      <c r="J136" s="128"/>
      <c r="K136" s="182">
        <v>24.5</v>
      </c>
      <c r="L136" s="183">
        <f t="shared" si="4"/>
        <v>7.8025477707006366E-2</v>
      </c>
      <c r="M136" s="182"/>
      <c r="N136" s="182"/>
      <c r="O136" s="138">
        <f>(0.08847-1.46936*L136+11.98979*L136^2+1.97056*L136^3)*'Key Data'!$I$15*'Key Data'!$F$15</f>
        <v>3.7604761222873685E-2</v>
      </c>
      <c r="P136" s="184">
        <f>O136*(1+'Key Data'!$F$3)</f>
        <v>4.7005951528592105E-2</v>
      </c>
      <c r="Q136" s="433"/>
      <c r="R136" s="436"/>
      <c r="S136" s="369"/>
      <c r="T136"/>
    </row>
    <row r="137" spans="1:20" x14ac:dyDescent="0.3">
      <c r="A137" s="430"/>
      <c r="B137" s="430"/>
      <c r="C137" s="430"/>
      <c r="D137" s="430"/>
      <c r="E137" s="430"/>
      <c r="F137" s="445"/>
      <c r="G137" s="430"/>
      <c r="H137" s="78" t="s">
        <v>393</v>
      </c>
      <c r="I137" s="182"/>
      <c r="J137" s="128"/>
      <c r="K137" s="182">
        <v>16.2</v>
      </c>
      <c r="L137" s="183">
        <f t="shared" si="4"/>
        <v>5.1592356687898085E-2</v>
      </c>
      <c r="M137" s="182"/>
      <c r="N137" s="182"/>
      <c r="O137" s="138">
        <f>(0.08847-1.46936*L137+11.98979*L137^2+1.97056*L137^3)*'Key Data'!$I$15*'Key Data'!$F$15</f>
        <v>3.5316968803786618E-2</v>
      </c>
      <c r="P137" s="184">
        <f>O137*(1+'Key Data'!$F$3)</f>
        <v>4.4146211004733274E-2</v>
      </c>
      <c r="Q137" s="433"/>
      <c r="R137" s="436"/>
      <c r="S137" s="369"/>
      <c r="T137"/>
    </row>
    <row r="138" spans="1:20" x14ac:dyDescent="0.3">
      <c r="A138" s="430"/>
      <c r="B138" s="430"/>
      <c r="C138" s="430"/>
      <c r="D138" s="430"/>
      <c r="E138" s="430"/>
      <c r="F138" s="445"/>
      <c r="G138" s="430"/>
      <c r="H138" s="78" t="s">
        <v>393</v>
      </c>
      <c r="I138" s="182"/>
      <c r="J138" s="128"/>
      <c r="K138" s="182">
        <v>33.5</v>
      </c>
      <c r="L138" s="183">
        <f t="shared" si="4"/>
        <v>0.10668789808917196</v>
      </c>
      <c r="M138" s="182"/>
      <c r="N138" s="182"/>
      <c r="O138" s="138">
        <f>(0.08847-1.46936*L138+11.98979*L138^2+1.97056*L138^3)*'Key Data'!$I$15*'Key Data'!$F$15</f>
        <v>5.5575061162319667E-2</v>
      </c>
      <c r="P138" s="184">
        <f>O138*(1+'Key Data'!$F$3)</f>
        <v>6.946882645289959E-2</v>
      </c>
      <c r="Q138" s="433"/>
      <c r="R138" s="436"/>
      <c r="S138" s="369"/>
      <c r="T138"/>
    </row>
    <row r="139" spans="1:20" x14ac:dyDescent="0.3">
      <c r="A139" s="430"/>
      <c r="B139" s="430"/>
      <c r="C139" s="430"/>
      <c r="D139" s="430"/>
      <c r="E139" s="430"/>
      <c r="F139" s="445"/>
      <c r="G139" s="430"/>
      <c r="H139" s="78" t="s">
        <v>393</v>
      </c>
      <c r="I139" s="182"/>
      <c r="J139" s="128"/>
      <c r="K139" s="182">
        <v>22.2</v>
      </c>
      <c r="L139" s="183">
        <f t="shared" si="4"/>
        <v>7.0700636942675157E-2</v>
      </c>
      <c r="M139" s="182"/>
      <c r="N139" s="182"/>
      <c r="O139" s="138">
        <f>(0.08847-1.46936*L139+11.98979*L139^2+1.97056*L139^3)*'Key Data'!$I$15*'Key Data'!$F$15</f>
        <v>3.560574053851933E-2</v>
      </c>
      <c r="P139" s="184">
        <f>O139*(1+'Key Data'!$F$3)</f>
        <v>4.4507175673149164E-2</v>
      </c>
      <c r="Q139" s="433"/>
      <c r="R139" s="436"/>
      <c r="S139" s="369"/>
      <c r="T139"/>
    </row>
    <row r="140" spans="1:20" x14ac:dyDescent="0.3">
      <c r="A140" s="430"/>
      <c r="B140" s="430"/>
      <c r="C140" s="430"/>
      <c r="D140" s="430"/>
      <c r="E140" s="430"/>
      <c r="F140" s="445"/>
      <c r="G140" s="430"/>
      <c r="H140" s="78" t="s">
        <v>393</v>
      </c>
      <c r="I140" s="182"/>
      <c r="J140" s="128"/>
      <c r="K140" s="182">
        <v>17.5</v>
      </c>
      <c r="L140" s="183">
        <f t="shared" si="4"/>
        <v>5.5732484076433116E-2</v>
      </c>
      <c r="M140" s="182"/>
      <c r="N140" s="182"/>
      <c r="O140" s="138">
        <f>(0.08847-1.46936*L140+11.98979*L140^2+1.97056*L140^3)*'Key Data'!$I$15*'Key Data'!$F$15</f>
        <v>3.4777297190680151E-2</v>
      </c>
      <c r="P140" s="184">
        <f>O140*(1+'Key Data'!$F$3)</f>
        <v>4.3471621488350189E-2</v>
      </c>
      <c r="Q140" s="433"/>
      <c r="R140" s="436"/>
      <c r="S140" s="369"/>
      <c r="T140"/>
    </row>
    <row r="141" spans="1:20" x14ac:dyDescent="0.3">
      <c r="A141" s="430"/>
      <c r="B141" s="430"/>
      <c r="C141" s="430"/>
      <c r="D141" s="430"/>
      <c r="E141" s="430"/>
      <c r="F141" s="445"/>
      <c r="G141" s="430"/>
      <c r="H141" s="78" t="s">
        <v>393</v>
      </c>
      <c r="I141" s="182"/>
      <c r="J141" s="128"/>
      <c r="K141" s="182">
        <v>21.2</v>
      </c>
      <c r="L141" s="183">
        <f t="shared" si="4"/>
        <v>6.751592356687898E-2</v>
      </c>
      <c r="M141" s="182"/>
      <c r="N141" s="182"/>
      <c r="O141" s="138">
        <f>(0.08847-1.46936*L141+11.98979*L141^2+1.97056*L141^3)*'Key Data'!$I$15*'Key Data'!$F$15</f>
        <v>3.5063854150046515E-2</v>
      </c>
      <c r="P141" s="184">
        <f>O141*(1+'Key Data'!$F$3)</f>
        <v>4.3829817687558142E-2</v>
      </c>
      <c r="Q141" s="433"/>
      <c r="R141" s="436"/>
      <c r="S141" s="369"/>
      <c r="T141"/>
    </row>
    <row r="142" spans="1:20" x14ac:dyDescent="0.3">
      <c r="A142" s="430"/>
      <c r="B142" s="430"/>
      <c r="C142" s="430"/>
      <c r="D142" s="430"/>
      <c r="E142" s="430"/>
      <c r="F142" s="445"/>
      <c r="G142" s="430"/>
      <c r="H142" s="78" t="s">
        <v>393</v>
      </c>
      <c r="I142" s="182"/>
      <c r="J142" s="128"/>
      <c r="K142" s="182">
        <v>24.5</v>
      </c>
      <c r="L142" s="183">
        <f t="shared" si="4"/>
        <v>7.8025477707006366E-2</v>
      </c>
      <c r="M142" s="182"/>
      <c r="N142" s="182"/>
      <c r="O142" s="138">
        <f>(0.08847-1.46936*L142+11.98979*L142^2+1.97056*L142^3)*'Key Data'!$I$15*'Key Data'!$F$15</f>
        <v>3.7604761222873685E-2</v>
      </c>
      <c r="P142" s="184">
        <f>O142*(1+'Key Data'!$F$3)</f>
        <v>4.7005951528592105E-2</v>
      </c>
      <c r="Q142" s="433"/>
      <c r="R142" s="436"/>
      <c r="S142" s="369"/>
      <c r="T142"/>
    </row>
    <row r="143" spans="1:20" x14ac:dyDescent="0.3">
      <c r="A143" s="430"/>
      <c r="B143" s="430"/>
      <c r="C143" s="430"/>
      <c r="D143" s="430"/>
      <c r="E143" s="430"/>
      <c r="F143" s="445"/>
      <c r="G143" s="430"/>
      <c r="H143" s="78" t="s">
        <v>393</v>
      </c>
      <c r="I143" s="182"/>
      <c r="J143" s="128"/>
      <c r="K143" s="182">
        <v>22.8</v>
      </c>
      <c r="L143" s="183">
        <f t="shared" si="4"/>
        <v>7.2611464968152864E-2</v>
      </c>
      <c r="M143" s="182"/>
      <c r="N143" s="182"/>
      <c r="O143" s="138">
        <f>(0.08847-1.46936*L143+11.98979*L143^2+1.97056*L143^3)*'Key Data'!$I$15*'Key Data'!$F$15</f>
        <v>3.6025991452408104E-2</v>
      </c>
      <c r="P143" s="184">
        <f>O143*(1+'Key Data'!$F$3)</f>
        <v>4.5032489315510127E-2</v>
      </c>
      <c r="Q143" s="433"/>
      <c r="R143" s="436"/>
      <c r="S143" s="369"/>
      <c r="T143"/>
    </row>
    <row r="144" spans="1:20" x14ac:dyDescent="0.3">
      <c r="A144" s="430"/>
      <c r="B144" s="430"/>
      <c r="C144" s="430"/>
      <c r="D144" s="430"/>
      <c r="E144" s="430"/>
      <c r="F144" s="445"/>
      <c r="G144" s="430"/>
      <c r="H144" s="78" t="s">
        <v>393</v>
      </c>
      <c r="I144" s="182"/>
      <c r="J144" s="128"/>
      <c r="K144" s="182">
        <v>27.2</v>
      </c>
      <c r="L144" s="183">
        <f t="shared" si="4"/>
        <v>8.6624203821656046E-2</v>
      </c>
      <c r="M144" s="182"/>
      <c r="N144" s="182"/>
      <c r="O144" s="138">
        <f>(0.08847-1.46936*L144+11.98979*L144^2+1.97056*L144^3)*'Key Data'!$I$15*'Key Data'!$F$15</f>
        <v>4.1294260208745034E-2</v>
      </c>
      <c r="P144" s="184">
        <f>O144*(1+'Key Data'!$F$3)</f>
        <v>5.1617825260931297E-2</v>
      </c>
      <c r="Q144" s="433"/>
      <c r="R144" s="436"/>
      <c r="S144" s="369"/>
      <c r="T144"/>
    </row>
    <row r="145" spans="1:20" x14ac:dyDescent="0.3">
      <c r="A145" s="430"/>
      <c r="B145" s="430"/>
      <c r="C145" s="430"/>
      <c r="D145" s="430"/>
      <c r="E145" s="430"/>
      <c r="F145" s="445"/>
      <c r="G145" s="430"/>
      <c r="H145" s="78" t="s">
        <v>393</v>
      </c>
      <c r="I145" s="182"/>
      <c r="J145" s="128"/>
      <c r="K145" s="182">
        <v>22.7</v>
      </c>
      <c r="L145" s="183">
        <f t="shared" si="4"/>
        <v>7.2292993630573232E-2</v>
      </c>
      <c r="M145" s="182"/>
      <c r="N145" s="182"/>
      <c r="O145" s="138">
        <f>(0.08847-1.46936*L145+11.98979*L145^2+1.97056*L145^3)*'Key Data'!$I$15*'Key Data'!$F$15</f>
        <v>3.5950991755286571E-2</v>
      </c>
      <c r="P145" s="184">
        <f>O145*(1+'Key Data'!$F$3)</f>
        <v>4.4938739694108214E-2</v>
      </c>
      <c r="Q145" s="433"/>
      <c r="R145" s="436"/>
      <c r="S145" s="369"/>
      <c r="T145"/>
    </row>
    <row r="146" spans="1:20" x14ac:dyDescent="0.3">
      <c r="A146" s="430"/>
      <c r="B146" s="430"/>
      <c r="C146" s="430"/>
      <c r="D146" s="430"/>
      <c r="E146" s="430"/>
      <c r="F146" s="445"/>
      <c r="G146" s="430"/>
      <c r="H146" s="78" t="s">
        <v>393</v>
      </c>
      <c r="I146" s="182"/>
      <c r="J146" s="128"/>
      <c r="K146" s="182">
        <v>28</v>
      </c>
      <c r="L146" s="183">
        <f t="shared" si="4"/>
        <v>8.9171974522292988E-2</v>
      </c>
      <c r="M146" s="182"/>
      <c r="N146" s="182"/>
      <c r="O146" s="138">
        <f>(0.08847-1.46936*L146+11.98979*L146^2+1.97056*L146^3)*'Key Data'!$I$15*'Key Data'!$F$15</f>
        <v>4.266677045725166E-2</v>
      </c>
      <c r="P146" s="184">
        <f>O146*(1+'Key Data'!$F$3)</f>
        <v>5.3333463071564571E-2</v>
      </c>
      <c r="Q146" s="433"/>
      <c r="R146" s="436"/>
      <c r="S146" s="369"/>
      <c r="T146"/>
    </row>
    <row r="147" spans="1:20" x14ac:dyDescent="0.3">
      <c r="A147" s="430"/>
      <c r="B147" s="430"/>
      <c r="C147" s="430"/>
      <c r="D147" s="430"/>
      <c r="E147" s="430"/>
      <c r="F147" s="445"/>
      <c r="G147" s="430"/>
      <c r="H147" s="78" t="s">
        <v>393</v>
      </c>
      <c r="I147" s="182"/>
      <c r="J147" s="128"/>
      <c r="K147" s="182">
        <v>14.5</v>
      </c>
      <c r="L147" s="183">
        <f t="shared" si="4"/>
        <v>4.617834394904459E-2</v>
      </c>
      <c r="M147" s="182"/>
      <c r="N147" s="182"/>
      <c r="O147" s="138">
        <f>(0.08847-1.46936*L147+11.98979*L147^2+1.97056*L147^3)*'Key Data'!$I$15*'Key Data'!$F$15</f>
        <v>3.652341189559577E-2</v>
      </c>
      <c r="P147" s="184">
        <f>O147*(1+'Key Data'!$F$3)</f>
        <v>4.5654264869494712E-2</v>
      </c>
      <c r="Q147" s="433"/>
      <c r="R147" s="436"/>
      <c r="S147" s="369"/>
      <c r="T147"/>
    </row>
    <row r="148" spans="1:20" x14ac:dyDescent="0.3">
      <c r="A148" s="430"/>
      <c r="B148" s="430"/>
      <c r="C148" s="430"/>
      <c r="D148" s="430"/>
      <c r="E148" s="430"/>
      <c r="F148" s="445"/>
      <c r="G148" s="430"/>
      <c r="H148" s="78" t="s">
        <v>393</v>
      </c>
      <c r="I148" s="182"/>
      <c r="J148" s="128"/>
      <c r="K148" s="182">
        <v>30.5</v>
      </c>
      <c r="L148" s="183">
        <f t="shared" si="4"/>
        <v>9.7133757961783432E-2</v>
      </c>
      <c r="M148" s="182"/>
      <c r="N148" s="182"/>
      <c r="O148" s="138">
        <f>(0.08847-1.46936*L148+11.98979*L148^2+1.97056*L148^3)*'Key Data'!$I$15*'Key Data'!$F$15</f>
        <v>4.7781358386235165E-2</v>
      </c>
      <c r="P148" s="184">
        <f>O148*(1+'Key Data'!$F$3)</f>
        <v>5.9726697982793953E-2</v>
      </c>
      <c r="Q148" s="433"/>
      <c r="R148" s="436"/>
      <c r="S148" s="369"/>
      <c r="T148"/>
    </row>
    <row r="149" spans="1:20" x14ac:dyDescent="0.3">
      <c r="A149" s="430"/>
      <c r="B149" s="430"/>
      <c r="C149" s="430"/>
      <c r="D149" s="430"/>
      <c r="E149" s="430"/>
      <c r="F149" s="445"/>
      <c r="G149" s="430"/>
      <c r="H149" s="78" t="s">
        <v>393</v>
      </c>
      <c r="I149" s="182"/>
      <c r="J149" s="128"/>
      <c r="K149" s="182">
        <v>20.6</v>
      </c>
      <c r="L149" s="183">
        <f t="shared" si="4"/>
        <v>6.5605095541401273E-2</v>
      </c>
      <c r="M149" s="182"/>
      <c r="N149" s="182"/>
      <c r="O149" s="138">
        <f>(0.08847-1.46936*L149+11.98979*L149^2+1.97056*L149^3)*'Key Data'!$I$15*'Key Data'!$F$15</f>
        <v>3.4833735534524651E-2</v>
      </c>
      <c r="P149" s="184">
        <f>O149*(1+'Key Data'!$F$3)</f>
        <v>4.3542169418155814E-2</v>
      </c>
      <c r="Q149" s="433"/>
      <c r="R149" s="436"/>
      <c r="S149" s="369"/>
      <c r="T149"/>
    </row>
    <row r="150" spans="1:20" x14ac:dyDescent="0.3">
      <c r="A150" s="430"/>
      <c r="B150" s="430"/>
      <c r="C150" s="430"/>
      <c r="D150" s="430"/>
      <c r="E150" s="430"/>
      <c r="F150" s="445"/>
      <c r="G150" s="430"/>
      <c r="H150" s="78" t="s">
        <v>393</v>
      </c>
      <c r="I150" s="182"/>
      <c r="J150" s="128"/>
      <c r="K150" s="182">
        <v>19.899999999999999</v>
      </c>
      <c r="L150" s="183">
        <f t="shared" si="4"/>
        <v>6.3375796178343935E-2</v>
      </c>
      <c r="M150" s="182"/>
      <c r="N150" s="182"/>
      <c r="O150" s="138">
        <f>(0.08847-1.46936*L150+11.98979*L150^2+1.97056*L150^3)*'Key Data'!$I$15*'Key Data'!$F$15</f>
        <v>3.4655223518021236E-2</v>
      </c>
      <c r="P150" s="184">
        <f>O150*(1+'Key Data'!$F$3)</f>
        <v>4.3319029397526548E-2</v>
      </c>
      <c r="Q150" s="433"/>
      <c r="R150" s="436"/>
      <c r="S150" s="369"/>
      <c r="T150"/>
    </row>
    <row r="151" spans="1:20" x14ac:dyDescent="0.3">
      <c r="A151" s="430"/>
      <c r="B151" s="430"/>
      <c r="C151" s="430"/>
      <c r="D151" s="430"/>
      <c r="E151" s="430"/>
      <c r="F151" s="445"/>
      <c r="G151" s="430"/>
      <c r="H151" s="78" t="s">
        <v>393</v>
      </c>
      <c r="I151" s="182"/>
      <c r="J151" s="128"/>
      <c r="K151" s="182">
        <v>25.6</v>
      </c>
      <c r="L151" s="183">
        <f t="shared" si="4"/>
        <v>8.1528662420382161E-2</v>
      </c>
      <c r="M151" s="182"/>
      <c r="N151" s="182"/>
      <c r="O151" s="138">
        <f>(0.08847-1.46936*L151+11.98979*L151^2+1.97056*L151^3)*'Key Data'!$I$15*'Key Data'!$F$15</f>
        <v>3.8932526222863764E-2</v>
      </c>
      <c r="P151" s="184">
        <f>O151*(1+'Key Data'!$F$3)</f>
        <v>4.8665657778579702E-2</v>
      </c>
      <c r="Q151" s="433"/>
      <c r="R151" s="436"/>
      <c r="S151" s="369"/>
      <c r="T151"/>
    </row>
    <row r="152" spans="1:20" x14ac:dyDescent="0.3">
      <c r="A152" s="430"/>
      <c r="B152" s="430"/>
      <c r="C152" s="430"/>
      <c r="D152" s="430"/>
      <c r="E152" s="430"/>
      <c r="F152" s="445"/>
      <c r="G152" s="430"/>
      <c r="H152" s="78" t="s">
        <v>393</v>
      </c>
      <c r="I152" s="182"/>
      <c r="J152" s="128"/>
      <c r="K152" s="182">
        <v>23.4</v>
      </c>
      <c r="L152" s="183">
        <f t="shared" si="4"/>
        <v>7.4522292993630571E-2</v>
      </c>
      <c r="M152" s="182"/>
      <c r="N152" s="182"/>
      <c r="O152" s="138">
        <f>(0.08847-1.46936*L152+11.98979*L152^2+1.97056*L152^3)*'Key Data'!$I$15*'Key Data'!$F$15</f>
        <v>3.6517661074333123E-2</v>
      </c>
      <c r="P152" s="184">
        <f>O152*(1+'Key Data'!$F$3)</f>
        <v>4.5647076342916405E-2</v>
      </c>
      <c r="Q152" s="433"/>
      <c r="R152" s="436"/>
      <c r="S152" s="369"/>
      <c r="T152"/>
    </row>
    <row r="153" spans="1:20" x14ac:dyDescent="0.3">
      <c r="A153" s="430"/>
      <c r="B153" s="430"/>
      <c r="C153" s="430"/>
      <c r="D153" s="430"/>
      <c r="E153" s="430"/>
      <c r="F153" s="445"/>
      <c r="G153" s="430"/>
      <c r="H153" s="78" t="s">
        <v>393</v>
      </c>
      <c r="I153" s="182"/>
      <c r="J153" s="128"/>
      <c r="K153" s="182">
        <v>11.4</v>
      </c>
      <c r="L153" s="183">
        <f t="shared" si="4"/>
        <v>3.6305732484076432E-2</v>
      </c>
      <c r="M153" s="182"/>
      <c r="N153" s="182"/>
      <c r="O153" s="138">
        <f>(0.08847-1.46936*L153+11.98979*L153^2+1.97056*L153^3)*'Key Data'!$I$15*'Key Data'!$F$15</f>
        <v>4.0179767012101943E-2</v>
      </c>
      <c r="P153" s="184">
        <f>O153*(1+'Key Data'!$F$3)</f>
        <v>5.0224708765127427E-2</v>
      </c>
      <c r="Q153" s="433"/>
      <c r="R153" s="436"/>
      <c r="S153" s="369"/>
      <c r="T153"/>
    </row>
    <row r="154" spans="1:20" x14ac:dyDescent="0.3">
      <c r="A154" s="430"/>
      <c r="B154" s="430"/>
      <c r="C154" s="430"/>
      <c r="D154" s="430"/>
      <c r="E154" s="430"/>
      <c r="F154" s="445"/>
      <c r="G154" s="430"/>
      <c r="H154" s="78" t="s">
        <v>393</v>
      </c>
      <c r="I154" s="182"/>
      <c r="J154" s="128"/>
      <c r="K154" s="182">
        <v>20.399999999999999</v>
      </c>
      <c r="L154" s="183">
        <f t="shared" si="4"/>
        <v>6.4968152866242038E-2</v>
      </c>
      <c r="M154" s="182"/>
      <c r="N154" s="182"/>
      <c r="O154" s="138">
        <f>(0.08847-1.46936*L154+11.98979*L154^2+1.97056*L154^3)*'Key Data'!$I$15*'Key Data'!$F$15</f>
        <v>3.4772850429714196E-2</v>
      </c>
      <c r="P154" s="184">
        <f>O154*(1+'Key Data'!$F$3)</f>
        <v>4.3466063037142746E-2</v>
      </c>
      <c r="Q154" s="433"/>
      <c r="R154" s="436"/>
      <c r="S154" s="369"/>
      <c r="T154"/>
    </row>
    <row r="155" spans="1:20" x14ac:dyDescent="0.3">
      <c r="A155" s="430"/>
      <c r="B155" s="430"/>
      <c r="C155" s="430"/>
      <c r="D155" s="430"/>
      <c r="E155" s="430"/>
      <c r="F155" s="445"/>
      <c r="G155" s="430"/>
      <c r="H155" s="78" t="s">
        <v>393</v>
      </c>
      <c r="I155" s="182"/>
      <c r="J155" s="128"/>
      <c r="K155" s="182">
        <v>23.7</v>
      </c>
      <c r="L155" s="183">
        <f t="shared" si="4"/>
        <v>7.5477707006369424E-2</v>
      </c>
      <c r="M155" s="182"/>
      <c r="N155" s="182"/>
      <c r="O155" s="138">
        <f>(0.08847-1.46936*L155+11.98979*L155^2+1.97056*L155^3)*'Key Data'!$I$15*'Key Data'!$F$15</f>
        <v>3.6790298201289096E-2</v>
      </c>
      <c r="P155" s="184">
        <f>O155*(1+'Key Data'!$F$3)</f>
        <v>4.5987872751611369E-2</v>
      </c>
      <c r="Q155" s="433"/>
      <c r="R155" s="436"/>
      <c r="S155" s="369"/>
      <c r="T155"/>
    </row>
    <row r="156" spans="1:20" x14ac:dyDescent="0.3">
      <c r="A156" s="430"/>
      <c r="B156" s="430"/>
      <c r="C156" s="430"/>
      <c r="D156" s="430"/>
      <c r="E156" s="430"/>
      <c r="F156" s="445"/>
      <c r="G156" s="430"/>
      <c r="H156" s="78" t="s">
        <v>393</v>
      </c>
      <c r="I156" s="182"/>
      <c r="J156" s="128"/>
      <c r="K156" s="182">
        <v>21.9</v>
      </c>
      <c r="L156" s="183">
        <f t="shared" si="4"/>
        <v>6.974522292993629E-2</v>
      </c>
      <c r="M156" s="182"/>
      <c r="N156" s="182"/>
      <c r="O156" s="138">
        <f>(0.08847-1.46936*L156+11.98979*L156^2+1.97056*L156^3)*'Key Data'!$I$15*'Key Data'!$F$15</f>
        <v>3.5422376796608653E-2</v>
      </c>
      <c r="P156" s="184">
        <f>O156*(1+'Key Data'!$F$3)</f>
        <v>4.4277970995760814E-2</v>
      </c>
      <c r="Q156" s="433"/>
      <c r="R156" s="436"/>
      <c r="S156" s="369"/>
      <c r="T156"/>
    </row>
    <row r="157" spans="1:20" x14ac:dyDescent="0.3">
      <c r="A157" s="430"/>
      <c r="B157" s="430"/>
      <c r="C157" s="430"/>
      <c r="D157" s="430"/>
      <c r="E157" s="430"/>
      <c r="F157" s="445"/>
      <c r="G157" s="430"/>
      <c r="H157" s="78" t="s">
        <v>393</v>
      </c>
      <c r="I157" s="182"/>
      <c r="J157" s="128"/>
      <c r="K157" s="182">
        <v>18.600000000000001</v>
      </c>
      <c r="L157" s="183">
        <f t="shared" si="4"/>
        <v>5.9235668789808918E-2</v>
      </c>
      <c r="M157" s="182"/>
      <c r="N157" s="182"/>
      <c r="O157" s="138">
        <f>(0.08847-1.46936*L157+11.98979*L157^2+1.97056*L157^3)*'Key Data'!$I$15*'Key Data'!$F$15</f>
        <v>3.4580390077952598E-2</v>
      </c>
      <c r="P157" s="184">
        <f>O157*(1+'Key Data'!$F$3)</f>
        <v>4.322548759744075E-2</v>
      </c>
      <c r="Q157" s="433"/>
      <c r="R157" s="436"/>
      <c r="S157" s="369"/>
      <c r="T157"/>
    </row>
    <row r="158" spans="1:20" x14ac:dyDescent="0.3">
      <c r="A158" s="430"/>
      <c r="B158" s="430"/>
      <c r="C158" s="430"/>
      <c r="D158" s="430"/>
      <c r="E158" s="430"/>
      <c r="F158" s="445"/>
      <c r="G158" s="430"/>
      <c r="H158" s="78" t="s">
        <v>393</v>
      </c>
      <c r="I158" s="182"/>
      <c r="J158" s="128"/>
      <c r="K158" s="182">
        <v>11.4</v>
      </c>
      <c r="L158" s="183">
        <f t="shared" si="4"/>
        <v>3.6305732484076432E-2</v>
      </c>
      <c r="M158" s="182"/>
      <c r="N158" s="182"/>
      <c r="O158" s="138">
        <f>(0.08847-1.46936*L158+11.98979*L158^2+1.97056*L158^3)*'Key Data'!$I$15*'Key Data'!$F$15</f>
        <v>4.0179767012101943E-2</v>
      </c>
      <c r="P158" s="184">
        <f>O158*(1+'Key Data'!$F$3)</f>
        <v>5.0224708765127427E-2</v>
      </c>
      <c r="Q158" s="433"/>
      <c r="R158" s="436"/>
      <c r="S158" s="369"/>
      <c r="T158"/>
    </row>
    <row r="159" spans="1:20" x14ac:dyDescent="0.3">
      <c r="A159" s="430"/>
      <c r="B159" s="430"/>
      <c r="C159" s="430"/>
      <c r="D159" s="430"/>
      <c r="E159" s="430"/>
      <c r="F159" s="445"/>
      <c r="G159" s="430"/>
      <c r="H159" s="78" t="s">
        <v>393</v>
      </c>
      <c r="I159" s="182"/>
      <c r="J159" s="128"/>
      <c r="K159" s="182">
        <v>19.5</v>
      </c>
      <c r="L159" s="183">
        <f t="shared" si="4"/>
        <v>6.2101910828025478E-2</v>
      </c>
      <c r="M159" s="182"/>
      <c r="N159" s="182"/>
      <c r="O159" s="138">
        <f>(0.08847-1.46936*L159+11.98979*L159^2+1.97056*L159^3)*'Key Data'!$I$15*'Key Data'!$F$15</f>
        <v>3.4596676156794334E-2</v>
      </c>
      <c r="P159" s="184">
        <f>O159*(1+'Key Data'!$F$3)</f>
        <v>4.3245845195992921E-2</v>
      </c>
      <c r="Q159" s="433"/>
      <c r="R159" s="436"/>
      <c r="S159" s="369"/>
      <c r="T159"/>
    </row>
    <row r="160" spans="1:20" x14ac:dyDescent="0.3">
      <c r="A160" s="430"/>
      <c r="B160" s="430"/>
      <c r="C160" s="430"/>
      <c r="D160" s="430"/>
      <c r="E160" s="430"/>
      <c r="F160" s="445"/>
      <c r="G160" s="430"/>
      <c r="H160" s="78" t="s">
        <v>393</v>
      </c>
      <c r="I160" s="182"/>
      <c r="J160" s="128"/>
      <c r="K160" s="182">
        <v>22.4</v>
      </c>
      <c r="L160" s="183">
        <f t="shared" si="4"/>
        <v>7.1337579617834393E-2</v>
      </c>
      <c r="M160" s="182"/>
      <c r="N160" s="182"/>
      <c r="O160" s="138">
        <f>(0.08847-1.46936*L160+11.98979*L160^2+1.97056*L160^3)*'Key Data'!$I$15*'Key Data'!$F$15</f>
        <v>3.5737892774449574E-2</v>
      </c>
      <c r="P160" s="184">
        <f>O160*(1+'Key Data'!$F$3)</f>
        <v>4.4672365968061969E-2</v>
      </c>
      <c r="Q160" s="433"/>
      <c r="R160" s="436"/>
      <c r="S160" s="369"/>
      <c r="T160"/>
    </row>
    <row r="161" spans="1:20" x14ac:dyDescent="0.3">
      <c r="A161" s="430"/>
      <c r="B161" s="430"/>
      <c r="C161" s="430"/>
      <c r="D161" s="430"/>
      <c r="E161" s="430"/>
      <c r="F161" s="445"/>
      <c r="G161" s="430"/>
      <c r="H161" s="78" t="s">
        <v>393</v>
      </c>
      <c r="I161" s="182"/>
      <c r="J161" s="128"/>
      <c r="K161" s="182">
        <v>16.8</v>
      </c>
      <c r="L161" s="183">
        <f t="shared" si="4"/>
        <v>5.3503184713375791E-2</v>
      </c>
      <c r="M161" s="182"/>
      <c r="N161" s="182"/>
      <c r="O161" s="138">
        <f>(0.08847-1.46936*L161+11.98979*L161^2+1.97056*L161^3)*'Key Data'!$I$15*'Key Data'!$F$15</f>
        <v>3.5026605521772565E-2</v>
      </c>
      <c r="P161" s="184">
        <f>O161*(1+'Key Data'!$F$3)</f>
        <v>4.3783256902215704E-2</v>
      </c>
      <c r="Q161" s="433"/>
      <c r="R161" s="436"/>
      <c r="S161" s="369"/>
      <c r="T161"/>
    </row>
    <row r="162" spans="1:20" x14ac:dyDescent="0.3">
      <c r="A162" s="430"/>
      <c r="B162" s="430"/>
      <c r="C162" s="430"/>
      <c r="D162" s="430"/>
      <c r="E162" s="430"/>
      <c r="F162" s="445"/>
      <c r="G162" s="430"/>
      <c r="H162" s="78" t="s">
        <v>393</v>
      </c>
      <c r="I162" s="182"/>
      <c r="J162" s="128"/>
      <c r="K162" s="182">
        <v>10</v>
      </c>
      <c r="L162" s="183">
        <f t="shared" si="4"/>
        <v>3.1847133757961783E-2</v>
      </c>
      <c r="M162" s="182"/>
      <c r="N162" s="182"/>
      <c r="O162" s="138">
        <f>(0.08847-1.46936*L162+11.98979*L162^2+1.97056*L162^3)*'Key Data'!$I$15*'Key Data'!$F$15</f>
        <v>4.2445674836423121E-2</v>
      </c>
      <c r="P162" s="184">
        <f>O162*(1+'Key Data'!$F$3)</f>
        <v>5.3057093545528899E-2</v>
      </c>
      <c r="Q162" s="433"/>
      <c r="R162" s="436"/>
      <c r="S162" s="369"/>
      <c r="T162"/>
    </row>
    <row r="163" spans="1:20" x14ac:dyDescent="0.3">
      <c r="A163" s="430"/>
      <c r="B163" s="430"/>
      <c r="C163" s="430"/>
      <c r="D163" s="430"/>
      <c r="E163" s="430"/>
      <c r="F163" s="445"/>
      <c r="G163" s="430"/>
      <c r="H163" s="78" t="s">
        <v>393</v>
      </c>
      <c r="I163" s="182"/>
      <c r="J163" s="128"/>
      <c r="K163" s="182">
        <v>25.5</v>
      </c>
      <c r="L163" s="183">
        <f t="shared" si="4"/>
        <v>8.1210191082802544E-2</v>
      </c>
      <c r="M163" s="182"/>
      <c r="N163" s="182"/>
      <c r="O163" s="138">
        <f>(0.08847-1.46936*L163+11.98979*L163^2+1.97056*L163^3)*'Key Data'!$I$15*'Key Data'!$F$15</f>
        <v>3.8801864959026718E-2</v>
      </c>
      <c r="P163" s="184">
        <f>O163*(1+'Key Data'!$F$3)</f>
        <v>4.8502331198783395E-2</v>
      </c>
      <c r="Q163" s="433"/>
      <c r="R163" s="436"/>
      <c r="S163" s="369"/>
      <c r="T163"/>
    </row>
    <row r="164" spans="1:20" x14ac:dyDescent="0.3">
      <c r="A164" s="430"/>
      <c r="B164" s="430"/>
      <c r="C164" s="430"/>
      <c r="D164" s="430"/>
      <c r="E164" s="430"/>
      <c r="F164" s="445"/>
      <c r="G164" s="430"/>
      <c r="H164" s="78" t="s">
        <v>393</v>
      </c>
      <c r="I164" s="182"/>
      <c r="J164" s="128"/>
      <c r="K164" s="182">
        <v>19.8</v>
      </c>
      <c r="L164" s="183">
        <f t="shared" si="4"/>
        <v>6.3057324840764331E-2</v>
      </c>
      <c r="M164" s="182"/>
      <c r="N164" s="182"/>
      <c r="O164" s="138">
        <f>(0.08847-1.46936*L164+11.98979*L164^2+1.97056*L164^3)*'Key Data'!$I$15*'Key Data'!$F$15</f>
        <v>3.4637624732614107E-2</v>
      </c>
      <c r="P164" s="184">
        <f>O164*(1+'Key Data'!$F$3)</f>
        <v>4.3297030915767636E-2</v>
      </c>
      <c r="Q164" s="433"/>
      <c r="R164" s="436"/>
      <c r="S164" s="369"/>
      <c r="T164"/>
    </row>
    <row r="165" spans="1:20" x14ac:dyDescent="0.3">
      <c r="A165" s="430"/>
      <c r="B165" s="430"/>
      <c r="C165" s="430"/>
      <c r="D165" s="430"/>
      <c r="E165" s="430"/>
      <c r="F165" s="445"/>
      <c r="G165" s="430"/>
      <c r="H165" s="78" t="s">
        <v>393</v>
      </c>
      <c r="I165" s="182"/>
      <c r="J165" s="128"/>
      <c r="K165" s="182">
        <v>25.2</v>
      </c>
      <c r="L165" s="183">
        <f t="shared" si="4"/>
        <v>8.025477707006369E-2</v>
      </c>
      <c r="M165" s="182"/>
      <c r="N165" s="182"/>
      <c r="O165" s="138">
        <f>(0.08847-1.46936*L165+11.98979*L165^2+1.97056*L165^3)*'Key Data'!$I$15*'Key Data'!$F$15</f>
        <v>3.8421831803681895E-2</v>
      </c>
      <c r="P165" s="184">
        <f>O165*(1+'Key Data'!$F$3)</f>
        <v>4.8027289754602367E-2</v>
      </c>
      <c r="Q165" s="433"/>
      <c r="R165" s="436"/>
      <c r="S165" s="369"/>
      <c r="T165"/>
    </row>
    <row r="166" spans="1:20" x14ac:dyDescent="0.3">
      <c r="A166" s="430"/>
      <c r="B166" s="430"/>
      <c r="C166" s="430"/>
      <c r="D166" s="430"/>
      <c r="E166" s="430"/>
      <c r="F166" s="445"/>
      <c r="G166" s="430"/>
      <c r="H166" s="78" t="s">
        <v>393</v>
      </c>
      <c r="I166" s="182"/>
      <c r="J166" s="128"/>
      <c r="K166" s="182">
        <f>SQRT(20.8^2+10.2^2)</f>
        <v>23.166354913969528</v>
      </c>
      <c r="L166" s="183">
        <f t="shared" ref="L166:L229" si="5">K166/3.14/100</f>
        <v>7.3778200362960275E-2</v>
      </c>
      <c r="M166" s="182"/>
      <c r="N166" s="182"/>
      <c r="O166" s="138">
        <f>(0.08847-1.46936*L166+11.98979*L166^2+1.97056*L166^3)*'Key Data'!$I$15*'Key Data'!$F$15</f>
        <v>3.6317706013860675E-2</v>
      </c>
      <c r="P166" s="184">
        <f>O166*(1+'Key Data'!$F$3)</f>
        <v>4.5397132517325842E-2</v>
      </c>
      <c r="Q166" s="433"/>
      <c r="R166" s="436"/>
      <c r="S166" s="369"/>
      <c r="T166"/>
    </row>
    <row r="167" spans="1:20" x14ac:dyDescent="0.3">
      <c r="A167" s="430"/>
      <c r="B167" s="430"/>
      <c r="C167" s="430"/>
      <c r="D167" s="430"/>
      <c r="E167" s="430"/>
      <c r="F167" s="445"/>
      <c r="G167" s="430"/>
      <c r="H167" s="78" t="s">
        <v>393</v>
      </c>
      <c r="I167" s="182"/>
      <c r="J167" s="128"/>
      <c r="K167" s="182">
        <v>9.4</v>
      </c>
      <c r="L167" s="183">
        <f t="shared" si="5"/>
        <v>2.9936305732484073E-2</v>
      </c>
      <c r="M167" s="182"/>
      <c r="N167" s="182"/>
      <c r="O167" s="138">
        <f>(0.08847-1.46936*L167+11.98979*L167^2+1.97056*L167^3)*'Key Data'!$I$15*'Key Data'!$F$15</f>
        <v>4.3533547745931017E-2</v>
      </c>
      <c r="P167" s="184">
        <f>O167*(1+'Key Data'!$F$3)</f>
        <v>5.4416934682413771E-2</v>
      </c>
      <c r="Q167" s="433"/>
      <c r="R167" s="436"/>
      <c r="S167" s="369"/>
      <c r="T167"/>
    </row>
    <row r="168" spans="1:20" x14ac:dyDescent="0.3">
      <c r="A168" s="430"/>
      <c r="B168" s="430"/>
      <c r="C168" s="430"/>
      <c r="D168" s="430"/>
      <c r="E168" s="430"/>
      <c r="F168" s="445"/>
      <c r="G168" s="430"/>
      <c r="H168" s="78" t="s">
        <v>393</v>
      </c>
      <c r="I168" s="182"/>
      <c r="J168" s="128"/>
      <c r="K168" s="182">
        <v>22.4</v>
      </c>
      <c r="L168" s="183">
        <f t="shared" si="5"/>
        <v>7.1337579617834393E-2</v>
      </c>
      <c r="M168" s="182"/>
      <c r="N168" s="182"/>
      <c r="O168" s="138">
        <f>(0.08847-1.46936*L168+11.98979*L168^2+1.97056*L168^3)*'Key Data'!$I$15*'Key Data'!$F$15</f>
        <v>3.5737892774449574E-2</v>
      </c>
      <c r="P168" s="184">
        <f>O168*(1+'Key Data'!$F$3)</f>
        <v>4.4672365968061969E-2</v>
      </c>
      <c r="Q168" s="433"/>
      <c r="R168" s="436"/>
      <c r="S168" s="369"/>
      <c r="T168"/>
    </row>
    <row r="169" spans="1:20" x14ac:dyDescent="0.3">
      <c r="A169" s="430"/>
      <c r="B169" s="430"/>
      <c r="C169" s="430"/>
      <c r="D169" s="430"/>
      <c r="E169" s="430"/>
      <c r="F169" s="445"/>
      <c r="G169" s="430"/>
      <c r="H169" s="78" t="s">
        <v>393</v>
      </c>
      <c r="I169" s="182"/>
      <c r="J169" s="128"/>
      <c r="K169" s="182">
        <v>18.399999999999999</v>
      </c>
      <c r="L169" s="183">
        <f t="shared" si="5"/>
        <v>5.8598726114649675E-2</v>
      </c>
      <c r="M169" s="182"/>
      <c r="N169" s="182"/>
      <c r="O169" s="138">
        <f>(0.08847-1.46936*L169+11.98979*L169^2+1.97056*L169^3)*'Key Data'!$I$15*'Key Data'!$F$15</f>
        <v>3.4598462106020238E-2</v>
      </c>
      <c r="P169" s="184">
        <f>O169*(1+'Key Data'!$F$3)</f>
        <v>4.3248077632525299E-2</v>
      </c>
      <c r="Q169" s="433"/>
      <c r="R169" s="436"/>
      <c r="S169" s="369"/>
      <c r="T169"/>
    </row>
    <row r="170" spans="1:20" x14ac:dyDescent="0.3">
      <c r="A170" s="430"/>
      <c r="B170" s="430"/>
      <c r="C170" s="430"/>
      <c r="D170" s="430"/>
      <c r="E170" s="430"/>
      <c r="F170" s="445"/>
      <c r="G170" s="430"/>
      <c r="H170" s="78" t="s">
        <v>393</v>
      </c>
      <c r="I170" s="182"/>
      <c r="J170" s="128"/>
      <c r="K170" s="182">
        <v>26.6</v>
      </c>
      <c r="L170" s="183">
        <f t="shared" si="5"/>
        <v>8.4713375796178353E-2</v>
      </c>
      <c r="M170" s="182"/>
      <c r="N170" s="182"/>
      <c r="O170" s="138">
        <f>(0.08847-1.46936*L170+11.98979*L170^2+1.97056*L170^3)*'Key Data'!$I$15*'Key Data'!$F$15</f>
        <v>4.034876355137422E-2</v>
      </c>
      <c r="P170" s="184">
        <f>O170*(1+'Key Data'!$F$3)</f>
        <v>5.0435954439217778E-2</v>
      </c>
      <c r="Q170" s="433"/>
      <c r="R170" s="436"/>
      <c r="S170" s="369"/>
      <c r="T170"/>
    </row>
    <row r="171" spans="1:20" x14ac:dyDescent="0.3">
      <c r="A171" s="430"/>
      <c r="B171" s="430"/>
      <c r="C171" s="430"/>
      <c r="D171" s="430"/>
      <c r="E171" s="430"/>
      <c r="F171" s="445"/>
      <c r="G171" s="430"/>
      <c r="H171" s="78" t="s">
        <v>393</v>
      </c>
      <c r="I171" s="182"/>
      <c r="J171" s="128"/>
      <c r="K171" s="182">
        <v>19.8</v>
      </c>
      <c r="L171" s="183">
        <f t="shared" si="5"/>
        <v>6.3057324840764331E-2</v>
      </c>
      <c r="M171" s="182"/>
      <c r="N171" s="182"/>
      <c r="O171" s="138">
        <f>(0.08847-1.46936*L171+11.98979*L171^2+1.97056*L171^3)*'Key Data'!$I$15*'Key Data'!$F$15</f>
        <v>3.4637624732614107E-2</v>
      </c>
      <c r="P171" s="184">
        <f>O171*(1+'Key Data'!$F$3)</f>
        <v>4.3297030915767636E-2</v>
      </c>
      <c r="Q171" s="433"/>
      <c r="R171" s="436"/>
      <c r="S171" s="369"/>
      <c r="T171"/>
    </row>
    <row r="172" spans="1:20" x14ac:dyDescent="0.3">
      <c r="A172" s="430"/>
      <c r="B172" s="430"/>
      <c r="C172" s="430"/>
      <c r="D172" s="430"/>
      <c r="E172" s="430"/>
      <c r="F172" s="445"/>
      <c r="G172" s="430"/>
      <c r="H172" s="78" t="s">
        <v>393</v>
      </c>
      <c r="I172" s="182"/>
      <c r="J172" s="128"/>
      <c r="K172" s="182">
        <v>17.2</v>
      </c>
      <c r="L172" s="183">
        <f t="shared" si="5"/>
        <v>5.4777070063694262E-2</v>
      </c>
      <c r="M172" s="182"/>
      <c r="N172" s="182"/>
      <c r="O172" s="138">
        <f>(0.08847-1.46936*L172+11.98979*L172^2+1.97056*L172^3)*'Key Data'!$I$15*'Key Data'!$F$15</f>
        <v>3.4872342153058483E-2</v>
      </c>
      <c r="P172" s="184">
        <f>O172*(1+'Key Data'!$F$3)</f>
        <v>4.3590427691323104E-2</v>
      </c>
      <c r="Q172" s="433"/>
      <c r="R172" s="436"/>
      <c r="S172" s="369"/>
      <c r="T172"/>
    </row>
    <row r="173" spans="1:20" x14ac:dyDescent="0.3">
      <c r="A173" s="430"/>
      <c r="B173" s="430"/>
      <c r="C173" s="430"/>
      <c r="D173" s="430"/>
      <c r="E173" s="430"/>
      <c r="F173" s="445"/>
      <c r="G173" s="430"/>
      <c r="H173" s="78" t="s">
        <v>393</v>
      </c>
      <c r="I173" s="182"/>
      <c r="J173" s="128"/>
      <c r="K173" s="182">
        <v>26.2</v>
      </c>
      <c r="L173" s="183">
        <f t="shared" si="5"/>
        <v>8.3439490445859868E-2</v>
      </c>
      <c r="M173" s="182"/>
      <c r="N173" s="182"/>
      <c r="O173" s="138">
        <f>(0.08847-1.46936*L173+11.98979*L173^2+1.97056*L173^3)*'Key Data'!$I$15*'Key Data'!$F$15</f>
        <v>3.9758342084817898E-2</v>
      </c>
      <c r="P173" s="184">
        <f>O173*(1+'Key Data'!$F$3)</f>
        <v>4.9697927606022374E-2</v>
      </c>
      <c r="Q173" s="433"/>
      <c r="R173" s="436"/>
      <c r="S173" s="369"/>
      <c r="T173"/>
    </row>
    <row r="174" spans="1:20" x14ac:dyDescent="0.3">
      <c r="A174" s="430"/>
      <c r="B174" s="430"/>
      <c r="C174" s="430"/>
      <c r="D174" s="430"/>
      <c r="E174" s="430"/>
      <c r="F174" s="445"/>
      <c r="G174" s="430"/>
      <c r="H174" s="78" t="s">
        <v>393</v>
      </c>
      <c r="I174" s="182"/>
      <c r="J174" s="128"/>
      <c r="K174" s="182">
        <v>22.6</v>
      </c>
      <c r="L174" s="183">
        <f t="shared" si="5"/>
        <v>7.1974522292993628E-2</v>
      </c>
      <c r="M174" s="182"/>
      <c r="N174" s="182"/>
      <c r="O174" s="138">
        <f>(0.08847-1.46936*L174+11.98979*L174^2+1.97056*L174^3)*'Key Data'!$I$15*'Key Data'!$F$15</f>
        <v>3.5877975610418222E-2</v>
      </c>
      <c r="P174" s="184">
        <f>O174*(1+'Key Data'!$F$3)</f>
        <v>4.4847469513022778E-2</v>
      </c>
      <c r="Q174" s="433"/>
      <c r="R174" s="436"/>
      <c r="S174" s="369"/>
      <c r="T174"/>
    </row>
    <row r="175" spans="1:20" x14ac:dyDescent="0.3">
      <c r="A175" s="430"/>
      <c r="B175" s="430"/>
      <c r="C175" s="430"/>
      <c r="D175" s="430"/>
      <c r="E175" s="430"/>
      <c r="F175" s="445"/>
      <c r="G175" s="430"/>
      <c r="H175" s="78" t="s">
        <v>393</v>
      </c>
      <c r="I175" s="182"/>
      <c r="J175" s="128"/>
      <c r="K175" s="182">
        <v>21.9</v>
      </c>
      <c r="L175" s="183">
        <f t="shared" si="5"/>
        <v>6.974522292993629E-2</v>
      </c>
      <c r="M175" s="182"/>
      <c r="N175" s="182"/>
      <c r="O175" s="138">
        <f>(0.08847-1.46936*L175+11.98979*L175^2+1.97056*L175^3)*'Key Data'!$I$15*'Key Data'!$F$15</f>
        <v>3.5422376796608653E-2</v>
      </c>
      <c r="P175" s="184">
        <f>O175*(1+'Key Data'!$F$3)</f>
        <v>4.4277970995760814E-2</v>
      </c>
      <c r="Q175" s="433"/>
      <c r="R175" s="436"/>
      <c r="S175" s="369"/>
      <c r="T175"/>
    </row>
    <row r="176" spans="1:20" x14ac:dyDescent="0.3">
      <c r="A176" s="430"/>
      <c r="B176" s="430"/>
      <c r="C176" s="430"/>
      <c r="D176" s="430"/>
      <c r="E176" s="430"/>
      <c r="F176" s="445"/>
      <c r="G176" s="430"/>
      <c r="H176" s="78" t="s">
        <v>393</v>
      </c>
      <c r="I176" s="182"/>
      <c r="J176" s="128"/>
      <c r="K176" s="182">
        <v>13.6</v>
      </c>
      <c r="L176" s="183">
        <f t="shared" si="5"/>
        <v>4.3312101910828023E-2</v>
      </c>
      <c r="M176" s="182"/>
      <c r="N176" s="182"/>
      <c r="O176" s="138">
        <f>(0.08847-1.46936*L176+11.98979*L176^2+1.97056*L176^3)*'Key Data'!$I$15*'Key Data'!$F$15</f>
        <v>3.7391401133922045E-2</v>
      </c>
      <c r="P176" s="184">
        <f>O176*(1+'Key Data'!$F$3)</f>
        <v>4.6739251417402553E-2</v>
      </c>
      <c r="Q176" s="433"/>
      <c r="R176" s="436"/>
      <c r="S176" s="369"/>
      <c r="T176"/>
    </row>
    <row r="177" spans="1:20" x14ac:dyDescent="0.3">
      <c r="A177" s="430"/>
      <c r="B177" s="430"/>
      <c r="C177" s="430"/>
      <c r="D177" s="430"/>
      <c r="E177" s="430"/>
      <c r="F177" s="445"/>
      <c r="G177" s="430"/>
      <c r="H177" s="78" t="s">
        <v>393</v>
      </c>
      <c r="I177" s="182"/>
      <c r="J177" s="128"/>
      <c r="K177" s="182">
        <v>25.8</v>
      </c>
      <c r="L177" s="183">
        <f t="shared" si="5"/>
        <v>8.2165605095541411E-2</v>
      </c>
      <c r="M177" s="182"/>
      <c r="N177" s="182"/>
      <c r="O177" s="138">
        <f>(0.08847-1.46936*L177+11.98979*L177^2+1.97056*L177^3)*'Key Data'!$I$15*'Key Data'!$F$15</f>
        <v>3.9199825873108177E-2</v>
      </c>
      <c r="P177" s="184">
        <f>O177*(1+'Key Data'!$F$3)</f>
        <v>4.8999782341385217E-2</v>
      </c>
      <c r="Q177" s="433"/>
      <c r="R177" s="436"/>
      <c r="S177" s="369"/>
      <c r="T177"/>
    </row>
    <row r="178" spans="1:20" x14ac:dyDescent="0.3">
      <c r="A178" s="430"/>
      <c r="B178" s="430"/>
      <c r="C178" s="430"/>
      <c r="D178" s="430"/>
      <c r="E178" s="430"/>
      <c r="F178" s="445"/>
      <c r="G178" s="430"/>
      <c r="H178" s="78" t="s">
        <v>393</v>
      </c>
      <c r="I178" s="182"/>
      <c r="J178" s="128"/>
      <c r="K178" s="182">
        <v>31</v>
      </c>
      <c r="L178" s="183">
        <f t="shared" si="5"/>
        <v>9.8726114649681521E-2</v>
      </c>
      <c r="M178" s="182"/>
      <c r="N178" s="182"/>
      <c r="O178" s="138">
        <f>(0.08847-1.46936*L178+11.98979*L178^2+1.97056*L178^3)*'Key Data'!$I$15*'Key Data'!$F$15</f>
        <v>4.8954651392016824E-2</v>
      </c>
      <c r="P178" s="184">
        <f>O178*(1+'Key Data'!$F$3)</f>
        <v>6.1193314240021029E-2</v>
      </c>
      <c r="Q178" s="433"/>
      <c r="R178" s="436"/>
      <c r="S178" s="369"/>
      <c r="T178"/>
    </row>
    <row r="179" spans="1:20" x14ac:dyDescent="0.3">
      <c r="A179" s="430"/>
      <c r="B179" s="430"/>
      <c r="C179" s="430"/>
      <c r="D179" s="430"/>
      <c r="E179" s="430"/>
      <c r="F179" s="445"/>
      <c r="G179" s="430"/>
      <c r="H179" s="78" t="s">
        <v>393</v>
      </c>
      <c r="I179" s="182"/>
      <c r="J179" s="128"/>
      <c r="K179" s="182">
        <v>23</v>
      </c>
      <c r="L179" s="183">
        <f t="shared" si="5"/>
        <v>7.32484076433121E-2</v>
      </c>
      <c r="M179" s="182"/>
      <c r="N179" s="182"/>
      <c r="O179" s="138">
        <f>(0.08847-1.46936*L179+11.98979*L179^2+1.97056*L179^3)*'Key Data'!$I$15*'Key Data'!$F$15</f>
        <v>3.6181942706402015E-2</v>
      </c>
      <c r="P179" s="184">
        <f>O179*(1+'Key Data'!$F$3)</f>
        <v>4.5227428383002519E-2</v>
      </c>
      <c r="Q179" s="433"/>
      <c r="R179" s="436"/>
      <c r="S179" s="369"/>
      <c r="T179"/>
    </row>
    <row r="180" spans="1:20" x14ac:dyDescent="0.3">
      <c r="A180" s="430"/>
      <c r="B180" s="430"/>
      <c r="C180" s="430"/>
      <c r="D180" s="430"/>
      <c r="E180" s="430"/>
      <c r="F180" s="445"/>
      <c r="G180" s="430"/>
      <c r="H180" s="78" t="s">
        <v>393</v>
      </c>
      <c r="I180" s="182"/>
      <c r="J180" s="128"/>
      <c r="K180" s="182">
        <v>27</v>
      </c>
      <c r="L180" s="183">
        <f t="shared" si="5"/>
        <v>8.598726114649681E-2</v>
      </c>
      <c r="M180" s="182"/>
      <c r="N180" s="182"/>
      <c r="O180" s="138">
        <f>(0.08847-1.46936*L180+11.98979*L180^2+1.97056*L180^3)*'Key Data'!$I$15*'Key Data'!$F$15</f>
        <v>4.0971109520639502E-2</v>
      </c>
      <c r="P180" s="184">
        <f>O180*(1+'Key Data'!$F$3)</f>
        <v>5.121388690079938E-2</v>
      </c>
      <c r="Q180" s="433"/>
      <c r="R180" s="436"/>
      <c r="S180" s="369"/>
      <c r="T180"/>
    </row>
    <row r="181" spans="1:20" x14ac:dyDescent="0.3">
      <c r="A181" s="430"/>
      <c r="B181" s="430"/>
      <c r="C181" s="430"/>
      <c r="D181" s="430"/>
      <c r="E181" s="430"/>
      <c r="F181" s="445"/>
      <c r="G181" s="430"/>
      <c r="H181" s="78" t="s">
        <v>393</v>
      </c>
      <c r="I181" s="182"/>
      <c r="J181" s="128"/>
      <c r="K181" s="182">
        <f>SQRT(14.2^2+20^2)</f>
        <v>24.528350943347171</v>
      </c>
      <c r="L181" s="183">
        <f t="shared" si="5"/>
        <v>7.8115767335500547E-2</v>
      </c>
      <c r="M181" s="182"/>
      <c r="N181" s="182"/>
      <c r="O181" s="138">
        <f>(0.08847-1.46936*L181+11.98979*L181^2+1.97056*L181^3)*'Key Data'!$I$15*'Key Data'!$F$15</f>
        <v>3.7635959304569061E-2</v>
      </c>
      <c r="P181" s="184">
        <f>O181*(1+'Key Data'!$F$3)</f>
        <v>4.7044949130711326E-2</v>
      </c>
      <c r="Q181" s="433"/>
      <c r="R181" s="436"/>
      <c r="S181" s="369"/>
      <c r="T181"/>
    </row>
    <row r="182" spans="1:20" x14ac:dyDescent="0.3">
      <c r="A182" s="430"/>
      <c r="B182" s="430"/>
      <c r="C182" s="430"/>
      <c r="D182" s="430"/>
      <c r="E182" s="430"/>
      <c r="F182" s="445"/>
      <c r="G182" s="430"/>
      <c r="H182" s="78" t="s">
        <v>393</v>
      </c>
      <c r="I182" s="182"/>
      <c r="J182" s="128"/>
      <c r="K182" s="182">
        <v>21.4</v>
      </c>
      <c r="L182" s="183">
        <f t="shared" si="5"/>
        <v>6.8152866242038201E-2</v>
      </c>
      <c r="M182" s="182"/>
      <c r="N182" s="182"/>
      <c r="O182" s="138">
        <f>(0.08847-1.46936*L182+11.98979*L182^2+1.97056*L182^3)*'Key Data'!$I$15*'Key Data'!$F$15</f>
        <v>3.5156389475526635E-2</v>
      </c>
      <c r="P182" s="184">
        <f>O182*(1+'Key Data'!$F$3)</f>
        <v>4.3945486844408292E-2</v>
      </c>
      <c r="Q182" s="433"/>
      <c r="R182" s="436"/>
      <c r="S182" s="369"/>
      <c r="T182"/>
    </row>
    <row r="183" spans="1:20" x14ac:dyDescent="0.3">
      <c r="A183" s="430"/>
      <c r="B183" s="430"/>
      <c r="C183" s="430"/>
      <c r="D183" s="430"/>
      <c r="E183" s="430"/>
      <c r="F183" s="445"/>
      <c r="G183" s="430"/>
      <c r="H183" s="78" t="s">
        <v>393</v>
      </c>
      <c r="I183" s="182"/>
      <c r="J183" s="128"/>
      <c r="K183" s="182">
        <v>23.8</v>
      </c>
      <c r="L183" s="183">
        <f t="shared" si="5"/>
        <v>7.5796178343949042E-2</v>
      </c>
      <c r="M183" s="182"/>
      <c r="N183" s="182"/>
      <c r="O183" s="138">
        <f>(0.08847-1.46936*L183+11.98979*L183^2+1.97056*L183^3)*'Key Data'!$I$15*'Key Data'!$F$15</f>
        <v>3.688514996207394E-2</v>
      </c>
      <c r="P183" s="184">
        <f>O183*(1+'Key Data'!$F$3)</f>
        <v>4.6106437452592422E-2</v>
      </c>
      <c r="Q183" s="433"/>
      <c r="R183" s="436"/>
      <c r="S183" s="369"/>
      <c r="T183"/>
    </row>
    <row r="184" spans="1:20" x14ac:dyDescent="0.3">
      <c r="A184" s="430"/>
      <c r="B184" s="430"/>
      <c r="C184" s="430"/>
      <c r="D184" s="430"/>
      <c r="E184" s="430"/>
      <c r="F184" s="445"/>
      <c r="G184" s="430"/>
      <c r="H184" s="78" t="s">
        <v>393</v>
      </c>
      <c r="I184" s="182"/>
      <c r="J184" s="128"/>
      <c r="K184" s="182">
        <v>21.6</v>
      </c>
      <c r="L184" s="183">
        <f t="shared" si="5"/>
        <v>6.8789808917197451E-2</v>
      </c>
      <c r="M184" s="182"/>
      <c r="N184" s="182"/>
      <c r="O184" s="138">
        <f>(0.08847-1.46936*L184+11.98979*L184^2+1.97056*L184^3)*'Key Data'!$I$15*'Key Data'!$F$15</f>
        <v>3.5256843371131177E-2</v>
      </c>
      <c r="P184" s="184">
        <f>O184*(1+'Key Data'!$F$3)</f>
        <v>4.4071054213913968E-2</v>
      </c>
      <c r="Q184" s="433"/>
      <c r="R184" s="436"/>
      <c r="S184" s="369"/>
      <c r="T184"/>
    </row>
    <row r="185" spans="1:20" x14ac:dyDescent="0.3">
      <c r="A185" s="430"/>
      <c r="B185" s="430"/>
      <c r="C185" s="430"/>
      <c r="D185" s="430"/>
      <c r="E185" s="430"/>
      <c r="F185" s="445"/>
      <c r="G185" s="430"/>
      <c r="H185" s="78" t="s">
        <v>393</v>
      </c>
      <c r="I185" s="182"/>
      <c r="J185" s="128"/>
      <c r="K185" s="182">
        <v>18.5</v>
      </c>
      <c r="L185" s="183">
        <f t="shared" si="5"/>
        <v>5.89171974522293E-2</v>
      </c>
      <c r="M185" s="182"/>
      <c r="N185" s="182"/>
      <c r="O185" s="138">
        <f>(0.08847-1.46936*L185+11.98979*L185^2+1.97056*L185^3)*'Key Data'!$I$15*'Key Data'!$F$15</f>
        <v>3.4588440631564694E-2</v>
      </c>
      <c r="P185" s="184">
        <f>O185*(1+'Key Data'!$F$3)</f>
        <v>4.3235550789455866E-2</v>
      </c>
      <c r="Q185" s="433"/>
      <c r="R185" s="436"/>
      <c r="S185" s="369"/>
      <c r="T185"/>
    </row>
    <row r="186" spans="1:20" x14ac:dyDescent="0.3">
      <c r="A186" s="430"/>
      <c r="B186" s="430"/>
      <c r="C186" s="430"/>
      <c r="D186" s="430"/>
      <c r="E186" s="430"/>
      <c r="F186" s="445"/>
      <c r="G186" s="430"/>
      <c r="H186" s="78" t="s">
        <v>393</v>
      </c>
      <c r="I186" s="182"/>
      <c r="J186" s="128"/>
      <c r="K186" s="182">
        <v>19.2</v>
      </c>
      <c r="L186" s="183">
        <f t="shared" si="5"/>
        <v>6.1146496815286618E-2</v>
      </c>
      <c r="M186" s="182"/>
      <c r="N186" s="182"/>
      <c r="O186" s="138">
        <f>(0.08847-1.46936*L186+11.98979*L186^2+1.97056*L186^3)*'Key Data'!$I$15*'Key Data'!$F$15</f>
        <v>3.4573492935872113E-2</v>
      </c>
      <c r="P186" s="184">
        <f>O186*(1+'Key Data'!$F$3)</f>
        <v>4.3216866169840142E-2</v>
      </c>
      <c r="Q186" s="433"/>
      <c r="R186" s="436"/>
      <c r="S186" s="369"/>
      <c r="T186"/>
    </row>
    <row r="187" spans="1:20" x14ac:dyDescent="0.3">
      <c r="A187" s="430"/>
      <c r="B187" s="430"/>
      <c r="C187" s="430"/>
      <c r="D187" s="430"/>
      <c r="E187" s="430"/>
      <c r="F187" s="445"/>
      <c r="G187" s="430"/>
      <c r="H187" s="78" t="s">
        <v>393</v>
      </c>
      <c r="I187" s="182"/>
      <c r="J187" s="128"/>
      <c r="K187" s="182">
        <v>13.2</v>
      </c>
      <c r="L187" s="183">
        <f t="shared" si="5"/>
        <v>4.2038216560509552E-2</v>
      </c>
      <c r="M187" s="182"/>
      <c r="N187" s="182"/>
      <c r="O187" s="138">
        <f>(0.08847-1.46936*L187+11.98979*L187^2+1.97056*L187^3)*'Key Data'!$I$15*'Key Data'!$F$15</f>
        <v>3.782804795030921E-2</v>
      </c>
      <c r="P187" s="184">
        <f>O187*(1+'Key Data'!$F$3)</f>
        <v>4.7285059937886509E-2</v>
      </c>
      <c r="Q187" s="433"/>
      <c r="R187" s="436"/>
      <c r="S187" s="369"/>
      <c r="T187"/>
    </row>
    <row r="188" spans="1:20" x14ac:dyDescent="0.3">
      <c r="A188" s="430"/>
      <c r="B188" s="430"/>
      <c r="C188" s="430"/>
      <c r="D188" s="430"/>
      <c r="E188" s="430"/>
      <c r="F188" s="445"/>
      <c r="G188" s="430"/>
      <c r="H188" s="78" t="s">
        <v>393</v>
      </c>
      <c r="I188" s="182"/>
      <c r="J188" s="128"/>
      <c r="K188" s="182">
        <v>23.9</v>
      </c>
      <c r="L188" s="183">
        <f t="shared" si="5"/>
        <v>7.6114649681528646E-2</v>
      </c>
      <c r="M188" s="182"/>
      <c r="N188" s="182"/>
      <c r="O188" s="138">
        <f>(0.08847-1.46936*L188+11.98979*L188^2+1.97056*L188^3)*'Key Data'!$I$15*'Key Data'!$F$15</f>
        <v>3.6981988583338281E-2</v>
      </c>
      <c r="P188" s="184">
        <f>O188*(1+'Key Data'!$F$3)</f>
        <v>4.6227485729172853E-2</v>
      </c>
      <c r="Q188" s="433"/>
      <c r="R188" s="436"/>
      <c r="S188" s="369"/>
      <c r="T188"/>
    </row>
    <row r="189" spans="1:20" x14ac:dyDescent="0.3">
      <c r="A189" s="430"/>
      <c r="B189" s="430"/>
      <c r="C189" s="430"/>
      <c r="D189" s="430"/>
      <c r="E189" s="430"/>
      <c r="F189" s="445"/>
      <c r="G189" s="430"/>
      <c r="H189" s="78" t="s">
        <v>393</v>
      </c>
      <c r="I189" s="182"/>
      <c r="J189" s="128"/>
      <c r="K189" s="182">
        <v>16.2</v>
      </c>
      <c r="L189" s="183">
        <f t="shared" si="5"/>
        <v>5.1592356687898085E-2</v>
      </c>
      <c r="M189" s="182"/>
      <c r="N189" s="182"/>
      <c r="O189" s="138">
        <f>(0.08847-1.46936*L189+11.98979*L189^2+1.97056*L189^3)*'Key Data'!$I$15*'Key Data'!$F$15</f>
        <v>3.5316968803786618E-2</v>
      </c>
      <c r="P189" s="184">
        <f>O189*(1+'Key Data'!$F$3)</f>
        <v>4.4146211004733274E-2</v>
      </c>
      <c r="Q189" s="433"/>
      <c r="R189" s="436"/>
      <c r="S189" s="369"/>
      <c r="T189"/>
    </row>
    <row r="190" spans="1:20" x14ac:dyDescent="0.3">
      <c r="A190" s="430"/>
      <c r="B190" s="430"/>
      <c r="C190" s="430"/>
      <c r="D190" s="430"/>
      <c r="E190" s="430"/>
      <c r="F190" s="445"/>
      <c r="G190" s="430"/>
      <c r="H190" s="78" t="s">
        <v>393</v>
      </c>
      <c r="I190" s="182"/>
      <c r="J190" s="128"/>
      <c r="K190" s="182">
        <v>13.9</v>
      </c>
      <c r="L190" s="183">
        <f t="shared" si="5"/>
        <v>4.4267515923566876E-2</v>
      </c>
      <c r="M190" s="182"/>
      <c r="N190" s="182"/>
      <c r="O190" s="138">
        <f>(0.08847-1.46936*L190+11.98979*L190^2+1.97056*L190^3)*'Key Data'!$I$15*'Key Data'!$F$15</f>
        <v>3.7084454903101527E-2</v>
      </c>
      <c r="P190" s="184">
        <f>O190*(1+'Key Data'!$F$3)</f>
        <v>4.6355568628876909E-2</v>
      </c>
      <c r="Q190" s="433"/>
      <c r="R190" s="436"/>
      <c r="S190" s="369"/>
      <c r="T190"/>
    </row>
    <row r="191" spans="1:20" x14ac:dyDescent="0.3">
      <c r="A191" s="430"/>
      <c r="B191" s="430"/>
      <c r="C191" s="430"/>
      <c r="D191" s="430"/>
      <c r="E191" s="430"/>
      <c r="F191" s="445"/>
      <c r="G191" s="430"/>
      <c r="H191" s="78" t="s">
        <v>393</v>
      </c>
      <c r="I191" s="182"/>
      <c r="J191" s="128"/>
      <c r="K191" s="182">
        <v>34</v>
      </c>
      <c r="L191" s="183">
        <f t="shared" si="5"/>
        <v>0.10828025477707007</v>
      </c>
      <c r="M191" s="182"/>
      <c r="N191" s="182"/>
      <c r="O191" s="138">
        <f>(0.08847-1.46936*L191+11.98979*L191^2+1.97056*L191^3)*'Key Data'!$I$15*'Key Data'!$F$15</f>
        <v>5.7050195219028023E-2</v>
      </c>
      <c r="P191" s="184">
        <f>O191*(1+'Key Data'!$F$3)</f>
        <v>7.1312744023785027E-2</v>
      </c>
      <c r="Q191" s="433"/>
      <c r="R191" s="436"/>
      <c r="S191" s="369"/>
      <c r="T191"/>
    </row>
    <row r="192" spans="1:20" x14ac:dyDescent="0.3">
      <c r="A192" s="430"/>
      <c r="B192" s="430"/>
      <c r="C192" s="430"/>
      <c r="D192" s="430"/>
      <c r="E192" s="430"/>
      <c r="F192" s="445"/>
      <c r="G192" s="430"/>
      <c r="H192" s="78" t="s">
        <v>393</v>
      </c>
      <c r="I192" s="182"/>
      <c r="J192" s="128"/>
      <c r="K192" s="182">
        <v>22</v>
      </c>
      <c r="L192" s="183">
        <f t="shared" si="5"/>
        <v>7.0063694267515922E-2</v>
      </c>
      <c r="M192" s="182"/>
      <c r="N192" s="182"/>
      <c r="O192" s="138">
        <f>(0.08847-1.46936*L192+11.98979*L192^2+1.97056*L192^3)*'Key Data'!$I$15*'Key Data'!$F$15</f>
        <v>3.548151649664473E-2</v>
      </c>
      <c r="P192" s="184">
        <f>O192*(1+'Key Data'!$F$3)</f>
        <v>4.4351895620805909E-2</v>
      </c>
      <c r="Q192" s="433"/>
      <c r="R192" s="436"/>
      <c r="S192" s="369"/>
      <c r="T192"/>
    </row>
    <row r="193" spans="1:20" x14ac:dyDescent="0.3">
      <c r="A193" s="430"/>
      <c r="B193" s="430"/>
      <c r="C193" s="430"/>
      <c r="D193" s="430"/>
      <c r="E193" s="430"/>
      <c r="F193" s="445"/>
      <c r="G193" s="430"/>
      <c r="H193" s="78" t="s">
        <v>393</v>
      </c>
      <c r="I193" s="182"/>
      <c r="J193" s="128"/>
      <c r="K193" s="182">
        <v>33.6</v>
      </c>
      <c r="L193" s="183">
        <f t="shared" si="5"/>
        <v>0.10700636942675158</v>
      </c>
      <c r="M193" s="182"/>
      <c r="N193" s="182"/>
      <c r="O193" s="138">
        <f>(0.08847-1.46936*L193+11.98979*L193^2+1.97056*L193^3)*'Key Data'!$I$15*'Key Data'!$F$15</f>
        <v>5.5866054704628E-2</v>
      </c>
      <c r="P193" s="184">
        <f>O193*(1+'Key Data'!$F$3)</f>
        <v>6.9832568380784998E-2</v>
      </c>
      <c r="Q193" s="433"/>
      <c r="R193" s="436"/>
      <c r="S193" s="369"/>
      <c r="T193"/>
    </row>
    <row r="194" spans="1:20" x14ac:dyDescent="0.3">
      <c r="A194" s="430"/>
      <c r="B194" s="430"/>
      <c r="C194" s="430"/>
      <c r="D194" s="430"/>
      <c r="E194" s="430"/>
      <c r="F194" s="445"/>
      <c r="G194" s="430"/>
      <c r="H194" s="78" t="s">
        <v>393</v>
      </c>
      <c r="I194" s="182"/>
      <c r="J194" s="128"/>
      <c r="K194" s="182">
        <v>22.8</v>
      </c>
      <c r="L194" s="183">
        <f t="shared" si="5"/>
        <v>7.2611464968152864E-2</v>
      </c>
      <c r="M194" s="182"/>
      <c r="N194" s="182"/>
      <c r="O194" s="138">
        <f>(0.08847-1.46936*L194+11.98979*L194^2+1.97056*L194^3)*'Key Data'!$I$15*'Key Data'!$F$15</f>
        <v>3.6025991452408104E-2</v>
      </c>
      <c r="P194" s="184">
        <f>O194*(1+'Key Data'!$F$3)</f>
        <v>4.5032489315510127E-2</v>
      </c>
      <c r="Q194" s="433"/>
      <c r="R194" s="436"/>
      <c r="S194" s="369"/>
      <c r="T194"/>
    </row>
    <row r="195" spans="1:20" x14ac:dyDescent="0.3">
      <c r="A195" s="430"/>
      <c r="B195" s="430"/>
      <c r="C195" s="430"/>
      <c r="D195" s="430"/>
      <c r="E195" s="430"/>
      <c r="F195" s="445"/>
      <c r="G195" s="430"/>
      <c r="H195" s="78" t="s">
        <v>393</v>
      </c>
      <c r="I195" s="182"/>
      <c r="J195" s="128"/>
      <c r="K195" s="182">
        <v>17.2</v>
      </c>
      <c r="L195" s="183">
        <f t="shared" si="5"/>
        <v>5.4777070063694262E-2</v>
      </c>
      <c r="M195" s="182"/>
      <c r="N195" s="182"/>
      <c r="O195" s="138">
        <f>(0.08847-1.46936*L195+11.98979*L195^2+1.97056*L195^3)*'Key Data'!$I$15*'Key Data'!$F$15</f>
        <v>3.4872342153058483E-2</v>
      </c>
      <c r="P195" s="184">
        <f>O195*(1+'Key Data'!$F$3)</f>
        <v>4.3590427691323104E-2</v>
      </c>
      <c r="Q195" s="433"/>
      <c r="R195" s="436"/>
      <c r="S195" s="369"/>
      <c r="T195"/>
    </row>
    <row r="196" spans="1:20" x14ac:dyDescent="0.3">
      <c r="A196" s="430"/>
      <c r="B196" s="430"/>
      <c r="C196" s="430"/>
      <c r="D196" s="430"/>
      <c r="E196" s="430"/>
      <c r="F196" s="445"/>
      <c r="G196" s="430"/>
      <c r="H196" s="78" t="s">
        <v>393</v>
      </c>
      <c r="I196" s="182"/>
      <c r="J196" s="128"/>
      <c r="K196" s="182">
        <v>20.6</v>
      </c>
      <c r="L196" s="183">
        <f t="shared" si="5"/>
        <v>6.5605095541401273E-2</v>
      </c>
      <c r="M196" s="182"/>
      <c r="N196" s="182"/>
      <c r="O196" s="138">
        <f>(0.08847-1.46936*L196+11.98979*L196^2+1.97056*L196^3)*'Key Data'!$I$15*'Key Data'!$F$15</f>
        <v>3.4833735534524651E-2</v>
      </c>
      <c r="P196" s="184">
        <f>O196*(1+'Key Data'!$F$3)</f>
        <v>4.3542169418155814E-2</v>
      </c>
      <c r="Q196" s="433"/>
      <c r="R196" s="436"/>
      <c r="S196" s="369"/>
      <c r="T196"/>
    </row>
    <row r="197" spans="1:20" x14ac:dyDescent="0.3">
      <c r="A197" s="430"/>
      <c r="B197" s="430"/>
      <c r="C197" s="430"/>
      <c r="D197" s="430"/>
      <c r="E197" s="430"/>
      <c r="F197" s="445"/>
      <c r="G197" s="430"/>
      <c r="H197" s="78" t="s">
        <v>393</v>
      </c>
      <c r="I197" s="182"/>
      <c r="J197" s="128"/>
      <c r="K197" s="182">
        <v>23.4</v>
      </c>
      <c r="L197" s="183">
        <f t="shared" si="5"/>
        <v>7.4522292993630571E-2</v>
      </c>
      <c r="M197" s="182"/>
      <c r="N197" s="182"/>
      <c r="O197" s="138">
        <f>(0.08847-1.46936*L197+11.98979*L197^2+1.97056*L197^3)*'Key Data'!$I$15*'Key Data'!$F$15</f>
        <v>3.6517661074333123E-2</v>
      </c>
      <c r="P197" s="184">
        <f>O197*(1+'Key Data'!$F$3)</f>
        <v>4.5647076342916405E-2</v>
      </c>
      <c r="Q197" s="433"/>
      <c r="R197" s="436"/>
      <c r="S197" s="369"/>
      <c r="T197"/>
    </row>
    <row r="198" spans="1:20" x14ac:dyDescent="0.3">
      <c r="A198" s="430"/>
      <c r="B198" s="430"/>
      <c r="C198" s="430"/>
      <c r="D198" s="430"/>
      <c r="E198" s="430"/>
      <c r="F198" s="445"/>
      <c r="G198" s="430"/>
      <c r="H198" s="78" t="s">
        <v>393</v>
      </c>
      <c r="I198" s="182"/>
      <c r="J198" s="128"/>
      <c r="K198" s="182">
        <v>15.2</v>
      </c>
      <c r="L198" s="183">
        <f t="shared" si="5"/>
        <v>4.8407643312101907E-2</v>
      </c>
      <c r="M198" s="182"/>
      <c r="N198" s="182"/>
      <c r="O198" s="138">
        <f>(0.08847-1.46936*L198+11.98979*L198^2+1.97056*L198^3)*'Key Data'!$I$15*'Key Data'!$F$15</f>
        <v>3.5957995818804545E-2</v>
      </c>
      <c r="P198" s="184">
        <f>O198*(1+'Key Data'!$F$3)</f>
        <v>4.4947494773505681E-2</v>
      </c>
      <c r="Q198" s="433"/>
      <c r="R198" s="436"/>
      <c r="S198" s="369"/>
      <c r="T198"/>
    </row>
    <row r="199" spans="1:20" x14ac:dyDescent="0.3">
      <c r="A199" s="430"/>
      <c r="B199" s="430"/>
      <c r="C199" s="430"/>
      <c r="D199" s="430"/>
      <c r="E199" s="430"/>
      <c r="F199" s="445"/>
      <c r="G199" s="430"/>
      <c r="H199" s="78" t="s">
        <v>393</v>
      </c>
      <c r="I199" s="182"/>
      <c r="J199" s="128"/>
      <c r="K199" s="182">
        <v>20.399999999999999</v>
      </c>
      <c r="L199" s="183">
        <f t="shared" si="5"/>
        <v>6.4968152866242038E-2</v>
      </c>
      <c r="M199" s="182"/>
      <c r="N199" s="182"/>
      <c r="O199" s="138">
        <f>(0.08847-1.46936*L199+11.98979*L199^2+1.97056*L199^3)*'Key Data'!$I$15*'Key Data'!$F$15</f>
        <v>3.4772850429714196E-2</v>
      </c>
      <c r="P199" s="184">
        <f>O199*(1+'Key Data'!$F$3)</f>
        <v>4.3466063037142746E-2</v>
      </c>
      <c r="Q199" s="433"/>
      <c r="R199" s="436"/>
      <c r="S199" s="369"/>
      <c r="T199"/>
    </row>
    <row r="200" spans="1:20" x14ac:dyDescent="0.3">
      <c r="A200" s="430"/>
      <c r="B200" s="430"/>
      <c r="C200" s="430"/>
      <c r="D200" s="430"/>
      <c r="E200" s="430"/>
      <c r="F200" s="445"/>
      <c r="G200" s="430"/>
      <c r="H200" s="78" t="s">
        <v>393</v>
      </c>
      <c r="I200" s="182"/>
      <c r="J200" s="128"/>
      <c r="K200" s="182">
        <v>20.8</v>
      </c>
      <c r="L200" s="183">
        <f t="shared" si="5"/>
        <v>6.6242038216560509E-2</v>
      </c>
      <c r="M200" s="182"/>
      <c r="N200" s="182"/>
      <c r="O200" s="138">
        <f>(0.08847-1.46936*L200+11.98979*L200^2+1.97056*L200^3)*'Key Data'!$I$15*'Key Data'!$F$15</f>
        <v>3.4902529585528329E-2</v>
      </c>
      <c r="P200" s="184">
        <f>O200*(1+'Key Data'!$F$3)</f>
        <v>4.3628161981910413E-2</v>
      </c>
      <c r="Q200" s="433"/>
      <c r="R200" s="436"/>
      <c r="S200" s="369"/>
      <c r="T200"/>
    </row>
    <row r="201" spans="1:20" x14ac:dyDescent="0.3">
      <c r="A201" s="430"/>
      <c r="B201" s="430"/>
      <c r="C201" s="430"/>
      <c r="D201" s="430"/>
      <c r="E201" s="430"/>
      <c r="F201" s="445"/>
      <c r="G201" s="430"/>
      <c r="H201" s="78" t="s">
        <v>393</v>
      </c>
      <c r="I201" s="182"/>
      <c r="J201" s="128"/>
      <c r="K201" s="182">
        <v>18</v>
      </c>
      <c r="L201" s="183">
        <f t="shared" si="5"/>
        <v>5.7324840764331204E-2</v>
      </c>
      <c r="M201" s="182"/>
      <c r="N201" s="182"/>
      <c r="O201" s="138">
        <f>(0.08847-1.46936*L201+11.98979*L201^2+1.97056*L201^3)*'Key Data'!$I$15*'Key Data'!$F$15</f>
        <v>3.4658251197319925E-2</v>
      </c>
      <c r="P201" s="184">
        <f>O201*(1+'Key Data'!$F$3)</f>
        <v>4.3322813996649903E-2</v>
      </c>
      <c r="Q201" s="433"/>
      <c r="R201" s="436"/>
      <c r="S201" s="369"/>
      <c r="T201"/>
    </row>
    <row r="202" spans="1:20" x14ac:dyDescent="0.3">
      <c r="A202" s="430"/>
      <c r="B202" s="430"/>
      <c r="C202" s="430"/>
      <c r="D202" s="430"/>
      <c r="E202" s="430"/>
      <c r="F202" s="445"/>
      <c r="G202" s="430"/>
      <c r="H202" s="78" t="s">
        <v>393</v>
      </c>
      <c r="I202" s="182"/>
      <c r="J202" s="128"/>
      <c r="K202" s="182">
        <v>13.5</v>
      </c>
      <c r="L202" s="183">
        <f t="shared" si="5"/>
        <v>4.2993630573248405E-2</v>
      </c>
      <c r="M202" s="182"/>
      <c r="N202" s="182"/>
      <c r="O202" s="138">
        <f>(0.08847-1.46936*L202+11.98979*L202^2+1.97056*L202^3)*'Key Data'!$I$15*'Key Data'!$F$15</f>
        <v>3.7497629313590262E-2</v>
      </c>
      <c r="P202" s="184">
        <f>O202*(1+'Key Data'!$F$3)</f>
        <v>4.687203664198783E-2</v>
      </c>
      <c r="Q202" s="433"/>
      <c r="R202" s="436"/>
      <c r="S202" s="369"/>
      <c r="T202"/>
    </row>
    <row r="203" spans="1:20" x14ac:dyDescent="0.3">
      <c r="A203" s="430"/>
      <c r="B203" s="430"/>
      <c r="C203" s="430"/>
      <c r="D203" s="430"/>
      <c r="E203" s="430"/>
      <c r="F203" s="445"/>
      <c r="G203" s="430"/>
      <c r="H203" s="78" t="s">
        <v>393</v>
      </c>
      <c r="I203" s="182"/>
      <c r="J203" s="128"/>
      <c r="K203" s="182">
        <v>26.5</v>
      </c>
      <c r="L203" s="183">
        <f t="shared" si="5"/>
        <v>8.4394904458598721E-2</v>
      </c>
      <c r="M203" s="182"/>
      <c r="N203" s="182"/>
      <c r="O203" s="138">
        <f>(0.08847-1.46936*L203+11.98979*L203^2+1.97056*L203^3)*'Key Data'!$I$15*'Key Data'!$F$15</f>
        <v>4.0198166014475782E-2</v>
      </c>
      <c r="P203" s="184">
        <f>O203*(1+'Key Data'!$F$3)</f>
        <v>5.0247707518094729E-2</v>
      </c>
      <c r="Q203" s="433"/>
      <c r="R203" s="436"/>
      <c r="S203" s="369"/>
      <c r="T203"/>
    </row>
    <row r="204" spans="1:20" x14ac:dyDescent="0.3">
      <c r="A204" s="430"/>
      <c r="B204" s="430"/>
      <c r="C204" s="430"/>
      <c r="D204" s="430"/>
      <c r="E204" s="430"/>
      <c r="F204" s="445"/>
      <c r="G204" s="430"/>
      <c r="H204" s="78" t="s">
        <v>393</v>
      </c>
      <c r="I204" s="182"/>
      <c r="J204" s="128"/>
      <c r="K204" s="182">
        <v>18</v>
      </c>
      <c r="L204" s="183">
        <f t="shared" si="5"/>
        <v>5.7324840764331204E-2</v>
      </c>
      <c r="M204" s="182"/>
      <c r="N204" s="182"/>
      <c r="O204" s="138">
        <f>(0.08847-1.46936*L204+11.98979*L204^2+1.97056*L204^3)*'Key Data'!$I$15*'Key Data'!$F$15</f>
        <v>3.4658251197319925E-2</v>
      </c>
      <c r="P204" s="184">
        <f>O204*(1+'Key Data'!$F$3)</f>
        <v>4.3322813996649903E-2</v>
      </c>
      <c r="Q204" s="433"/>
      <c r="R204" s="436"/>
      <c r="S204" s="369"/>
      <c r="T204"/>
    </row>
    <row r="205" spans="1:20" x14ac:dyDescent="0.3">
      <c r="A205" s="430"/>
      <c r="B205" s="430"/>
      <c r="C205" s="430"/>
      <c r="D205" s="430"/>
      <c r="E205" s="430"/>
      <c r="F205" s="445"/>
      <c r="G205" s="430"/>
      <c r="H205" s="78" t="s">
        <v>393</v>
      </c>
      <c r="I205" s="182"/>
      <c r="J205" s="128"/>
      <c r="K205" s="182">
        <v>18</v>
      </c>
      <c r="L205" s="183">
        <f t="shared" si="5"/>
        <v>5.7324840764331204E-2</v>
      </c>
      <c r="M205" s="182"/>
      <c r="N205" s="182"/>
      <c r="O205" s="138">
        <f>(0.08847-1.46936*L205+11.98979*L205^2+1.97056*L205^3)*'Key Data'!$I$15*'Key Data'!$F$15</f>
        <v>3.4658251197319925E-2</v>
      </c>
      <c r="P205" s="184">
        <f>O205*(1+'Key Data'!$F$3)</f>
        <v>4.3322813996649903E-2</v>
      </c>
      <c r="Q205" s="433"/>
      <c r="R205" s="436"/>
      <c r="S205" s="369"/>
      <c r="T205"/>
    </row>
    <row r="206" spans="1:20" x14ac:dyDescent="0.3">
      <c r="A206" s="430"/>
      <c r="B206" s="430"/>
      <c r="C206" s="430"/>
      <c r="D206" s="430"/>
      <c r="E206" s="430"/>
      <c r="F206" s="445"/>
      <c r="G206" s="430"/>
      <c r="H206" s="78" t="s">
        <v>393</v>
      </c>
      <c r="I206" s="182"/>
      <c r="J206" s="128"/>
      <c r="K206" s="182">
        <v>20</v>
      </c>
      <c r="L206" s="183">
        <f t="shared" si="5"/>
        <v>6.3694267515923567E-2</v>
      </c>
      <c r="M206" s="182"/>
      <c r="N206" s="182"/>
      <c r="O206" s="138">
        <f>(0.08847-1.46936*L206+11.98979*L206^2+1.97056*L206^3)*'Key Data'!$I$15*'Key Data'!$F$15</f>
        <v>3.4674797434741736E-2</v>
      </c>
      <c r="P206" s="184">
        <f>O206*(1+'Key Data'!$F$3)</f>
        <v>4.3343496793427166E-2</v>
      </c>
      <c r="Q206" s="433"/>
      <c r="R206" s="436"/>
      <c r="S206" s="369"/>
      <c r="T206"/>
    </row>
    <row r="207" spans="1:20" x14ac:dyDescent="0.3">
      <c r="A207" s="430"/>
      <c r="B207" s="430"/>
      <c r="C207" s="430"/>
      <c r="D207" s="430"/>
      <c r="E207" s="430"/>
      <c r="F207" s="445"/>
      <c r="G207" s="430"/>
      <c r="H207" s="78" t="s">
        <v>393</v>
      </c>
      <c r="I207" s="182"/>
      <c r="J207" s="128"/>
      <c r="K207" s="182">
        <v>14.5</v>
      </c>
      <c r="L207" s="183">
        <f t="shared" si="5"/>
        <v>4.617834394904459E-2</v>
      </c>
      <c r="M207" s="182"/>
      <c r="N207" s="182"/>
      <c r="O207" s="138">
        <f>(0.08847-1.46936*L207+11.98979*L207^2+1.97056*L207^3)*'Key Data'!$I$15*'Key Data'!$F$15</f>
        <v>3.652341189559577E-2</v>
      </c>
      <c r="P207" s="184">
        <f>O207*(1+'Key Data'!$F$3)</f>
        <v>4.5654264869494712E-2</v>
      </c>
      <c r="Q207" s="433"/>
      <c r="R207" s="436"/>
      <c r="S207" s="369"/>
      <c r="T207"/>
    </row>
    <row r="208" spans="1:20" x14ac:dyDescent="0.3">
      <c r="A208" s="430"/>
      <c r="B208" s="430"/>
      <c r="C208" s="430"/>
      <c r="D208" s="430"/>
      <c r="E208" s="430"/>
      <c r="F208" s="445"/>
      <c r="G208" s="430"/>
      <c r="H208" s="78" t="s">
        <v>393</v>
      </c>
      <c r="I208" s="182"/>
      <c r="J208" s="128"/>
      <c r="K208" s="182">
        <v>10.6</v>
      </c>
      <c r="L208" s="183">
        <f t="shared" si="5"/>
        <v>3.375796178343949E-2</v>
      </c>
      <c r="M208" s="182"/>
      <c r="N208" s="182"/>
      <c r="O208" s="138">
        <f>(0.08847-1.46936*L208+11.98979*L208^2+1.97056*L208^3)*'Key Data'!$I$15*'Key Data'!$F$15</f>
        <v>4.1427834788858045E-2</v>
      </c>
      <c r="P208" s="184">
        <f>O208*(1+'Key Data'!$F$3)</f>
        <v>5.1784793486072553E-2</v>
      </c>
      <c r="Q208" s="433"/>
      <c r="R208" s="436"/>
      <c r="S208" s="369"/>
      <c r="T208"/>
    </row>
    <row r="209" spans="1:20" x14ac:dyDescent="0.3">
      <c r="A209" s="430"/>
      <c r="B209" s="430"/>
      <c r="C209" s="430"/>
      <c r="D209" s="430"/>
      <c r="E209" s="430"/>
      <c r="F209" s="445"/>
      <c r="G209" s="430"/>
      <c r="H209" s="78" t="s">
        <v>393</v>
      </c>
      <c r="I209" s="182"/>
      <c r="J209" s="128"/>
      <c r="K209" s="182">
        <v>22.7</v>
      </c>
      <c r="L209" s="183">
        <f t="shared" si="5"/>
        <v>7.2292993630573232E-2</v>
      </c>
      <c r="M209" s="182"/>
      <c r="N209" s="182"/>
      <c r="O209" s="138">
        <f>(0.08847-1.46936*L209+11.98979*L209^2+1.97056*L209^3)*'Key Data'!$I$15*'Key Data'!$F$15</f>
        <v>3.5950991755286571E-2</v>
      </c>
      <c r="P209" s="184">
        <f>O209*(1+'Key Data'!$F$3)</f>
        <v>4.4938739694108214E-2</v>
      </c>
      <c r="Q209" s="433"/>
      <c r="R209" s="436"/>
      <c r="S209" s="369"/>
      <c r="T209"/>
    </row>
    <row r="210" spans="1:20" x14ac:dyDescent="0.3">
      <c r="A210" s="430"/>
      <c r="B210" s="430"/>
      <c r="C210" s="430"/>
      <c r="D210" s="430"/>
      <c r="E210" s="430"/>
      <c r="F210" s="445"/>
      <c r="G210" s="430"/>
      <c r="H210" s="78" t="s">
        <v>393</v>
      </c>
      <c r="I210" s="182"/>
      <c r="J210" s="128"/>
      <c r="K210" s="182">
        <v>29.8</v>
      </c>
      <c r="L210" s="183">
        <f t="shared" si="5"/>
        <v>9.4904458598726121E-2</v>
      </c>
      <c r="M210" s="182"/>
      <c r="N210" s="182"/>
      <c r="O210" s="138">
        <f>(0.08847-1.46936*L210+11.98979*L210^2+1.97056*L210^3)*'Key Data'!$I$15*'Key Data'!$F$15</f>
        <v>4.622303420179065E-2</v>
      </c>
      <c r="P210" s="184">
        <f>O210*(1+'Key Data'!$F$3)</f>
        <v>5.7778792752238309E-2</v>
      </c>
      <c r="Q210" s="433"/>
      <c r="R210" s="436"/>
      <c r="S210" s="369"/>
      <c r="T210"/>
    </row>
    <row r="211" spans="1:20" x14ac:dyDescent="0.3">
      <c r="A211" s="430"/>
      <c r="B211" s="430"/>
      <c r="C211" s="430"/>
      <c r="D211" s="430"/>
      <c r="E211" s="430"/>
      <c r="F211" s="445"/>
      <c r="G211" s="430"/>
      <c r="H211" s="78" t="s">
        <v>393</v>
      </c>
      <c r="I211" s="182"/>
      <c r="J211" s="128"/>
      <c r="K211" s="182">
        <v>18.899999999999999</v>
      </c>
      <c r="L211" s="183">
        <f t="shared" si="5"/>
        <v>6.0191082802547757E-2</v>
      </c>
      <c r="M211" s="182"/>
      <c r="N211" s="182"/>
      <c r="O211" s="138">
        <f>(0.08847-1.46936*L211+11.98979*L211^2+1.97056*L211^3)*'Key Data'!$I$15*'Key Data'!$F$15</f>
        <v>3.4568066949655529E-2</v>
      </c>
      <c r="P211" s="184">
        <f>O211*(1+'Key Data'!$F$3)</f>
        <v>4.3210083687069412E-2</v>
      </c>
      <c r="Q211" s="433"/>
      <c r="R211" s="436"/>
      <c r="S211" s="369"/>
      <c r="T211"/>
    </row>
    <row r="212" spans="1:20" x14ac:dyDescent="0.3">
      <c r="A212" s="430"/>
      <c r="B212" s="430"/>
      <c r="C212" s="430"/>
      <c r="D212" s="430"/>
      <c r="E212" s="430"/>
      <c r="F212" s="445"/>
      <c r="G212" s="430"/>
      <c r="H212" s="78" t="s">
        <v>393</v>
      </c>
      <c r="I212" s="182"/>
      <c r="J212" s="128"/>
      <c r="K212" s="182">
        <v>20.399999999999999</v>
      </c>
      <c r="L212" s="183">
        <f t="shared" si="5"/>
        <v>6.4968152866242038E-2</v>
      </c>
      <c r="M212" s="182"/>
      <c r="N212" s="182"/>
      <c r="O212" s="138">
        <f>(0.08847-1.46936*L212+11.98979*L212^2+1.97056*L212^3)*'Key Data'!$I$15*'Key Data'!$F$15</f>
        <v>3.4772850429714196E-2</v>
      </c>
      <c r="P212" s="184">
        <f>O212*(1+'Key Data'!$F$3)</f>
        <v>4.3466063037142746E-2</v>
      </c>
      <c r="Q212" s="433"/>
      <c r="R212" s="436"/>
      <c r="S212" s="369"/>
      <c r="T212"/>
    </row>
    <row r="213" spans="1:20" x14ac:dyDescent="0.3">
      <c r="A213" s="430"/>
      <c r="B213" s="430"/>
      <c r="C213" s="430"/>
      <c r="D213" s="430"/>
      <c r="E213" s="430"/>
      <c r="F213" s="445"/>
      <c r="G213" s="430"/>
      <c r="H213" s="78" t="s">
        <v>393</v>
      </c>
      <c r="I213" s="182"/>
      <c r="J213" s="128"/>
      <c r="K213" s="182">
        <v>29.6</v>
      </c>
      <c r="L213" s="183">
        <f t="shared" si="5"/>
        <v>9.4267515923566872E-2</v>
      </c>
      <c r="M213" s="182"/>
      <c r="N213" s="182"/>
      <c r="O213" s="138">
        <f>(0.08847-1.46936*L213+11.98979*L213^2+1.97056*L213^3)*'Key Data'!$I$15*'Key Data'!$F$15</f>
        <v>4.5795847379893173E-2</v>
      </c>
      <c r="P213" s="184">
        <f>O213*(1+'Key Data'!$F$3)</f>
        <v>5.7244809224866466E-2</v>
      </c>
      <c r="Q213" s="433"/>
      <c r="R213" s="436"/>
      <c r="S213" s="369"/>
      <c r="T213"/>
    </row>
    <row r="214" spans="1:20" x14ac:dyDescent="0.3">
      <c r="A214" s="430"/>
      <c r="B214" s="430"/>
      <c r="C214" s="430"/>
      <c r="D214" s="430"/>
      <c r="E214" s="430"/>
      <c r="F214" s="445"/>
      <c r="G214" s="430"/>
      <c r="H214" s="78" t="s">
        <v>393</v>
      </c>
      <c r="I214" s="182"/>
      <c r="J214" s="128"/>
      <c r="K214" s="182">
        <v>36.799999999999997</v>
      </c>
      <c r="L214" s="183">
        <f t="shared" si="5"/>
        <v>0.11719745222929935</v>
      </c>
      <c r="M214" s="182"/>
      <c r="N214" s="182"/>
      <c r="O214" s="138">
        <f>(0.08847-1.46936*L214+11.98979*L214^2+1.97056*L214^3)*'Key Data'!$I$15*'Key Data'!$F$15</f>
        <v>6.6244113168702309E-2</v>
      </c>
      <c r="P214" s="184">
        <f>O214*(1+'Key Data'!$F$3)</f>
        <v>8.280514146087789E-2</v>
      </c>
      <c r="Q214" s="433"/>
      <c r="R214" s="436"/>
      <c r="S214" s="369"/>
      <c r="T214"/>
    </row>
    <row r="215" spans="1:20" x14ac:dyDescent="0.3">
      <c r="A215" s="430"/>
      <c r="B215" s="430"/>
      <c r="C215" s="430"/>
      <c r="D215" s="430"/>
      <c r="E215" s="430"/>
      <c r="F215" s="445"/>
      <c r="G215" s="430"/>
      <c r="H215" s="78" t="s">
        <v>393</v>
      </c>
      <c r="I215" s="182"/>
      <c r="J215" s="128"/>
      <c r="K215" s="182">
        <v>19.2</v>
      </c>
      <c r="L215" s="183">
        <f t="shared" si="5"/>
        <v>6.1146496815286618E-2</v>
      </c>
      <c r="M215" s="182"/>
      <c r="N215" s="182"/>
      <c r="O215" s="138">
        <f>(0.08847-1.46936*L215+11.98979*L215^2+1.97056*L215^3)*'Key Data'!$I$15*'Key Data'!$F$15</f>
        <v>3.4573492935872113E-2</v>
      </c>
      <c r="P215" s="184">
        <f>O215*(1+'Key Data'!$F$3)</f>
        <v>4.3216866169840142E-2</v>
      </c>
      <c r="Q215" s="433"/>
      <c r="R215" s="436"/>
      <c r="S215" s="369"/>
      <c r="T215"/>
    </row>
    <row r="216" spans="1:20" x14ac:dyDescent="0.3">
      <c r="A216" s="430"/>
      <c r="B216" s="430"/>
      <c r="C216" s="430"/>
      <c r="D216" s="430"/>
      <c r="E216" s="430"/>
      <c r="F216" s="445"/>
      <c r="G216" s="430"/>
      <c r="H216" s="78" t="s">
        <v>393</v>
      </c>
      <c r="I216" s="182"/>
      <c r="J216" s="128"/>
      <c r="K216" s="182">
        <v>28.6</v>
      </c>
      <c r="L216" s="183">
        <f t="shared" si="5"/>
        <v>9.1082802547770694E-2</v>
      </c>
      <c r="M216" s="182"/>
      <c r="N216" s="182"/>
      <c r="O216" s="138">
        <f>(0.08847-1.46936*L216+11.98979*L216^2+1.97056*L216^3)*'Key Data'!$I$15*'Key Data'!$F$15</f>
        <v>4.3780123382038773E-2</v>
      </c>
      <c r="P216" s="184">
        <f>O216*(1+'Key Data'!$F$3)</f>
        <v>5.4725154227548464E-2</v>
      </c>
      <c r="Q216" s="433"/>
      <c r="R216" s="436"/>
      <c r="S216" s="369"/>
      <c r="T216"/>
    </row>
    <row r="217" spans="1:20" x14ac:dyDescent="0.3">
      <c r="A217" s="430"/>
      <c r="B217" s="430"/>
      <c r="C217" s="430"/>
      <c r="D217" s="430"/>
      <c r="E217" s="430"/>
      <c r="F217" s="445"/>
      <c r="G217" s="430"/>
      <c r="H217" s="78" t="s">
        <v>393</v>
      </c>
      <c r="I217" s="182"/>
      <c r="J217" s="128"/>
      <c r="K217" s="182">
        <v>32</v>
      </c>
      <c r="L217" s="183">
        <f t="shared" si="5"/>
        <v>0.1019108280254777</v>
      </c>
      <c r="M217" s="182"/>
      <c r="N217" s="182"/>
      <c r="O217" s="138">
        <f>(0.08847-1.46936*L217+11.98979*L217^2+1.97056*L217^3)*'Key Data'!$I$15*'Key Data'!$F$15</f>
        <v>5.145191357141525E-2</v>
      </c>
      <c r="P217" s="184">
        <f>O217*(1+'Key Data'!$F$3)</f>
        <v>6.4314891964269066E-2</v>
      </c>
      <c r="Q217" s="433"/>
      <c r="R217" s="436"/>
      <c r="S217" s="369"/>
      <c r="T217"/>
    </row>
    <row r="218" spans="1:20" x14ac:dyDescent="0.3">
      <c r="A218" s="430"/>
      <c r="B218" s="430"/>
      <c r="C218" s="430"/>
      <c r="D218" s="430"/>
      <c r="E218" s="430"/>
      <c r="F218" s="445"/>
      <c r="G218" s="430"/>
      <c r="H218" s="78" t="s">
        <v>393</v>
      </c>
      <c r="I218" s="182"/>
      <c r="J218" s="128"/>
      <c r="K218" s="182">
        <v>18.5</v>
      </c>
      <c r="L218" s="183">
        <f t="shared" si="5"/>
        <v>5.89171974522293E-2</v>
      </c>
      <c r="M218" s="182"/>
      <c r="N218" s="182"/>
      <c r="O218" s="138">
        <f>(0.08847-1.46936*L218+11.98979*L218^2+1.97056*L218^3)*'Key Data'!$I$15*'Key Data'!$F$15</f>
        <v>3.4588440631564694E-2</v>
      </c>
      <c r="P218" s="184">
        <f>O218*(1+'Key Data'!$F$3)</f>
        <v>4.3235550789455866E-2</v>
      </c>
      <c r="Q218" s="433"/>
      <c r="R218" s="436"/>
      <c r="S218" s="369"/>
      <c r="T218"/>
    </row>
    <row r="219" spans="1:20" x14ac:dyDescent="0.3">
      <c r="A219" s="430"/>
      <c r="B219" s="430"/>
      <c r="C219" s="430"/>
      <c r="D219" s="430"/>
      <c r="E219" s="430"/>
      <c r="F219" s="445"/>
      <c r="G219" s="430"/>
      <c r="H219" s="78" t="s">
        <v>393</v>
      </c>
      <c r="I219" s="182"/>
      <c r="J219" s="128"/>
      <c r="K219" s="182">
        <f>SQRT(24^2+14^2)</f>
        <v>27.784887978899608</v>
      </c>
      <c r="L219" s="183">
        <f t="shared" si="5"/>
        <v>8.8486904391400015E-2</v>
      </c>
      <c r="M219" s="182"/>
      <c r="N219" s="182"/>
      <c r="O219" s="138">
        <f>(0.08847-1.46936*L219+11.98979*L219^2+1.97056*L219^3)*'Key Data'!$I$15*'Key Data'!$F$15</f>
        <v>4.2285144095046391E-2</v>
      </c>
      <c r="P219" s="184">
        <f>O219*(1+'Key Data'!$F$3)</f>
        <v>5.2856430118807987E-2</v>
      </c>
      <c r="Q219" s="433"/>
      <c r="R219" s="436"/>
      <c r="S219" s="369"/>
      <c r="T219"/>
    </row>
    <row r="220" spans="1:20" x14ac:dyDescent="0.3">
      <c r="A220" s="430"/>
      <c r="B220" s="430"/>
      <c r="C220" s="430"/>
      <c r="D220" s="430"/>
      <c r="E220" s="430"/>
      <c r="F220" s="445"/>
      <c r="G220" s="430"/>
      <c r="H220" s="78" t="s">
        <v>393</v>
      </c>
      <c r="I220" s="182"/>
      <c r="J220" s="128"/>
      <c r="K220" s="182">
        <v>15.5</v>
      </c>
      <c r="L220" s="183">
        <f t="shared" si="5"/>
        <v>4.936305732484076E-2</v>
      </c>
      <c r="M220" s="182"/>
      <c r="N220" s="182"/>
      <c r="O220" s="138">
        <f>(0.08847-1.46936*L220+11.98979*L220^2+1.97056*L220^3)*'Key Data'!$I$15*'Key Data'!$F$15</f>
        <v>3.5745083570545823E-2</v>
      </c>
      <c r="P220" s="184">
        <f>O220*(1+'Key Data'!$F$3)</f>
        <v>4.4681354463182277E-2</v>
      </c>
      <c r="Q220" s="433"/>
      <c r="R220" s="436"/>
      <c r="S220" s="369"/>
      <c r="T220"/>
    </row>
    <row r="221" spans="1:20" x14ac:dyDescent="0.3">
      <c r="A221" s="430"/>
      <c r="B221" s="430"/>
      <c r="C221" s="430"/>
      <c r="D221" s="430"/>
      <c r="E221" s="430"/>
      <c r="F221" s="445"/>
      <c r="G221" s="430"/>
      <c r="H221" s="78" t="s">
        <v>393</v>
      </c>
      <c r="I221" s="182"/>
      <c r="J221" s="128"/>
      <c r="K221" s="182">
        <v>26.2</v>
      </c>
      <c r="L221" s="183">
        <f t="shared" si="5"/>
        <v>8.3439490445859868E-2</v>
      </c>
      <c r="M221" s="182"/>
      <c r="N221" s="182"/>
      <c r="O221" s="138">
        <f>(0.08847-1.46936*L221+11.98979*L221^2+1.97056*L221^3)*'Key Data'!$I$15*'Key Data'!$F$15</f>
        <v>3.9758342084817898E-2</v>
      </c>
      <c r="P221" s="184">
        <f>O221*(1+'Key Data'!$F$3)</f>
        <v>4.9697927606022374E-2</v>
      </c>
      <c r="Q221" s="433"/>
      <c r="R221" s="436"/>
      <c r="S221" s="369"/>
      <c r="T221"/>
    </row>
    <row r="222" spans="1:20" x14ac:dyDescent="0.3">
      <c r="A222" s="430"/>
      <c r="B222" s="430"/>
      <c r="C222" s="430"/>
      <c r="D222" s="430"/>
      <c r="E222" s="430"/>
      <c r="F222" s="445"/>
      <c r="G222" s="430"/>
      <c r="H222" s="78" t="s">
        <v>393</v>
      </c>
      <c r="I222" s="182"/>
      <c r="J222" s="128"/>
      <c r="K222" s="182">
        <v>10</v>
      </c>
      <c r="L222" s="183">
        <f t="shared" si="5"/>
        <v>3.1847133757961783E-2</v>
      </c>
      <c r="M222" s="182"/>
      <c r="N222" s="182"/>
      <c r="O222" s="138">
        <f>(0.08847-1.46936*L222+11.98979*L222^2+1.97056*L222^3)*'Key Data'!$I$15*'Key Data'!$F$15</f>
        <v>4.2445674836423121E-2</v>
      </c>
      <c r="P222" s="184">
        <f>O222*(1+'Key Data'!$F$3)</f>
        <v>5.3057093545528899E-2</v>
      </c>
      <c r="Q222" s="433"/>
      <c r="R222" s="436"/>
      <c r="S222" s="369"/>
      <c r="T222"/>
    </row>
    <row r="223" spans="1:20" x14ac:dyDescent="0.3">
      <c r="A223" s="430"/>
      <c r="B223" s="430"/>
      <c r="C223" s="430"/>
      <c r="D223" s="430"/>
      <c r="E223" s="430"/>
      <c r="F223" s="445"/>
      <c r="G223" s="430"/>
      <c r="H223" s="78" t="s">
        <v>393</v>
      </c>
      <c r="I223" s="182"/>
      <c r="J223" s="128"/>
      <c r="K223" s="182">
        <v>37.799999999999997</v>
      </c>
      <c r="L223" s="183">
        <f t="shared" si="5"/>
        <v>0.12038216560509551</v>
      </c>
      <c r="M223" s="182"/>
      <c r="N223" s="182"/>
      <c r="O223" s="138">
        <f>(0.08847-1.46936*L223+11.98979*L223^2+1.97056*L223^3)*'Key Data'!$I$15*'Key Data'!$F$15</f>
        <v>6.9912244404041687E-2</v>
      </c>
      <c r="P223" s="184">
        <f>O223*(1+'Key Data'!$F$3)</f>
        <v>8.7390305505052113E-2</v>
      </c>
      <c r="Q223" s="433"/>
      <c r="R223" s="436"/>
      <c r="S223" s="369"/>
      <c r="T223"/>
    </row>
    <row r="224" spans="1:20" x14ac:dyDescent="0.3">
      <c r="A224" s="430"/>
      <c r="B224" s="430"/>
      <c r="C224" s="430"/>
      <c r="D224" s="430"/>
      <c r="E224" s="430"/>
      <c r="F224" s="445"/>
      <c r="G224" s="430"/>
      <c r="H224" s="78" t="s">
        <v>393</v>
      </c>
      <c r="I224" s="182"/>
      <c r="J224" s="128"/>
      <c r="K224" s="182">
        <v>29.6</v>
      </c>
      <c r="L224" s="183">
        <f t="shared" si="5"/>
        <v>9.4267515923566872E-2</v>
      </c>
      <c r="M224" s="182"/>
      <c r="N224" s="182"/>
      <c r="O224" s="138">
        <f>(0.08847-1.46936*L224+11.98979*L224^2+1.97056*L224^3)*'Key Data'!$I$15*'Key Data'!$F$15</f>
        <v>4.5795847379893173E-2</v>
      </c>
      <c r="P224" s="184">
        <f>O224*(1+'Key Data'!$F$3)</f>
        <v>5.7244809224866466E-2</v>
      </c>
      <c r="Q224" s="433"/>
      <c r="R224" s="436"/>
      <c r="S224" s="369"/>
      <c r="T224"/>
    </row>
    <row r="225" spans="1:20" x14ac:dyDescent="0.3">
      <c r="A225" s="430"/>
      <c r="B225" s="430"/>
      <c r="C225" s="430"/>
      <c r="D225" s="430"/>
      <c r="E225" s="430"/>
      <c r="F225" s="445"/>
      <c r="G225" s="430"/>
      <c r="H225" s="78" t="s">
        <v>393</v>
      </c>
      <c r="I225" s="182"/>
      <c r="J225" s="128"/>
      <c r="K225" s="182">
        <v>14.8</v>
      </c>
      <c r="L225" s="183">
        <f t="shared" si="5"/>
        <v>4.7133757961783436E-2</v>
      </c>
      <c r="M225" s="182"/>
      <c r="N225" s="182"/>
      <c r="O225" s="138">
        <f>(0.08847-1.46936*L225+11.98979*L225^2+1.97056*L225^3)*'Key Data'!$I$15*'Key Data'!$F$15</f>
        <v>3.6269331359294429E-2</v>
      </c>
      <c r="P225" s="184">
        <f>O225*(1+'Key Data'!$F$3)</f>
        <v>4.533666419911804E-2</v>
      </c>
      <c r="Q225" s="433"/>
      <c r="R225" s="436"/>
      <c r="S225" s="369"/>
      <c r="T225"/>
    </row>
    <row r="226" spans="1:20" x14ac:dyDescent="0.3">
      <c r="A226" s="430"/>
      <c r="B226" s="430"/>
      <c r="C226" s="430"/>
      <c r="D226" s="430"/>
      <c r="E226" s="430"/>
      <c r="F226" s="445"/>
      <c r="G226" s="430"/>
      <c r="H226" s="78" t="s">
        <v>393</v>
      </c>
      <c r="I226" s="182"/>
      <c r="J226" s="128"/>
      <c r="K226" s="182">
        <v>15.5</v>
      </c>
      <c r="L226" s="183">
        <f t="shared" si="5"/>
        <v>4.936305732484076E-2</v>
      </c>
      <c r="M226" s="182"/>
      <c r="N226" s="182"/>
      <c r="O226" s="138">
        <f>(0.08847-1.46936*L226+11.98979*L226^2+1.97056*L226^3)*'Key Data'!$I$15*'Key Data'!$F$15</f>
        <v>3.5745083570545823E-2</v>
      </c>
      <c r="P226" s="184">
        <f>O226*(1+'Key Data'!$F$3)</f>
        <v>4.4681354463182277E-2</v>
      </c>
      <c r="Q226" s="433"/>
      <c r="R226" s="436"/>
      <c r="S226" s="369"/>
      <c r="T226"/>
    </row>
    <row r="227" spans="1:20" x14ac:dyDescent="0.3">
      <c r="A227" s="430"/>
      <c r="B227" s="430"/>
      <c r="C227" s="430"/>
      <c r="D227" s="430"/>
      <c r="E227" s="430"/>
      <c r="F227" s="445"/>
      <c r="G227" s="430"/>
      <c r="H227" s="78" t="s">
        <v>393</v>
      </c>
      <c r="I227" s="182"/>
      <c r="J227" s="128"/>
      <c r="K227" s="182">
        <v>19.100000000000001</v>
      </c>
      <c r="L227" s="183">
        <f t="shared" si="5"/>
        <v>6.0828025477707007E-2</v>
      </c>
      <c r="M227" s="182"/>
      <c r="N227" s="182"/>
      <c r="O227" s="138">
        <f>(0.08847-1.46936*L227+11.98979*L227^2+1.97056*L227^3)*'Key Data'!$I$15*'Key Data'!$F$15</f>
        <v>3.4569711648718658E-2</v>
      </c>
      <c r="P227" s="184">
        <f>O227*(1+'Key Data'!$F$3)</f>
        <v>4.3212139560898324E-2</v>
      </c>
      <c r="Q227" s="433"/>
      <c r="R227" s="436"/>
      <c r="S227" s="369"/>
      <c r="T227"/>
    </row>
    <row r="228" spans="1:20" x14ac:dyDescent="0.3">
      <c r="A228" s="430"/>
      <c r="B228" s="430"/>
      <c r="C228" s="430"/>
      <c r="D228" s="430"/>
      <c r="E228" s="430"/>
      <c r="F228" s="445"/>
      <c r="G228" s="430"/>
      <c r="H228" s="78" t="s">
        <v>393</v>
      </c>
      <c r="I228" s="182"/>
      <c r="J228" s="128"/>
      <c r="K228" s="182">
        <v>20.2</v>
      </c>
      <c r="L228" s="183">
        <f t="shared" si="5"/>
        <v>6.4331210191082802E-2</v>
      </c>
      <c r="M228" s="182"/>
      <c r="N228" s="182"/>
      <c r="O228" s="138">
        <f>(0.08847-1.46936*L228+11.98979*L228^2+1.97056*L228^3)*'Key Data'!$I$15*'Key Data'!$F$15</f>
        <v>3.471987186511416E-2</v>
      </c>
      <c r="P228" s="184">
        <f>O228*(1+'Key Data'!$F$3)</f>
        <v>4.33998398313927E-2</v>
      </c>
      <c r="Q228" s="433"/>
      <c r="R228" s="436"/>
      <c r="S228" s="369"/>
      <c r="T228"/>
    </row>
    <row r="229" spans="1:20" x14ac:dyDescent="0.3">
      <c r="A229" s="430"/>
      <c r="B229" s="430"/>
      <c r="C229" s="430"/>
      <c r="D229" s="430"/>
      <c r="E229" s="430"/>
      <c r="F229" s="445"/>
      <c r="G229" s="430"/>
      <c r="H229" s="78" t="s">
        <v>393</v>
      </c>
      <c r="I229" s="182"/>
      <c r="J229" s="128"/>
      <c r="K229" s="182">
        <v>23.6</v>
      </c>
      <c r="L229" s="183">
        <f t="shared" si="5"/>
        <v>7.5159235668789806E-2</v>
      </c>
      <c r="M229" s="182"/>
      <c r="N229" s="182"/>
      <c r="O229" s="138">
        <f>(0.08847-1.46936*L229+11.98979*L229^2+1.97056*L229^3)*'Key Data'!$I$15*'Key Data'!$F$15</f>
        <v>3.669743300023591E-2</v>
      </c>
      <c r="P229" s="184">
        <f>O229*(1+'Key Data'!$F$3)</f>
        <v>4.5871791250294891E-2</v>
      </c>
      <c r="Q229" s="433"/>
      <c r="R229" s="436"/>
      <c r="S229" s="369"/>
      <c r="T229"/>
    </row>
    <row r="230" spans="1:20" x14ac:dyDescent="0.3">
      <c r="A230" s="430"/>
      <c r="B230" s="430"/>
      <c r="C230" s="430"/>
      <c r="D230" s="430"/>
      <c r="E230" s="430"/>
      <c r="F230" s="445"/>
      <c r="G230" s="430"/>
      <c r="H230" s="78" t="s">
        <v>393</v>
      </c>
      <c r="I230" s="182"/>
      <c r="J230" s="128"/>
      <c r="K230" s="182">
        <v>26.9</v>
      </c>
      <c r="L230" s="183">
        <f t="shared" ref="L230:L279" si="6">K230/3.14/100</f>
        <v>8.5668789808917192E-2</v>
      </c>
      <c r="M230" s="182"/>
      <c r="N230" s="182"/>
      <c r="O230" s="138">
        <f>(0.08847-1.46936*L230+11.98979*L230^2+1.97056*L230^3)*'Key Data'!$I$15*'Key Data'!$F$15</f>
        <v>4.081252905357674E-2</v>
      </c>
      <c r="P230" s="184">
        <f>O230*(1+'Key Data'!$F$3)</f>
        <v>5.1015661316970926E-2</v>
      </c>
      <c r="Q230" s="433"/>
      <c r="R230" s="436"/>
      <c r="S230" s="369"/>
      <c r="T230"/>
    </row>
    <row r="231" spans="1:20" x14ac:dyDescent="0.3">
      <c r="A231" s="430"/>
      <c r="B231" s="430"/>
      <c r="C231" s="430"/>
      <c r="D231" s="430"/>
      <c r="E231" s="430"/>
      <c r="F231" s="445"/>
      <c r="G231" s="430"/>
      <c r="H231" s="78" t="s">
        <v>393</v>
      </c>
      <c r="I231" s="182"/>
      <c r="J231" s="128"/>
      <c r="K231" s="182">
        <v>35.700000000000003</v>
      </c>
      <c r="L231" s="183">
        <f t="shared" si="6"/>
        <v>0.11369426751592357</v>
      </c>
      <c r="M231" s="182"/>
      <c r="N231" s="182"/>
      <c r="O231" s="138">
        <f>(0.08847-1.46936*L231+11.98979*L231^2+1.97056*L231^3)*'Key Data'!$I$15*'Key Data'!$F$15</f>
        <v>6.2443155345389731E-2</v>
      </c>
      <c r="P231" s="184">
        <f>O231*(1+'Key Data'!$F$3)</f>
        <v>7.8053944181737167E-2</v>
      </c>
      <c r="Q231" s="433"/>
      <c r="R231" s="436"/>
      <c r="S231" s="369"/>
      <c r="T231"/>
    </row>
    <row r="232" spans="1:20" x14ac:dyDescent="0.3">
      <c r="A232" s="430"/>
      <c r="B232" s="430"/>
      <c r="C232" s="430"/>
      <c r="D232" s="430"/>
      <c r="E232" s="430"/>
      <c r="F232" s="445"/>
      <c r="G232" s="430"/>
      <c r="H232" s="78" t="s">
        <v>393</v>
      </c>
      <c r="I232" s="182"/>
      <c r="J232" s="128"/>
      <c r="K232" s="182">
        <v>18.5</v>
      </c>
      <c r="L232" s="183">
        <f t="shared" si="6"/>
        <v>5.89171974522293E-2</v>
      </c>
      <c r="M232" s="182"/>
      <c r="N232" s="182"/>
      <c r="O232" s="138">
        <f>(0.08847-1.46936*L232+11.98979*L232^2+1.97056*L232^3)*'Key Data'!$I$15*'Key Data'!$F$15</f>
        <v>3.4588440631564694E-2</v>
      </c>
      <c r="P232" s="184">
        <f>O232*(1+'Key Data'!$F$3)</f>
        <v>4.3235550789455866E-2</v>
      </c>
      <c r="Q232" s="433"/>
      <c r="R232" s="436"/>
      <c r="S232" s="369"/>
      <c r="T232"/>
    </row>
    <row r="233" spans="1:20" x14ac:dyDescent="0.3">
      <c r="A233" s="430"/>
      <c r="B233" s="430"/>
      <c r="C233" s="430"/>
      <c r="D233" s="430"/>
      <c r="E233" s="430"/>
      <c r="F233" s="445"/>
      <c r="G233" s="430"/>
      <c r="H233" s="78" t="s">
        <v>393</v>
      </c>
      <c r="I233" s="182"/>
      <c r="J233" s="128"/>
      <c r="K233" s="182">
        <v>17</v>
      </c>
      <c r="L233" s="183">
        <f t="shared" si="6"/>
        <v>5.4140127388535034E-2</v>
      </c>
      <c r="M233" s="182"/>
      <c r="N233" s="182"/>
      <c r="O233" s="138">
        <f>(0.08847-1.46936*L233+11.98979*L233^2+1.97056*L233^3)*'Key Data'!$I$15*'Key Data'!$F$15</f>
        <v>3.4945541018164127E-2</v>
      </c>
      <c r="P233" s="184">
        <f>O233*(1+'Key Data'!$F$3)</f>
        <v>4.368192627270516E-2</v>
      </c>
      <c r="Q233" s="433"/>
      <c r="R233" s="436"/>
      <c r="S233" s="369"/>
      <c r="T233"/>
    </row>
    <row r="234" spans="1:20" x14ac:dyDescent="0.3">
      <c r="A234" s="430"/>
      <c r="B234" s="430"/>
      <c r="C234" s="430"/>
      <c r="D234" s="430"/>
      <c r="E234" s="430"/>
      <c r="F234" s="445"/>
      <c r="G234" s="430"/>
      <c r="H234" s="78" t="s">
        <v>393</v>
      </c>
      <c r="I234" s="182"/>
      <c r="J234" s="128"/>
      <c r="K234" s="182">
        <v>21.1</v>
      </c>
      <c r="L234" s="183">
        <f t="shared" si="6"/>
        <v>6.7197452229299362E-2</v>
      </c>
      <c r="M234" s="182"/>
      <c r="N234" s="182"/>
      <c r="O234" s="138">
        <f>(0.08847-1.46936*L234+11.98979*L234^2+1.97056*L234^3)*'Key Data'!$I$15*'Key Data'!$F$15</f>
        <v>3.5020555199233486E-2</v>
      </c>
      <c r="P234" s="184">
        <f>O234*(1+'Key Data'!$F$3)</f>
        <v>4.3775693999041854E-2</v>
      </c>
      <c r="Q234" s="433"/>
      <c r="R234" s="436"/>
      <c r="S234" s="369"/>
      <c r="T234"/>
    </row>
    <row r="235" spans="1:20" x14ac:dyDescent="0.3">
      <c r="A235" s="430"/>
      <c r="B235" s="430"/>
      <c r="C235" s="430"/>
      <c r="D235" s="430"/>
      <c r="E235" s="430"/>
      <c r="F235" s="445"/>
      <c r="G235" s="430"/>
      <c r="H235" s="78" t="s">
        <v>393</v>
      </c>
      <c r="I235" s="182"/>
      <c r="J235" s="128"/>
      <c r="K235" s="182">
        <v>22.8</v>
      </c>
      <c r="L235" s="183">
        <f t="shared" si="6"/>
        <v>7.2611464968152864E-2</v>
      </c>
      <c r="M235" s="182"/>
      <c r="N235" s="182"/>
      <c r="O235" s="138">
        <f>(0.08847-1.46936*L235+11.98979*L235^2+1.97056*L235^3)*'Key Data'!$I$15*'Key Data'!$F$15</f>
        <v>3.6025991452408104E-2</v>
      </c>
      <c r="P235" s="184">
        <f>O235*(1+'Key Data'!$F$3)</f>
        <v>4.5032489315510127E-2</v>
      </c>
      <c r="Q235" s="433"/>
      <c r="R235" s="436"/>
      <c r="S235" s="369"/>
      <c r="T235"/>
    </row>
    <row r="236" spans="1:20" x14ac:dyDescent="0.3">
      <c r="A236" s="430"/>
      <c r="B236" s="430"/>
      <c r="C236" s="430"/>
      <c r="D236" s="430"/>
      <c r="E236" s="430"/>
      <c r="F236" s="445"/>
      <c r="G236" s="430"/>
      <c r="H236" s="78" t="s">
        <v>393</v>
      </c>
      <c r="I236" s="182"/>
      <c r="J236" s="128"/>
      <c r="K236" s="182">
        <v>13.4</v>
      </c>
      <c r="L236" s="183">
        <f t="shared" si="6"/>
        <v>4.2675159235668794E-2</v>
      </c>
      <c r="M236" s="182"/>
      <c r="N236" s="182"/>
      <c r="O236" s="138">
        <f>(0.08847-1.46936*L236+11.98979*L236^2+1.97056*L236^3)*'Key Data'!$I$15*'Key Data'!$F$15</f>
        <v>3.7605813376709436E-2</v>
      </c>
      <c r="P236" s="184">
        <f>O236*(1+'Key Data'!$F$3)</f>
        <v>4.7007266720886794E-2</v>
      </c>
      <c r="Q236" s="433"/>
      <c r="R236" s="436"/>
      <c r="S236" s="369"/>
      <c r="T236"/>
    </row>
    <row r="237" spans="1:20" x14ac:dyDescent="0.3">
      <c r="A237" s="430"/>
      <c r="B237" s="430"/>
      <c r="C237" s="430"/>
      <c r="D237" s="430"/>
      <c r="E237" s="430"/>
      <c r="F237" s="445"/>
      <c r="G237" s="430"/>
      <c r="H237" s="78" t="s">
        <v>393</v>
      </c>
      <c r="I237" s="182"/>
      <c r="J237" s="128"/>
      <c r="K237" s="182">
        <v>29.4</v>
      </c>
      <c r="L237" s="183">
        <f t="shared" si="6"/>
        <v>9.3630573248407636E-2</v>
      </c>
      <c r="M237" s="182"/>
      <c r="N237" s="182"/>
      <c r="O237" s="138">
        <f>(0.08847-1.46936*L237+11.98979*L237^2+1.97056*L237^3)*'Key Data'!$I$15*'Key Data'!$F$15</f>
        <v>4.5376677773414982E-2</v>
      </c>
      <c r="P237" s="184">
        <f>O237*(1+'Key Data'!$F$3)</f>
        <v>5.6720847216768726E-2</v>
      </c>
      <c r="Q237" s="433"/>
      <c r="R237" s="436"/>
      <c r="S237" s="369"/>
      <c r="T237"/>
    </row>
    <row r="238" spans="1:20" x14ac:dyDescent="0.3">
      <c r="A238" s="430"/>
      <c r="B238" s="430"/>
      <c r="C238" s="430"/>
      <c r="D238" s="430"/>
      <c r="E238" s="430"/>
      <c r="F238" s="445"/>
      <c r="G238" s="430"/>
      <c r="H238" s="78" t="s">
        <v>393</v>
      </c>
      <c r="I238" s="182"/>
      <c r="J238" s="128"/>
      <c r="K238" s="182">
        <v>22.8</v>
      </c>
      <c r="L238" s="183">
        <f t="shared" si="6"/>
        <v>7.2611464968152864E-2</v>
      </c>
      <c r="M238" s="182"/>
      <c r="N238" s="182"/>
      <c r="O238" s="138">
        <f>(0.08847-1.46936*L238+11.98979*L238^2+1.97056*L238^3)*'Key Data'!$I$15*'Key Data'!$F$15</f>
        <v>3.6025991452408104E-2</v>
      </c>
      <c r="P238" s="184">
        <f>O238*(1+'Key Data'!$F$3)</f>
        <v>4.5032489315510127E-2</v>
      </c>
      <c r="Q238" s="433"/>
      <c r="R238" s="436"/>
      <c r="S238" s="369"/>
      <c r="T238"/>
    </row>
    <row r="239" spans="1:20" x14ac:dyDescent="0.3">
      <c r="A239" s="430"/>
      <c r="B239" s="430"/>
      <c r="C239" s="430"/>
      <c r="D239" s="430"/>
      <c r="E239" s="430"/>
      <c r="F239" s="445"/>
      <c r="G239" s="430"/>
      <c r="H239" s="78" t="s">
        <v>393</v>
      </c>
      <c r="I239" s="182"/>
      <c r="J239" s="128"/>
      <c r="K239" s="182">
        <v>28.4</v>
      </c>
      <c r="L239" s="183">
        <f t="shared" si="6"/>
        <v>9.0445859872611459E-2</v>
      </c>
      <c r="M239" s="182"/>
      <c r="N239" s="182"/>
      <c r="O239" s="138">
        <f>(0.08847-1.46936*L239+11.98979*L239^2+1.97056*L239^3)*'Key Data'!$I$15*'Key Data'!$F$15</f>
        <v>4.3401003762914864E-2</v>
      </c>
      <c r="P239" s="184">
        <f>O239*(1+'Key Data'!$F$3)</f>
        <v>5.425125470364358E-2</v>
      </c>
      <c r="Q239" s="433"/>
      <c r="R239" s="436"/>
      <c r="S239" s="369"/>
      <c r="T239"/>
    </row>
    <row r="240" spans="1:20" x14ac:dyDescent="0.3">
      <c r="A240" s="430"/>
      <c r="B240" s="430"/>
      <c r="C240" s="430"/>
      <c r="D240" s="430"/>
      <c r="E240" s="430"/>
      <c r="F240" s="445"/>
      <c r="G240" s="430"/>
      <c r="H240" s="78" t="s">
        <v>393</v>
      </c>
      <c r="I240" s="182"/>
      <c r="J240" s="128"/>
      <c r="K240" s="182">
        <v>13.2</v>
      </c>
      <c r="L240" s="183">
        <f t="shared" si="6"/>
        <v>4.2038216560509552E-2</v>
      </c>
      <c r="M240" s="182"/>
      <c r="N240" s="182"/>
      <c r="O240" s="138">
        <f>(0.08847-1.46936*L240+11.98979*L240^2+1.97056*L240^3)*'Key Data'!$I$15*'Key Data'!$F$15</f>
        <v>3.782804795030921E-2</v>
      </c>
      <c r="P240" s="184">
        <f>O240*(1+'Key Data'!$F$3)</f>
        <v>4.7285059937886509E-2</v>
      </c>
      <c r="Q240" s="433"/>
      <c r="R240" s="436"/>
      <c r="S240" s="369"/>
      <c r="T240"/>
    </row>
    <row r="241" spans="1:20" x14ac:dyDescent="0.3">
      <c r="A241" s="430"/>
      <c r="B241" s="430"/>
      <c r="C241" s="430"/>
      <c r="D241" s="430"/>
      <c r="E241" s="430"/>
      <c r="F241" s="445"/>
      <c r="G241" s="430"/>
      <c r="H241" s="78" t="s">
        <v>393</v>
      </c>
      <c r="I241" s="182"/>
      <c r="J241" s="128"/>
      <c r="K241" s="182">
        <v>19.8</v>
      </c>
      <c r="L241" s="183">
        <f t="shared" si="6"/>
        <v>6.3057324840764331E-2</v>
      </c>
      <c r="M241" s="182"/>
      <c r="N241" s="182"/>
      <c r="O241" s="138">
        <f>(0.08847-1.46936*L241+11.98979*L241^2+1.97056*L241^3)*'Key Data'!$I$15*'Key Data'!$F$15</f>
        <v>3.4637624732614107E-2</v>
      </c>
      <c r="P241" s="184">
        <f>O241*(1+'Key Data'!$F$3)</f>
        <v>4.3297030915767636E-2</v>
      </c>
      <c r="Q241" s="433"/>
      <c r="R241" s="436"/>
      <c r="S241" s="369"/>
      <c r="T241"/>
    </row>
    <row r="242" spans="1:20" x14ac:dyDescent="0.3">
      <c r="A242" s="430"/>
      <c r="B242" s="430"/>
      <c r="C242" s="430"/>
      <c r="D242" s="430"/>
      <c r="E242" s="430"/>
      <c r="F242" s="445"/>
      <c r="G242" s="430"/>
      <c r="H242" s="78" t="s">
        <v>393</v>
      </c>
      <c r="I242" s="182"/>
      <c r="J242" s="128"/>
      <c r="K242" s="182">
        <v>21.9</v>
      </c>
      <c r="L242" s="183">
        <f t="shared" si="6"/>
        <v>6.974522292993629E-2</v>
      </c>
      <c r="M242" s="182"/>
      <c r="N242" s="182"/>
      <c r="O242" s="138">
        <f>(0.08847-1.46936*L242+11.98979*L242^2+1.97056*L242^3)*'Key Data'!$I$15*'Key Data'!$F$15</f>
        <v>3.5422376796608653E-2</v>
      </c>
      <c r="P242" s="184">
        <f>O242*(1+'Key Data'!$F$3)</f>
        <v>4.4277970995760814E-2</v>
      </c>
      <c r="Q242" s="433"/>
      <c r="R242" s="436"/>
      <c r="S242" s="369"/>
      <c r="T242"/>
    </row>
    <row r="243" spans="1:20" x14ac:dyDescent="0.3">
      <c r="A243" s="430"/>
      <c r="B243" s="430"/>
      <c r="C243" s="430"/>
      <c r="D243" s="430"/>
      <c r="E243" s="430"/>
      <c r="F243" s="445"/>
      <c r="G243" s="430"/>
      <c r="H243" s="78" t="s">
        <v>393</v>
      </c>
      <c r="I243" s="182"/>
      <c r="J243" s="128"/>
      <c r="K243" s="182">
        <v>16.600000000000001</v>
      </c>
      <c r="L243" s="183">
        <f t="shared" si="6"/>
        <v>5.2866242038216563E-2</v>
      </c>
      <c r="M243" s="182"/>
      <c r="N243" s="182"/>
      <c r="O243" s="138">
        <f>(0.08847-1.46936*L243+11.98979*L243^2+1.97056*L243^3)*'Key Data'!$I$15*'Key Data'!$F$15</f>
        <v>3.5115533257900976E-2</v>
      </c>
      <c r="P243" s="184">
        <f>O243*(1+'Key Data'!$F$3)</f>
        <v>4.3894416572376221E-2</v>
      </c>
      <c r="Q243" s="433"/>
      <c r="R243" s="436"/>
      <c r="S243" s="369"/>
      <c r="T243"/>
    </row>
    <row r="244" spans="1:20" x14ac:dyDescent="0.3">
      <c r="A244" s="430"/>
      <c r="B244" s="430"/>
      <c r="C244" s="430"/>
      <c r="D244" s="430"/>
      <c r="E244" s="430"/>
      <c r="F244" s="445"/>
      <c r="G244" s="430"/>
      <c r="H244" s="78" t="s">
        <v>393</v>
      </c>
      <c r="I244" s="182"/>
      <c r="J244" s="128"/>
      <c r="K244" s="182">
        <v>20.399999999999999</v>
      </c>
      <c r="L244" s="183">
        <f t="shared" si="6"/>
        <v>6.4968152866242038E-2</v>
      </c>
      <c r="M244" s="182"/>
      <c r="N244" s="182"/>
      <c r="O244" s="138">
        <f>(0.08847-1.46936*L244+11.98979*L244^2+1.97056*L244^3)*'Key Data'!$I$15*'Key Data'!$F$15</f>
        <v>3.4772850429714196E-2</v>
      </c>
      <c r="P244" s="184">
        <f>O244*(1+'Key Data'!$F$3)</f>
        <v>4.3466063037142746E-2</v>
      </c>
      <c r="Q244" s="433"/>
      <c r="R244" s="436"/>
      <c r="S244" s="369"/>
      <c r="T244"/>
    </row>
    <row r="245" spans="1:20" x14ac:dyDescent="0.3">
      <c r="A245" s="430"/>
      <c r="B245" s="430"/>
      <c r="C245" s="430"/>
      <c r="D245" s="430"/>
      <c r="E245" s="430"/>
      <c r="F245" s="445"/>
      <c r="G245" s="430"/>
      <c r="H245" s="78" t="s">
        <v>393</v>
      </c>
      <c r="I245" s="182"/>
      <c r="J245" s="128"/>
      <c r="K245" s="182">
        <v>11.2</v>
      </c>
      <c r="L245" s="183">
        <f t="shared" si="6"/>
        <v>3.5668789808917196E-2</v>
      </c>
      <c r="M245" s="182"/>
      <c r="N245" s="182"/>
      <c r="O245" s="138">
        <f>(0.08847-1.46936*L245+11.98979*L245^2+1.97056*L245^3)*'Key Data'!$I$15*'Key Data'!$F$15</f>
        <v>4.0480092564771426E-2</v>
      </c>
      <c r="P245" s="184">
        <f>O245*(1+'Key Data'!$F$3)</f>
        <v>5.0600115705964281E-2</v>
      </c>
      <c r="Q245" s="433"/>
      <c r="R245" s="436"/>
      <c r="S245" s="369"/>
      <c r="T245"/>
    </row>
    <row r="246" spans="1:20" x14ac:dyDescent="0.3">
      <c r="A246" s="430"/>
      <c r="B246" s="430"/>
      <c r="C246" s="430"/>
      <c r="D246" s="430"/>
      <c r="E246" s="430"/>
      <c r="F246" s="445"/>
      <c r="G246" s="430"/>
      <c r="H246" s="78" t="s">
        <v>393</v>
      </c>
      <c r="I246" s="182"/>
      <c r="J246" s="128"/>
      <c r="K246" s="182">
        <v>20.9</v>
      </c>
      <c r="L246" s="183">
        <f t="shared" si="6"/>
        <v>6.6560509554140126E-2</v>
      </c>
      <c r="M246" s="182"/>
      <c r="N246" s="182"/>
      <c r="O246" s="138">
        <f>(0.08847-1.46936*L246+11.98979*L246^2+1.97056*L246^3)*'Key Data'!$I$15*'Key Data'!$F$15</f>
        <v>3.4939893217722243E-2</v>
      </c>
      <c r="P246" s="184">
        <f>O246*(1+'Key Data'!$F$3)</f>
        <v>4.36748665221528E-2</v>
      </c>
      <c r="Q246" s="433"/>
      <c r="R246" s="436"/>
      <c r="S246" s="369"/>
      <c r="T246"/>
    </row>
    <row r="247" spans="1:20" x14ac:dyDescent="0.3">
      <c r="A247" s="430"/>
      <c r="B247" s="430"/>
      <c r="C247" s="430"/>
      <c r="D247" s="430"/>
      <c r="E247" s="430"/>
      <c r="F247" s="445"/>
      <c r="G247" s="430"/>
      <c r="H247" s="78" t="s">
        <v>393</v>
      </c>
      <c r="I247" s="182"/>
      <c r="J247" s="128"/>
      <c r="K247" s="182">
        <v>26.8</v>
      </c>
      <c r="L247" s="183">
        <f t="shared" si="6"/>
        <v>8.5350318471337588E-2</v>
      </c>
      <c r="M247" s="182"/>
      <c r="N247" s="182"/>
      <c r="O247" s="138">
        <f>(0.08847-1.46936*L247+11.98979*L247^2+1.97056*L247^3)*'Key Data'!$I$15*'Key Data'!$F$15</f>
        <v>4.0655944770176845E-2</v>
      </c>
      <c r="P247" s="184">
        <f>O247*(1+'Key Data'!$F$3)</f>
        <v>5.0819930962721055E-2</v>
      </c>
      <c r="Q247" s="433"/>
      <c r="R247" s="436"/>
      <c r="S247" s="369"/>
      <c r="T247"/>
    </row>
    <row r="248" spans="1:20" x14ac:dyDescent="0.3">
      <c r="A248" s="430"/>
      <c r="B248" s="430"/>
      <c r="C248" s="430"/>
      <c r="D248" s="430"/>
      <c r="E248" s="430"/>
      <c r="F248" s="445"/>
      <c r="G248" s="430"/>
      <c r="H248" s="78" t="s">
        <v>393</v>
      </c>
      <c r="I248" s="182"/>
      <c r="J248" s="128"/>
      <c r="K248" s="182">
        <v>20.2</v>
      </c>
      <c r="L248" s="183">
        <f t="shared" si="6"/>
        <v>6.4331210191082802E-2</v>
      </c>
      <c r="M248" s="182"/>
      <c r="N248" s="182"/>
      <c r="O248" s="138">
        <f>(0.08847-1.46936*L248+11.98979*L248^2+1.97056*L248^3)*'Key Data'!$I$15*'Key Data'!$F$15</f>
        <v>3.471987186511416E-2</v>
      </c>
      <c r="P248" s="184">
        <f>O248*(1+'Key Data'!$F$3)</f>
        <v>4.33998398313927E-2</v>
      </c>
      <c r="Q248" s="433"/>
      <c r="R248" s="436"/>
      <c r="S248" s="369"/>
      <c r="T248"/>
    </row>
    <row r="249" spans="1:20" x14ac:dyDescent="0.3">
      <c r="A249" s="430"/>
      <c r="B249" s="430"/>
      <c r="C249" s="430"/>
      <c r="D249" s="430"/>
      <c r="E249" s="430"/>
      <c r="F249" s="445"/>
      <c r="G249" s="430"/>
      <c r="H249" s="78" t="s">
        <v>393</v>
      </c>
      <c r="I249" s="182"/>
      <c r="J249" s="128"/>
      <c r="K249" s="182">
        <v>28</v>
      </c>
      <c r="L249" s="183">
        <f t="shared" si="6"/>
        <v>8.9171974522292988E-2</v>
      </c>
      <c r="M249" s="182"/>
      <c r="N249" s="182"/>
      <c r="O249" s="138">
        <f>(0.08847-1.46936*L249+11.98979*L249^2+1.97056*L249^3)*'Key Data'!$I$15*'Key Data'!$F$15</f>
        <v>4.266677045725166E-2</v>
      </c>
      <c r="P249" s="184">
        <f>O249*(1+'Key Data'!$F$3)</f>
        <v>5.3333463071564571E-2</v>
      </c>
      <c r="Q249" s="433"/>
      <c r="R249" s="436"/>
      <c r="S249" s="369"/>
      <c r="T249"/>
    </row>
    <row r="250" spans="1:20" x14ac:dyDescent="0.3">
      <c r="A250" s="430"/>
      <c r="B250" s="430"/>
      <c r="C250" s="430"/>
      <c r="D250" s="430"/>
      <c r="E250" s="430"/>
      <c r="F250" s="445"/>
      <c r="G250" s="430"/>
      <c r="H250" s="78" t="s">
        <v>393</v>
      </c>
      <c r="I250" s="182"/>
      <c r="J250" s="128"/>
      <c r="K250" s="182">
        <v>19.5</v>
      </c>
      <c r="L250" s="183">
        <f t="shared" si="6"/>
        <v>6.2101910828025478E-2</v>
      </c>
      <c r="M250" s="182"/>
      <c r="N250" s="182"/>
      <c r="O250" s="138">
        <f>(0.08847-1.46936*L250+11.98979*L250^2+1.97056*L250^3)*'Key Data'!$I$15*'Key Data'!$F$15</f>
        <v>3.4596676156794334E-2</v>
      </c>
      <c r="P250" s="184">
        <f>O250*(1+'Key Data'!$F$3)</f>
        <v>4.3245845195992921E-2</v>
      </c>
      <c r="Q250" s="433"/>
      <c r="R250" s="436"/>
      <c r="S250" s="369"/>
      <c r="T250"/>
    </row>
    <row r="251" spans="1:20" x14ac:dyDescent="0.3">
      <c r="A251" s="430"/>
      <c r="B251" s="430"/>
      <c r="C251" s="430"/>
      <c r="D251" s="430"/>
      <c r="E251" s="430"/>
      <c r="F251" s="445"/>
      <c r="G251" s="430"/>
      <c r="H251" s="78" t="s">
        <v>393</v>
      </c>
      <c r="I251" s="182"/>
      <c r="J251" s="128"/>
      <c r="K251" s="182">
        <v>27.6</v>
      </c>
      <c r="L251" s="183">
        <f t="shared" si="6"/>
        <v>8.7898089171974531E-2</v>
      </c>
      <c r="M251" s="182"/>
      <c r="N251" s="182"/>
      <c r="O251" s="138">
        <f>(0.08847-1.46936*L251+11.98979*L251^2+1.97056*L251^3)*'Key Data'!$I$15*'Key Data'!$F$15</f>
        <v>4.1964529021815848E-2</v>
      </c>
      <c r="P251" s="184">
        <f>O251*(1+'Key Data'!$F$3)</f>
        <v>5.2455661277269812E-2</v>
      </c>
      <c r="Q251" s="433"/>
      <c r="R251" s="436"/>
      <c r="S251" s="369"/>
      <c r="T251"/>
    </row>
    <row r="252" spans="1:20" x14ac:dyDescent="0.3">
      <c r="A252" s="430"/>
      <c r="B252" s="430"/>
      <c r="C252" s="430"/>
      <c r="D252" s="430"/>
      <c r="E252" s="430"/>
      <c r="F252" s="445"/>
      <c r="G252" s="430"/>
      <c r="H252" s="78" t="s">
        <v>393</v>
      </c>
      <c r="I252" s="182"/>
      <c r="J252" s="128"/>
      <c r="K252" s="182">
        <v>21.2</v>
      </c>
      <c r="L252" s="183">
        <f t="shared" si="6"/>
        <v>6.751592356687898E-2</v>
      </c>
      <c r="M252" s="182"/>
      <c r="N252" s="182"/>
      <c r="O252" s="138">
        <f>(0.08847-1.46936*L252+11.98979*L252^2+1.97056*L252^3)*'Key Data'!$I$15*'Key Data'!$F$15</f>
        <v>3.5063854150046515E-2</v>
      </c>
      <c r="P252" s="184">
        <f>O252*(1+'Key Data'!$F$3)</f>
        <v>4.3829817687558142E-2</v>
      </c>
      <c r="Q252" s="433"/>
      <c r="R252" s="436"/>
      <c r="S252" s="369"/>
      <c r="T252"/>
    </row>
    <row r="253" spans="1:20" x14ac:dyDescent="0.3">
      <c r="A253" s="430"/>
      <c r="B253" s="430"/>
      <c r="C253" s="430"/>
      <c r="D253" s="430"/>
      <c r="E253" s="430"/>
      <c r="F253" s="445"/>
      <c r="G253" s="430"/>
      <c r="H253" s="78" t="s">
        <v>393</v>
      </c>
      <c r="I253" s="182"/>
      <c r="J253" s="128"/>
      <c r="K253" s="182">
        <v>23.2</v>
      </c>
      <c r="L253" s="183">
        <f t="shared" si="6"/>
        <v>7.3885350318471335E-2</v>
      </c>
      <c r="M253" s="182"/>
      <c r="N253" s="182"/>
      <c r="O253" s="138">
        <f>(0.08847-1.46936*L253+11.98979*L253^2+1.97056*L253^3)*'Key Data'!$I$15*'Key Data'!$F$15</f>
        <v>3.6345831778382749E-2</v>
      </c>
      <c r="P253" s="184">
        <f>O253*(1+'Key Data'!$F$3)</f>
        <v>4.5432289722978435E-2</v>
      </c>
      <c r="Q253" s="433"/>
      <c r="R253" s="436"/>
      <c r="S253" s="369"/>
      <c r="T253"/>
    </row>
    <row r="254" spans="1:20" x14ac:dyDescent="0.3">
      <c r="A254" s="430"/>
      <c r="B254" s="430"/>
      <c r="C254" s="430"/>
      <c r="D254" s="430"/>
      <c r="E254" s="430"/>
      <c r="F254" s="445"/>
      <c r="G254" s="430"/>
      <c r="H254" s="78" t="s">
        <v>393</v>
      </c>
      <c r="I254" s="182"/>
      <c r="J254" s="128"/>
      <c r="K254" s="182">
        <v>13.8</v>
      </c>
      <c r="L254" s="183">
        <f t="shared" si="6"/>
        <v>4.3949044585987265E-2</v>
      </c>
      <c r="M254" s="182"/>
      <c r="N254" s="182"/>
      <c r="O254" s="138">
        <f>(0.08847-1.46936*L254+11.98979*L254^2+1.97056*L254^3)*'Key Data'!$I$15*'Key Data'!$F$15</f>
        <v>3.7184813627929823E-2</v>
      </c>
      <c r="P254" s="184">
        <f>O254*(1+'Key Data'!$F$3)</f>
        <v>4.6481017034912281E-2</v>
      </c>
      <c r="Q254" s="433"/>
      <c r="R254" s="436"/>
      <c r="S254" s="369"/>
      <c r="T254"/>
    </row>
    <row r="255" spans="1:20" x14ac:dyDescent="0.3">
      <c r="A255" s="430"/>
      <c r="B255" s="430"/>
      <c r="C255" s="430"/>
      <c r="D255" s="430"/>
      <c r="E255" s="430"/>
      <c r="F255" s="445"/>
      <c r="G255" s="430"/>
      <c r="H255" s="78" t="s">
        <v>393</v>
      </c>
      <c r="I255" s="182"/>
      <c r="J255" s="128"/>
      <c r="K255" s="182">
        <v>23.8</v>
      </c>
      <c r="L255" s="183">
        <f t="shared" si="6"/>
        <v>7.5796178343949042E-2</v>
      </c>
      <c r="M255" s="182"/>
      <c r="N255" s="182"/>
      <c r="O255" s="138">
        <f>(0.08847-1.46936*L255+11.98979*L255^2+1.97056*L255^3)*'Key Data'!$I$15*'Key Data'!$F$15</f>
        <v>3.688514996207394E-2</v>
      </c>
      <c r="P255" s="184">
        <f>O255*(1+'Key Data'!$F$3)</f>
        <v>4.6106437452592422E-2</v>
      </c>
      <c r="Q255" s="433"/>
      <c r="R255" s="436"/>
      <c r="S255" s="369"/>
      <c r="T255"/>
    </row>
    <row r="256" spans="1:20" x14ac:dyDescent="0.3">
      <c r="A256" s="430"/>
      <c r="B256" s="430"/>
      <c r="C256" s="430"/>
      <c r="D256" s="430"/>
      <c r="E256" s="430"/>
      <c r="F256" s="445"/>
      <c r="G256" s="430"/>
      <c r="H256" s="78" t="s">
        <v>393</v>
      </c>
      <c r="I256" s="182"/>
      <c r="J256" s="128"/>
      <c r="K256" s="182">
        <v>24.9</v>
      </c>
      <c r="L256" s="183">
        <f t="shared" si="6"/>
        <v>7.9299363057324837E-2</v>
      </c>
      <c r="M256" s="182"/>
      <c r="N256" s="182"/>
      <c r="O256" s="138">
        <f>(0.08847-1.46936*L256+11.98979*L256^2+1.97056*L256^3)*'Key Data'!$I$15*'Key Data'!$F$15</f>
        <v>3.8059718286881775E-2</v>
      </c>
      <c r="P256" s="184">
        <f>O256*(1+'Key Data'!$F$3)</f>
        <v>4.7574647858602215E-2</v>
      </c>
      <c r="Q256" s="433"/>
      <c r="R256" s="436"/>
      <c r="S256" s="369"/>
      <c r="T256"/>
    </row>
    <row r="257" spans="1:20" x14ac:dyDescent="0.3">
      <c r="A257" s="430"/>
      <c r="B257" s="430"/>
      <c r="C257" s="430"/>
      <c r="D257" s="430"/>
      <c r="E257" s="430"/>
      <c r="F257" s="445"/>
      <c r="G257" s="430"/>
      <c r="H257" s="78" t="s">
        <v>393</v>
      </c>
      <c r="I257" s="182"/>
      <c r="J257" s="128"/>
      <c r="K257" s="182">
        <v>29.9</v>
      </c>
      <c r="L257" s="183">
        <f t="shared" si="6"/>
        <v>9.5222929936305711E-2</v>
      </c>
      <c r="M257" s="182"/>
      <c r="N257" s="182"/>
      <c r="O257" s="138">
        <f>(0.08847-1.46936*L257+11.98979*L257^2+1.97056*L257^3)*'Key Data'!$I$15*'Key Data'!$F$15</f>
        <v>4.6439634820391207E-2</v>
      </c>
      <c r="P257" s="184">
        <f>O257*(1+'Key Data'!$F$3)</f>
        <v>5.8049543525489009E-2</v>
      </c>
      <c r="Q257" s="433"/>
      <c r="R257" s="436"/>
      <c r="S257" s="369"/>
      <c r="T257"/>
    </row>
    <row r="258" spans="1:20" x14ac:dyDescent="0.3">
      <c r="A258" s="430"/>
      <c r="B258" s="430"/>
      <c r="C258" s="430"/>
      <c r="D258" s="430"/>
      <c r="E258" s="430"/>
      <c r="F258" s="445"/>
      <c r="G258" s="430"/>
      <c r="H258" s="78" t="s">
        <v>393</v>
      </c>
      <c r="I258" s="182"/>
      <c r="J258" s="128"/>
      <c r="K258" s="182">
        <v>13.6</v>
      </c>
      <c r="L258" s="183">
        <f t="shared" si="6"/>
        <v>4.3312101910828023E-2</v>
      </c>
      <c r="M258" s="182"/>
      <c r="N258" s="182"/>
      <c r="O258" s="138">
        <f>(0.08847-1.46936*L258+11.98979*L258^2+1.97056*L258^3)*'Key Data'!$I$15*'Key Data'!$F$15</f>
        <v>3.7391401133922045E-2</v>
      </c>
      <c r="P258" s="184">
        <f>O258*(1+'Key Data'!$F$3)</f>
        <v>4.6739251417402553E-2</v>
      </c>
      <c r="Q258" s="433"/>
      <c r="R258" s="436"/>
      <c r="S258" s="369"/>
      <c r="T258"/>
    </row>
    <row r="259" spans="1:20" x14ac:dyDescent="0.3">
      <c r="A259" s="430"/>
      <c r="B259" s="430"/>
      <c r="C259" s="430"/>
      <c r="D259" s="430"/>
      <c r="E259" s="430"/>
      <c r="F259" s="445"/>
      <c r="G259" s="430"/>
      <c r="H259" s="78" t="s">
        <v>393</v>
      </c>
      <c r="I259" s="182"/>
      <c r="J259" s="128"/>
      <c r="K259" s="182">
        <v>12.9</v>
      </c>
      <c r="L259" s="183">
        <f t="shared" si="6"/>
        <v>4.1082802547770705E-2</v>
      </c>
      <c r="M259" s="182"/>
      <c r="N259" s="182"/>
      <c r="O259" s="138">
        <f>(0.08847-1.46936*L259+11.98979*L259^2+1.97056*L259^3)*'Key Data'!$I$15*'Key Data'!$F$15</f>
        <v>3.8176061417894695E-2</v>
      </c>
      <c r="P259" s="184">
        <f>O259*(1+'Key Data'!$F$3)</f>
        <v>4.7720076772368371E-2</v>
      </c>
      <c r="Q259" s="433"/>
      <c r="R259" s="436"/>
      <c r="S259" s="369"/>
      <c r="T259"/>
    </row>
    <row r="260" spans="1:20" x14ac:dyDescent="0.3">
      <c r="A260" s="430"/>
      <c r="B260" s="430"/>
      <c r="C260" s="430"/>
      <c r="D260" s="430"/>
      <c r="E260" s="430"/>
      <c r="F260" s="445"/>
      <c r="G260" s="430"/>
      <c r="H260" s="78" t="s">
        <v>393</v>
      </c>
      <c r="I260" s="182"/>
      <c r="J260" s="128"/>
      <c r="K260" s="182">
        <v>14.2</v>
      </c>
      <c r="L260" s="183">
        <f t="shared" si="6"/>
        <v>4.5222929936305729E-2</v>
      </c>
      <c r="M260" s="182"/>
      <c r="N260" s="182"/>
      <c r="O260" s="138">
        <f>(0.08847-1.46936*L260+11.98979*L260^2+1.97056*L260^3)*'Key Data'!$I$15*'Key Data'!$F$15</f>
        <v>3.6795122450262119E-2</v>
      </c>
      <c r="P260" s="184">
        <f>O260*(1+'Key Data'!$F$3)</f>
        <v>4.5993903062827649E-2</v>
      </c>
      <c r="Q260" s="433"/>
      <c r="R260" s="436"/>
      <c r="S260" s="369"/>
      <c r="T260"/>
    </row>
    <row r="261" spans="1:20" x14ac:dyDescent="0.3">
      <c r="A261" s="430"/>
      <c r="B261" s="430"/>
      <c r="C261" s="430"/>
      <c r="D261" s="430"/>
      <c r="E261" s="430"/>
      <c r="F261" s="445"/>
      <c r="G261" s="430"/>
      <c r="H261" s="78" t="s">
        <v>393</v>
      </c>
      <c r="I261" s="182"/>
      <c r="J261" s="128"/>
      <c r="K261" s="182">
        <v>13.2</v>
      </c>
      <c r="L261" s="183">
        <f t="shared" si="6"/>
        <v>4.2038216560509552E-2</v>
      </c>
      <c r="M261" s="182"/>
      <c r="N261" s="182"/>
      <c r="O261" s="138">
        <f>(0.08847-1.46936*L261+11.98979*L261^2+1.97056*L261^3)*'Key Data'!$I$15*'Key Data'!$F$15</f>
        <v>3.782804795030921E-2</v>
      </c>
      <c r="P261" s="184">
        <f>O261*(1+'Key Data'!$F$3)</f>
        <v>4.7285059937886509E-2</v>
      </c>
      <c r="Q261" s="433"/>
      <c r="R261" s="436"/>
      <c r="S261" s="369"/>
      <c r="T261"/>
    </row>
    <row r="262" spans="1:20" x14ac:dyDescent="0.3">
      <c r="A262" s="430"/>
      <c r="B262" s="430"/>
      <c r="C262" s="430"/>
      <c r="D262" s="430"/>
      <c r="E262" s="430"/>
      <c r="F262" s="445"/>
      <c r="G262" s="430"/>
      <c r="H262" s="78" t="s">
        <v>393</v>
      </c>
      <c r="I262" s="182"/>
      <c r="J262" s="128"/>
      <c r="K262" s="182">
        <v>55.2</v>
      </c>
      <c r="L262" s="183">
        <f t="shared" si="6"/>
        <v>0.17579617834394906</v>
      </c>
      <c r="M262" s="182"/>
      <c r="N262" s="182"/>
      <c r="O262" s="138">
        <f>(0.08847-1.46936*L262+11.98979*L262^2+1.97056*L262^3)*'Key Data'!$I$15*'Key Data'!$F$15</f>
        <v>0.16648058812344968</v>
      </c>
      <c r="P262" s="184">
        <f>O262*(1+'Key Data'!$F$3)</f>
        <v>0.2081007351543121</v>
      </c>
      <c r="Q262" s="433"/>
      <c r="R262" s="436"/>
      <c r="S262" s="369"/>
      <c r="T262"/>
    </row>
    <row r="263" spans="1:20" x14ac:dyDescent="0.3">
      <c r="A263" s="430"/>
      <c r="B263" s="430"/>
      <c r="C263" s="430"/>
      <c r="D263" s="430"/>
      <c r="E263" s="430"/>
      <c r="F263" s="445"/>
      <c r="G263" s="430"/>
      <c r="H263" s="78" t="s">
        <v>393</v>
      </c>
      <c r="I263" s="182"/>
      <c r="J263" s="128"/>
      <c r="K263" s="182">
        <v>11.5</v>
      </c>
      <c r="L263" s="183">
        <f t="shared" si="6"/>
        <v>3.662420382165605E-2</v>
      </c>
      <c r="M263" s="182"/>
      <c r="N263" s="182"/>
      <c r="O263" s="138">
        <f>(0.08847-1.46936*L263+11.98979*L263^2+1.97056*L263^3)*'Key Data'!$I$15*'Key Data'!$F$15</f>
        <v>4.0032528437012417E-2</v>
      </c>
      <c r="P263" s="184">
        <f>O263*(1+'Key Data'!$F$3)</f>
        <v>5.004066054626552E-2</v>
      </c>
      <c r="Q263" s="433"/>
      <c r="R263" s="436"/>
      <c r="S263" s="369"/>
      <c r="T263"/>
    </row>
    <row r="264" spans="1:20" x14ac:dyDescent="0.3">
      <c r="A264" s="430"/>
      <c r="B264" s="430"/>
      <c r="C264" s="430"/>
      <c r="D264" s="430"/>
      <c r="E264" s="430"/>
      <c r="F264" s="445"/>
      <c r="G264" s="430"/>
      <c r="H264" s="78" t="s">
        <v>393</v>
      </c>
      <c r="I264" s="182"/>
      <c r="J264" s="128"/>
      <c r="K264" s="182">
        <v>18.2</v>
      </c>
      <c r="L264" s="183">
        <f t="shared" si="6"/>
        <v>5.796178343949044E-2</v>
      </c>
      <c r="M264" s="182"/>
      <c r="N264" s="182"/>
      <c r="O264" s="138">
        <f>(0.08847-1.46936*L264+11.98979*L264^2+1.97056*L264^3)*'Key Data'!$I$15*'Key Data'!$F$15</f>
        <v>3.4624416614470278E-2</v>
      </c>
      <c r="P264" s="184">
        <f>O264*(1+'Key Data'!$F$3)</f>
        <v>4.3280520768087846E-2</v>
      </c>
      <c r="Q264" s="433"/>
      <c r="R264" s="436"/>
      <c r="S264" s="369"/>
      <c r="T264"/>
    </row>
    <row r="265" spans="1:20" x14ac:dyDescent="0.3">
      <c r="A265" s="430"/>
      <c r="B265" s="430"/>
      <c r="C265" s="430"/>
      <c r="D265" s="430"/>
      <c r="E265" s="430"/>
      <c r="F265" s="445"/>
      <c r="G265" s="430"/>
      <c r="H265" s="78" t="s">
        <v>393</v>
      </c>
      <c r="I265" s="182"/>
      <c r="J265" s="128"/>
      <c r="K265" s="182">
        <v>12.5</v>
      </c>
      <c r="L265" s="183">
        <f t="shared" si="6"/>
        <v>3.9808917197452227E-2</v>
      </c>
      <c r="M265" s="182"/>
      <c r="N265" s="182"/>
      <c r="O265" s="138">
        <f>(0.08847-1.46936*L265+11.98979*L265^2+1.97056*L265^3)*'Key Data'!$I$15*'Key Data'!$F$15</f>
        <v>3.8667435076679198E-2</v>
      </c>
      <c r="P265" s="184">
        <f>O265*(1+'Key Data'!$F$3)</f>
        <v>4.8334293845848995E-2</v>
      </c>
      <c r="Q265" s="433"/>
      <c r="R265" s="436"/>
      <c r="S265" s="369"/>
      <c r="T265"/>
    </row>
    <row r="266" spans="1:20" x14ac:dyDescent="0.3">
      <c r="A266" s="430"/>
      <c r="B266" s="430"/>
      <c r="C266" s="430"/>
      <c r="D266" s="430"/>
      <c r="E266" s="430"/>
      <c r="F266" s="445"/>
      <c r="G266" s="430"/>
      <c r="H266" s="78" t="s">
        <v>393</v>
      </c>
      <c r="I266" s="182"/>
      <c r="J266" s="128"/>
      <c r="K266" s="182">
        <v>28.5</v>
      </c>
      <c r="L266" s="183">
        <f t="shared" si="6"/>
        <v>9.0764331210191077E-2</v>
      </c>
      <c r="M266" s="182"/>
      <c r="N266" s="182"/>
      <c r="O266" s="138">
        <f>(0.08847-1.46936*L266+11.98979*L266^2+1.97056*L266^3)*'Key Data'!$I$15*'Key Data'!$F$15</f>
        <v>4.3589563074662614E-2</v>
      </c>
      <c r="P266" s="184">
        <f>O266*(1+'Key Data'!$F$3)</f>
        <v>5.4486953843328266E-2</v>
      </c>
      <c r="Q266" s="433"/>
      <c r="R266" s="436"/>
      <c r="S266" s="369"/>
      <c r="T266"/>
    </row>
    <row r="267" spans="1:20" x14ac:dyDescent="0.3">
      <c r="A267" s="430"/>
      <c r="B267" s="430"/>
      <c r="C267" s="430"/>
      <c r="D267" s="430"/>
      <c r="E267" s="430"/>
      <c r="F267" s="445"/>
      <c r="G267" s="430"/>
      <c r="H267" s="78" t="s">
        <v>393</v>
      </c>
      <c r="I267" s="182"/>
      <c r="J267" s="128"/>
      <c r="K267" s="182">
        <v>9.6</v>
      </c>
      <c r="L267" s="183">
        <f t="shared" si="6"/>
        <v>3.0573248407643309E-2</v>
      </c>
      <c r="M267" s="182"/>
      <c r="N267" s="182"/>
      <c r="O267" s="138">
        <f>(0.08847-1.46936*L267+11.98979*L267^2+1.97056*L267^3)*'Key Data'!$I$15*'Key Data'!$F$15</f>
        <v>4.3163146023628293E-2</v>
      </c>
      <c r="P267" s="184">
        <f>O267*(1+'Key Data'!$F$3)</f>
        <v>5.395393252953537E-2</v>
      </c>
      <c r="Q267" s="433"/>
      <c r="R267" s="436"/>
      <c r="S267" s="369"/>
      <c r="T267"/>
    </row>
    <row r="268" spans="1:20" x14ac:dyDescent="0.3">
      <c r="A268" s="430"/>
      <c r="B268" s="430"/>
      <c r="C268" s="430"/>
      <c r="D268" s="430"/>
      <c r="E268" s="430"/>
      <c r="F268" s="445"/>
      <c r="G268" s="430"/>
      <c r="H268" s="78" t="s">
        <v>393</v>
      </c>
      <c r="I268" s="182"/>
      <c r="J268" s="128"/>
      <c r="K268" s="182">
        <v>11</v>
      </c>
      <c r="L268" s="183">
        <f t="shared" si="6"/>
        <v>3.5031847133757961E-2</v>
      </c>
      <c r="M268" s="182"/>
      <c r="N268" s="182"/>
      <c r="O268" s="138">
        <f>(0.08847-1.46936*L268+11.98979*L268^2+1.97056*L268^3)*'Key Data'!$I$15*'Key Data'!$F$15</f>
        <v>4.0788213982442471E-2</v>
      </c>
      <c r="P268" s="184">
        <f>O268*(1+'Key Data'!$F$3)</f>
        <v>5.0985267478053091E-2</v>
      </c>
      <c r="Q268" s="433"/>
      <c r="R268" s="436"/>
      <c r="S268" s="369"/>
      <c r="T268"/>
    </row>
    <row r="269" spans="1:20" x14ac:dyDescent="0.3">
      <c r="A269" s="430"/>
      <c r="B269" s="430"/>
      <c r="C269" s="430"/>
      <c r="D269" s="430"/>
      <c r="E269" s="430"/>
      <c r="F269" s="445"/>
      <c r="G269" s="430"/>
      <c r="H269" s="78" t="s">
        <v>393</v>
      </c>
      <c r="I269" s="182"/>
      <c r="J269" s="128"/>
      <c r="K269" s="182">
        <v>31.4</v>
      </c>
      <c r="L269" s="183">
        <f t="shared" si="6"/>
        <v>0.1</v>
      </c>
      <c r="M269" s="182"/>
      <c r="N269" s="182"/>
      <c r="O269" s="138">
        <f>(0.08847-1.46936*L269+11.98979*L269^2+1.97056*L269^3)*'Key Data'!$I$15*'Key Data'!$F$15</f>
        <v>4.9929437249999993E-2</v>
      </c>
      <c r="P269" s="184">
        <f>O269*(1+'Key Data'!$F$3)</f>
        <v>6.241179656249999E-2</v>
      </c>
      <c r="Q269" s="433"/>
      <c r="R269" s="436"/>
      <c r="S269" s="369"/>
      <c r="T269"/>
    </row>
    <row r="270" spans="1:20" x14ac:dyDescent="0.3">
      <c r="A270" s="430"/>
      <c r="B270" s="430"/>
      <c r="C270" s="430"/>
      <c r="D270" s="430"/>
      <c r="E270" s="430"/>
      <c r="F270" s="445"/>
      <c r="G270" s="430"/>
      <c r="H270" s="78" t="s">
        <v>393</v>
      </c>
      <c r="I270" s="182"/>
      <c r="J270" s="128"/>
      <c r="K270" s="182">
        <v>24.9</v>
      </c>
      <c r="L270" s="183">
        <f t="shared" si="6"/>
        <v>7.9299363057324837E-2</v>
      </c>
      <c r="M270" s="182"/>
      <c r="N270" s="182"/>
      <c r="O270" s="138">
        <f>(0.08847-1.46936*L270+11.98979*L270^2+1.97056*L270^3)*'Key Data'!$I$15*'Key Data'!$F$15</f>
        <v>3.8059718286881775E-2</v>
      </c>
      <c r="P270" s="184">
        <f>O270*(1+'Key Data'!$F$3)</f>
        <v>4.7574647858602215E-2</v>
      </c>
      <c r="Q270" s="433"/>
      <c r="R270" s="436"/>
      <c r="S270" s="369"/>
      <c r="T270"/>
    </row>
    <row r="271" spans="1:20" x14ac:dyDescent="0.3">
      <c r="A271" s="430"/>
      <c r="B271" s="430"/>
      <c r="C271" s="430"/>
      <c r="D271" s="430"/>
      <c r="E271" s="430"/>
      <c r="F271" s="445"/>
      <c r="G271" s="430"/>
      <c r="H271" s="78" t="s">
        <v>393</v>
      </c>
      <c r="I271" s="182"/>
      <c r="J271" s="128"/>
      <c r="K271" s="182">
        <v>27.4</v>
      </c>
      <c r="L271" s="183">
        <f t="shared" si="6"/>
        <v>8.7261146496815267E-2</v>
      </c>
      <c r="M271" s="182"/>
      <c r="N271" s="182"/>
      <c r="O271" s="138">
        <f>(0.08847-1.46936*L271+11.98979*L271^2+1.97056*L271^3)*'Key Data'!$I$15*'Key Data'!$F$15</f>
        <v>4.1625399240476202E-2</v>
      </c>
      <c r="P271" s="184">
        <f>O271*(1+'Key Data'!$F$3)</f>
        <v>5.2031749050595252E-2</v>
      </c>
      <c r="Q271" s="433"/>
      <c r="R271" s="436"/>
      <c r="S271" s="369"/>
      <c r="T271"/>
    </row>
    <row r="272" spans="1:20" x14ac:dyDescent="0.3">
      <c r="A272" s="430"/>
      <c r="B272" s="430"/>
      <c r="C272" s="430"/>
      <c r="D272" s="430"/>
      <c r="E272" s="430"/>
      <c r="F272" s="445"/>
      <c r="G272" s="430"/>
      <c r="H272" s="78" t="s">
        <v>393</v>
      </c>
      <c r="I272" s="182"/>
      <c r="J272" s="128"/>
      <c r="K272" s="182">
        <v>10.9</v>
      </c>
      <c r="L272" s="183">
        <f t="shared" si="6"/>
        <v>3.4713375796178343E-2</v>
      </c>
      <c r="M272" s="182"/>
      <c r="N272" s="182"/>
      <c r="O272" s="138">
        <f>(0.08847-1.46936*L272+11.98979*L272^2+1.97056*L272^3)*'Key Data'!$I$15*'Key Data'!$F$15</f>
        <v>4.0945197388783952E-2</v>
      </c>
      <c r="P272" s="184">
        <f>O272*(1+'Key Data'!$F$3)</f>
        <v>5.1181496735979937E-2</v>
      </c>
      <c r="Q272" s="433"/>
      <c r="R272" s="436"/>
      <c r="S272" s="369"/>
      <c r="T272"/>
    </row>
    <row r="273" spans="1:20" x14ac:dyDescent="0.3">
      <c r="A273" s="430"/>
      <c r="B273" s="430"/>
      <c r="C273" s="430"/>
      <c r="D273" s="430"/>
      <c r="E273" s="430"/>
      <c r="F273" s="445"/>
      <c r="G273" s="430"/>
      <c r="H273" s="78" t="s">
        <v>393</v>
      </c>
      <c r="I273" s="182"/>
      <c r="J273" s="128"/>
      <c r="K273" s="182">
        <v>34.5</v>
      </c>
      <c r="L273" s="183">
        <f t="shared" si="6"/>
        <v>0.10987261146496814</v>
      </c>
      <c r="M273" s="182"/>
      <c r="N273" s="182"/>
      <c r="O273" s="138">
        <f>(0.08847-1.46936*L273+11.98979*L273^2+1.97056*L273^3)*'Key Data'!$I$15*'Key Data'!$F$15</f>
        <v>5.8575767694741876E-2</v>
      </c>
      <c r="P273" s="184">
        <f>O273*(1+'Key Data'!$F$3)</f>
        <v>7.3219709618427345E-2</v>
      </c>
      <c r="Q273" s="433"/>
      <c r="R273" s="436"/>
      <c r="S273" s="369"/>
      <c r="T273"/>
    </row>
    <row r="274" spans="1:20" x14ac:dyDescent="0.3">
      <c r="A274" s="430"/>
      <c r="B274" s="430"/>
      <c r="C274" s="430"/>
      <c r="D274" s="430"/>
      <c r="E274" s="430"/>
      <c r="F274" s="445"/>
      <c r="G274" s="430"/>
      <c r="H274" s="78" t="s">
        <v>393</v>
      </c>
      <c r="I274" s="182"/>
      <c r="J274" s="128"/>
      <c r="K274" s="182">
        <v>28.7</v>
      </c>
      <c r="L274" s="183">
        <f t="shared" si="6"/>
        <v>9.1401273885350312E-2</v>
      </c>
      <c r="M274" s="182"/>
      <c r="N274" s="182"/>
      <c r="O274" s="138">
        <f>(0.08847-1.46936*L274+11.98979*L274^2+1.97056*L274^3)*'Key Data'!$I$15*'Key Data'!$F$15</f>
        <v>4.3972684985791273E-2</v>
      </c>
      <c r="P274" s="184">
        <f>O274*(1+'Key Data'!$F$3)</f>
        <v>5.496585623223909E-2</v>
      </c>
      <c r="Q274" s="433"/>
      <c r="R274" s="436"/>
      <c r="S274" s="369"/>
      <c r="T274"/>
    </row>
    <row r="275" spans="1:20" x14ac:dyDescent="0.3">
      <c r="A275" s="430"/>
      <c r="B275" s="430"/>
      <c r="C275" s="430"/>
      <c r="D275" s="430"/>
      <c r="E275" s="430"/>
      <c r="F275" s="445"/>
      <c r="G275" s="430"/>
      <c r="H275" s="78" t="s">
        <v>393</v>
      </c>
      <c r="I275" s="182"/>
      <c r="J275" s="128"/>
      <c r="K275" s="182">
        <v>24.2</v>
      </c>
      <c r="L275" s="183">
        <f t="shared" si="6"/>
        <v>7.7070063694267513E-2</v>
      </c>
      <c r="M275" s="182"/>
      <c r="N275" s="182"/>
      <c r="O275" s="138">
        <f>(0.08847-1.46936*L275+11.98979*L275^2+1.97056*L275^3)*'Key Data'!$I$15*'Key Data'!$F$15</f>
        <v>3.7284428617486882E-2</v>
      </c>
      <c r="P275" s="184">
        <f>O275*(1+'Key Data'!$F$3)</f>
        <v>4.6605535771858601E-2</v>
      </c>
      <c r="Q275" s="433"/>
      <c r="R275" s="436"/>
      <c r="S275" s="369"/>
      <c r="T275"/>
    </row>
    <row r="276" spans="1:20" x14ac:dyDescent="0.3">
      <c r="A276" s="430"/>
      <c r="B276" s="430"/>
      <c r="C276" s="430"/>
      <c r="D276" s="430"/>
      <c r="E276" s="430"/>
      <c r="F276" s="445"/>
      <c r="G276" s="430"/>
      <c r="H276" s="78" t="s">
        <v>393</v>
      </c>
      <c r="I276" s="182"/>
      <c r="J276" s="128"/>
      <c r="K276" s="182">
        <f>SQRT(18.4^2+8.9^2)</f>
        <v>20.439422692434345</v>
      </c>
      <c r="L276" s="183">
        <f t="shared" si="6"/>
        <v>6.5093702842147591E-2</v>
      </c>
      <c r="M276" s="182"/>
      <c r="N276" s="182"/>
      <c r="O276" s="138">
        <f>(0.08847-1.46936*L276+11.98979*L276^2+1.97056*L276^3)*'Key Data'!$I$15*'Key Data'!$F$15</f>
        <v>3.4784225984027646E-2</v>
      </c>
      <c r="P276" s="184">
        <f>O276*(1+'Key Data'!$F$3)</f>
        <v>4.3480282480034556E-2</v>
      </c>
      <c r="Q276" s="433"/>
      <c r="R276" s="436"/>
      <c r="S276" s="369"/>
      <c r="T276"/>
    </row>
    <row r="277" spans="1:20" x14ac:dyDescent="0.3">
      <c r="A277" s="430"/>
      <c r="B277" s="430"/>
      <c r="C277" s="430"/>
      <c r="D277" s="430"/>
      <c r="E277" s="430"/>
      <c r="F277" s="445"/>
      <c r="G277" s="430"/>
      <c r="H277" s="78" t="s">
        <v>393</v>
      </c>
      <c r="I277" s="182"/>
      <c r="J277" s="128"/>
      <c r="K277" s="182">
        <v>25.4</v>
      </c>
      <c r="L277" s="183">
        <f t="shared" si="6"/>
        <v>8.0891719745222926E-2</v>
      </c>
      <c r="M277" s="182"/>
      <c r="N277" s="182"/>
      <c r="O277" s="138">
        <f>(0.08847-1.46936*L277+11.98979*L277^2+1.97056*L277^3)*'Key Data'!$I$15*'Key Data'!$F$15</f>
        <v>3.8673195668382621E-2</v>
      </c>
      <c r="P277" s="184">
        <f>O277*(1+'Key Data'!$F$3)</f>
        <v>4.8341494585478276E-2</v>
      </c>
      <c r="Q277" s="433"/>
      <c r="R277" s="436"/>
      <c r="S277" s="369"/>
      <c r="T277"/>
    </row>
    <row r="278" spans="1:20" x14ac:dyDescent="0.3">
      <c r="A278" s="430"/>
      <c r="B278" s="430"/>
      <c r="C278" s="430"/>
      <c r="D278" s="430"/>
      <c r="E278" s="430"/>
      <c r="F278" s="445"/>
      <c r="G278" s="430"/>
      <c r="H278" s="78" t="s">
        <v>393</v>
      </c>
      <c r="I278" s="182"/>
      <c r="J278" s="128"/>
      <c r="K278" s="182">
        <v>24.2</v>
      </c>
      <c r="L278" s="183">
        <f t="shared" si="6"/>
        <v>7.7070063694267513E-2</v>
      </c>
      <c r="M278" s="182"/>
      <c r="N278" s="182"/>
      <c r="O278" s="138">
        <f>(0.08847-1.46936*L278+11.98979*L278^2+1.97056*L278^3)*'Key Data'!$I$15*'Key Data'!$F$15</f>
        <v>3.7284428617486882E-2</v>
      </c>
      <c r="P278" s="184">
        <f>O278*(1+'Key Data'!$F$3)</f>
        <v>4.6605535771858601E-2</v>
      </c>
      <c r="Q278" s="433"/>
      <c r="R278" s="436"/>
      <c r="S278" s="369"/>
      <c r="T278"/>
    </row>
    <row r="279" spans="1:20" x14ac:dyDescent="0.3">
      <c r="A279" s="431"/>
      <c r="B279" s="431"/>
      <c r="C279" s="431"/>
      <c r="D279" s="431"/>
      <c r="E279" s="431"/>
      <c r="F279" s="446"/>
      <c r="G279" s="431"/>
      <c r="H279" s="78" t="s">
        <v>393</v>
      </c>
      <c r="I279" s="182"/>
      <c r="J279" s="128"/>
      <c r="K279" s="182">
        <v>24.4</v>
      </c>
      <c r="L279" s="183">
        <f t="shared" si="6"/>
        <v>7.7707006369426748E-2</v>
      </c>
      <c r="M279" s="182"/>
      <c r="N279" s="182"/>
      <c r="O279" s="138">
        <f>(0.08847-1.46936*L279+11.98979*L279^2+1.97056*L279^3)*'Key Data'!$I$15*'Key Data'!$F$15</f>
        <v>3.7495995123027426E-2</v>
      </c>
      <c r="P279" s="184">
        <f>O279*(1+'Key Data'!$F$3)</f>
        <v>4.6869993903784282E-2</v>
      </c>
      <c r="Q279" s="434"/>
      <c r="R279" s="437"/>
      <c r="S279" s="369"/>
      <c r="T279"/>
    </row>
    <row r="280" spans="1:20" x14ac:dyDescent="0.3">
      <c r="A280" s="438">
        <v>3</v>
      </c>
      <c r="B280" s="438" t="s">
        <v>457</v>
      </c>
      <c r="C280" s="178"/>
      <c r="D280" s="178"/>
      <c r="E280" s="438">
        <v>24.700614999999999</v>
      </c>
      <c r="F280" s="441">
        <v>86.607640000000004</v>
      </c>
      <c r="G280" s="178">
        <v>2020</v>
      </c>
      <c r="H280" s="109" t="s">
        <v>263</v>
      </c>
      <c r="I280" s="180">
        <v>53</v>
      </c>
      <c r="J280" s="126">
        <f t="shared" ref="J280:J307" si="7">I280/3.14</f>
        <v>16.878980891719745</v>
      </c>
      <c r="K280" s="180"/>
      <c r="L280" s="180"/>
      <c r="M280" s="180"/>
      <c r="N280" s="180"/>
      <c r="O280" s="131">
        <f>30.4*EXP(-5.07*EXP(-0.26*J280)+1.277)/1000</f>
        <v>0.10235823199607594</v>
      </c>
      <c r="P280" s="135">
        <f>O280*(1+'Key Data'!$F$3)</f>
        <v>0.12794778999509493</v>
      </c>
      <c r="Q280" s="447">
        <f>SUM(P280:P307)</f>
        <v>3.1854352294269987</v>
      </c>
      <c r="R280" s="450">
        <f>Q280*10000/900</f>
        <v>35.393724771411101</v>
      </c>
      <c r="S280" s="369"/>
      <c r="T280"/>
    </row>
    <row r="281" spans="1:20" x14ac:dyDescent="0.3">
      <c r="A281" s="439"/>
      <c r="B281" s="439"/>
      <c r="C281" s="178"/>
      <c r="D281" s="178"/>
      <c r="E281" s="439"/>
      <c r="F281" s="442"/>
      <c r="G281" s="178"/>
      <c r="H281" s="109" t="s">
        <v>263</v>
      </c>
      <c r="I281" s="180">
        <v>56</v>
      </c>
      <c r="J281" s="126">
        <f t="shared" si="7"/>
        <v>17.834394904458598</v>
      </c>
      <c r="K281" s="180"/>
      <c r="L281" s="180"/>
      <c r="M281" s="180"/>
      <c r="N281" s="180"/>
      <c r="O281" s="131">
        <f t="shared" ref="O281:O292" si="8">30.4*EXP(-5.07*EXP(-0.26*J281)+1.277)/1000</f>
        <v>0.10378569539111585</v>
      </c>
      <c r="P281" s="135">
        <f>O281*(1+'Key Data'!$F$3)</f>
        <v>0.1297321192388948</v>
      </c>
      <c r="Q281" s="448"/>
      <c r="R281" s="451"/>
      <c r="S281" s="369"/>
      <c r="T281"/>
    </row>
    <row r="282" spans="1:20" x14ac:dyDescent="0.3">
      <c r="A282" s="439"/>
      <c r="B282" s="439"/>
      <c r="C282" s="178"/>
      <c r="D282" s="178"/>
      <c r="E282" s="439"/>
      <c r="F282" s="442"/>
      <c r="G282" s="178"/>
      <c r="H282" s="109" t="s">
        <v>263</v>
      </c>
      <c r="I282" s="180">
        <v>50</v>
      </c>
      <c r="J282" s="126">
        <f t="shared" si="7"/>
        <v>15.923566878980891</v>
      </c>
      <c r="K282" s="180"/>
      <c r="L282" s="180"/>
      <c r="M282" s="180"/>
      <c r="N282" s="180"/>
      <c r="O282" s="131">
        <f t="shared" si="8"/>
        <v>0.10055692997803489</v>
      </c>
      <c r="P282" s="135">
        <f>O282*(1+'Key Data'!$F$3)</f>
        <v>0.12569616247254362</v>
      </c>
      <c r="Q282" s="448"/>
      <c r="R282" s="451"/>
      <c r="S282" s="369"/>
      <c r="T282"/>
    </row>
    <row r="283" spans="1:20" x14ac:dyDescent="0.3">
      <c r="A283" s="439"/>
      <c r="B283" s="439"/>
      <c r="C283" s="178"/>
      <c r="D283" s="178"/>
      <c r="E283" s="439"/>
      <c r="F283" s="442"/>
      <c r="G283" s="178"/>
      <c r="H283" s="109" t="s">
        <v>263</v>
      </c>
      <c r="I283" s="180">
        <v>35</v>
      </c>
      <c r="J283" s="126">
        <f t="shared" si="7"/>
        <v>11.146496815286623</v>
      </c>
      <c r="K283" s="180"/>
      <c r="L283" s="180"/>
      <c r="M283" s="180"/>
      <c r="N283" s="180"/>
      <c r="O283" s="131">
        <f>30.4*EXP(-5.07*EXP(-0.26*J283)+1.277)/1000</f>
        <v>8.2429329470591506E-2</v>
      </c>
      <c r="P283" s="135">
        <f>O283*(1+'Key Data'!$F$3)</f>
        <v>0.10303666183823938</v>
      </c>
      <c r="Q283" s="448"/>
      <c r="R283" s="451"/>
      <c r="S283" s="369"/>
      <c r="T283"/>
    </row>
    <row r="284" spans="1:20" x14ac:dyDescent="0.3">
      <c r="A284" s="439"/>
      <c r="B284" s="439"/>
      <c r="C284" s="178"/>
      <c r="D284" s="178"/>
      <c r="E284" s="439"/>
      <c r="F284" s="442"/>
      <c r="G284" s="178"/>
      <c r="H284" s="109" t="s">
        <v>263</v>
      </c>
      <c r="I284" s="180">
        <v>40</v>
      </c>
      <c r="J284" s="126">
        <f t="shared" si="7"/>
        <v>12.738853503184712</v>
      </c>
      <c r="K284" s="180"/>
      <c r="L284" s="180"/>
      <c r="M284" s="180"/>
      <c r="N284" s="180"/>
      <c r="O284" s="131">
        <f t="shared" si="8"/>
        <v>9.06217581379134E-2</v>
      </c>
      <c r="P284" s="135">
        <f>O284*(1+'Key Data'!$F$3)</f>
        <v>0.11327719767239175</v>
      </c>
      <c r="Q284" s="448"/>
      <c r="R284" s="451"/>
      <c r="S284" s="369"/>
      <c r="T284"/>
    </row>
    <row r="285" spans="1:20" x14ac:dyDescent="0.3">
      <c r="A285" s="439"/>
      <c r="B285" s="439"/>
      <c r="C285" s="178"/>
      <c r="D285" s="178"/>
      <c r="E285" s="439"/>
      <c r="F285" s="442"/>
      <c r="G285" s="178"/>
      <c r="H285" s="109" t="s">
        <v>263</v>
      </c>
      <c r="I285" s="180">
        <v>39</v>
      </c>
      <c r="J285" s="126">
        <f t="shared" si="7"/>
        <v>12.420382165605096</v>
      </c>
      <c r="K285" s="180"/>
      <c r="L285" s="180"/>
      <c r="M285" s="180"/>
      <c r="N285" s="180"/>
      <c r="O285" s="131">
        <f t="shared" si="8"/>
        <v>8.9187912740586753E-2</v>
      </c>
      <c r="P285" s="135">
        <f>O285*(1+'Key Data'!$F$3)</f>
        <v>0.11148489092573344</v>
      </c>
      <c r="Q285" s="448"/>
      <c r="R285" s="451"/>
      <c r="S285" s="369"/>
      <c r="T285"/>
    </row>
    <row r="286" spans="1:20" x14ac:dyDescent="0.3">
      <c r="A286" s="439"/>
      <c r="B286" s="439"/>
      <c r="C286" s="178"/>
      <c r="D286" s="178"/>
      <c r="E286" s="439"/>
      <c r="F286" s="442"/>
      <c r="G286" s="178"/>
      <c r="H286" s="109" t="s">
        <v>263</v>
      </c>
      <c r="I286" s="180">
        <v>66</v>
      </c>
      <c r="J286" s="126">
        <f t="shared" si="7"/>
        <v>21.019108280254777</v>
      </c>
      <c r="K286" s="180"/>
      <c r="L286" s="180"/>
      <c r="M286" s="180"/>
      <c r="N286" s="180"/>
      <c r="O286" s="131">
        <f t="shared" si="8"/>
        <v>0.10669603057885735</v>
      </c>
      <c r="P286" s="135">
        <f>O286*(1+'Key Data'!$F$3)</f>
        <v>0.13337003822357169</v>
      </c>
      <c r="Q286" s="448"/>
      <c r="R286" s="451"/>
      <c r="S286" s="369"/>
      <c r="T286"/>
    </row>
    <row r="287" spans="1:20" x14ac:dyDescent="0.3">
      <c r="A287" s="439"/>
      <c r="B287" s="439"/>
      <c r="C287" s="178"/>
      <c r="D287" s="178"/>
      <c r="E287" s="439"/>
      <c r="F287" s="442"/>
      <c r="G287" s="178"/>
      <c r="H287" s="109" t="s">
        <v>263</v>
      </c>
      <c r="I287" s="180">
        <v>45.5</v>
      </c>
      <c r="J287" s="126">
        <f t="shared" si="7"/>
        <v>14.490445859872612</v>
      </c>
      <c r="K287" s="180"/>
      <c r="L287" s="180"/>
      <c r="M287" s="180"/>
      <c r="N287" s="180"/>
      <c r="O287" s="131">
        <f t="shared" si="8"/>
        <v>9.6958006569531699E-2</v>
      </c>
      <c r="P287" s="135">
        <f>O287*(1+'Key Data'!$F$3)</f>
        <v>0.12119750821191462</v>
      </c>
      <c r="Q287" s="448"/>
      <c r="R287" s="451"/>
      <c r="S287" s="369"/>
      <c r="T287"/>
    </row>
    <row r="288" spans="1:20" x14ac:dyDescent="0.3">
      <c r="A288" s="439"/>
      <c r="B288" s="439"/>
      <c r="C288" s="178"/>
      <c r="D288" s="178"/>
      <c r="E288" s="439"/>
      <c r="F288" s="442"/>
      <c r="G288" s="178"/>
      <c r="H288" s="109" t="s">
        <v>263</v>
      </c>
      <c r="I288" s="180">
        <v>43</v>
      </c>
      <c r="J288" s="126">
        <f t="shared" si="7"/>
        <v>13.694267515923567</v>
      </c>
      <c r="K288" s="180"/>
      <c r="L288" s="180"/>
      <c r="M288" s="180"/>
      <c r="N288" s="180"/>
      <c r="O288" s="131">
        <f t="shared" si="8"/>
        <v>9.4380191787958062E-2</v>
      </c>
      <c r="P288" s="135">
        <f>O288*(1+'Key Data'!$F$3)</f>
        <v>0.11797523973494758</v>
      </c>
      <c r="Q288" s="448"/>
      <c r="R288" s="451"/>
      <c r="S288" s="369"/>
      <c r="T288"/>
    </row>
    <row r="289" spans="1:20" x14ac:dyDescent="0.3">
      <c r="A289" s="439"/>
      <c r="B289" s="439"/>
      <c r="C289" s="178"/>
      <c r="D289" s="178"/>
      <c r="E289" s="439"/>
      <c r="F289" s="442"/>
      <c r="G289" s="178"/>
      <c r="H289" s="109" t="s">
        <v>263</v>
      </c>
      <c r="I289" s="180">
        <v>61</v>
      </c>
      <c r="J289" s="126">
        <f t="shared" si="7"/>
        <v>19.426751592356688</v>
      </c>
      <c r="K289" s="180"/>
      <c r="L289" s="180"/>
      <c r="M289" s="180"/>
      <c r="N289" s="180"/>
      <c r="O289" s="131">
        <f t="shared" si="8"/>
        <v>0.10552821094553938</v>
      </c>
      <c r="P289" s="135">
        <f>O289*(1+'Key Data'!$F$3)</f>
        <v>0.13191026368192421</v>
      </c>
      <c r="Q289" s="448"/>
      <c r="R289" s="451"/>
      <c r="S289" s="369"/>
      <c r="T289"/>
    </row>
    <row r="290" spans="1:20" x14ac:dyDescent="0.3">
      <c r="A290" s="439"/>
      <c r="B290" s="439"/>
      <c r="C290" s="178"/>
      <c r="D290" s="178"/>
      <c r="E290" s="439"/>
      <c r="F290" s="442"/>
      <c r="G290" s="178"/>
      <c r="H290" s="109" t="s">
        <v>263</v>
      </c>
      <c r="I290" s="180">
        <v>45</v>
      </c>
      <c r="J290" s="126">
        <f t="shared" si="7"/>
        <v>14.331210191082802</v>
      </c>
      <c r="K290" s="180"/>
      <c r="L290" s="180"/>
      <c r="M290" s="180"/>
      <c r="N290" s="180"/>
      <c r="O290" s="131">
        <f t="shared" si="8"/>
        <v>9.6479001445443316E-2</v>
      </c>
      <c r="P290" s="135">
        <f>O290*(1+'Key Data'!$F$3)</f>
        <v>0.12059875180680414</v>
      </c>
      <c r="Q290" s="448"/>
      <c r="R290" s="451"/>
      <c r="S290" s="369"/>
      <c r="T290"/>
    </row>
    <row r="291" spans="1:20" x14ac:dyDescent="0.3">
      <c r="A291" s="439"/>
      <c r="B291" s="439"/>
      <c r="C291" s="178"/>
      <c r="D291" s="178"/>
      <c r="E291" s="439"/>
      <c r="F291" s="442"/>
      <c r="G291" s="178"/>
      <c r="H291" s="109" t="s">
        <v>263</v>
      </c>
      <c r="I291" s="180">
        <v>38</v>
      </c>
      <c r="J291" s="126">
        <f t="shared" si="7"/>
        <v>12.101910828025478</v>
      </c>
      <c r="K291" s="180"/>
      <c r="L291" s="180"/>
      <c r="M291" s="180"/>
      <c r="N291" s="180"/>
      <c r="O291" s="131">
        <f t="shared" si="8"/>
        <v>8.7655984615502475E-2</v>
      </c>
      <c r="P291" s="135">
        <f>O291*(1+'Key Data'!$F$3)</f>
        <v>0.1095699807693781</v>
      </c>
      <c r="Q291" s="448"/>
      <c r="R291" s="451"/>
      <c r="S291" s="369"/>
      <c r="T291"/>
    </row>
    <row r="292" spans="1:20" x14ac:dyDescent="0.3">
      <c r="A292" s="439"/>
      <c r="B292" s="439"/>
      <c r="C292" s="178"/>
      <c r="D292" s="178"/>
      <c r="E292" s="439"/>
      <c r="F292" s="442"/>
      <c r="G292" s="178"/>
      <c r="H292" s="109" t="s">
        <v>263</v>
      </c>
      <c r="I292" s="180">
        <v>31</v>
      </c>
      <c r="J292" s="126">
        <f t="shared" si="7"/>
        <v>9.872611464968152</v>
      </c>
      <c r="K292" s="180"/>
      <c r="L292" s="180"/>
      <c r="M292" s="180"/>
      <c r="N292" s="180"/>
      <c r="O292" s="131">
        <f t="shared" si="8"/>
        <v>7.3861700758365859E-2</v>
      </c>
      <c r="P292" s="135">
        <f>O292*(1+'Key Data'!$F$3)</f>
        <v>9.232712594795732E-2</v>
      </c>
      <c r="Q292" s="448"/>
      <c r="R292" s="451"/>
      <c r="S292" s="369"/>
      <c r="T292"/>
    </row>
    <row r="293" spans="1:20" x14ac:dyDescent="0.3">
      <c r="A293" s="439"/>
      <c r="B293" s="439"/>
      <c r="C293" s="178"/>
      <c r="D293" s="178"/>
      <c r="E293" s="439"/>
      <c r="F293" s="442"/>
      <c r="G293" s="178"/>
      <c r="H293" s="179" t="s">
        <v>458</v>
      </c>
      <c r="I293" s="180"/>
      <c r="J293" s="126"/>
      <c r="K293" s="180">
        <f>SQRT(47^2+45^2)</f>
        <v>65.069193939989759</v>
      </c>
      <c r="L293" s="126">
        <f t="shared" ref="L293:L297" si="9">K293/3.14</f>
        <v>20.722673229296102</v>
      </c>
      <c r="M293" s="180"/>
      <c r="N293" s="180"/>
      <c r="O293" s="131">
        <f>0.1156+0.2123*(L293/100)+5.10448*(L293/100)^2*'Key Data'!$I$16*'Key Data'!$F$16</f>
        <v>0.30114345473352244</v>
      </c>
      <c r="P293" s="135">
        <f>O293*(1+'Key Data'!$F$3)</f>
        <v>0.37642931841690308</v>
      </c>
      <c r="Q293" s="448"/>
      <c r="R293" s="451"/>
      <c r="S293" s="369"/>
      <c r="T293"/>
    </row>
    <row r="294" spans="1:20" x14ac:dyDescent="0.3">
      <c r="A294" s="439"/>
      <c r="B294" s="439"/>
      <c r="C294" s="178"/>
      <c r="D294" s="178"/>
      <c r="E294" s="439"/>
      <c r="F294" s="442"/>
      <c r="G294" s="178"/>
      <c r="H294" s="179" t="s">
        <v>458</v>
      </c>
      <c r="I294" s="180"/>
      <c r="J294" s="126"/>
      <c r="K294" s="180">
        <v>39</v>
      </c>
      <c r="L294" s="126">
        <f t="shared" si="9"/>
        <v>12.420382165605096</v>
      </c>
      <c r="M294" s="180"/>
      <c r="N294" s="180"/>
      <c r="O294" s="131">
        <f>0.1156+0.2123*(L294/100)+5.10448*(L294/100)^2*'Key Data'!$I$16*'Key Data'!$F$16</f>
        <v>0.19281787209582538</v>
      </c>
      <c r="P294" s="135">
        <f>O294*(1+'Key Data'!$F$3)</f>
        <v>0.24102234011978171</v>
      </c>
      <c r="Q294" s="448"/>
      <c r="R294" s="451"/>
      <c r="S294" s="369"/>
      <c r="T294"/>
    </row>
    <row r="295" spans="1:20" x14ac:dyDescent="0.3">
      <c r="A295" s="439"/>
      <c r="B295" s="439"/>
      <c r="C295" s="178"/>
      <c r="D295" s="178"/>
      <c r="E295" s="439"/>
      <c r="F295" s="442"/>
      <c r="G295" s="178"/>
      <c r="H295" s="179" t="s">
        <v>458</v>
      </c>
      <c r="I295" s="180"/>
      <c r="J295" s="126"/>
      <c r="K295" s="180">
        <f>SQRT(31.6^2+20^2)</f>
        <v>37.397326107624323</v>
      </c>
      <c r="L295" s="126">
        <f t="shared" si="9"/>
        <v>11.90997646739628</v>
      </c>
      <c r="M295" s="180"/>
      <c r="N295" s="180"/>
      <c r="O295" s="131">
        <f>0.1156+0.2123*(L295/100)+5.10448*(L295/100)^2*'Key Data'!$I$16*'Key Data'!$F$16</f>
        <v>0.1876409207532686</v>
      </c>
      <c r="P295" s="135">
        <f>O295*(1+'Key Data'!$F$3)</f>
        <v>0.23455115094158574</v>
      </c>
      <c r="Q295" s="448"/>
      <c r="R295" s="451"/>
      <c r="S295" s="369"/>
      <c r="T295"/>
    </row>
    <row r="296" spans="1:20" x14ac:dyDescent="0.3">
      <c r="A296" s="439"/>
      <c r="B296" s="439"/>
      <c r="C296" s="178"/>
      <c r="D296" s="178"/>
      <c r="E296" s="439"/>
      <c r="F296" s="442"/>
      <c r="G296" s="178"/>
      <c r="H296" s="179" t="s">
        <v>458</v>
      </c>
      <c r="I296" s="180"/>
      <c r="J296" s="126"/>
      <c r="K296" s="180">
        <v>29.5</v>
      </c>
      <c r="L296" s="126">
        <f t="shared" si="9"/>
        <v>9.3949044585987256</v>
      </c>
      <c r="M296" s="180"/>
      <c r="N296" s="180"/>
      <c r="O296" s="131">
        <f>0.1156+0.2123*(L296/100)+5.10448*(L296/100)^2*'Key Data'!$I$16*'Key Data'!$F$16</f>
        <v>0.16463919611028843</v>
      </c>
      <c r="P296" s="135">
        <f>O296*(1+'Key Data'!$F$3)</f>
        <v>0.20579899513786054</v>
      </c>
      <c r="Q296" s="448"/>
      <c r="R296" s="451"/>
      <c r="S296" s="369"/>
      <c r="T296"/>
    </row>
    <row r="297" spans="1:20" x14ac:dyDescent="0.3">
      <c r="A297" s="439"/>
      <c r="B297" s="439"/>
      <c r="C297" s="178"/>
      <c r="D297" s="178"/>
      <c r="E297" s="439"/>
      <c r="F297" s="442"/>
      <c r="G297" s="178"/>
      <c r="H297" s="179" t="s">
        <v>458</v>
      </c>
      <c r="I297" s="180"/>
      <c r="J297" s="126"/>
      <c r="K297" s="180">
        <f>SQRT(25.5^2+37^2)</f>
        <v>44.936065693382638</v>
      </c>
      <c r="L297" s="126">
        <f t="shared" si="9"/>
        <v>14.310848946937146</v>
      </c>
      <c r="M297" s="180"/>
      <c r="N297" s="180"/>
      <c r="O297" s="131">
        <f>0.1156+0.2123*(L297/100)+5.10448*(L297/100)^2*'Key Data'!$I$16*'Key Data'!$F$16</f>
        <v>0.21348860718685758</v>
      </c>
      <c r="P297" s="135">
        <f>O297*(1+'Key Data'!$F$3)</f>
        <v>0.26686075898357198</v>
      </c>
      <c r="Q297" s="448"/>
      <c r="R297" s="451"/>
      <c r="S297" s="369"/>
      <c r="T297"/>
    </row>
    <row r="298" spans="1:20" x14ac:dyDescent="0.3">
      <c r="A298" s="439"/>
      <c r="B298" s="439"/>
      <c r="C298" s="178"/>
      <c r="D298" s="178"/>
      <c r="E298" s="439"/>
      <c r="F298" s="442"/>
      <c r="G298" s="178"/>
      <c r="H298" s="179" t="s">
        <v>309</v>
      </c>
      <c r="I298" s="180">
        <f>SQRT(25.5^2+21.5^2)</f>
        <v>33.354160160315836</v>
      </c>
      <c r="J298" s="126">
        <f t="shared" si="7"/>
        <v>10.622344000100584</v>
      </c>
      <c r="K298" s="180"/>
      <c r="L298" s="180"/>
      <c r="M298" s="180"/>
      <c r="N298" s="180"/>
      <c r="O298" s="131">
        <f>(3.264*J298^1.012+1.643)/1000</f>
        <v>3.7311525479629855E-2</v>
      </c>
      <c r="P298" s="135">
        <f>O298*(1+'Key Data'!$F$3)</f>
        <v>4.6639406849537317E-2</v>
      </c>
      <c r="Q298" s="448"/>
      <c r="R298" s="451"/>
      <c r="S298" s="369"/>
      <c r="T298"/>
    </row>
    <row r="299" spans="1:20" x14ac:dyDescent="0.3">
      <c r="A299" s="439"/>
      <c r="B299" s="439"/>
      <c r="C299" s="178"/>
      <c r="D299" s="178"/>
      <c r="E299" s="439"/>
      <c r="F299" s="442"/>
      <c r="G299" s="178"/>
      <c r="H299" s="179" t="s">
        <v>309</v>
      </c>
      <c r="I299" s="180">
        <f>SQRT(39.5^2+21.1^2)</f>
        <v>44.782362599577077</v>
      </c>
      <c r="J299" s="126">
        <f t="shared" si="7"/>
        <v>14.261898917062762</v>
      </c>
      <c r="K299" s="180"/>
      <c r="L299" s="180"/>
      <c r="M299" s="180"/>
      <c r="N299" s="180"/>
      <c r="O299" s="131">
        <f t="shared" ref="O299:O307" si="10">(3.264*J299^1.012+1.643)/1000</f>
        <v>4.97023211882291E-2</v>
      </c>
      <c r="P299" s="135">
        <f>O299*(1+'Key Data'!$F$3)</f>
        <v>6.2127901485286373E-2</v>
      </c>
      <c r="Q299" s="448"/>
      <c r="R299" s="451"/>
      <c r="S299" s="369"/>
      <c r="T299"/>
    </row>
    <row r="300" spans="1:20" x14ac:dyDescent="0.3">
      <c r="A300" s="439"/>
      <c r="B300" s="439"/>
      <c r="C300" s="178"/>
      <c r="D300" s="178"/>
      <c r="E300" s="439"/>
      <c r="F300" s="442"/>
      <c r="G300" s="178"/>
      <c r="H300" s="179" t="s">
        <v>309</v>
      </c>
      <c r="I300" s="180">
        <v>7</v>
      </c>
      <c r="J300" s="126">
        <f t="shared" si="7"/>
        <v>2.2292993630573248</v>
      </c>
      <c r="K300" s="180"/>
      <c r="L300" s="180"/>
      <c r="M300" s="180"/>
      <c r="N300" s="180"/>
      <c r="O300" s="131">
        <f t="shared" si="10"/>
        <v>8.9897720098795954E-3</v>
      </c>
      <c r="P300" s="135">
        <f>O300*(1+'Key Data'!$F$3)</f>
        <v>1.1237215012349495E-2</v>
      </c>
      <c r="Q300" s="448"/>
      <c r="R300" s="451"/>
      <c r="S300" s="369"/>
      <c r="T300"/>
    </row>
    <row r="301" spans="1:20" x14ac:dyDescent="0.3">
      <c r="A301" s="439"/>
      <c r="B301" s="439"/>
      <c r="C301" s="178"/>
      <c r="D301" s="178"/>
      <c r="E301" s="439"/>
      <c r="F301" s="442"/>
      <c r="G301" s="178"/>
      <c r="H301" s="179" t="s">
        <v>309</v>
      </c>
      <c r="I301" s="180">
        <v>3</v>
      </c>
      <c r="J301" s="126">
        <f t="shared" si="7"/>
        <v>0.95541401273885351</v>
      </c>
      <c r="K301" s="180"/>
      <c r="L301" s="180"/>
      <c r="M301" s="180"/>
      <c r="N301" s="180"/>
      <c r="O301" s="131">
        <f t="shared" si="10"/>
        <v>4.7597649837238633E-3</v>
      </c>
      <c r="P301" s="135">
        <f>O301*(1+'Key Data'!$F$3)</f>
        <v>5.9497062296548289E-3</v>
      </c>
      <c r="Q301" s="448"/>
      <c r="R301" s="451"/>
      <c r="S301" s="369"/>
      <c r="T301"/>
    </row>
    <row r="302" spans="1:20" x14ac:dyDescent="0.3">
      <c r="A302" s="439"/>
      <c r="B302" s="439"/>
      <c r="C302" s="178"/>
      <c r="D302" s="178"/>
      <c r="E302" s="439"/>
      <c r="F302" s="442"/>
      <c r="G302" s="178"/>
      <c r="H302" s="179" t="s">
        <v>309</v>
      </c>
      <c r="I302" s="180">
        <f>SQRT(31^2+12^2)</f>
        <v>33.241540277189323</v>
      </c>
      <c r="J302" s="126">
        <f t="shared" si="7"/>
        <v>10.586477795283223</v>
      </c>
      <c r="K302" s="180"/>
      <c r="L302" s="180"/>
      <c r="M302" s="180"/>
      <c r="N302" s="180"/>
      <c r="O302" s="131">
        <f t="shared" si="10"/>
        <v>3.7189648432651455E-2</v>
      </c>
      <c r="P302" s="135">
        <f>O302*(1+'Key Data'!$F$3)</f>
        <v>4.6487060540814321E-2</v>
      </c>
      <c r="Q302" s="448"/>
      <c r="R302" s="451"/>
      <c r="S302" s="369"/>
      <c r="T302"/>
    </row>
    <row r="303" spans="1:20" x14ac:dyDescent="0.3">
      <c r="A303" s="439"/>
      <c r="B303" s="439"/>
      <c r="C303" s="178"/>
      <c r="D303" s="178"/>
      <c r="E303" s="439"/>
      <c r="F303" s="442"/>
      <c r="G303" s="178"/>
      <c r="H303" s="179" t="s">
        <v>309</v>
      </c>
      <c r="I303" s="180">
        <v>32</v>
      </c>
      <c r="J303" s="126">
        <f t="shared" si="7"/>
        <v>10.19108280254777</v>
      </c>
      <c r="K303" s="180"/>
      <c r="L303" s="180"/>
      <c r="M303" s="180"/>
      <c r="N303" s="180"/>
      <c r="O303" s="131">
        <f t="shared" si="10"/>
        <v>3.5846387785424406E-2</v>
      </c>
      <c r="P303" s="135">
        <f>O303*(1+'Key Data'!$F$3)</f>
        <v>4.4807984731780506E-2</v>
      </c>
      <c r="Q303" s="448"/>
      <c r="R303" s="451"/>
      <c r="S303" s="369"/>
      <c r="T303"/>
    </row>
    <row r="304" spans="1:20" x14ac:dyDescent="0.3">
      <c r="A304" s="439"/>
      <c r="B304" s="439"/>
      <c r="C304" s="178"/>
      <c r="D304" s="178"/>
      <c r="E304" s="439"/>
      <c r="F304" s="442"/>
      <c r="G304" s="178"/>
      <c r="H304" s="179" t="s">
        <v>309</v>
      </c>
      <c r="I304" s="180">
        <v>16.2</v>
      </c>
      <c r="J304" s="126">
        <f t="shared" si="7"/>
        <v>5.1592356687898082</v>
      </c>
      <c r="K304" s="180"/>
      <c r="L304" s="180"/>
      <c r="M304" s="180"/>
      <c r="N304" s="180"/>
      <c r="O304" s="131">
        <f t="shared" si="10"/>
        <v>1.8817596437230268E-2</v>
      </c>
      <c r="P304" s="135">
        <f>O304*(1+'Key Data'!$F$3)</f>
        <v>2.3521995546537836E-2</v>
      </c>
      <c r="Q304" s="448"/>
      <c r="R304" s="451"/>
      <c r="S304" s="369"/>
      <c r="T304"/>
    </row>
    <row r="305" spans="1:20" x14ac:dyDescent="0.3">
      <c r="A305" s="439"/>
      <c r="B305" s="439"/>
      <c r="C305" s="178"/>
      <c r="D305" s="178"/>
      <c r="E305" s="439"/>
      <c r="F305" s="442"/>
      <c r="G305" s="178"/>
      <c r="H305" s="179" t="s">
        <v>309</v>
      </c>
      <c r="I305" s="180">
        <v>12</v>
      </c>
      <c r="J305" s="126">
        <f t="shared" si="7"/>
        <v>3.8216560509554141</v>
      </c>
      <c r="K305" s="180"/>
      <c r="L305" s="180"/>
      <c r="M305" s="180"/>
      <c r="N305" s="180"/>
      <c r="O305" s="131">
        <f t="shared" si="10"/>
        <v>1.431919079221456E-2</v>
      </c>
      <c r="P305" s="135">
        <f>O305*(1+'Key Data'!$F$3)</f>
        <v>1.7898988490268199E-2</v>
      </c>
      <c r="Q305" s="448"/>
      <c r="R305" s="451"/>
      <c r="S305" s="369"/>
      <c r="T305"/>
    </row>
    <row r="306" spans="1:20" x14ac:dyDescent="0.3">
      <c r="A306" s="439"/>
      <c r="B306" s="439"/>
      <c r="C306" s="178"/>
      <c r="D306" s="178"/>
      <c r="E306" s="439"/>
      <c r="F306" s="442"/>
      <c r="G306" s="178"/>
      <c r="H306" s="179" t="s">
        <v>309</v>
      </c>
      <c r="I306" s="180">
        <v>24</v>
      </c>
      <c r="J306" s="126">
        <f t="shared" si="7"/>
        <v>7.6433121019108281</v>
      </c>
      <c r="K306" s="180"/>
      <c r="L306" s="180"/>
      <c r="M306" s="180"/>
      <c r="N306" s="180"/>
      <c r="O306" s="131">
        <f t="shared" si="10"/>
        <v>2.7207136208083627E-2</v>
      </c>
      <c r="P306" s="135">
        <f>O306*(1+'Key Data'!$F$3)</f>
        <v>3.4008920260104533E-2</v>
      </c>
      <c r="Q306" s="448"/>
      <c r="R306" s="451"/>
      <c r="S306" s="369"/>
      <c r="T306"/>
    </row>
    <row r="307" spans="1:20" x14ac:dyDescent="0.3">
      <c r="A307" s="440"/>
      <c r="B307" s="440"/>
      <c r="C307" s="178"/>
      <c r="D307" s="178"/>
      <c r="E307" s="440"/>
      <c r="F307" s="443"/>
      <c r="G307" s="178"/>
      <c r="H307" s="179" t="s">
        <v>309</v>
      </c>
      <c r="I307" s="180">
        <v>21</v>
      </c>
      <c r="J307" s="126">
        <f t="shared" si="7"/>
        <v>6.6878980891719744</v>
      </c>
      <c r="K307" s="180"/>
      <c r="L307" s="180"/>
      <c r="M307" s="180"/>
      <c r="N307" s="180"/>
      <c r="O307" s="131">
        <f t="shared" si="10"/>
        <v>2.3975804929252952E-2</v>
      </c>
      <c r="P307" s="135">
        <f>O307*(1+'Key Data'!$F$3)</f>
        <v>2.9969756161566191E-2</v>
      </c>
      <c r="Q307" s="449"/>
      <c r="R307" s="452"/>
      <c r="S307" s="369"/>
      <c r="T307"/>
    </row>
  </sheetData>
  <autoFilter ref="H1:H459" xr:uid="{D6D57AA4-0E9D-4825-AD18-2E65965CC6C7}"/>
  <mergeCells count="25">
    <mergeCell ref="A2:A36"/>
    <mergeCell ref="B2:B36"/>
    <mergeCell ref="C2:C36"/>
    <mergeCell ref="B280:B307"/>
    <mergeCell ref="A280:A307"/>
    <mergeCell ref="C37:C279"/>
    <mergeCell ref="B37:B279"/>
    <mergeCell ref="A37:A279"/>
    <mergeCell ref="E280:E307"/>
    <mergeCell ref="F280:F307"/>
    <mergeCell ref="E37:E279"/>
    <mergeCell ref="F37:F279"/>
    <mergeCell ref="S2:S307"/>
    <mergeCell ref="E2:E36"/>
    <mergeCell ref="F2:F36"/>
    <mergeCell ref="Q280:Q307"/>
    <mergeCell ref="R280:R307"/>
    <mergeCell ref="R2:R36"/>
    <mergeCell ref="G2:G36"/>
    <mergeCell ref="D37:D279"/>
    <mergeCell ref="G37:G279"/>
    <mergeCell ref="Q37:Q279"/>
    <mergeCell ref="R37:R279"/>
    <mergeCell ref="Q2:Q36"/>
    <mergeCell ref="D2:D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06BE2-D6A3-4E30-91B6-6F0EC5B38F8D}">
  <dimension ref="A4:K77"/>
  <sheetViews>
    <sheetView zoomScale="70" zoomScaleNormal="70" workbookViewId="0">
      <selection activeCell="B6" sqref="B6:B22"/>
    </sheetView>
  </sheetViews>
  <sheetFormatPr defaultRowHeight="14.4" x14ac:dyDescent="0.3"/>
  <cols>
    <col min="1" max="1" width="24.88671875" bestFit="1" customWidth="1"/>
    <col min="2" max="3" width="38.44140625" customWidth="1"/>
    <col min="5" max="5" width="17" style="44" customWidth="1"/>
    <col min="6" max="6" width="14.88671875" style="44" customWidth="1"/>
    <col min="7" max="7" width="13.6640625" style="207" bestFit="1" customWidth="1"/>
    <col min="8" max="8" width="13.6640625" style="269" customWidth="1"/>
    <col min="9" max="9" width="32.6640625" customWidth="1"/>
    <col min="10" max="10" width="29" customWidth="1"/>
    <col min="11" max="11" width="16" customWidth="1"/>
  </cols>
  <sheetData>
    <row r="4" spans="1:11" ht="30" customHeight="1" x14ac:dyDescent="0.3">
      <c r="A4" s="353" t="s">
        <v>44</v>
      </c>
      <c r="B4" s="354" t="s">
        <v>365</v>
      </c>
      <c r="E4" s="104" t="s">
        <v>420</v>
      </c>
      <c r="F4" s="104" t="s">
        <v>472</v>
      </c>
      <c r="G4" s="267" t="s">
        <v>421</v>
      </c>
      <c r="H4" s="104" t="s">
        <v>370</v>
      </c>
      <c r="I4" s="105" t="s">
        <v>464</v>
      </c>
      <c r="J4" s="105" t="s">
        <v>465</v>
      </c>
      <c r="K4" s="99" t="s">
        <v>466</v>
      </c>
    </row>
    <row r="5" spans="1:11" ht="15" customHeight="1" x14ac:dyDescent="0.3">
      <c r="A5" s="353"/>
      <c r="B5" s="354"/>
      <c r="E5" s="352" t="s">
        <v>30</v>
      </c>
      <c r="F5" s="352">
        <v>9</v>
      </c>
      <c r="G5" s="108">
        <f>'i=1 2019 Mango'!G2</f>
        <v>2019</v>
      </c>
      <c r="H5" s="268">
        <f>'i=1 2019 Mango'!R2</f>
        <v>23.446619979050205</v>
      </c>
      <c r="I5" s="351">
        <f>'i=1 2019 Mango'!S2</f>
        <v>26.963800626883152</v>
      </c>
      <c r="J5" s="351">
        <f>((9*(SUM(H5^2+H6^2+H7^2+H8^2+H9^2+H10^2+H11^2+H12^2+H13^2)))-(SUM(H5:H13)^2))/(9*8)</f>
        <v>37.006571681674259</v>
      </c>
      <c r="K5" s="98">
        <f>(B35*(SQRT((('Key Data'!E21^2)*(J5/COUNT(H5:H13)))+(('Key Data'!E22^2)*(Database!J14/COUNT(Database!H14:H17)))+(('Key Data'!E23^2)*(Database!J18/COUNT(Database!H18:H24)))+(('Key Data'!E24^2)*(Database!J25/COUNT(Database!H25:H29)))+(('Key Data'!E25^2)*(Database!J30/COUNT(Database!H30:H33)))+(('Key Data'!E26^2)*((Database!J34/COUNT(Database!H34)))+(('Key Data'!E27^2)*((Database!J35/COUNT(Database!H35:H37)))+(('Key Data'!E28^2)*((Database!J38/COUNT(Database!H38:H40)))+(('Key Data'!E29^2)*((Database!J41/COUNT(Database!H41:H44)))+(('Key Data'!E30^2)*((Database!J45/COUNT(Database!H46:H53)))+(('Key Data'!E31^2)*((Database!J54/COUNT(Database!H54:H57)))+(('Key Data'!E32^2)*((Database!J58/COUNT(Database!H58:H61)))+(('Key Data'!E33^2)*((Database!J62/COUNT(Database!H62:H65)))+(('Key Data'!E34^2)*((Database!J66/COUNT(Database!H66:H71)))+(('Key Data'!E35^2)*((Database!J72/COUNT(Database!H72:H75)))+(('Key Data'!E36^2)*(Database!J76/COUNT(Database!H76)))+(('Key Data'!E37^2)*((Database!J77/COUNT(Database!H77))))))/'Final Calculation'!AK9)))))))))))</f>
        <v>1.670665882638485</v>
      </c>
    </row>
    <row r="6" spans="1:11" x14ac:dyDescent="0.3">
      <c r="A6" s="100" t="s">
        <v>30</v>
      </c>
      <c r="B6" s="101">
        <f>I5</f>
        <v>26.963800626883152</v>
      </c>
      <c r="E6" s="352"/>
      <c r="F6" s="352"/>
      <c r="G6" s="108">
        <v>2019</v>
      </c>
      <c r="H6" s="268">
        <f>'i=1 2019 Mango'!R18</f>
        <v>21.329829064190527</v>
      </c>
      <c r="I6" s="351"/>
      <c r="J6" s="351"/>
    </row>
    <row r="7" spans="1:11" x14ac:dyDescent="0.3">
      <c r="A7" s="100" t="s">
        <v>32</v>
      </c>
      <c r="B7" s="101">
        <f>I14</f>
        <v>21.67681988064102</v>
      </c>
      <c r="E7" s="352"/>
      <c r="F7" s="352"/>
      <c r="G7" s="108">
        <v>2019</v>
      </c>
      <c r="H7" s="268">
        <f>'i=1 2019 Mango'!R34</f>
        <v>28.250976732815449</v>
      </c>
      <c r="I7" s="351"/>
      <c r="J7" s="351"/>
    </row>
    <row r="8" spans="1:11" x14ac:dyDescent="0.3">
      <c r="A8" s="100" t="s">
        <v>34</v>
      </c>
      <c r="B8" s="101">
        <f>I18</f>
        <v>26.977019395183728</v>
      </c>
      <c r="E8" s="352"/>
      <c r="F8" s="352"/>
      <c r="G8" s="108">
        <v>2019</v>
      </c>
      <c r="H8" s="268">
        <f>'i=1 2019 Mango'!R55</f>
        <v>34.637238568890197</v>
      </c>
      <c r="I8" s="351"/>
      <c r="J8" s="351"/>
    </row>
    <row r="9" spans="1:11" x14ac:dyDescent="0.3">
      <c r="A9" s="100" t="s">
        <v>382</v>
      </c>
      <c r="B9" s="101">
        <f>I25</f>
        <v>17.730020412528397</v>
      </c>
      <c r="E9" s="352"/>
      <c r="F9" s="352"/>
      <c r="G9" s="108">
        <v>2019</v>
      </c>
      <c r="H9" s="268">
        <f>'i=1 2019 Mango'!R80</f>
        <v>32.194444769757702</v>
      </c>
      <c r="I9" s="351"/>
      <c r="J9" s="351"/>
    </row>
    <row r="10" spans="1:11" x14ac:dyDescent="0.3">
      <c r="A10" s="100" t="s">
        <v>37</v>
      </c>
      <c r="B10" s="101">
        <f>I30</f>
        <v>7.8668458445190916</v>
      </c>
      <c r="E10" s="352"/>
      <c r="F10" s="352"/>
      <c r="G10" s="108">
        <v>2019</v>
      </c>
      <c r="H10" s="268">
        <f>'i=1 2019 Mango'!R102</f>
        <v>33.813526591724532</v>
      </c>
      <c r="I10" s="351"/>
      <c r="J10" s="351"/>
    </row>
    <row r="11" spans="1:11" x14ac:dyDescent="0.3">
      <c r="A11" s="100" t="s">
        <v>383</v>
      </c>
      <c r="B11" s="101">
        <f>I34</f>
        <v>3.6841764762116558</v>
      </c>
      <c r="E11" s="352"/>
      <c r="F11" s="352"/>
      <c r="G11" s="108">
        <v>2019</v>
      </c>
      <c r="H11" s="268">
        <f>'i=1 2019 Mango'!R125</f>
        <v>21.546738908204436</v>
      </c>
      <c r="I11" s="351"/>
      <c r="J11" s="351"/>
    </row>
    <row r="12" spans="1:11" x14ac:dyDescent="0.3">
      <c r="A12" s="100" t="s">
        <v>496</v>
      </c>
      <c r="B12" s="101">
        <f>I35</f>
        <v>23.399634039074201</v>
      </c>
      <c r="E12" s="352"/>
      <c r="F12" s="352"/>
      <c r="G12" s="108">
        <v>2019</v>
      </c>
      <c r="H12" s="268">
        <f>'i=1 2019 Mango'!R141</f>
        <v>29.50801181456627</v>
      </c>
      <c r="I12" s="351"/>
      <c r="J12" s="351"/>
      <c r="K12" s="32"/>
    </row>
    <row r="13" spans="1:11" x14ac:dyDescent="0.3">
      <c r="A13" s="100" t="s">
        <v>500</v>
      </c>
      <c r="B13" s="101">
        <f>I38</f>
        <v>61.536394842559183</v>
      </c>
      <c r="E13" s="352"/>
      <c r="F13" s="352"/>
      <c r="G13" s="108">
        <v>2019</v>
      </c>
      <c r="H13" s="268">
        <f>'i=1 2019 Mango'!R166</f>
        <v>17.946819212749066</v>
      </c>
      <c r="I13" s="351"/>
      <c r="J13" s="351"/>
    </row>
    <row r="14" spans="1:11" ht="14.4" customHeight="1" x14ac:dyDescent="0.3">
      <c r="A14" s="1" t="s">
        <v>509</v>
      </c>
      <c r="B14" s="101">
        <f>I41</f>
        <v>36.543837214757914</v>
      </c>
      <c r="E14" s="352" t="s">
        <v>32</v>
      </c>
      <c r="F14" s="352">
        <v>4</v>
      </c>
      <c r="G14" s="108">
        <f>'i=2 2020 Mango'!G2</f>
        <v>2020</v>
      </c>
      <c r="H14" s="268">
        <f>'i=2 2020 Mango'!R2</f>
        <v>20.06617166604461</v>
      </c>
      <c r="I14" s="351">
        <f>'i=2 2020 Mango'!S2</f>
        <v>21.67681988064102</v>
      </c>
      <c r="J14" s="351">
        <f>((4*(SUM(H14^2+H15^2+H16^2+H17^2)))-(SUM(H14:H17)^2))/(4*3)</f>
        <v>19.156793800644966</v>
      </c>
    </row>
    <row r="15" spans="1:11" x14ac:dyDescent="0.3">
      <c r="A15" s="1" t="s">
        <v>507</v>
      </c>
      <c r="B15" s="101">
        <f>I45</f>
        <v>18.516103133277241</v>
      </c>
      <c r="E15" s="352"/>
      <c r="F15" s="352"/>
      <c r="G15" s="108">
        <f>'i=2 2020 Mango'!G17</f>
        <v>2020</v>
      </c>
      <c r="H15" s="268">
        <f>'i=2 2020 Mango'!R17</f>
        <v>18.377307066018595</v>
      </c>
      <c r="I15" s="351"/>
      <c r="J15" s="351"/>
    </row>
    <row r="16" spans="1:11" x14ac:dyDescent="0.3">
      <c r="A16" s="1" t="s">
        <v>536</v>
      </c>
      <c r="B16" s="101">
        <f>I54</f>
        <v>13.265357996958214</v>
      </c>
      <c r="E16" s="352"/>
      <c r="F16" s="352"/>
      <c r="G16" s="108">
        <v>2020</v>
      </c>
      <c r="H16" s="268">
        <f>'i=2 2020 Mango'!R33</f>
        <v>20.135991972221607</v>
      </c>
      <c r="I16" s="351"/>
      <c r="J16" s="351"/>
    </row>
    <row r="17" spans="1:10" x14ac:dyDescent="0.3">
      <c r="A17" s="1" t="s">
        <v>495</v>
      </c>
      <c r="B17" s="101">
        <f>I58</f>
        <v>15.024406834908806</v>
      </c>
      <c r="E17" s="352"/>
      <c r="F17" s="352"/>
      <c r="G17" s="108">
        <v>2020</v>
      </c>
      <c r="H17" s="268">
        <f>'i=2 2020 Mango'!R58</f>
        <v>28.127808818279259</v>
      </c>
      <c r="I17" s="351"/>
      <c r="J17" s="351"/>
    </row>
    <row r="18" spans="1:10" ht="14.4" customHeight="1" x14ac:dyDescent="0.3">
      <c r="A18" s="1" t="s">
        <v>499</v>
      </c>
      <c r="B18" s="101">
        <f>I62</f>
        <v>12.644145853325591</v>
      </c>
      <c r="E18" s="352" t="s">
        <v>34</v>
      </c>
      <c r="F18" s="352">
        <v>7</v>
      </c>
      <c r="G18" s="108">
        <f>'i=3 2021 Mango'!G2</f>
        <v>2021</v>
      </c>
      <c r="H18" s="268">
        <f>'i=3 2021 Mango'!R2</f>
        <v>20.400425939841909</v>
      </c>
      <c r="I18" s="351">
        <f>'i=3 2021 Mango'!S2</f>
        <v>26.977019395183728</v>
      </c>
      <c r="J18" s="351">
        <f>((7*(SUM(H18^2+H19^2+H20^2+H21^2+H22^2+H23^2+H24^2)))-(SUM(H18:H24)^2))/(7*6)</f>
        <v>86.837388788102714</v>
      </c>
    </row>
    <row r="19" spans="1:10" x14ac:dyDescent="0.3">
      <c r="A19" s="1" t="s">
        <v>503</v>
      </c>
      <c r="B19" s="101">
        <f>I66</f>
        <v>11.09347984374466</v>
      </c>
      <c r="E19" s="352"/>
      <c r="F19" s="352"/>
      <c r="G19" s="108">
        <f>'i=3 2021 Mango'!G17</f>
        <v>2021</v>
      </c>
      <c r="H19" s="268">
        <f>'i=3 2021 Mango'!R17</f>
        <v>29.408552398786693</v>
      </c>
      <c r="I19" s="351"/>
      <c r="J19" s="351"/>
    </row>
    <row r="20" spans="1:10" x14ac:dyDescent="0.3">
      <c r="A20" s="1" t="s">
        <v>504</v>
      </c>
      <c r="B20" s="101">
        <f>I72</f>
        <v>10.038183828381914</v>
      </c>
      <c r="E20" s="352"/>
      <c r="F20" s="352"/>
      <c r="G20" s="108">
        <f>'i=3 2021 Mango'!G42</f>
        <v>2021</v>
      </c>
      <c r="H20" s="268">
        <f>'i=3 2021 Mango'!R42</f>
        <v>37.326988037307714</v>
      </c>
      <c r="I20" s="351"/>
      <c r="J20" s="351"/>
    </row>
    <row r="21" spans="1:10" x14ac:dyDescent="0.3">
      <c r="A21" s="1" t="s">
        <v>508</v>
      </c>
      <c r="B21" s="101">
        <f>I76</f>
        <v>11.757499923188865</v>
      </c>
      <c r="E21" s="352"/>
      <c r="F21" s="352"/>
      <c r="G21" s="108">
        <f>'i=3 2021 Mango'!G67</f>
        <v>2021</v>
      </c>
      <c r="H21" s="268">
        <f>'i=3 2021 Mango'!R67</f>
        <v>27.495892536635203</v>
      </c>
      <c r="I21" s="351"/>
      <c r="J21" s="351"/>
    </row>
    <row r="22" spans="1:10" x14ac:dyDescent="0.3">
      <c r="A22" s="1" t="s">
        <v>505</v>
      </c>
      <c r="B22" s="101">
        <f>I77</f>
        <v>2.9549013949665754</v>
      </c>
      <c r="E22" s="352"/>
      <c r="F22" s="352"/>
      <c r="G22" s="108">
        <f>'i=3 2021 Mango'!G101</f>
        <v>2021</v>
      </c>
      <c r="H22" s="268">
        <f>'i=3 2021 Mango'!R101</f>
        <v>11.250532137350604</v>
      </c>
      <c r="I22" s="351"/>
      <c r="J22" s="351"/>
    </row>
    <row r="23" spans="1:10" x14ac:dyDescent="0.3">
      <c r="E23" s="352"/>
      <c r="F23" s="352"/>
      <c r="G23" s="108">
        <f>'i=3 2021 Mango'!G120</f>
        <v>2021</v>
      </c>
      <c r="H23" s="268">
        <f>'i=3 2021 Mango'!R120</f>
        <v>25.288761715802362</v>
      </c>
      <c r="I23" s="351"/>
      <c r="J23" s="351"/>
    </row>
    <row r="24" spans="1:10" x14ac:dyDescent="0.3">
      <c r="E24" s="352"/>
      <c r="F24" s="352"/>
      <c r="G24" s="108">
        <f>'i=3 2021 Mango'!G142</f>
        <v>2021</v>
      </c>
      <c r="H24" s="268">
        <f>'i=3 2021 Mango'!R142</f>
        <v>37.667983000561605</v>
      </c>
      <c r="I24" s="351"/>
      <c r="J24" s="351"/>
    </row>
    <row r="25" spans="1:10" ht="14.4" customHeight="1" x14ac:dyDescent="0.3">
      <c r="E25" s="352" t="s">
        <v>382</v>
      </c>
      <c r="F25" s="352">
        <v>5</v>
      </c>
      <c r="G25" s="108">
        <f>'i=4 (2022 Mango'!G2</f>
        <v>2022</v>
      </c>
      <c r="H25" s="268">
        <f>'i=4 (2022 Mango'!R2</f>
        <v>17.200376290919973</v>
      </c>
      <c r="I25" s="351">
        <f>'i=4 (2022 Mango'!S2</f>
        <v>17.730020412528397</v>
      </c>
      <c r="J25" s="351">
        <f>((5*(SUM(H25^2+H26^2+H27^2+H28^2+H29^2)))-(SUM(H25:H29)^2))/(5*4)</f>
        <v>10.132924302224547</v>
      </c>
    </row>
    <row r="26" spans="1:10" x14ac:dyDescent="0.3">
      <c r="E26" s="352"/>
      <c r="F26" s="352"/>
      <c r="G26" s="108">
        <f>'i=4 (2022 Mango'!G17</f>
        <v>2022</v>
      </c>
      <c r="H26" s="268">
        <f>'i=4 (2022 Mango'!R17</f>
        <v>18.073437660876234</v>
      </c>
      <c r="I26" s="351"/>
      <c r="J26" s="351"/>
    </row>
    <row r="27" spans="1:10" x14ac:dyDescent="0.3">
      <c r="E27" s="352"/>
      <c r="F27" s="352"/>
      <c r="G27" s="108">
        <f>'i=4 (2022 Mango'!G33</f>
        <v>2022</v>
      </c>
      <c r="H27" s="268">
        <f>'i=4 (2022 Mango'!R33</f>
        <v>13.675364508544565</v>
      </c>
      <c r="I27" s="351"/>
      <c r="J27" s="351"/>
    </row>
    <row r="28" spans="1:10" x14ac:dyDescent="0.3">
      <c r="E28" s="352"/>
      <c r="F28" s="352"/>
      <c r="G28" s="108">
        <f>'i=4 (2022 Mango'!G49</f>
        <v>2022</v>
      </c>
      <c r="H28" s="268">
        <f>'i=4 (2022 Mango'!R49</f>
        <v>22.561592657638936</v>
      </c>
      <c r="I28" s="351"/>
      <c r="J28" s="351"/>
    </row>
    <row r="29" spans="1:10" x14ac:dyDescent="0.3">
      <c r="E29" s="352"/>
      <c r="F29" s="352"/>
      <c r="G29" s="108">
        <f>'i=4 (2022 Mango'!G69</f>
        <v>2022</v>
      </c>
      <c r="H29" s="268">
        <f>'i=4 (2022 Mango'!R69</f>
        <v>17.139330944662277</v>
      </c>
      <c r="I29" s="351"/>
      <c r="J29" s="351"/>
    </row>
    <row r="30" spans="1:10" x14ac:dyDescent="0.3">
      <c r="E30" s="352" t="s">
        <v>37</v>
      </c>
      <c r="F30" s="352">
        <v>4</v>
      </c>
      <c r="G30" s="108">
        <f>'i=5 2023 Mango'!G2</f>
        <v>2023</v>
      </c>
      <c r="H30" s="268">
        <f>'i=5 2023 Mango'!S2</f>
        <v>6.6962845582529562</v>
      </c>
      <c r="I30" s="351">
        <f>'i=5 2023 Mango'!T2</f>
        <v>7.8668458445190916</v>
      </c>
      <c r="J30" s="351">
        <f>((4*(SUM(H30^2+H31^2+H32^2+H33^2)))-(SUM(H30:H33)^2))/(4*3)</f>
        <v>16.286520321607821</v>
      </c>
    </row>
    <row r="31" spans="1:10" x14ac:dyDescent="0.3">
      <c r="E31" s="352"/>
      <c r="F31" s="352"/>
      <c r="G31" s="108">
        <f>'i=5 2023 Mango'!G18</f>
        <v>2023</v>
      </c>
      <c r="H31" s="268">
        <f>'i=5 2023 Mango'!S18</f>
        <v>6.5692814491230571</v>
      </c>
      <c r="I31" s="351"/>
      <c r="J31" s="351"/>
    </row>
    <row r="32" spans="1:10" x14ac:dyDescent="0.3">
      <c r="A32" s="355" t="s">
        <v>467</v>
      </c>
      <c r="B32" s="356"/>
      <c r="C32" s="102"/>
      <c r="E32" s="352"/>
      <c r="F32" s="352"/>
      <c r="G32" s="108">
        <f>'i=5 2023 Mango'!G34</f>
        <v>2023</v>
      </c>
      <c r="H32" s="268">
        <f>'i=5 2023 Mango'!S34</f>
        <v>13.724751875245289</v>
      </c>
      <c r="I32" s="351"/>
      <c r="J32" s="351"/>
    </row>
    <row r="33" spans="1:10" x14ac:dyDescent="0.3">
      <c r="A33" s="5" t="s">
        <v>468</v>
      </c>
      <c r="B33" s="90">
        <v>17</v>
      </c>
      <c r="C33" s="103"/>
      <c r="E33" s="352"/>
      <c r="F33" s="352"/>
      <c r="G33" s="108">
        <f>'i=5 2023 Mango'!G68</f>
        <v>2023</v>
      </c>
      <c r="H33" s="268">
        <f>'i=5 2023 Mango'!S68</f>
        <v>4.477065495455065</v>
      </c>
      <c r="I33" s="351"/>
      <c r="J33" s="351"/>
    </row>
    <row r="34" spans="1:10" ht="15.75" customHeight="1" x14ac:dyDescent="0.3">
      <c r="A34" s="5" t="s">
        <v>469</v>
      </c>
      <c r="B34" s="90">
        <v>73</v>
      </c>
      <c r="C34" s="103"/>
      <c r="E34" s="106" t="s">
        <v>383</v>
      </c>
      <c r="F34" s="106">
        <v>1</v>
      </c>
      <c r="G34" s="108">
        <f>'i=6 2024 Mango'!G2</f>
        <v>2024</v>
      </c>
      <c r="H34" s="268">
        <f>'i=6 2024 Mango'!R2</f>
        <v>3.6841764762116558</v>
      </c>
      <c r="I34" s="96">
        <f>'i=6 2024 Mango'!S2</f>
        <v>3.6841764762116558</v>
      </c>
      <c r="J34" s="96">
        <v>0</v>
      </c>
    </row>
    <row r="35" spans="1:10" ht="15.6" x14ac:dyDescent="0.3">
      <c r="A35" s="5" t="s">
        <v>470</v>
      </c>
      <c r="B35" s="90">
        <v>1.29</v>
      </c>
      <c r="C35" s="103"/>
      <c r="E35" s="352" t="s">
        <v>496</v>
      </c>
      <c r="F35" s="352">
        <v>3</v>
      </c>
      <c r="G35" s="108">
        <v>2019</v>
      </c>
      <c r="H35" s="268">
        <f>'i=7 2019 Harvesting'!R2</f>
        <v>34.344856681012722</v>
      </c>
      <c r="I35" s="351">
        <f>'i=7 2019 Harvesting'!S2</f>
        <v>23.399634039074201</v>
      </c>
      <c r="J35" s="351">
        <f>((3*(SUM(H35^2+H36^2+H37^2)))-(SUM(H35:H37)^2))/(3*2)</f>
        <v>145.48878558942246</v>
      </c>
    </row>
    <row r="36" spans="1:10" x14ac:dyDescent="0.3">
      <c r="A36" s="67" t="s">
        <v>471</v>
      </c>
      <c r="B36" s="90">
        <f>B34-B33</f>
        <v>56</v>
      </c>
      <c r="C36" s="103"/>
      <c r="E36" s="352"/>
      <c r="F36" s="352"/>
      <c r="G36" s="108">
        <v>2019</v>
      </c>
      <c r="H36" s="268">
        <f>'i=7 2019 Harvesting'!R98</f>
        <v>25.386269434645399</v>
      </c>
      <c r="I36" s="351"/>
      <c r="J36" s="351"/>
    </row>
    <row r="37" spans="1:10" x14ac:dyDescent="0.3">
      <c r="E37" s="352"/>
      <c r="F37" s="352"/>
      <c r="G37" s="108">
        <v>2019</v>
      </c>
      <c r="H37" s="268">
        <f>'i=7 2019 Harvesting'!R189</f>
        <v>10.467776001564484</v>
      </c>
      <c r="I37" s="351"/>
      <c r="J37" s="351"/>
    </row>
    <row r="38" spans="1:10" x14ac:dyDescent="0.3">
      <c r="E38" s="352" t="s">
        <v>506</v>
      </c>
      <c r="F38" s="352">
        <v>3</v>
      </c>
      <c r="G38" s="108">
        <f>'i=13 2020 Non Harvesting'!G2</f>
        <v>2020</v>
      </c>
      <c r="H38" s="268">
        <f>'i=8 2020 Harvesting'!R2</f>
        <v>15.795377376612715</v>
      </c>
      <c r="I38" s="351">
        <f>'i=8 2020 Harvesting'!S2</f>
        <v>61.536394842559183</v>
      </c>
      <c r="J38" s="351">
        <f>((3*(SUM(H38^2+H39^2+H40^2)))-(SUM(H38:H40)^2))/(3*2)</f>
        <v>3971.4722055997772</v>
      </c>
    </row>
    <row r="39" spans="1:10" x14ac:dyDescent="0.3">
      <c r="E39" s="352"/>
      <c r="F39" s="352"/>
      <c r="G39" s="108">
        <f>'i=13 2020 Non Harvesting'!G34</f>
        <v>2020</v>
      </c>
      <c r="H39" s="268">
        <f>'i=8 2020 Harvesting'!R37</f>
        <v>133.42008237965371</v>
      </c>
      <c r="I39" s="351"/>
      <c r="J39" s="351"/>
    </row>
    <row r="40" spans="1:10" x14ac:dyDescent="0.3">
      <c r="E40" s="352"/>
      <c r="F40" s="352"/>
      <c r="G40" s="108">
        <f>'i=13 2020 Non Harvesting'!G59</f>
        <v>2020</v>
      </c>
      <c r="H40" s="268">
        <f>'i=8 2020 Harvesting'!R280</f>
        <v>35.393724771411101</v>
      </c>
      <c r="I40" s="351"/>
      <c r="J40" s="351"/>
    </row>
    <row r="41" spans="1:10" x14ac:dyDescent="0.3">
      <c r="E41" s="352" t="s">
        <v>509</v>
      </c>
      <c r="F41" s="352">
        <v>4</v>
      </c>
      <c r="G41" s="108">
        <f>'i=14 2021 Non Harvesting'!G2</f>
        <v>2021</v>
      </c>
      <c r="H41" s="268">
        <f>'i=9 2021 Harvesting'!R2</f>
        <v>23.288350915744175</v>
      </c>
      <c r="I41" s="351">
        <f>'i=9 2021 Harvesting'!S2</f>
        <v>36.543837214757914</v>
      </c>
      <c r="J41" s="351">
        <f>((4*(SUM(H41^2+H42^2+H43^2+H44^2)))-(SUM(H41:H44)^2))/(4*3)</f>
        <v>378.01773630267388</v>
      </c>
    </row>
    <row r="42" spans="1:10" x14ac:dyDescent="0.3">
      <c r="E42" s="352"/>
      <c r="F42" s="352"/>
      <c r="G42" s="108">
        <v>2021</v>
      </c>
      <c r="H42" s="268">
        <f>'i=9 2021 Harvesting'!R28</f>
        <v>52.231158977324498</v>
      </c>
      <c r="I42" s="351"/>
      <c r="J42" s="351"/>
    </row>
    <row r="43" spans="1:10" x14ac:dyDescent="0.3">
      <c r="E43" s="352"/>
      <c r="F43" s="352"/>
      <c r="G43" s="108">
        <v>2021</v>
      </c>
      <c r="H43" s="268">
        <f>'i=9 2021 Harvesting'!R127</f>
        <v>16.49581503417534</v>
      </c>
      <c r="I43" s="351"/>
      <c r="J43" s="351"/>
    </row>
    <row r="44" spans="1:10" x14ac:dyDescent="0.3">
      <c r="E44" s="352"/>
      <c r="F44" s="352"/>
      <c r="G44" s="108">
        <v>2021</v>
      </c>
      <c r="H44" s="268">
        <f>'i=9 2021 Harvesting'!R143</f>
        <v>54.160023931787649</v>
      </c>
      <c r="I44" s="351"/>
      <c r="J44" s="351"/>
    </row>
    <row r="45" spans="1:10" x14ac:dyDescent="0.3">
      <c r="E45" s="352" t="s">
        <v>507</v>
      </c>
      <c r="F45" s="352">
        <v>9</v>
      </c>
      <c r="G45" s="108">
        <v>2022</v>
      </c>
      <c r="H45" s="268">
        <f>'i=10 (2022 Harvesting)'!R2</f>
        <v>32.022903865713189</v>
      </c>
      <c r="I45" s="351">
        <f>'i=10 (2022 Harvesting)'!S2</f>
        <v>18.516103133277241</v>
      </c>
      <c r="J45" s="351">
        <f>((9*(SUM(H45^2+H46^2+H47^2+H48^2+H49^2+H50^2+H51^2+H52^2+H53^2)))-(SUM(H45:H53)^2))/(9*8)</f>
        <v>535.51730260389252</v>
      </c>
    </row>
    <row r="46" spans="1:10" x14ac:dyDescent="0.3">
      <c r="E46" s="352"/>
      <c r="F46" s="352"/>
      <c r="G46" s="108">
        <v>2022</v>
      </c>
      <c r="H46" s="268">
        <f>'i=10 (2022 Harvesting)'!R103</f>
        <v>75.635582565614058</v>
      </c>
      <c r="I46" s="351"/>
      <c r="J46" s="351"/>
    </row>
    <row r="47" spans="1:10" x14ac:dyDescent="0.3">
      <c r="E47" s="352"/>
      <c r="F47" s="352"/>
      <c r="G47" s="108">
        <v>2022</v>
      </c>
      <c r="H47" s="268">
        <f>'i=10 (2022 Harvesting)'!R259</f>
        <v>12.122620275678699</v>
      </c>
      <c r="I47" s="351"/>
      <c r="J47" s="351"/>
    </row>
    <row r="48" spans="1:10" x14ac:dyDescent="0.3">
      <c r="E48" s="352"/>
      <c r="F48" s="352"/>
      <c r="G48" s="108">
        <v>2022</v>
      </c>
      <c r="H48" s="268">
        <f>'i=10 (2022 Harvesting)'!R295</f>
        <v>4.4012363551554969</v>
      </c>
      <c r="I48" s="351"/>
      <c r="J48" s="351"/>
    </row>
    <row r="49" spans="5:10" x14ac:dyDescent="0.3">
      <c r="E49" s="352"/>
      <c r="F49" s="352"/>
      <c r="G49" s="108">
        <v>2022</v>
      </c>
      <c r="H49" s="268">
        <f>'i=10 (2022 Harvesting)'!R331</f>
        <v>16.044153100011638</v>
      </c>
      <c r="I49" s="351"/>
      <c r="J49" s="351"/>
    </row>
    <row r="50" spans="5:10" x14ac:dyDescent="0.3">
      <c r="E50" s="352"/>
      <c r="F50" s="352"/>
      <c r="G50" s="108">
        <v>2022</v>
      </c>
      <c r="H50" s="268">
        <f>'i=10 (2022 Harvesting)'!R412</f>
        <v>5.5007590819987486</v>
      </c>
      <c r="I50" s="351"/>
      <c r="J50" s="351"/>
    </row>
    <row r="51" spans="5:10" x14ac:dyDescent="0.3">
      <c r="E51" s="352"/>
      <c r="F51" s="352"/>
      <c r="G51" s="108">
        <v>2022</v>
      </c>
      <c r="H51" s="268">
        <f>'i=10 (2022 Harvesting)'!R449</f>
        <v>2.9982569567601463</v>
      </c>
      <c r="I51" s="351"/>
      <c r="J51" s="351"/>
    </row>
    <row r="52" spans="5:10" x14ac:dyDescent="0.3">
      <c r="E52" s="352"/>
      <c r="F52" s="352"/>
      <c r="G52" s="108">
        <v>2022</v>
      </c>
      <c r="H52" s="268">
        <f>'i=10 (2022 Harvesting)'!R485</f>
        <v>8.936326837431837</v>
      </c>
      <c r="I52" s="351"/>
      <c r="J52" s="351"/>
    </row>
    <row r="53" spans="5:10" x14ac:dyDescent="0.3">
      <c r="E53" s="352"/>
      <c r="F53" s="352"/>
      <c r="G53" s="108">
        <v>2022</v>
      </c>
      <c r="H53" s="268">
        <f>'i=10 (2022 Harvesting)'!R520</f>
        <v>8.9830891611313533</v>
      </c>
      <c r="I53" s="351"/>
      <c r="J53" s="351"/>
    </row>
    <row r="54" spans="5:10" x14ac:dyDescent="0.3">
      <c r="E54" s="352" t="s">
        <v>510</v>
      </c>
      <c r="F54" s="352">
        <v>4</v>
      </c>
      <c r="G54" s="108">
        <f>'i=16 2023 Non Harvesting'!G2</f>
        <v>2023</v>
      </c>
      <c r="H54" s="268">
        <f>'i=11 (2023 Harvesting)'!R2</f>
        <v>4.0000385231256983</v>
      </c>
      <c r="I54" s="351">
        <f>'i=11 (2023 Harvesting)'!S2</f>
        <v>13.265357996958214</v>
      </c>
      <c r="J54" s="351">
        <f>((4*(SUM(H54^2+H55^2+H56^2+H57^2+2)))-(SUM(H54:H57)^2))/(4*3)</f>
        <v>58.548408805923565</v>
      </c>
    </row>
    <row r="55" spans="5:10" x14ac:dyDescent="0.3">
      <c r="E55" s="352"/>
      <c r="F55" s="352"/>
      <c r="G55" s="108">
        <f>'i=11 (2023 Harvesting)'!G2</f>
        <v>2023</v>
      </c>
      <c r="H55" s="268">
        <f>'i=11 (2023 Harvesting)'!R38</f>
        <v>21.370918453122943</v>
      </c>
      <c r="I55" s="351"/>
      <c r="J55" s="351"/>
    </row>
    <row r="56" spans="5:10" x14ac:dyDescent="0.3">
      <c r="E56" s="352"/>
      <c r="F56" s="352"/>
      <c r="G56" s="108">
        <f>'i=11 (2023 Harvesting)'!G38</f>
        <v>2023</v>
      </c>
      <c r="H56" s="268">
        <f>'i=11 (2023 Harvesting)'!R64</f>
        <v>17.118343879523216</v>
      </c>
      <c r="I56" s="351"/>
      <c r="J56" s="351"/>
    </row>
    <row r="57" spans="5:10" x14ac:dyDescent="0.3">
      <c r="E57" s="352"/>
      <c r="F57" s="352"/>
      <c r="G57" s="108">
        <f>'i=11 (2023 Harvesting)'!G64</f>
        <v>2023</v>
      </c>
      <c r="H57" s="268">
        <f>'i=11 (2023 Harvesting)'!R85</f>
        <v>10.572131132060996</v>
      </c>
      <c r="I57" s="351"/>
      <c r="J57" s="351"/>
    </row>
    <row r="58" spans="5:10" ht="28.95" customHeight="1" x14ac:dyDescent="0.3">
      <c r="E58" s="352" t="s">
        <v>495</v>
      </c>
      <c r="F58" s="352">
        <v>4</v>
      </c>
      <c r="G58" s="108">
        <v>2019</v>
      </c>
      <c r="H58" s="268">
        <f>'i=12 2019Non Harvesting'!R2</f>
        <v>6.1924047704937992</v>
      </c>
      <c r="I58" s="351">
        <f>'i=12 2019Non Harvesting'!S2</f>
        <v>15.024406834908806</v>
      </c>
      <c r="J58" s="351">
        <f>((4*(SUM(H58^2+H59^2+H60^2+H61^2+2)))-(SUM(H58:H61)^2))/(4*3)</f>
        <v>73.098751318879565</v>
      </c>
    </row>
    <row r="59" spans="5:10" x14ac:dyDescent="0.3">
      <c r="E59" s="352"/>
      <c r="F59" s="352"/>
      <c r="G59" s="108">
        <v>2019</v>
      </c>
      <c r="H59" s="268">
        <f>'i=12 2019Non Harvesting'!R125</f>
        <v>25.292505196580638</v>
      </c>
      <c r="I59" s="351"/>
      <c r="J59" s="351"/>
    </row>
    <row r="60" spans="5:10" x14ac:dyDescent="0.3">
      <c r="E60" s="352"/>
      <c r="F60" s="352"/>
      <c r="G60" s="108">
        <v>2019</v>
      </c>
      <c r="H60" s="268">
        <f>'i=12 2019Non Harvesting'!R144</f>
        <v>18.357714214887007</v>
      </c>
      <c r="I60" s="351"/>
      <c r="J60" s="351"/>
    </row>
    <row r="61" spans="5:10" x14ac:dyDescent="0.3">
      <c r="E61" s="352"/>
      <c r="F61" s="352"/>
      <c r="G61" s="108">
        <v>2019</v>
      </c>
      <c r="H61" s="268">
        <f>'i=12 2019Non Harvesting'!R170</f>
        <v>10.25500315767378</v>
      </c>
      <c r="I61" s="351"/>
      <c r="J61" s="351"/>
    </row>
    <row r="62" spans="5:10" x14ac:dyDescent="0.3">
      <c r="E62" s="352" t="s">
        <v>499</v>
      </c>
      <c r="F62" s="352">
        <v>4</v>
      </c>
      <c r="G62" s="108">
        <v>2020</v>
      </c>
      <c r="H62" s="268">
        <f>'i=13 2020 Non Harvesting'!R2</f>
        <v>18.707761995861048</v>
      </c>
      <c r="I62" s="351">
        <f>'i=13 2020 Non Harvesting'!S2</f>
        <v>12.644145853325591</v>
      </c>
      <c r="J62" s="351">
        <f>((4*(SUM(H62^2+H63^2+H64^2+H65^2+2)))-(SUM(H62:H65)^2))/(4*3)</f>
        <v>26.436501399922349</v>
      </c>
    </row>
    <row r="63" spans="5:10" x14ac:dyDescent="0.3">
      <c r="E63" s="352"/>
      <c r="F63" s="352"/>
      <c r="G63" s="108">
        <v>2020</v>
      </c>
      <c r="H63" s="268">
        <f>'i=13 2020 Non Harvesting'!R34</f>
        <v>14.855917615644003</v>
      </c>
      <c r="I63" s="351"/>
      <c r="J63" s="351"/>
    </row>
    <row r="64" spans="5:10" x14ac:dyDescent="0.3">
      <c r="E64" s="352"/>
      <c r="F64" s="352"/>
      <c r="G64" s="108">
        <v>2020</v>
      </c>
      <c r="H64" s="268">
        <f>'i=13 2020 Non Harvesting'!R59</f>
        <v>9.3458286516073734</v>
      </c>
      <c r="I64" s="351"/>
      <c r="J64" s="351"/>
    </row>
    <row r="65" spans="5:10" x14ac:dyDescent="0.3">
      <c r="E65" s="352"/>
      <c r="F65" s="352"/>
      <c r="G65" s="108">
        <v>2020</v>
      </c>
      <c r="H65" s="268">
        <f>'i=13 2020 Non Harvesting'!R116</f>
        <v>7.6670751501899383</v>
      </c>
      <c r="I65" s="351"/>
      <c r="J65" s="351"/>
    </row>
    <row r="66" spans="5:10" ht="28.95" customHeight="1" x14ac:dyDescent="0.3">
      <c r="E66" s="352" t="s">
        <v>503</v>
      </c>
      <c r="F66" s="352">
        <v>6</v>
      </c>
      <c r="G66" s="108">
        <v>2021</v>
      </c>
      <c r="H66" s="268">
        <f>'i=14 2021 Non Harvesting'!R2</f>
        <v>20.421918176726226</v>
      </c>
      <c r="I66" s="351">
        <f>'i=14 2021 Non Harvesting'!S2</f>
        <v>11.09347984374466</v>
      </c>
      <c r="J66" s="357">
        <f>((6*(SUM(H66^2+H67^2+H68^2+H69^2+H70^2+H71^2)))-(SUM(H66:H71)^2))/(6*5)</f>
        <v>73.206515099177736</v>
      </c>
    </row>
    <row r="67" spans="5:10" x14ac:dyDescent="0.3">
      <c r="E67" s="352"/>
      <c r="F67" s="352"/>
      <c r="G67" s="108">
        <v>2021</v>
      </c>
      <c r="H67" s="268">
        <f>'i=14 2021 Non Harvesting'!R85</f>
        <v>1.7713728389976997</v>
      </c>
      <c r="I67" s="351"/>
      <c r="J67" s="358"/>
    </row>
    <row r="68" spans="5:10" x14ac:dyDescent="0.3">
      <c r="E68" s="352"/>
      <c r="F68" s="352"/>
      <c r="G68" s="108">
        <v>2021</v>
      </c>
      <c r="H68" s="268">
        <f>'i=14 2021 Non Harvesting'!R151</f>
        <v>4.3575182693802583</v>
      </c>
      <c r="I68" s="351"/>
      <c r="J68" s="358"/>
    </row>
    <row r="69" spans="5:10" x14ac:dyDescent="0.3">
      <c r="E69" s="352"/>
      <c r="F69" s="352"/>
      <c r="G69" s="108">
        <v>2021</v>
      </c>
      <c r="H69" s="268">
        <f>'i=14 2021 Non Harvesting'!R264</f>
        <v>22.135966736855</v>
      </c>
      <c r="I69" s="351"/>
      <c r="J69" s="358"/>
    </row>
    <row r="70" spans="5:10" x14ac:dyDescent="0.3">
      <c r="E70" s="352"/>
      <c r="F70" s="352"/>
      <c r="G70" s="108">
        <v>2021</v>
      </c>
      <c r="H70" s="268">
        <f>'i=14 2021 Non Harvesting'!R299</f>
        <v>11.721030095168967</v>
      </c>
      <c r="I70" s="351"/>
      <c r="J70" s="358"/>
    </row>
    <row r="71" spans="5:10" x14ac:dyDescent="0.3">
      <c r="E71" s="352"/>
      <c r="F71" s="352"/>
      <c r="G71" s="108">
        <v>2021</v>
      </c>
      <c r="H71" s="268">
        <f>'i=14 2021 Non Harvesting'!R351</f>
        <v>6.1530729453398152</v>
      </c>
      <c r="I71" s="351"/>
      <c r="J71" s="359"/>
    </row>
    <row r="72" spans="5:10" ht="28.95" customHeight="1" x14ac:dyDescent="0.3">
      <c r="E72" s="352" t="s">
        <v>504</v>
      </c>
      <c r="F72" s="352">
        <v>4</v>
      </c>
      <c r="G72" s="108">
        <v>2022</v>
      </c>
      <c r="H72" s="268">
        <f>'i=15 2022 Non Harvesting'!R2</f>
        <v>12.352734783244266</v>
      </c>
      <c r="I72" s="351">
        <f>'i=15 2022 Non Harvesting'!S2</f>
        <v>10.038183828381914</v>
      </c>
      <c r="J72" s="351">
        <f>((4*(SUM(H72^2+H73^2+H74^2+H75^2+2)))-(SUM(H72:H75)^2))/(4*3)</f>
        <v>15.862662399715797</v>
      </c>
    </row>
    <row r="73" spans="5:10" x14ac:dyDescent="0.3">
      <c r="E73" s="352"/>
      <c r="F73" s="352"/>
      <c r="G73" s="108">
        <v>2022</v>
      </c>
      <c r="H73" s="268">
        <f>'i=15 2022 Non Harvesting'!R25</f>
        <v>4.3014401687932446</v>
      </c>
      <c r="I73" s="351"/>
      <c r="J73" s="351"/>
    </row>
    <row r="74" spans="5:10" x14ac:dyDescent="0.3">
      <c r="E74" s="352"/>
      <c r="F74" s="352"/>
      <c r="G74" s="108">
        <v>2022</v>
      </c>
      <c r="H74" s="268">
        <f>'i=15 2022 Non Harvesting'!R46</f>
        <v>10.89344380429182</v>
      </c>
      <c r="I74" s="351"/>
      <c r="J74" s="351"/>
    </row>
    <row r="75" spans="5:10" x14ac:dyDescent="0.3">
      <c r="E75" s="352"/>
      <c r="F75" s="352"/>
      <c r="G75" s="108">
        <v>2022</v>
      </c>
      <c r="H75" s="268">
        <f>'i=15 2022 Non Harvesting'!R75:R89</f>
        <v>12.605116557198329</v>
      </c>
      <c r="I75" s="351"/>
      <c r="J75" s="351"/>
    </row>
    <row r="76" spans="5:10" ht="28.8" x14ac:dyDescent="0.3">
      <c r="E76" s="106" t="s">
        <v>508</v>
      </c>
      <c r="F76" s="106">
        <v>1</v>
      </c>
      <c r="G76" s="108">
        <v>2023</v>
      </c>
      <c r="H76" s="268">
        <f>'i=16 2023 Non Harvesting'!S2</f>
        <v>11.757499923188865</v>
      </c>
      <c r="I76" s="96">
        <f>'i=16 2023 Non Harvesting'!T2</f>
        <v>11.757499923188865</v>
      </c>
      <c r="J76" s="96">
        <v>0</v>
      </c>
    </row>
    <row r="77" spans="5:10" ht="28.8" x14ac:dyDescent="0.3">
      <c r="E77" s="106" t="s">
        <v>505</v>
      </c>
      <c r="F77" s="106">
        <v>1</v>
      </c>
      <c r="G77" s="108">
        <v>2024</v>
      </c>
      <c r="H77" s="268">
        <f>'i=17 2024 Non Harvesting'!R2</f>
        <v>2.9549013949665754</v>
      </c>
      <c r="I77" s="96">
        <f>'i=17 2024 Non Harvesting'!S2</f>
        <v>2.9549013949665754</v>
      </c>
      <c r="J77" s="96">
        <v>0</v>
      </c>
    </row>
  </sheetData>
  <autoFilter ref="H4:H77" xr:uid="{5E606BE2-D6A3-4E30-91B6-6F0EC5B38F8D}"/>
  <mergeCells count="59">
    <mergeCell ref="J66:J71"/>
    <mergeCell ref="J72:J75"/>
    <mergeCell ref="J58:J61"/>
    <mergeCell ref="E62:E65"/>
    <mergeCell ref="F62:F65"/>
    <mergeCell ref="I62:I65"/>
    <mergeCell ref="J62:J65"/>
    <mergeCell ref="E58:E61"/>
    <mergeCell ref="F58:F61"/>
    <mergeCell ref="I58:I61"/>
    <mergeCell ref="E66:E71"/>
    <mergeCell ref="F66:F71"/>
    <mergeCell ref="I66:I71"/>
    <mergeCell ref="E72:E75"/>
    <mergeCell ref="F72:F75"/>
    <mergeCell ref="I72:I75"/>
    <mergeCell ref="E45:E53"/>
    <mergeCell ref="E38:E40"/>
    <mergeCell ref="E25:E29"/>
    <mergeCell ref="E35:E37"/>
    <mergeCell ref="E41:E44"/>
    <mergeCell ref="A4:A5"/>
    <mergeCell ref="B4:B5"/>
    <mergeCell ref="E5:E13"/>
    <mergeCell ref="A32:B32"/>
    <mergeCell ref="E30:E33"/>
    <mergeCell ref="I54:I57"/>
    <mergeCell ref="E54:E57"/>
    <mergeCell ref="J5:J13"/>
    <mergeCell ref="J30:J33"/>
    <mergeCell ref="J35:J37"/>
    <mergeCell ref="J38:J40"/>
    <mergeCell ref="J45:J53"/>
    <mergeCell ref="J54:J57"/>
    <mergeCell ref="F5:F13"/>
    <mergeCell ref="I30:I33"/>
    <mergeCell ref="I35:I37"/>
    <mergeCell ref="I38:I40"/>
    <mergeCell ref="I45:I53"/>
    <mergeCell ref="I5:I13"/>
    <mergeCell ref="I25:I29"/>
    <mergeCell ref="I41:I44"/>
    <mergeCell ref="F45:F53"/>
    <mergeCell ref="F54:F57"/>
    <mergeCell ref="F30:F33"/>
    <mergeCell ref="F38:F40"/>
    <mergeCell ref="F25:F29"/>
    <mergeCell ref="F35:F37"/>
    <mergeCell ref="F41:F44"/>
    <mergeCell ref="J41:J44"/>
    <mergeCell ref="J25:J29"/>
    <mergeCell ref="F14:F17"/>
    <mergeCell ref="E14:E17"/>
    <mergeCell ref="I14:I17"/>
    <mergeCell ref="J14:J17"/>
    <mergeCell ref="E18:E24"/>
    <mergeCell ref="F18:F24"/>
    <mergeCell ref="I18:I24"/>
    <mergeCell ref="J18:J24"/>
  </mergeCells>
  <phoneticPr fontId="11" type="noConversion"/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A9B2-2A66-434B-8AE3-86F04AB03CC5}">
  <dimension ref="A1:U428"/>
  <sheetViews>
    <sheetView topLeftCell="G1" zoomScale="93" zoomScaleNormal="40" workbookViewId="0">
      <pane ySplit="1" topLeftCell="A181" activePane="bottomLeft" state="frozen"/>
      <selection pane="bottomLeft" activeCell="O184" sqref="O184:O188"/>
    </sheetView>
  </sheetViews>
  <sheetFormatPr defaultColWidth="9.109375" defaultRowHeight="14.4" x14ac:dyDescent="0.3"/>
  <cols>
    <col min="1" max="1" width="9.33203125" style="66" bestFit="1" customWidth="1"/>
    <col min="2" max="4" width="9.109375" style="66"/>
    <col min="5" max="5" width="12.5546875" style="66" bestFit="1" customWidth="1"/>
    <col min="6" max="6" width="13" style="66" bestFit="1" customWidth="1"/>
    <col min="7" max="7" width="10.5546875" style="66" bestFit="1" customWidth="1"/>
    <col min="8" max="8" width="16" style="66" bestFit="1" customWidth="1"/>
    <col min="9" max="9" width="9.33203125" style="74" bestFit="1" customWidth="1"/>
    <col min="10" max="10" width="11.6640625" style="74" bestFit="1" customWidth="1"/>
    <col min="11" max="11" width="9.33203125" style="74" bestFit="1" customWidth="1"/>
    <col min="12" max="12" width="11.6640625" style="74" bestFit="1" customWidth="1"/>
    <col min="13" max="14" width="9.33203125" style="74" bestFit="1" customWidth="1"/>
    <col min="15" max="15" width="11.109375" style="76" customWidth="1"/>
    <col min="16" max="16" width="9.33203125" style="76" bestFit="1" customWidth="1"/>
    <col min="17" max="17" width="15.109375" style="76" customWidth="1"/>
    <col min="18" max="18" width="11.6640625" style="76" bestFit="1" customWidth="1"/>
    <col min="19" max="19" width="23.6640625" style="76" customWidth="1"/>
    <col min="20" max="16384" width="9.109375" style="66"/>
  </cols>
  <sheetData>
    <row r="1" spans="1:21" s="68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9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</row>
    <row r="2" spans="1:21" x14ac:dyDescent="0.3">
      <c r="A2" s="367">
        <v>1</v>
      </c>
      <c r="B2" s="367" t="s">
        <v>303</v>
      </c>
      <c r="C2" s="367" t="s">
        <v>304</v>
      </c>
      <c r="D2" s="367" t="s">
        <v>289</v>
      </c>
      <c r="E2" s="108">
        <v>15.351334599999999</v>
      </c>
      <c r="F2" s="108">
        <v>75.754410100000001</v>
      </c>
      <c r="G2" s="367">
        <v>2019</v>
      </c>
      <c r="H2" s="109" t="s">
        <v>305</v>
      </c>
      <c r="I2" s="126"/>
      <c r="J2" s="126"/>
      <c r="K2" s="126">
        <v>29.6</v>
      </c>
      <c r="L2" s="126">
        <f t="shared" ref="L2:L33" si="0">K2/3.14</f>
        <v>9.4267515923566876</v>
      </c>
      <c r="M2" s="126">
        <v>7.1</v>
      </c>
      <c r="N2" s="126"/>
      <c r="O2" s="127">
        <f>(EXP(-2.302+0.894*LN(L2*L2*M2)))/1000</f>
        <v>3.1874137004360717E-2</v>
      </c>
      <c r="P2" s="127">
        <f>O2*(1+'Key Data'!F$3)</f>
        <v>3.9842671255450893E-2</v>
      </c>
      <c r="Q2" s="366">
        <f>SUM(P2:P97)</f>
        <v>3.0910371012911448</v>
      </c>
      <c r="R2" s="366">
        <f>Q2*10000/900</f>
        <v>34.344856681012722</v>
      </c>
      <c r="S2" s="368">
        <f>AVERAGE(R2:R225)</f>
        <v>23.399634039074201</v>
      </c>
      <c r="U2"/>
    </row>
    <row r="3" spans="1:21" x14ac:dyDescent="0.3">
      <c r="A3" s="367"/>
      <c r="B3" s="367"/>
      <c r="C3" s="367"/>
      <c r="D3" s="367"/>
      <c r="E3" s="108">
        <v>15.3512974</v>
      </c>
      <c r="F3" s="108">
        <v>75.754690999999994</v>
      </c>
      <c r="G3" s="367"/>
      <c r="H3" s="109" t="s">
        <v>305</v>
      </c>
      <c r="I3" s="126"/>
      <c r="J3" s="126"/>
      <c r="K3" s="126">
        <v>31.8</v>
      </c>
      <c r="L3" s="126">
        <f t="shared" si="0"/>
        <v>10.127388535031846</v>
      </c>
      <c r="M3" s="126">
        <v>7</v>
      </c>
      <c r="N3" s="126"/>
      <c r="O3" s="127">
        <f t="shared" ref="O3:O33" si="1">(EXP(-2.302+0.894*LN(L3*L3*M3)))/1000</f>
        <v>3.5776778336925538E-2</v>
      </c>
      <c r="P3" s="127">
        <f>O3*(1+'Key Data'!F$3)</f>
        <v>4.4720972921156926E-2</v>
      </c>
      <c r="Q3" s="366"/>
      <c r="R3" s="366"/>
      <c r="S3" s="369"/>
    </row>
    <row r="4" spans="1:21" x14ac:dyDescent="0.3">
      <c r="A4" s="367"/>
      <c r="B4" s="367"/>
      <c r="C4" s="367"/>
      <c r="D4" s="367"/>
      <c r="E4" s="108">
        <v>15.351563799999999</v>
      </c>
      <c r="F4" s="108">
        <v>75.754424099999994</v>
      </c>
      <c r="G4" s="367"/>
      <c r="H4" s="109" t="s">
        <v>305</v>
      </c>
      <c r="I4" s="126"/>
      <c r="J4" s="126"/>
      <c r="K4" s="126">
        <v>32.4</v>
      </c>
      <c r="L4" s="126">
        <f t="shared" si="0"/>
        <v>10.318471337579616</v>
      </c>
      <c r="M4" s="126">
        <v>7</v>
      </c>
      <c r="N4" s="126"/>
      <c r="O4" s="127">
        <f t="shared" si="1"/>
        <v>3.6992698930181346E-2</v>
      </c>
      <c r="P4" s="127">
        <f>O4*(1+'Key Data'!F$3)</f>
        <v>4.6240873662726681E-2</v>
      </c>
      <c r="Q4" s="366"/>
      <c r="R4" s="366"/>
      <c r="S4" s="369"/>
    </row>
    <row r="5" spans="1:21" x14ac:dyDescent="0.3">
      <c r="A5" s="367"/>
      <c r="B5" s="367"/>
      <c r="C5" s="367"/>
      <c r="D5" s="367"/>
      <c r="E5" s="108">
        <v>15.351560599999999</v>
      </c>
      <c r="F5" s="108">
        <v>75.754410699999994</v>
      </c>
      <c r="G5" s="367"/>
      <c r="H5" s="109" t="s">
        <v>305</v>
      </c>
      <c r="I5" s="126"/>
      <c r="J5" s="126"/>
      <c r="K5" s="126">
        <v>30.4</v>
      </c>
      <c r="L5" s="126">
        <f t="shared" si="0"/>
        <v>9.6815286624203818</v>
      </c>
      <c r="M5" s="126">
        <v>7</v>
      </c>
      <c r="N5" s="126"/>
      <c r="O5" s="127">
        <f t="shared" si="1"/>
        <v>3.3009542648762338E-2</v>
      </c>
      <c r="P5" s="127">
        <f>O5*(1+'Key Data'!F$3)</f>
        <v>4.1261928310952919E-2</v>
      </c>
      <c r="Q5" s="366"/>
      <c r="R5" s="366"/>
      <c r="S5" s="369"/>
    </row>
    <row r="6" spans="1:21" x14ac:dyDescent="0.3">
      <c r="A6" s="367"/>
      <c r="B6" s="367"/>
      <c r="C6" s="367"/>
      <c r="D6" s="367"/>
      <c r="E6" s="108">
        <v>15.351426699999999</v>
      </c>
      <c r="F6" s="108">
        <v>75.754555600000003</v>
      </c>
      <c r="G6" s="367"/>
      <c r="H6" s="109" t="s">
        <v>305</v>
      </c>
      <c r="I6" s="126"/>
      <c r="J6" s="126"/>
      <c r="K6" s="126">
        <v>31</v>
      </c>
      <c r="L6" s="126">
        <f t="shared" si="0"/>
        <v>9.872611464968152</v>
      </c>
      <c r="M6" s="126">
        <v>7.1</v>
      </c>
      <c r="N6" s="126"/>
      <c r="O6" s="127">
        <f t="shared" si="1"/>
        <v>3.4619721052287458E-2</v>
      </c>
      <c r="P6" s="127">
        <f>O6*(1+'Key Data'!F$3)</f>
        <v>4.3274651315359319E-2</v>
      </c>
      <c r="Q6" s="366"/>
      <c r="R6" s="366"/>
      <c r="S6" s="369"/>
    </row>
    <row r="7" spans="1:21" x14ac:dyDescent="0.3">
      <c r="A7" s="367"/>
      <c r="B7" s="367"/>
      <c r="C7" s="367"/>
      <c r="D7" s="367"/>
      <c r="E7" s="108"/>
      <c r="F7" s="108"/>
      <c r="G7" s="367"/>
      <c r="H7" s="109" t="s">
        <v>305</v>
      </c>
      <c r="I7" s="126"/>
      <c r="J7" s="126"/>
      <c r="K7" s="126">
        <v>28</v>
      </c>
      <c r="L7" s="126">
        <f t="shared" si="0"/>
        <v>8.9171974522292992</v>
      </c>
      <c r="M7" s="126">
        <v>6.4</v>
      </c>
      <c r="N7" s="126"/>
      <c r="O7" s="127">
        <f t="shared" si="1"/>
        <v>2.6301913713882175E-2</v>
      </c>
      <c r="P7" s="127">
        <f>O7*(1+'Key Data'!F$3)</f>
        <v>3.2877392142352718E-2</v>
      </c>
      <c r="Q7" s="366"/>
      <c r="R7" s="366"/>
      <c r="S7" s="369"/>
    </row>
    <row r="8" spans="1:21" x14ac:dyDescent="0.3">
      <c r="A8" s="367"/>
      <c r="B8" s="367"/>
      <c r="C8" s="367"/>
      <c r="D8" s="367"/>
      <c r="E8" s="108"/>
      <c r="F8" s="108"/>
      <c r="G8" s="367"/>
      <c r="H8" s="109" t="s">
        <v>305</v>
      </c>
      <c r="I8" s="126"/>
      <c r="J8" s="126"/>
      <c r="K8" s="126">
        <v>31.8</v>
      </c>
      <c r="L8" s="126">
        <f t="shared" si="0"/>
        <v>10.127388535031846</v>
      </c>
      <c r="M8" s="126">
        <v>6.4</v>
      </c>
      <c r="N8" s="126"/>
      <c r="O8" s="127">
        <f t="shared" si="1"/>
        <v>3.3022388250442236E-2</v>
      </c>
      <c r="P8" s="127">
        <f>O8*(1+'Key Data'!F$3)</f>
        <v>4.1277985313052795E-2</v>
      </c>
      <c r="Q8" s="366"/>
      <c r="R8" s="366"/>
      <c r="S8" s="369"/>
    </row>
    <row r="9" spans="1:21" x14ac:dyDescent="0.3">
      <c r="A9" s="367"/>
      <c r="B9" s="367"/>
      <c r="C9" s="367"/>
      <c r="D9" s="367"/>
      <c r="E9" s="108"/>
      <c r="F9" s="108"/>
      <c r="G9" s="367"/>
      <c r="H9" s="109" t="s">
        <v>305</v>
      </c>
      <c r="I9" s="126"/>
      <c r="J9" s="126"/>
      <c r="K9" s="126">
        <v>25</v>
      </c>
      <c r="L9" s="126">
        <f t="shared" si="0"/>
        <v>7.9617834394904454</v>
      </c>
      <c r="M9" s="126">
        <v>6.5</v>
      </c>
      <c r="N9" s="126"/>
      <c r="O9" s="127">
        <f t="shared" si="1"/>
        <v>2.1777356879746537E-2</v>
      </c>
      <c r="P9" s="127">
        <f>O9*(1+'Key Data'!F$3)</f>
        <v>2.7221696099683172E-2</v>
      </c>
      <c r="Q9" s="366"/>
      <c r="R9" s="366"/>
      <c r="S9" s="369"/>
    </row>
    <row r="10" spans="1:21" x14ac:dyDescent="0.3">
      <c r="A10" s="367"/>
      <c r="B10" s="367"/>
      <c r="C10" s="367"/>
      <c r="D10" s="367"/>
      <c r="E10" s="108"/>
      <c r="F10" s="108"/>
      <c r="G10" s="367"/>
      <c r="H10" s="109" t="s">
        <v>305</v>
      </c>
      <c r="I10" s="126"/>
      <c r="J10" s="126"/>
      <c r="K10" s="126">
        <v>30</v>
      </c>
      <c r="L10" s="126">
        <f t="shared" si="0"/>
        <v>9.5541401273885338</v>
      </c>
      <c r="M10" s="126">
        <v>6</v>
      </c>
      <c r="N10" s="126"/>
      <c r="O10" s="127">
        <f t="shared" si="1"/>
        <v>2.808690680200308E-2</v>
      </c>
      <c r="P10" s="127">
        <f>O10*(1+'Key Data'!F$3)</f>
        <v>3.5108633502503851E-2</v>
      </c>
      <c r="Q10" s="366"/>
      <c r="R10" s="366"/>
      <c r="S10" s="369"/>
    </row>
    <row r="11" spans="1:21" x14ac:dyDescent="0.3">
      <c r="A11" s="367"/>
      <c r="B11" s="367"/>
      <c r="C11" s="367"/>
      <c r="D11" s="367"/>
      <c r="E11" s="108"/>
      <c r="F11" s="108"/>
      <c r="G11" s="367"/>
      <c r="H11" s="109" t="s">
        <v>305</v>
      </c>
      <c r="I11" s="126"/>
      <c r="J11" s="126"/>
      <c r="K11" s="126">
        <v>29</v>
      </c>
      <c r="L11" s="126">
        <f t="shared" si="0"/>
        <v>9.2356687898089174</v>
      </c>
      <c r="M11" s="126">
        <v>6</v>
      </c>
      <c r="N11" s="126"/>
      <c r="O11" s="127">
        <f t="shared" si="1"/>
        <v>2.64349644069099E-2</v>
      </c>
      <c r="P11" s="127">
        <f>O11*(1+'Key Data'!F$3)</f>
        <v>3.3043705508637375E-2</v>
      </c>
      <c r="Q11" s="366"/>
      <c r="R11" s="366"/>
      <c r="S11" s="369"/>
    </row>
    <row r="12" spans="1:21" x14ac:dyDescent="0.3">
      <c r="A12" s="367"/>
      <c r="B12" s="367"/>
      <c r="C12" s="367"/>
      <c r="D12" s="367"/>
      <c r="E12" s="108"/>
      <c r="F12" s="108"/>
      <c r="G12" s="367"/>
      <c r="H12" s="109" t="s">
        <v>305</v>
      </c>
      <c r="I12" s="126"/>
      <c r="J12" s="126"/>
      <c r="K12" s="126">
        <v>25.2</v>
      </c>
      <c r="L12" s="126">
        <f t="shared" si="0"/>
        <v>8.0254777070063685</v>
      </c>
      <c r="M12" s="126">
        <v>7</v>
      </c>
      <c r="N12" s="126"/>
      <c r="O12" s="127">
        <f t="shared" si="1"/>
        <v>2.3602918489505825E-2</v>
      </c>
      <c r="P12" s="127">
        <f>O12*(1+'Key Data'!F$3)</f>
        <v>2.9503648111882282E-2</v>
      </c>
      <c r="Q12" s="366"/>
      <c r="R12" s="366"/>
      <c r="S12" s="369"/>
    </row>
    <row r="13" spans="1:21" x14ac:dyDescent="0.3">
      <c r="A13" s="367"/>
      <c r="B13" s="367"/>
      <c r="C13" s="367"/>
      <c r="D13" s="367"/>
      <c r="E13" s="108"/>
      <c r="F13" s="108"/>
      <c r="G13" s="367"/>
      <c r="H13" s="109" t="s">
        <v>305</v>
      </c>
      <c r="I13" s="126"/>
      <c r="J13" s="126"/>
      <c r="K13" s="126">
        <v>30.8</v>
      </c>
      <c r="L13" s="126">
        <f t="shared" si="0"/>
        <v>9.8089171974522298</v>
      </c>
      <c r="M13" s="126">
        <v>7</v>
      </c>
      <c r="N13" s="126"/>
      <c r="O13" s="127">
        <f t="shared" si="1"/>
        <v>3.3790157865741709E-2</v>
      </c>
      <c r="P13" s="127">
        <f>O13*(1+'Key Data'!F$3)</f>
        <v>4.2237697332177138E-2</v>
      </c>
      <c r="Q13" s="366"/>
      <c r="R13" s="366"/>
      <c r="S13" s="369"/>
    </row>
    <row r="14" spans="1:21" x14ac:dyDescent="0.3">
      <c r="A14" s="367"/>
      <c r="B14" s="367"/>
      <c r="C14" s="367"/>
      <c r="D14" s="367"/>
      <c r="E14" s="108"/>
      <c r="F14" s="108"/>
      <c r="G14" s="367"/>
      <c r="H14" s="109" t="s">
        <v>305</v>
      </c>
      <c r="I14" s="126"/>
      <c r="J14" s="126"/>
      <c r="K14" s="126">
        <v>29</v>
      </c>
      <c r="L14" s="126">
        <f t="shared" si="0"/>
        <v>9.2356687898089174</v>
      </c>
      <c r="M14" s="126">
        <v>7</v>
      </c>
      <c r="N14" s="126"/>
      <c r="O14" s="127">
        <f t="shared" si="1"/>
        <v>3.0340948961861052E-2</v>
      </c>
      <c r="P14" s="127">
        <f>O14*(1+'Key Data'!F$3)</f>
        <v>3.7926186202326316E-2</v>
      </c>
      <c r="Q14" s="366"/>
      <c r="R14" s="366"/>
      <c r="S14" s="369"/>
    </row>
    <row r="15" spans="1:21" x14ac:dyDescent="0.3">
      <c r="A15" s="367"/>
      <c r="B15" s="367"/>
      <c r="C15" s="367"/>
      <c r="D15" s="367"/>
      <c r="E15" s="108"/>
      <c r="F15" s="108"/>
      <c r="G15" s="367"/>
      <c r="H15" s="109" t="s">
        <v>305</v>
      </c>
      <c r="I15" s="126"/>
      <c r="J15" s="126"/>
      <c r="K15" s="126">
        <v>34</v>
      </c>
      <c r="L15" s="126">
        <f t="shared" si="0"/>
        <v>10.828025477707007</v>
      </c>
      <c r="M15" s="126">
        <v>6.8</v>
      </c>
      <c r="N15" s="126"/>
      <c r="O15" s="127">
        <f t="shared" si="1"/>
        <v>3.9290826413996248E-2</v>
      </c>
      <c r="P15" s="127">
        <f>O15*(1+'Key Data'!F$3)</f>
        <v>4.9113533017495312E-2</v>
      </c>
      <c r="Q15" s="366"/>
      <c r="R15" s="366"/>
      <c r="S15" s="369"/>
    </row>
    <row r="16" spans="1:21" x14ac:dyDescent="0.3">
      <c r="A16" s="367"/>
      <c r="B16" s="367"/>
      <c r="C16" s="367"/>
      <c r="D16" s="367"/>
      <c r="E16" s="108"/>
      <c r="F16" s="108"/>
      <c r="G16" s="367"/>
      <c r="H16" s="109" t="s">
        <v>305</v>
      </c>
      <c r="I16" s="126"/>
      <c r="J16" s="126"/>
      <c r="K16" s="126">
        <v>25</v>
      </c>
      <c r="L16" s="126">
        <f t="shared" si="0"/>
        <v>7.9617834394904454</v>
      </c>
      <c r="M16" s="126">
        <v>6.4</v>
      </c>
      <c r="N16" s="126"/>
      <c r="O16" s="127">
        <f t="shared" si="1"/>
        <v>2.14775888410869E-2</v>
      </c>
      <c r="P16" s="127">
        <f>O16*(1+'Key Data'!F$3)</f>
        <v>2.6846986051358625E-2</v>
      </c>
      <c r="Q16" s="366"/>
      <c r="R16" s="366"/>
      <c r="S16" s="369"/>
    </row>
    <row r="17" spans="1:19" x14ac:dyDescent="0.3">
      <c r="A17" s="367"/>
      <c r="B17" s="367"/>
      <c r="C17" s="367"/>
      <c r="D17" s="367"/>
      <c r="E17" s="108"/>
      <c r="F17" s="108"/>
      <c r="G17" s="367"/>
      <c r="H17" s="109" t="s">
        <v>305</v>
      </c>
      <c r="I17" s="126"/>
      <c r="J17" s="126"/>
      <c r="K17" s="126">
        <v>27.1</v>
      </c>
      <c r="L17" s="126">
        <f t="shared" si="0"/>
        <v>8.630573248407643</v>
      </c>
      <c r="M17" s="126">
        <v>6.8</v>
      </c>
      <c r="N17" s="126"/>
      <c r="O17" s="127">
        <f t="shared" si="1"/>
        <v>2.6191233472590062E-2</v>
      </c>
      <c r="P17" s="127">
        <f>O17*(1+'Key Data'!F$3)</f>
        <v>3.273904184073758E-2</v>
      </c>
      <c r="Q17" s="366"/>
      <c r="R17" s="366"/>
      <c r="S17" s="369"/>
    </row>
    <row r="18" spans="1:19" x14ac:dyDescent="0.3">
      <c r="A18" s="367"/>
      <c r="B18" s="367"/>
      <c r="C18" s="367"/>
      <c r="D18" s="367"/>
      <c r="E18" s="108"/>
      <c r="F18" s="108"/>
      <c r="G18" s="367"/>
      <c r="H18" s="109" t="s">
        <v>305</v>
      </c>
      <c r="I18" s="126"/>
      <c r="J18" s="126"/>
      <c r="K18" s="126">
        <v>30</v>
      </c>
      <c r="L18" s="126">
        <f t="shared" si="0"/>
        <v>9.5541401273885338</v>
      </c>
      <c r="M18" s="126">
        <v>6.4</v>
      </c>
      <c r="N18" s="126"/>
      <c r="O18" s="127">
        <f t="shared" si="1"/>
        <v>2.9755112189794715E-2</v>
      </c>
      <c r="P18" s="127">
        <f>O18*(1+'Key Data'!F$3)</f>
        <v>3.7193890237243392E-2</v>
      </c>
      <c r="Q18" s="366"/>
      <c r="R18" s="366"/>
      <c r="S18" s="369"/>
    </row>
    <row r="19" spans="1:19" x14ac:dyDescent="0.3">
      <c r="A19" s="367"/>
      <c r="B19" s="367"/>
      <c r="C19" s="367"/>
      <c r="D19" s="367"/>
      <c r="E19" s="108"/>
      <c r="F19" s="108"/>
      <c r="G19" s="367"/>
      <c r="H19" s="109" t="s">
        <v>305</v>
      </c>
      <c r="I19" s="126"/>
      <c r="J19" s="126"/>
      <c r="K19" s="126">
        <v>26</v>
      </c>
      <c r="L19" s="126">
        <f t="shared" si="0"/>
        <v>8.2802547770700627</v>
      </c>
      <c r="M19" s="126">
        <v>6.2</v>
      </c>
      <c r="N19" s="126"/>
      <c r="O19" s="127">
        <f t="shared" si="1"/>
        <v>2.2393109743796005E-2</v>
      </c>
      <c r="P19" s="127">
        <f>O19*(1+'Key Data'!F$3)</f>
        <v>2.7991387179745007E-2</v>
      </c>
      <c r="Q19" s="366"/>
      <c r="R19" s="366"/>
      <c r="S19" s="369"/>
    </row>
    <row r="20" spans="1:19" x14ac:dyDescent="0.3">
      <c r="A20" s="367"/>
      <c r="B20" s="367"/>
      <c r="C20" s="367"/>
      <c r="D20" s="367"/>
      <c r="E20" s="108"/>
      <c r="F20" s="108"/>
      <c r="G20" s="367"/>
      <c r="H20" s="109" t="s">
        <v>305</v>
      </c>
      <c r="I20" s="126"/>
      <c r="J20" s="126"/>
      <c r="K20" s="126">
        <v>30.1</v>
      </c>
      <c r="L20" s="126">
        <f t="shared" si="0"/>
        <v>9.5859872611464976</v>
      </c>
      <c r="M20" s="126">
        <v>6.2</v>
      </c>
      <c r="N20" s="126"/>
      <c r="O20" s="127">
        <f t="shared" si="1"/>
        <v>2.9095039855096969E-2</v>
      </c>
      <c r="P20" s="127">
        <f>O20*(1+'Key Data'!F$3)</f>
        <v>3.6368799818871214E-2</v>
      </c>
      <c r="Q20" s="366"/>
      <c r="R20" s="366"/>
      <c r="S20" s="369"/>
    </row>
    <row r="21" spans="1:19" x14ac:dyDescent="0.3">
      <c r="A21" s="367"/>
      <c r="B21" s="367"/>
      <c r="C21" s="367"/>
      <c r="D21" s="367"/>
      <c r="E21" s="108"/>
      <c r="F21" s="108"/>
      <c r="G21" s="367"/>
      <c r="H21" s="109" t="s">
        <v>305</v>
      </c>
      <c r="I21" s="126"/>
      <c r="J21" s="126"/>
      <c r="K21" s="126">
        <v>21.6</v>
      </c>
      <c r="L21" s="126">
        <f t="shared" si="0"/>
        <v>6.8789808917197455</v>
      </c>
      <c r="M21" s="126">
        <v>6</v>
      </c>
      <c r="N21" s="126"/>
      <c r="O21" s="127">
        <f t="shared" si="1"/>
        <v>1.5610413847990634E-2</v>
      </c>
      <c r="P21" s="127">
        <f>O21*(1+'Key Data'!F$3)</f>
        <v>1.9513017309988293E-2</v>
      </c>
      <c r="Q21" s="366"/>
      <c r="R21" s="366"/>
      <c r="S21" s="369"/>
    </row>
    <row r="22" spans="1:19" x14ac:dyDescent="0.3">
      <c r="A22" s="367"/>
      <c r="B22" s="367"/>
      <c r="C22" s="367"/>
      <c r="D22" s="367"/>
      <c r="E22" s="108"/>
      <c r="F22" s="108"/>
      <c r="G22" s="367"/>
      <c r="H22" s="109" t="s">
        <v>305</v>
      </c>
      <c r="I22" s="126"/>
      <c r="J22" s="126"/>
      <c r="K22" s="126">
        <v>30.2</v>
      </c>
      <c r="L22" s="126">
        <f t="shared" si="0"/>
        <v>9.6178343949044578</v>
      </c>
      <c r="M22" s="126">
        <v>7.4</v>
      </c>
      <c r="N22" s="126"/>
      <c r="O22" s="127">
        <f t="shared" si="1"/>
        <v>3.4283840294764917E-2</v>
      </c>
      <c r="P22" s="127">
        <f>O22*(1+'Key Data'!F$3)</f>
        <v>4.2854800368456146E-2</v>
      </c>
      <c r="Q22" s="366"/>
      <c r="R22" s="366"/>
      <c r="S22" s="369"/>
    </row>
    <row r="23" spans="1:19" x14ac:dyDescent="0.3">
      <c r="A23" s="367"/>
      <c r="B23" s="367"/>
      <c r="C23" s="367"/>
      <c r="D23" s="367"/>
      <c r="E23" s="108"/>
      <c r="F23" s="108"/>
      <c r="G23" s="367"/>
      <c r="H23" s="109" t="s">
        <v>305</v>
      </c>
      <c r="I23" s="126"/>
      <c r="J23" s="126"/>
      <c r="K23" s="126">
        <v>31</v>
      </c>
      <c r="L23" s="126">
        <f t="shared" si="0"/>
        <v>9.872611464968152</v>
      </c>
      <c r="M23" s="126">
        <v>7.4</v>
      </c>
      <c r="N23" s="126"/>
      <c r="O23" s="127">
        <f t="shared" si="1"/>
        <v>3.5924584838188361E-2</v>
      </c>
      <c r="P23" s="127">
        <f>O23*(1+'Key Data'!F$3)</f>
        <v>4.4905731047735452E-2</v>
      </c>
      <c r="Q23" s="366"/>
      <c r="R23" s="366"/>
      <c r="S23" s="369"/>
    </row>
    <row r="24" spans="1:19" x14ac:dyDescent="0.3">
      <c r="A24" s="367"/>
      <c r="B24" s="367"/>
      <c r="C24" s="367"/>
      <c r="D24" s="367"/>
      <c r="E24" s="108"/>
      <c r="F24" s="108"/>
      <c r="G24" s="367"/>
      <c r="H24" s="109" t="s">
        <v>305</v>
      </c>
      <c r="I24" s="126"/>
      <c r="J24" s="126"/>
      <c r="K24" s="126">
        <v>31</v>
      </c>
      <c r="L24" s="126">
        <f t="shared" si="0"/>
        <v>9.872611464968152</v>
      </c>
      <c r="M24" s="126">
        <v>7.4</v>
      </c>
      <c r="N24" s="126"/>
      <c r="O24" s="127">
        <f t="shared" si="1"/>
        <v>3.5924584838188361E-2</v>
      </c>
      <c r="P24" s="127">
        <f>O24*(1+'Key Data'!F$3)</f>
        <v>4.4905731047735452E-2</v>
      </c>
      <c r="Q24" s="366"/>
      <c r="R24" s="366"/>
      <c r="S24" s="369"/>
    </row>
    <row r="25" spans="1:19" x14ac:dyDescent="0.3">
      <c r="A25" s="367"/>
      <c r="B25" s="367"/>
      <c r="C25" s="367"/>
      <c r="D25" s="367"/>
      <c r="E25" s="108"/>
      <c r="F25" s="108"/>
      <c r="G25" s="367"/>
      <c r="H25" s="109" t="s">
        <v>305</v>
      </c>
      <c r="I25" s="126"/>
      <c r="J25" s="126"/>
      <c r="K25" s="126">
        <v>33</v>
      </c>
      <c r="L25" s="126">
        <f t="shared" si="0"/>
        <v>10.509554140127388</v>
      </c>
      <c r="M25" s="126">
        <v>6.4</v>
      </c>
      <c r="N25" s="126"/>
      <c r="O25" s="127">
        <f t="shared" si="1"/>
        <v>3.5283504391543971E-2</v>
      </c>
      <c r="P25" s="127">
        <f>O25*(1+'Key Data'!F$3)</f>
        <v>4.4104380489429967E-2</v>
      </c>
      <c r="Q25" s="366"/>
      <c r="R25" s="366"/>
      <c r="S25" s="369"/>
    </row>
    <row r="26" spans="1:19" x14ac:dyDescent="0.3">
      <c r="A26" s="367"/>
      <c r="B26" s="367"/>
      <c r="C26" s="367"/>
      <c r="D26" s="367"/>
      <c r="E26" s="108"/>
      <c r="F26" s="108"/>
      <c r="G26" s="367"/>
      <c r="H26" s="109" t="s">
        <v>305</v>
      </c>
      <c r="I26" s="126"/>
      <c r="J26" s="126"/>
      <c r="K26" s="126">
        <v>32</v>
      </c>
      <c r="L26" s="126">
        <f t="shared" si="0"/>
        <v>10.19108280254777</v>
      </c>
      <c r="M26" s="126">
        <v>7</v>
      </c>
      <c r="N26" s="126"/>
      <c r="O26" s="127">
        <f t="shared" si="1"/>
        <v>3.6180094836477592E-2</v>
      </c>
      <c r="P26" s="127">
        <f>O26*(1+'Key Data'!F$3)</f>
        <v>4.5225118545596993E-2</v>
      </c>
      <c r="Q26" s="366"/>
      <c r="R26" s="366"/>
      <c r="S26" s="369"/>
    </row>
    <row r="27" spans="1:19" x14ac:dyDescent="0.3">
      <c r="A27" s="367"/>
      <c r="B27" s="367"/>
      <c r="C27" s="367"/>
      <c r="D27" s="367"/>
      <c r="E27" s="108"/>
      <c r="F27" s="108"/>
      <c r="G27" s="367"/>
      <c r="H27" s="109" t="s">
        <v>305</v>
      </c>
      <c r="I27" s="126"/>
      <c r="J27" s="126"/>
      <c r="K27" s="126">
        <v>29</v>
      </c>
      <c r="L27" s="126">
        <f t="shared" si="0"/>
        <v>9.2356687898089174</v>
      </c>
      <c r="M27" s="126">
        <v>7</v>
      </c>
      <c r="N27" s="126"/>
      <c r="O27" s="127">
        <f t="shared" si="1"/>
        <v>3.0340948961861052E-2</v>
      </c>
      <c r="P27" s="127">
        <f>O27*(1+'Key Data'!F$3)</f>
        <v>3.7926186202326316E-2</v>
      </c>
      <c r="Q27" s="366"/>
      <c r="R27" s="366"/>
      <c r="S27" s="369"/>
    </row>
    <row r="28" spans="1:19" x14ac:dyDescent="0.3">
      <c r="A28" s="367"/>
      <c r="B28" s="367"/>
      <c r="C28" s="367"/>
      <c r="D28" s="367"/>
      <c r="E28" s="108"/>
      <c r="F28" s="108"/>
      <c r="G28" s="367"/>
      <c r="H28" s="109" t="s">
        <v>305</v>
      </c>
      <c r="I28" s="126"/>
      <c r="J28" s="126"/>
      <c r="K28" s="126">
        <v>27.4</v>
      </c>
      <c r="L28" s="126">
        <f t="shared" si="0"/>
        <v>8.7261146496815272</v>
      </c>
      <c r="M28" s="126">
        <v>6.1</v>
      </c>
      <c r="N28" s="126"/>
      <c r="O28" s="127">
        <f t="shared" si="1"/>
        <v>2.4239673778442987E-2</v>
      </c>
      <c r="P28" s="127">
        <f>O28*(1+'Key Data'!F$3)</f>
        <v>3.0299592223053735E-2</v>
      </c>
      <c r="Q28" s="366"/>
      <c r="R28" s="366"/>
      <c r="S28" s="369"/>
    </row>
    <row r="29" spans="1:19" x14ac:dyDescent="0.3">
      <c r="A29" s="367"/>
      <c r="B29" s="367"/>
      <c r="C29" s="367"/>
      <c r="D29" s="367"/>
      <c r="E29" s="108"/>
      <c r="F29" s="108"/>
      <c r="G29" s="367"/>
      <c r="H29" s="109" t="s">
        <v>305</v>
      </c>
      <c r="I29" s="126"/>
      <c r="J29" s="126"/>
      <c r="K29" s="126">
        <v>30</v>
      </c>
      <c r="L29" s="126">
        <f t="shared" si="0"/>
        <v>9.5541401273885338</v>
      </c>
      <c r="M29" s="126">
        <v>6.1</v>
      </c>
      <c r="N29" s="126"/>
      <c r="O29" s="127">
        <f t="shared" si="1"/>
        <v>2.8505034294540127E-2</v>
      </c>
      <c r="P29" s="127">
        <f>O29*(1+'Key Data'!F$3)</f>
        <v>3.5631292868175159E-2</v>
      </c>
      <c r="Q29" s="366"/>
      <c r="R29" s="366"/>
      <c r="S29" s="369"/>
    </row>
    <row r="30" spans="1:19" x14ac:dyDescent="0.3">
      <c r="A30" s="367"/>
      <c r="B30" s="367"/>
      <c r="C30" s="367"/>
      <c r="D30" s="367"/>
      <c r="E30" s="108"/>
      <c r="F30" s="108"/>
      <c r="G30" s="367"/>
      <c r="H30" s="109" t="s">
        <v>305</v>
      </c>
      <c r="I30" s="126"/>
      <c r="J30" s="126"/>
      <c r="K30" s="126">
        <v>18.2</v>
      </c>
      <c r="L30" s="126">
        <f t="shared" si="0"/>
        <v>5.7961783439490437</v>
      </c>
      <c r="M30" s="126">
        <v>6</v>
      </c>
      <c r="N30" s="126"/>
      <c r="O30" s="127">
        <f t="shared" si="1"/>
        <v>1.149261217601674E-2</v>
      </c>
      <c r="P30" s="127">
        <f>O30*(1+'Key Data'!F$3)</f>
        <v>1.4365765220020926E-2</v>
      </c>
      <c r="Q30" s="366"/>
      <c r="R30" s="366"/>
      <c r="S30" s="369"/>
    </row>
    <row r="31" spans="1:19" x14ac:dyDescent="0.3">
      <c r="A31" s="367"/>
      <c r="B31" s="367"/>
      <c r="C31" s="367"/>
      <c r="D31" s="367"/>
      <c r="E31" s="108"/>
      <c r="F31" s="108"/>
      <c r="G31" s="367"/>
      <c r="H31" s="109" t="s">
        <v>305</v>
      </c>
      <c r="I31" s="126"/>
      <c r="J31" s="126"/>
      <c r="K31" s="126">
        <v>28.8</v>
      </c>
      <c r="L31" s="126">
        <f t="shared" si="0"/>
        <v>9.1719745222929934</v>
      </c>
      <c r="M31" s="126">
        <v>6.4</v>
      </c>
      <c r="N31" s="126"/>
      <c r="O31" s="127">
        <f t="shared" si="1"/>
        <v>2.7660661167723324E-2</v>
      </c>
      <c r="P31" s="127">
        <f>O31*(1+'Key Data'!F$3)</f>
        <v>3.4575826459654152E-2</v>
      </c>
      <c r="Q31" s="366"/>
      <c r="R31" s="366"/>
      <c r="S31" s="369"/>
    </row>
    <row r="32" spans="1:19" x14ac:dyDescent="0.3">
      <c r="A32" s="367"/>
      <c r="B32" s="367"/>
      <c r="C32" s="367"/>
      <c r="D32" s="367"/>
      <c r="E32" s="108"/>
      <c r="F32" s="108"/>
      <c r="G32" s="367"/>
      <c r="H32" s="109" t="s">
        <v>305</v>
      </c>
      <c r="I32" s="126"/>
      <c r="J32" s="126"/>
      <c r="K32" s="126">
        <v>30</v>
      </c>
      <c r="L32" s="126">
        <f t="shared" si="0"/>
        <v>9.5541401273885338</v>
      </c>
      <c r="M32" s="126">
        <v>6.8</v>
      </c>
      <c r="N32" s="126"/>
      <c r="O32" s="127">
        <f t="shared" si="1"/>
        <v>3.1412294706656144E-2</v>
      </c>
      <c r="P32" s="127">
        <f>O32*(1+'Key Data'!F$3)</f>
        <v>3.9265368383320176E-2</v>
      </c>
      <c r="Q32" s="366"/>
      <c r="R32" s="366"/>
      <c r="S32" s="369"/>
    </row>
    <row r="33" spans="1:19" x14ac:dyDescent="0.3">
      <c r="A33" s="367"/>
      <c r="B33" s="367"/>
      <c r="C33" s="367"/>
      <c r="D33" s="367"/>
      <c r="E33" s="108"/>
      <c r="F33" s="108"/>
      <c r="G33" s="367"/>
      <c r="H33" s="109" t="s">
        <v>305</v>
      </c>
      <c r="I33" s="126"/>
      <c r="J33" s="126"/>
      <c r="K33" s="126">
        <v>22</v>
      </c>
      <c r="L33" s="126">
        <f t="shared" si="0"/>
        <v>7.0063694267515917</v>
      </c>
      <c r="M33" s="126">
        <v>7.2</v>
      </c>
      <c r="N33" s="126"/>
      <c r="O33" s="127">
        <f t="shared" si="1"/>
        <v>1.8986761584582467E-2</v>
      </c>
      <c r="P33" s="127">
        <f>O33*(1+'Key Data'!F$3)</f>
        <v>2.3733451980728085E-2</v>
      </c>
      <c r="Q33" s="366"/>
      <c r="R33" s="366"/>
      <c r="S33" s="369"/>
    </row>
    <row r="34" spans="1:19" x14ac:dyDescent="0.3">
      <c r="A34" s="367"/>
      <c r="B34" s="367"/>
      <c r="C34" s="367"/>
      <c r="D34" s="367"/>
      <c r="E34" s="108"/>
      <c r="F34" s="108"/>
      <c r="G34" s="367"/>
      <c r="H34" s="109" t="s">
        <v>305</v>
      </c>
      <c r="I34" s="126"/>
      <c r="J34" s="126"/>
      <c r="K34" s="126">
        <v>25.8</v>
      </c>
      <c r="L34" s="126">
        <f t="shared" ref="L34:L65" si="2">K34/3.14</f>
        <v>8.2165605095541405</v>
      </c>
      <c r="M34" s="126">
        <v>7.4</v>
      </c>
      <c r="N34" s="126"/>
      <c r="O34" s="127">
        <f t="shared" ref="O34:O65" si="3">(EXP(-2.302+0.894*LN(L34*L34*M34)))/1000</f>
        <v>2.5870992115392673E-2</v>
      </c>
      <c r="P34" s="127">
        <f>O34*(1+'Key Data'!F$3)</f>
        <v>3.2338740144240839E-2</v>
      </c>
      <c r="Q34" s="366"/>
      <c r="R34" s="366"/>
      <c r="S34" s="369"/>
    </row>
    <row r="35" spans="1:19" x14ac:dyDescent="0.3">
      <c r="A35" s="367"/>
      <c r="B35" s="367"/>
      <c r="C35" s="367"/>
      <c r="D35" s="367"/>
      <c r="E35" s="108"/>
      <c r="F35" s="108"/>
      <c r="G35" s="367"/>
      <c r="H35" s="109" t="s">
        <v>305</v>
      </c>
      <c r="I35" s="126"/>
      <c r="J35" s="126"/>
      <c r="K35" s="126">
        <v>16</v>
      </c>
      <c r="L35" s="126">
        <f t="shared" si="2"/>
        <v>5.0955414012738851</v>
      </c>
      <c r="M35" s="126">
        <v>5.2</v>
      </c>
      <c r="N35" s="126"/>
      <c r="O35" s="127">
        <f t="shared" si="3"/>
        <v>8.0318836768659922E-3</v>
      </c>
      <c r="P35" s="127">
        <f>O35*(1+'Key Data'!F$3)</f>
        <v>1.003985459608249E-2</v>
      </c>
      <c r="Q35" s="366"/>
      <c r="R35" s="366"/>
      <c r="S35" s="369"/>
    </row>
    <row r="36" spans="1:19" x14ac:dyDescent="0.3">
      <c r="A36" s="367"/>
      <c r="B36" s="367"/>
      <c r="C36" s="367"/>
      <c r="D36" s="367"/>
      <c r="E36" s="108"/>
      <c r="F36" s="108"/>
      <c r="G36" s="367"/>
      <c r="H36" s="109" t="s">
        <v>305</v>
      </c>
      <c r="I36" s="126"/>
      <c r="J36" s="126"/>
      <c r="K36" s="126">
        <v>29.8</v>
      </c>
      <c r="L36" s="126">
        <f t="shared" si="2"/>
        <v>9.4904458598726116</v>
      </c>
      <c r="M36" s="126">
        <v>7.2</v>
      </c>
      <c r="N36" s="126"/>
      <c r="O36" s="127">
        <f t="shared" si="3"/>
        <v>3.2666140365247363E-2</v>
      </c>
      <c r="P36" s="127">
        <f>O36*(1+'Key Data'!F$3)</f>
        <v>4.0832675456559206E-2</v>
      </c>
      <c r="Q36" s="366"/>
      <c r="R36" s="366"/>
      <c r="S36" s="369"/>
    </row>
    <row r="37" spans="1:19" x14ac:dyDescent="0.3">
      <c r="A37" s="367"/>
      <c r="B37" s="367"/>
      <c r="C37" s="367"/>
      <c r="D37" s="367"/>
      <c r="E37" s="108"/>
      <c r="F37" s="108"/>
      <c r="G37" s="367"/>
      <c r="H37" s="109" t="s">
        <v>305</v>
      </c>
      <c r="I37" s="126"/>
      <c r="J37" s="126"/>
      <c r="K37" s="126">
        <v>23.7</v>
      </c>
      <c r="L37" s="126">
        <f t="shared" si="2"/>
        <v>7.5477707006369421</v>
      </c>
      <c r="M37" s="126">
        <v>6.1</v>
      </c>
      <c r="N37" s="126"/>
      <c r="O37" s="127">
        <f t="shared" si="3"/>
        <v>1.8701601861848799E-2</v>
      </c>
      <c r="P37" s="127">
        <f>O37*(1+'Key Data'!F$3)</f>
        <v>2.3377002327310999E-2</v>
      </c>
      <c r="Q37" s="366"/>
      <c r="R37" s="366"/>
      <c r="S37" s="369"/>
    </row>
    <row r="38" spans="1:19" x14ac:dyDescent="0.3">
      <c r="A38" s="367"/>
      <c r="B38" s="367"/>
      <c r="C38" s="367"/>
      <c r="D38" s="367"/>
      <c r="E38" s="108"/>
      <c r="F38" s="108"/>
      <c r="G38" s="367"/>
      <c r="H38" s="109" t="s">
        <v>305</v>
      </c>
      <c r="I38" s="126"/>
      <c r="J38" s="126"/>
      <c r="K38" s="126">
        <v>24.2</v>
      </c>
      <c r="L38" s="126">
        <f t="shared" si="2"/>
        <v>7.7070063694267512</v>
      </c>
      <c r="M38" s="126">
        <v>6.1</v>
      </c>
      <c r="N38" s="126"/>
      <c r="O38" s="127">
        <f t="shared" si="3"/>
        <v>1.9412909895324373E-2</v>
      </c>
      <c r="P38" s="127">
        <f>O38*(1+'Key Data'!F$3)</f>
        <v>2.4266137369155467E-2</v>
      </c>
      <c r="Q38" s="366"/>
      <c r="R38" s="366"/>
      <c r="S38" s="369"/>
    </row>
    <row r="39" spans="1:19" x14ac:dyDescent="0.3">
      <c r="A39" s="367"/>
      <c r="B39" s="367"/>
      <c r="C39" s="367"/>
      <c r="D39" s="367"/>
      <c r="E39" s="108"/>
      <c r="F39" s="108"/>
      <c r="G39" s="367"/>
      <c r="H39" s="109" t="s">
        <v>305</v>
      </c>
      <c r="I39" s="126"/>
      <c r="J39" s="126"/>
      <c r="K39" s="126">
        <f>SQRT(16.1^2+23.8^2)</f>
        <v>28.734126052483312</v>
      </c>
      <c r="L39" s="126">
        <f t="shared" si="2"/>
        <v>9.1509955581157048</v>
      </c>
      <c r="M39" s="126">
        <v>6.1</v>
      </c>
      <c r="N39" s="126"/>
      <c r="O39" s="127">
        <f t="shared" si="3"/>
        <v>2.63903029154062E-2</v>
      </c>
      <c r="P39" s="127">
        <f>O39*(1+'Key Data'!F$3)</f>
        <v>3.298787864425775E-2</v>
      </c>
      <c r="Q39" s="366"/>
      <c r="R39" s="366"/>
      <c r="S39" s="369"/>
    </row>
    <row r="40" spans="1:19" x14ac:dyDescent="0.3">
      <c r="A40" s="367"/>
      <c r="B40" s="367"/>
      <c r="C40" s="367"/>
      <c r="D40" s="367"/>
      <c r="E40" s="108"/>
      <c r="F40" s="108"/>
      <c r="G40" s="367"/>
      <c r="H40" s="109" t="s">
        <v>305</v>
      </c>
      <c r="I40" s="126"/>
      <c r="J40" s="126"/>
      <c r="K40" s="126">
        <v>27.6</v>
      </c>
      <c r="L40" s="126">
        <f t="shared" si="2"/>
        <v>8.7898089171974529</v>
      </c>
      <c r="M40" s="126">
        <v>6</v>
      </c>
      <c r="N40" s="126"/>
      <c r="O40" s="127">
        <f t="shared" si="3"/>
        <v>2.4196722760240482E-2</v>
      </c>
      <c r="P40" s="127">
        <f>O40*(1+'Key Data'!F$3)</f>
        <v>3.0245903450300603E-2</v>
      </c>
      <c r="Q40" s="366"/>
      <c r="R40" s="366"/>
      <c r="S40" s="369"/>
    </row>
    <row r="41" spans="1:19" x14ac:dyDescent="0.3">
      <c r="A41" s="367"/>
      <c r="B41" s="367"/>
      <c r="C41" s="367"/>
      <c r="D41" s="367"/>
      <c r="E41" s="108"/>
      <c r="F41" s="108"/>
      <c r="G41" s="367"/>
      <c r="H41" s="109" t="s">
        <v>305</v>
      </c>
      <c r="I41" s="126"/>
      <c r="J41" s="126"/>
      <c r="K41" s="126">
        <v>28</v>
      </c>
      <c r="L41" s="126">
        <f t="shared" si="2"/>
        <v>8.9171974522292992</v>
      </c>
      <c r="M41" s="126">
        <v>6.2</v>
      </c>
      <c r="N41" s="126"/>
      <c r="O41" s="127">
        <f t="shared" si="3"/>
        <v>2.5565872714458999E-2</v>
      </c>
      <c r="P41" s="127">
        <f>O41*(1+'Key Data'!F$3)</f>
        <v>3.1957340893073748E-2</v>
      </c>
      <c r="Q41" s="366"/>
      <c r="R41" s="366"/>
      <c r="S41" s="369"/>
    </row>
    <row r="42" spans="1:19" x14ac:dyDescent="0.3">
      <c r="A42" s="367"/>
      <c r="B42" s="367"/>
      <c r="C42" s="367"/>
      <c r="D42" s="367"/>
      <c r="E42" s="108"/>
      <c r="F42" s="108"/>
      <c r="G42" s="367"/>
      <c r="H42" s="109" t="s">
        <v>305</v>
      </c>
      <c r="I42" s="126"/>
      <c r="J42" s="126"/>
      <c r="K42" s="126">
        <v>29.4</v>
      </c>
      <c r="L42" s="126">
        <f t="shared" si="2"/>
        <v>9.3630573248407636</v>
      </c>
      <c r="M42" s="126">
        <v>6.4</v>
      </c>
      <c r="N42" s="126"/>
      <c r="O42" s="127">
        <f t="shared" si="3"/>
        <v>2.8699465958016389E-2</v>
      </c>
      <c r="P42" s="127">
        <f>O42*(1+'Key Data'!F$3)</f>
        <v>3.5874332447520488E-2</v>
      </c>
      <c r="Q42" s="366"/>
      <c r="R42" s="366"/>
      <c r="S42" s="369"/>
    </row>
    <row r="43" spans="1:19" x14ac:dyDescent="0.3">
      <c r="A43" s="367"/>
      <c r="B43" s="367"/>
      <c r="C43" s="367"/>
      <c r="D43" s="367"/>
      <c r="E43" s="108"/>
      <c r="F43" s="108"/>
      <c r="G43" s="367"/>
      <c r="H43" s="109" t="s">
        <v>305</v>
      </c>
      <c r="I43" s="126"/>
      <c r="J43" s="126"/>
      <c r="K43" s="126">
        <v>29.2</v>
      </c>
      <c r="L43" s="126">
        <f t="shared" si="2"/>
        <v>9.2993630573248396</v>
      </c>
      <c r="M43" s="126">
        <v>6.4</v>
      </c>
      <c r="N43" s="126"/>
      <c r="O43" s="127">
        <f t="shared" si="3"/>
        <v>2.835132281742829E-2</v>
      </c>
      <c r="P43" s="127">
        <f>O43*(1+'Key Data'!F$3)</f>
        <v>3.5439153521785366E-2</v>
      </c>
      <c r="Q43" s="366"/>
      <c r="R43" s="366"/>
      <c r="S43" s="369"/>
    </row>
    <row r="44" spans="1:19" x14ac:dyDescent="0.3">
      <c r="A44" s="367"/>
      <c r="B44" s="367"/>
      <c r="C44" s="367"/>
      <c r="D44" s="367"/>
      <c r="E44" s="108"/>
      <c r="F44" s="108"/>
      <c r="G44" s="367"/>
      <c r="H44" s="109" t="s">
        <v>305</v>
      </c>
      <c r="I44" s="126"/>
      <c r="J44" s="126"/>
      <c r="K44" s="126">
        <v>31</v>
      </c>
      <c r="L44" s="126">
        <f t="shared" si="2"/>
        <v>9.872611464968152</v>
      </c>
      <c r="M44" s="126">
        <v>6.4</v>
      </c>
      <c r="N44" s="126"/>
      <c r="O44" s="127">
        <f t="shared" si="3"/>
        <v>3.1551753274700119E-2</v>
      </c>
      <c r="P44" s="127">
        <f>O44*(1+'Key Data'!F$3)</f>
        <v>3.9439691593375147E-2</v>
      </c>
      <c r="Q44" s="366"/>
      <c r="R44" s="366"/>
      <c r="S44" s="369"/>
    </row>
    <row r="45" spans="1:19" x14ac:dyDescent="0.3">
      <c r="A45" s="367"/>
      <c r="B45" s="367"/>
      <c r="C45" s="367"/>
      <c r="D45" s="367"/>
      <c r="E45" s="108"/>
      <c r="F45" s="108"/>
      <c r="G45" s="367"/>
      <c r="H45" s="109" t="s">
        <v>305</v>
      </c>
      <c r="I45" s="126"/>
      <c r="J45" s="126"/>
      <c r="K45" s="126">
        <v>29</v>
      </c>
      <c r="L45" s="126">
        <f t="shared" si="2"/>
        <v>9.2356687898089174</v>
      </c>
      <c r="M45" s="126">
        <v>6.6</v>
      </c>
      <c r="N45" s="126"/>
      <c r="O45" s="127">
        <f t="shared" si="3"/>
        <v>2.8786163682066612E-2</v>
      </c>
      <c r="P45" s="127">
        <f>O45*(1+'Key Data'!F$3)</f>
        <v>3.5982704602583265E-2</v>
      </c>
      <c r="Q45" s="366"/>
      <c r="R45" s="366"/>
      <c r="S45" s="369"/>
    </row>
    <row r="46" spans="1:19" x14ac:dyDescent="0.3">
      <c r="A46" s="367"/>
      <c r="B46" s="367"/>
      <c r="C46" s="367"/>
      <c r="D46" s="367"/>
      <c r="E46" s="108"/>
      <c r="F46" s="108"/>
      <c r="G46" s="367"/>
      <c r="H46" s="109" t="s">
        <v>305</v>
      </c>
      <c r="I46" s="126"/>
      <c r="J46" s="126"/>
      <c r="K46" s="126">
        <v>30.1</v>
      </c>
      <c r="L46" s="126">
        <f t="shared" si="2"/>
        <v>9.5859872611464976</v>
      </c>
      <c r="M46" s="126">
        <v>6.4</v>
      </c>
      <c r="N46" s="126"/>
      <c r="O46" s="127">
        <f t="shared" si="3"/>
        <v>2.9932685510787489E-2</v>
      </c>
      <c r="P46" s="127">
        <f>O46*(1+'Key Data'!F$3)</f>
        <v>3.741585688848436E-2</v>
      </c>
      <c r="Q46" s="366"/>
      <c r="R46" s="366"/>
      <c r="S46" s="369"/>
    </row>
    <row r="47" spans="1:19" x14ac:dyDescent="0.3">
      <c r="A47" s="367"/>
      <c r="B47" s="367"/>
      <c r="C47" s="367"/>
      <c r="D47" s="367"/>
      <c r="E47" s="108"/>
      <c r="F47" s="108"/>
      <c r="G47" s="367"/>
      <c r="H47" s="109" t="s">
        <v>305</v>
      </c>
      <c r="I47" s="126"/>
      <c r="J47" s="126"/>
      <c r="K47" s="126">
        <v>33</v>
      </c>
      <c r="L47" s="126">
        <f t="shared" si="2"/>
        <v>10.509554140127388</v>
      </c>
      <c r="M47" s="126">
        <v>7.7</v>
      </c>
      <c r="N47" s="126"/>
      <c r="O47" s="127">
        <f t="shared" si="3"/>
        <v>4.1626464365981768E-2</v>
      </c>
      <c r="P47" s="127">
        <f>O47*(1+'Key Data'!F$3)</f>
        <v>5.2033080457477211E-2</v>
      </c>
      <c r="Q47" s="366"/>
      <c r="R47" s="366"/>
      <c r="S47" s="369"/>
    </row>
    <row r="48" spans="1:19" x14ac:dyDescent="0.3">
      <c r="A48" s="367"/>
      <c r="B48" s="367"/>
      <c r="C48" s="367"/>
      <c r="D48" s="367"/>
      <c r="E48" s="108"/>
      <c r="F48" s="108"/>
      <c r="G48" s="367"/>
      <c r="H48" s="109" t="s">
        <v>305</v>
      </c>
      <c r="I48" s="126"/>
      <c r="J48" s="126"/>
      <c r="K48" s="126">
        <v>30</v>
      </c>
      <c r="L48" s="126">
        <f t="shared" si="2"/>
        <v>9.5541401273885338</v>
      </c>
      <c r="M48" s="126">
        <v>6.8</v>
      </c>
      <c r="N48" s="126"/>
      <c r="O48" s="127">
        <f t="shared" si="3"/>
        <v>3.1412294706656144E-2</v>
      </c>
      <c r="P48" s="127">
        <f>O48*(1+'Key Data'!F$3)</f>
        <v>3.9265368383320176E-2</v>
      </c>
      <c r="Q48" s="366"/>
      <c r="R48" s="366"/>
      <c r="S48" s="369"/>
    </row>
    <row r="49" spans="1:19" x14ac:dyDescent="0.3">
      <c r="A49" s="367"/>
      <c r="B49" s="367"/>
      <c r="C49" s="367"/>
      <c r="D49" s="367"/>
      <c r="E49" s="108"/>
      <c r="F49" s="108"/>
      <c r="G49" s="367"/>
      <c r="H49" s="109" t="s">
        <v>305</v>
      </c>
      <c r="I49" s="126"/>
      <c r="J49" s="126"/>
      <c r="K49" s="126">
        <v>26.2</v>
      </c>
      <c r="L49" s="126">
        <f t="shared" si="2"/>
        <v>8.3439490445859867</v>
      </c>
      <c r="M49" s="126">
        <v>6.4</v>
      </c>
      <c r="N49" s="126"/>
      <c r="O49" s="127">
        <f t="shared" si="3"/>
        <v>2.3355625213007755E-2</v>
      </c>
      <c r="P49" s="127">
        <f>O49*(1+'Key Data'!F$3)</f>
        <v>2.9194531516259694E-2</v>
      </c>
      <c r="Q49" s="366"/>
      <c r="R49" s="366"/>
      <c r="S49" s="369"/>
    </row>
    <row r="50" spans="1:19" x14ac:dyDescent="0.3">
      <c r="A50" s="367"/>
      <c r="B50" s="367"/>
      <c r="C50" s="367"/>
      <c r="D50" s="367"/>
      <c r="E50" s="108"/>
      <c r="F50" s="108"/>
      <c r="G50" s="367"/>
      <c r="H50" s="109" t="s">
        <v>305</v>
      </c>
      <c r="I50" s="126"/>
      <c r="J50" s="126"/>
      <c r="K50" s="126">
        <v>30.4</v>
      </c>
      <c r="L50" s="126">
        <f t="shared" si="2"/>
        <v>9.6815286624203818</v>
      </c>
      <c r="M50" s="126">
        <v>7.2</v>
      </c>
      <c r="N50" s="126"/>
      <c r="O50" s="127">
        <f t="shared" si="3"/>
        <v>3.3851437148813716E-2</v>
      </c>
      <c r="P50" s="127">
        <f>O50*(1+'Key Data'!F$3)</f>
        <v>4.2314296436017147E-2</v>
      </c>
      <c r="Q50" s="366"/>
      <c r="R50" s="366"/>
      <c r="S50" s="369"/>
    </row>
    <row r="51" spans="1:19" x14ac:dyDescent="0.3">
      <c r="A51" s="367"/>
      <c r="B51" s="367"/>
      <c r="C51" s="367"/>
      <c r="D51" s="367"/>
      <c r="E51" s="108"/>
      <c r="F51" s="108"/>
      <c r="G51" s="367"/>
      <c r="H51" s="109" t="s">
        <v>305</v>
      </c>
      <c r="I51" s="126"/>
      <c r="J51" s="126"/>
      <c r="K51" s="126">
        <v>26.6</v>
      </c>
      <c r="L51" s="126">
        <f t="shared" si="2"/>
        <v>8.4713375796178347</v>
      </c>
      <c r="M51" s="126">
        <v>6</v>
      </c>
      <c r="N51" s="126"/>
      <c r="O51" s="127">
        <f t="shared" si="3"/>
        <v>2.2651630884349884E-2</v>
      </c>
      <c r="P51" s="127">
        <f>O51*(1+'Key Data'!F$3)</f>
        <v>2.8314538605437353E-2</v>
      </c>
      <c r="Q51" s="366"/>
      <c r="R51" s="366"/>
      <c r="S51" s="369"/>
    </row>
    <row r="52" spans="1:19" x14ac:dyDescent="0.3">
      <c r="A52" s="367"/>
      <c r="B52" s="367"/>
      <c r="C52" s="367"/>
      <c r="D52" s="367"/>
      <c r="E52" s="108"/>
      <c r="F52" s="108"/>
      <c r="G52" s="367"/>
      <c r="H52" s="109" t="s">
        <v>305</v>
      </c>
      <c r="I52" s="126"/>
      <c r="J52" s="126"/>
      <c r="K52" s="126">
        <v>29.6</v>
      </c>
      <c r="L52" s="126">
        <f t="shared" si="2"/>
        <v>9.4267515923566876</v>
      </c>
      <c r="M52" s="126">
        <v>6.4</v>
      </c>
      <c r="N52" s="126"/>
      <c r="O52" s="127">
        <f t="shared" si="3"/>
        <v>2.9049480355045443E-2</v>
      </c>
      <c r="P52" s="127">
        <f>O52*(1+'Key Data'!F$3)</f>
        <v>3.6311850443806803E-2</v>
      </c>
      <c r="Q52" s="366"/>
      <c r="R52" s="366"/>
      <c r="S52" s="369"/>
    </row>
    <row r="53" spans="1:19" x14ac:dyDescent="0.3">
      <c r="A53" s="367"/>
      <c r="B53" s="367"/>
      <c r="C53" s="367"/>
      <c r="D53" s="367"/>
      <c r="E53" s="108"/>
      <c r="F53" s="108"/>
      <c r="G53" s="367"/>
      <c r="H53" s="109" t="s">
        <v>305</v>
      </c>
      <c r="I53" s="126"/>
      <c r="J53" s="126"/>
      <c r="K53" s="126">
        <v>29</v>
      </c>
      <c r="L53" s="126">
        <f t="shared" si="2"/>
        <v>9.2356687898089174</v>
      </c>
      <c r="M53" s="126">
        <v>6.4</v>
      </c>
      <c r="N53" s="126"/>
      <c r="O53" s="127">
        <f t="shared" si="3"/>
        <v>2.800505364317072E-2</v>
      </c>
      <c r="P53" s="127">
        <f>O53*(1+'Key Data'!F$3)</f>
        <v>3.5006317053963398E-2</v>
      </c>
      <c r="Q53" s="366"/>
      <c r="R53" s="366"/>
      <c r="S53" s="369"/>
    </row>
    <row r="54" spans="1:19" x14ac:dyDescent="0.3">
      <c r="A54" s="367"/>
      <c r="B54" s="367"/>
      <c r="C54" s="367"/>
      <c r="D54" s="367"/>
      <c r="E54" s="108"/>
      <c r="F54" s="108"/>
      <c r="G54" s="367"/>
      <c r="H54" s="109" t="s">
        <v>305</v>
      </c>
      <c r="I54" s="126"/>
      <c r="J54" s="126"/>
      <c r="K54" s="126">
        <v>26</v>
      </c>
      <c r="L54" s="126">
        <f t="shared" si="2"/>
        <v>8.2802547770700627</v>
      </c>
      <c r="M54" s="126">
        <v>6.3</v>
      </c>
      <c r="N54" s="126"/>
      <c r="O54" s="127">
        <f t="shared" si="3"/>
        <v>2.2715729544171843E-2</v>
      </c>
      <c r="P54" s="127">
        <f>O54*(1+'Key Data'!F$3)</f>
        <v>2.8394661930214803E-2</v>
      </c>
      <c r="Q54" s="366"/>
      <c r="R54" s="366"/>
      <c r="S54" s="369"/>
    </row>
    <row r="55" spans="1:19" x14ac:dyDescent="0.3">
      <c r="A55" s="367"/>
      <c r="B55" s="367"/>
      <c r="C55" s="367"/>
      <c r="D55" s="367"/>
      <c r="E55" s="108"/>
      <c r="F55" s="108"/>
      <c r="G55" s="367"/>
      <c r="H55" s="109" t="s">
        <v>305</v>
      </c>
      <c r="I55" s="126"/>
      <c r="J55" s="126"/>
      <c r="K55" s="126">
        <v>26.2</v>
      </c>
      <c r="L55" s="126">
        <f t="shared" si="2"/>
        <v>8.3439490445859867</v>
      </c>
      <c r="M55" s="126">
        <v>6</v>
      </c>
      <c r="N55" s="126"/>
      <c r="O55" s="127">
        <f t="shared" si="3"/>
        <v>2.2046203841410837E-2</v>
      </c>
      <c r="P55" s="127">
        <f>O55*(1+'Key Data'!F$3)</f>
        <v>2.7557754801763548E-2</v>
      </c>
      <c r="Q55" s="366"/>
      <c r="R55" s="366"/>
      <c r="S55" s="369"/>
    </row>
    <row r="56" spans="1:19" x14ac:dyDescent="0.3">
      <c r="A56" s="367"/>
      <c r="B56" s="367"/>
      <c r="C56" s="367"/>
      <c r="D56" s="367"/>
      <c r="E56" s="108"/>
      <c r="F56" s="108"/>
      <c r="G56" s="367"/>
      <c r="H56" s="109" t="s">
        <v>305</v>
      </c>
      <c r="I56" s="126"/>
      <c r="J56" s="126"/>
      <c r="K56" s="126">
        <v>14</v>
      </c>
      <c r="L56" s="126">
        <f t="shared" si="2"/>
        <v>4.4585987261146496</v>
      </c>
      <c r="M56" s="126">
        <v>4.3</v>
      </c>
      <c r="N56" s="126"/>
      <c r="O56" s="127">
        <f t="shared" si="3"/>
        <v>5.3375458537705438E-3</v>
      </c>
      <c r="P56" s="127">
        <f>O56*(1+'Key Data'!F$3)</f>
        <v>6.6719323172131795E-3</v>
      </c>
      <c r="Q56" s="366"/>
      <c r="R56" s="366"/>
      <c r="S56" s="369"/>
    </row>
    <row r="57" spans="1:19" x14ac:dyDescent="0.3">
      <c r="A57" s="367"/>
      <c r="B57" s="367"/>
      <c r="C57" s="367"/>
      <c r="D57" s="367"/>
      <c r="E57" s="108"/>
      <c r="F57" s="108"/>
      <c r="G57" s="367"/>
      <c r="H57" s="109" t="s">
        <v>305</v>
      </c>
      <c r="I57" s="126"/>
      <c r="J57" s="126"/>
      <c r="K57" s="126">
        <v>31.8</v>
      </c>
      <c r="L57" s="126">
        <f t="shared" si="2"/>
        <v>10.127388535031846</v>
      </c>
      <c r="M57" s="126">
        <v>7.6</v>
      </c>
      <c r="N57" s="126"/>
      <c r="O57" s="127">
        <f t="shared" si="3"/>
        <v>3.8506224092191718E-2</v>
      </c>
      <c r="P57" s="127">
        <f>O57*(1+'Key Data'!F$3)</f>
        <v>4.8132780115239651E-2</v>
      </c>
      <c r="Q57" s="366"/>
      <c r="R57" s="366"/>
      <c r="S57" s="369"/>
    </row>
    <row r="58" spans="1:19" x14ac:dyDescent="0.3">
      <c r="A58" s="367"/>
      <c r="B58" s="367"/>
      <c r="C58" s="367"/>
      <c r="D58" s="367"/>
      <c r="E58" s="108"/>
      <c r="F58" s="108"/>
      <c r="G58" s="367"/>
      <c r="H58" s="109" t="s">
        <v>305</v>
      </c>
      <c r="I58" s="126"/>
      <c r="J58" s="126"/>
      <c r="K58" s="126">
        <v>31.6</v>
      </c>
      <c r="L58" s="126">
        <f t="shared" si="2"/>
        <v>10.063694267515924</v>
      </c>
      <c r="M58" s="126">
        <v>6.8</v>
      </c>
      <c r="N58" s="126"/>
      <c r="O58" s="127">
        <f t="shared" si="3"/>
        <v>3.4470482587679423E-2</v>
      </c>
      <c r="P58" s="127">
        <f>O58*(1+'Key Data'!F$3)</f>
        <v>4.308810323459928E-2</v>
      </c>
      <c r="Q58" s="366"/>
      <c r="R58" s="366"/>
      <c r="S58" s="369"/>
    </row>
    <row r="59" spans="1:19" x14ac:dyDescent="0.3">
      <c r="A59" s="367"/>
      <c r="B59" s="367"/>
      <c r="C59" s="367"/>
      <c r="D59" s="367"/>
      <c r="E59" s="108"/>
      <c r="F59" s="108"/>
      <c r="G59" s="367"/>
      <c r="H59" s="109" t="s">
        <v>305</v>
      </c>
      <c r="I59" s="126"/>
      <c r="J59" s="126"/>
      <c r="K59" s="126">
        <v>31.6</v>
      </c>
      <c r="L59" s="126">
        <f t="shared" si="2"/>
        <v>10.063694267515924</v>
      </c>
      <c r="M59" s="126">
        <v>6.7</v>
      </c>
      <c r="N59" s="126"/>
      <c r="O59" s="127">
        <f t="shared" si="3"/>
        <v>3.4016941977382864E-2</v>
      </c>
      <c r="P59" s="127">
        <f>O59*(1+'Key Data'!F$3)</f>
        <v>4.252117747172858E-2</v>
      </c>
      <c r="Q59" s="366"/>
      <c r="R59" s="366"/>
      <c r="S59" s="369"/>
    </row>
    <row r="60" spans="1:19" x14ac:dyDescent="0.3">
      <c r="A60" s="367"/>
      <c r="B60" s="367"/>
      <c r="C60" s="367"/>
      <c r="D60" s="367"/>
      <c r="E60" s="108"/>
      <c r="F60" s="108"/>
      <c r="G60" s="367"/>
      <c r="H60" s="109" t="s">
        <v>305</v>
      </c>
      <c r="I60" s="126"/>
      <c r="J60" s="126"/>
      <c r="K60" s="126">
        <v>33.6</v>
      </c>
      <c r="L60" s="126">
        <f t="shared" si="2"/>
        <v>10.700636942675159</v>
      </c>
      <c r="M60" s="126">
        <v>7.4</v>
      </c>
      <c r="N60" s="126"/>
      <c r="O60" s="127">
        <f t="shared" si="3"/>
        <v>4.148887676998847E-2</v>
      </c>
      <c r="P60" s="127">
        <f>O60*(1+'Key Data'!F$3)</f>
        <v>5.1861095962485587E-2</v>
      </c>
      <c r="Q60" s="366"/>
      <c r="R60" s="366"/>
      <c r="S60" s="369"/>
    </row>
    <row r="61" spans="1:19" x14ac:dyDescent="0.3">
      <c r="A61" s="367"/>
      <c r="B61" s="367"/>
      <c r="C61" s="367"/>
      <c r="D61" s="367"/>
      <c r="E61" s="108"/>
      <c r="F61" s="108"/>
      <c r="G61" s="367"/>
      <c r="H61" s="109" t="s">
        <v>305</v>
      </c>
      <c r="I61" s="126"/>
      <c r="J61" s="126"/>
      <c r="K61" s="126">
        <v>21.2</v>
      </c>
      <c r="L61" s="126">
        <f t="shared" si="2"/>
        <v>6.7515923566878975</v>
      </c>
      <c r="M61" s="126">
        <v>5.8</v>
      </c>
      <c r="N61" s="126"/>
      <c r="O61" s="127">
        <f t="shared" si="3"/>
        <v>1.4646607297789466E-2</v>
      </c>
      <c r="P61" s="127">
        <f>O61*(1+'Key Data'!F$3)</f>
        <v>1.8308259122236832E-2</v>
      </c>
      <c r="Q61" s="366"/>
      <c r="R61" s="366"/>
      <c r="S61" s="369"/>
    </row>
    <row r="62" spans="1:19" x14ac:dyDescent="0.3">
      <c r="A62" s="367"/>
      <c r="B62" s="367"/>
      <c r="C62" s="367"/>
      <c r="D62" s="367"/>
      <c r="E62" s="108"/>
      <c r="F62" s="108"/>
      <c r="G62" s="367"/>
      <c r="H62" s="109" t="s">
        <v>305</v>
      </c>
      <c r="I62" s="126"/>
      <c r="J62" s="126"/>
      <c r="K62" s="126">
        <v>25.8</v>
      </c>
      <c r="L62" s="126">
        <f t="shared" si="2"/>
        <v>8.2165605095541405</v>
      </c>
      <c r="M62" s="126">
        <v>7</v>
      </c>
      <c r="N62" s="126"/>
      <c r="O62" s="127">
        <f t="shared" si="3"/>
        <v>2.4617138775914676E-2</v>
      </c>
      <c r="P62" s="127">
        <f>O62*(1+'Key Data'!F$3)</f>
        <v>3.0771423469893346E-2</v>
      </c>
      <c r="Q62" s="366"/>
      <c r="R62" s="366"/>
      <c r="S62" s="369"/>
    </row>
    <row r="63" spans="1:19" x14ac:dyDescent="0.3">
      <c r="A63" s="367"/>
      <c r="B63" s="367"/>
      <c r="C63" s="367"/>
      <c r="D63" s="367"/>
      <c r="E63" s="108"/>
      <c r="F63" s="108"/>
      <c r="G63" s="367"/>
      <c r="H63" s="109" t="s">
        <v>305</v>
      </c>
      <c r="I63" s="126"/>
      <c r="J63" s="126"/>
      <c r="K63" s="126">
        <v>27</v>
      </c>
      <c r="L63" s="126">
        <f t="shared" si="2"/>
        <v>8.598726114649681</v>
      </c>
      <c r="M63" s="126">
        <v>7.6</v>
      </c>
      <c r="N63" s="126"/>
      <c r="O63" s="127">
        <f t="shared" si="3"/>
        <v>2.873886774065211E-2</v>
      </c>
      <c r="P63" s="127">
        <f>O63*(1+'Key Data'!F$3)</f>
        <v>3.5923584675815134E-2</v>
      </c>
      <c r="Q63" s="366"/>
      <c r="R63" s="366"/>
      <c r="S63" s="369"/>
    </row>
    <row r="64" spans="1:19" x14ac:dyDescent="0.3">
      <c r="A64" s="367"/>
      <c r="B64" s="367"/>
      <c r="C64" s="367"/>
      <c r="D64" s="367"/>
      <c r="E64" s="108"/>
      <c r="F64" s="108"/>
      <c r="G64" s="367"/>
      <c r="H64" s="109" t="s">
        <v>305</v>
      </c>
      <c r="I64" s="126"/>
      <c r="J64" s="126"/>
      <c r="K64" s="126">
        <v>27.4</v>
      </c>
      <c r="L64" s="126">
        <f t="shared" si="2"/>
        <v>8.7261146496815272</v>
      </c>
      <c r="M64" s="126">
        <v>7.4</v>
      </c>
      <c r="N64" s="126"/>
      <c r="O64" s="127">
        <f t="shared" si="3"/>
        <v>2.8809455864407633E-2</v>
      </c>
      <c r="P64" s="127">
        <f>O64*(1+'Key Data'!F$3)</f>
        <v>3.6011819830509544E-2</v>
      </c>
      <c r="Q64" s="366"/>
      <c r="R64" s="366"/>
      <c r="S64" s="369"/>
    </row>
    <row r="65" spans="1:19" x14ac:dyDescent="0.3">
      <c r="A65" s="367"/>
      <c r="B65" s="367"/>
      <c r="C65" s="367"/>
      <c r="D65" s="367"/>
      <c r="E65" s="108"/>
      <c r="F65" s="108"/>
      <c r="G65" s="367"/>
      <c r="H65" s="109" t="s">
        <v>305</v>
      </c>
      <c r="I65" s="126"/>
      <c r="J65" s="126"/>
      <c r="K65" s="126">
        <v>30</v>
      </c>
      <c r="L65" s="126">
        <f t="shared" si="2"/>
        <v>9.5541401273885338</v>
      </c>
      <c r="M65" s="126">
        <v>6</v>
      </c>
      <c r="N65" s="126"/>
      <c r="O65" s="127">
        <f t="shared" si="3"/>
        <v>2.808690680200308E-2</v>
      </c>
      <c r="P65" s="127">
        <f>O65*(1+'Key Data'!F$3)</f>
        <v>3.5108633502503851E-2</v>
      </c>
      <c r="Q65" s="366"/>
      <c r="R65" s="366"/>
      <c r="S65" s="369"/>
    </row>
    <row r="66" spans="1:19" x14ac:dyDescent="0.3">
      <c r="A66" s="367"/>
      <c r="B66" s="367"/>
      <c r="C66" s="367"/>
      <c r="D66" s="367"/>
      <c r="E66" s="108"/>
      <c r="F66" s="108"/>
      <c r="G66" s="367"/>
      <c r="H66" s="109" t="s">
        <v>305</v>
      </c>
      <c r="I66" s="126"/>
      <c r="J66" s="126"/>
      <c r="K66" s="126">
        <f>SQRT(15.4^2+5^2)</f>
        <v>16.191355718407276</v>
      </c>
      <c r="L66" s="126">
        <f t="shared" ref="L66:L97" si="4">K66/3.14</f>
        <v>5.1564827128685593</v>
      </c>
      <c r="M66" s="126">
        <v>4.4000000000000004</v>
      </c>
      <c r="N66" s="126"/>
      <c r="O66" s="127">
        <f t="shared" ref="O66:O97" si="5">(EXP(-2.302+0.894*LN(L66*L66*M66)))/1000</f>
        <v>7.0662495636364354E-3</v>
      </c>
      <c r="P66" s="127">
        <f>O66*(1+'Key Data'!F$3)</f>
        <v>8.8328119545455445E-3</v>
      </c>
      <c r="Q66" s="366"/>
      <c r="R66" s="366"/>
      <c r="S66" s="369"/>
    </row>
    <row r="67" spans="1:19" x14ac:dyDescent="0.3">
      <c r="A67" s="367"/>
      <c r="B67" s="367"/>
      <c r="C67" s="367"/>
      <c r="D67" s="367"/>
      <c r="E67" s="108"/>
      <c r="F67" s="108"/>
      <c r="G67" s="367"/>
      <c r="H67" s="109" t="s">
        <v>305</v>
      </c>
      <c r="I67" s="126"/>
      <c r="J67" s="126"/>
      <c r="K67" s="126">
        <v>26</v>
      </c>
      <c r="L67" s="126">
        <f t="shared" si="4"/>
        <v>8.2802547770700627</v>
      </c>
      <c r="M67" s="126">
        <v>7</v>
      </c>
      <c r="N67" s="126"/>
      <c r="O67" s="127">
        <f t="shared" si="5"/>
        <v>2.4959385329614052E-2</v>
      </c>
      <c r="P67" s="127">
        <f>O67*(1+'Key Data'!F$3)</f>
        <v>3.1199231662017567E-2</v>
      </c>
      <c r="Q67" s="366"/>
      <c r="R67" s="366"/>
      <c r="S67" s="369"/>
    </row>
    <row r="68" spans="1:19" x14ac:dyDescent="0.3">
      <c r="A68" s="367"/>
      <c r="B68" s="367"/>
      <c r="C68" s="367"/>
      <c r="D68" s="367"/>
      <c r="E68" s="108"/>
      <c r="F68" s="108"/>
      <c r="G68" s="367"/>
      <c r="H68" s="109" t="s">
        <v>305</v>
      </c>
      <c r="I68" s="126"/>
      <c r="J68" s="126"/>
      <c r="K68" s="126">
        <v>31</v>
      </c>
      <c r="L68" s="126">
        <f t="shared" si="4"/>
        <v>9.872611464968152</v>
      </c>
      <c r="M68" s="126">
        <v>6.4</v>
      </c>
      <c r="N68" s="126"/>
      <c r="O68" s="127">
        <f t="shared" si="5"/>
        <v>3.1551753274700119E-2</v>
      </c>
      <c r="P68" s="127">
        <f>O68*(1+'Key Data'!F$3)</f>
        <v>3.9439691593375147E-2</v>
      </c>
      <c r="Q68" s="366"/>
      <c r="R68" s="366"/>
      <c r="S68" s="369"/>
    </row>
    <row r="69" spans="1:19" x14ac:dyDescent="0.3">
      <c r="A69" s="367"/>
      <c r="B69" s="367"/>
      <c r="C69" s="367"/>
      <c r="D69" s="367"/>
      <c r="E69" s="108"/>
      <c r="F69" s="108"/>
      <c r="G69" s="367"/>
      <c r="H69" s="109" t="s">
        <v>305</v>
      </c>
      <c r="I69" s="126"/>
      <c r="J69" s="126"/>
      <c r="K69" s="126">
        <v>19</v>
      </c>
      <c r="L69" s="126">
        <f t="shared" si="4"/>
        <v>6.0509554140127388</v>
      </c>
      <c r="M69" s="126">
        <v>5.4</v>
      </c>
      <c r="N69" s="126"/>
      <c r="O69" s="127">
        <f t="shared" si="5"/>
        <v>1.1295757276794521E-2</v>
      </c>
      <c r="P69" s="127">
        <f>O69*(1+'Key Data'!F$3)</f>
        <v>1.4119696595993152E-2</v>
      </c>
      <c r="Q69" s="366"/>
      <c r="R69" s="366"/>
      <c r="S69" s="369"/>
    </row>
    <row r="70" spans="1:19" x14ac:dyDescent="0.3">
      <c r="A70" s="367"/>
      <c r="B70" s="367"/>
      <c r="C70" s="367"/>
      <c r="D70" s="367"/>
      <c r="E70" s="108"/>
      <c r="F70" s="108"/>
      <c r="G70" s="367"/>
      <c r="H70" s="109" t="s">
        <v>305</v>
      </c>
      <c r="I70" s="126"/>
      <c r="J70" s="126"/>
      <c r="K70" s="126">
        <v>24.6</v>
      </c>
      <c r="L70" s="126">
        <f t="shared" si="4"/>
        <v>7.8343949044585992</v>
      </c>
      <c r="M70" s="126">
        <v>6</v>
      </c>
      <c r="N70" s="126"/>
      <c r="O70" s="127">
        <f t="shared" si="5"/>
        <v>1.9697135896429685E-2</v>
      </c>
      <c r="P70" s="127">
        <f>O70*(1+'Key Data'!F$3)</f>
        <v>2.4621419870537106E-2</v>
      </c>
      <c r="Q70" s="366"/>
      <c r="R70" s="366"/>
      <c r="S70" s="369"/>
    </row>
    <row r="71" spans="1:19" x14ac:dyDescent="0.3">
      <c r="A71" s="367"/>
      <c r="B71" s="367"/>
      <c r="C71" s="367"/>
      <c r="D71" s="367"/>
      <c r="E71" s="108"/>
      <c r="F71" s="108"/>
      <c r="G71" s="367"/>
      <c r="H71" s="109" t="s">
        <v>305</v>
      </c>
      <c r="I71" s="126"/>
      <c r="J71" s="126"/>
      <c r="K71" s="126">
        <v>27</v>
      </c>
      <c r="L71" s="126">
        <f t="shared" si="4"/>
        <v>8.598726114649681</v>
      </c>
      <c r="M71" s="126">
        <v>6.2</v>
      </c>
      <c r="N71" s="126"/>
      <c r="O71" s="127">
        <f t="shared" si="5"/>
        <v>2.3956340245888653E-2</v>
      </c>
      <c r="P71" s="127">
        <f>O71*(1+'Key Data'!F$3)</f>
        <v>2.9945425307360815E-2</v>
      </c>
      <c r="Q71" s="366"/>
      <c r="R71" s="366"/>
      <c r="S71" s="369"/>
    </row>
    <row r="72" spans="1:19" x14ac:dyDescent="0.3">
      <c r="A72" s="367"/>
      <c r="B72" s="367"/>
      <c r="C72" s="367"/>
      <c r="D72" s="367"/>
      <c r="E72" s="108"/>
      <c r="F72" s="108"/>
      <c r="G72" s="367"/>
      <c r="H72" s="109" t="s">
        <v>305</v>
      </c>
      <c r="I72" s="126"/>
      <c r="J72" s="126"/>
      <c r="K72" s="126">
        <v>30.2</v>
      </c>
      <c r="L72" s="126">
        <f t="shared" si="4"/>
        <v>9.6178343949044578</v>
      </c>
      <c r="M72" s="126">
        <v>7</v>
      </c>
      <c r="N72" s="126"/>
      <c r="O72" s="127">
        <f t="shared" si="5"/>
        <v>3.2622253160727442E-2</v>
      </c>
      <c r="P72" s="127">
        <f>O72*(1+'Key Data'!F$3)</f>
        <v>4.0777816450909304E-2</v>
      </c>
      <c r="Q72" s="366"/>
      <c r="R72" s="366"/>
      <c r="S72" s="369"/>
    </row>
    <row r="73" spans="1:19" x14ac:dyDescent="0.3">
      <c r="A73" s="367"/>
      <c r="B73" s="367"/>
      <c r="C73" s="367"/>
      <c r="D73" s="367"/>
      <c r="E73" s="108"/>
      <c r="F73" s="108"/>
      <c r="G73" s="367"/>
      <c r="H73" s="109" t="s">
        <v>305</v>
      </c>
      <c r="I73" s="126"/>
      <c r="J73" s="126"/>
      <c r="K73" s="126">
        <v>31.2</v>
      </c>
      <c r="L73" s="126">
        <f t="shared" si="4"/>
        <v>9.936305732484076</v>
      </c>
      <c r="M73" s="126">
        <v>7.4</v>
      </c>
      <c r="N73" s="126"/>
      <c r="O73" s="127">
        <f t="shared" si="5"/>
        <v>3.634004522488838E-2</v>
      </c>
      <c r="P73" s="127">
        <f>O73*(1+'Key Data'!F$3)</f>
        <v>4.5425056531110473E-2</v>
      </c>
      <c r="Q73" s="366"/>
      <c r="R73" s="366"/>
      <c r="S73" s="369"/>
    </row>
    <row r="74" spans="1:19" x14ac:dyDescent="0.3">
      <c r="A74" s="367"/>
      <c r="B74" s="367"/>
      <c r="C74" s="367"/>
      <c r="D74" s="367"/>
      <c r="E74" s="108"/>
      <c r="F74" s="108"/>
      <c r="G74" s="367"/>
      <c r="H74" s="109" t="s">
        <v>305</v>
      </c>
      <c r="I74" s="126"/>
      <c r="J74" s="126"/>
      <c r="K74" s="126">
        <v>16</v>
      </c>
      <c r="L74" s="126">
        <f t="shared" si="4"/>
        <v>5.0955414012738851</v>
      </c>
      <c r="M74" s="126">
        <v>5.8</v>
      </c>
      <c r="N74" s="126"/>
      <c r="O74" s="127">
        <f t="shared" si="5"/>
        <v>8.8555399603988776E-3</v>
      </c>
      <c r="P74" s="127">
        <f>O74*(1+'Key Data'!F$3)</f>
        <v>1.1069424950498598E-2</v>
      </c>
      <c r="Q74" s="366"/>
      <c r="R74" s="366"/>
      <c r="S74" s="369"/>
    </row>
    <row r="75" spans="1:19" x14ac:dyDescent="0.3">
      <c r="A75" s="367"/>
      <c r="B75" s="367"/>
      <c r="C75" s="367"/>
      <c r="D75" s="367"/>
      <c r="E75" s="108"/>
      <c r="F75" s="108"/>
      <c r="G75" s="367"/>
      <c r="H75" s="109" t="s">
        <v>305</v>
      </c>
      <c r="I75" s="126"/>
      <c r="J75" s="126"/>
      <c r="K75" s="126">
        <v>38</v>
      </c>
      <c r="L75" s="126">
        <f t="shared" si="4"/>
        <v>12.101910828025478</v>
      </c>
      <c r="M75" s="126">
        <v>7</v>
      </c>
      <c r="N75" s="126"/>
      <c r="O75" s="127">
        <f t="shared" si="5"/>
        <v>4.919428019737012E-2</v>
      </c>
      <c r="P75" s="127">
        <f>O75*(1+'Key Data'!F$3)</f>
        <v>6.1492850246712652E-2</v>
      </c>
      <c r="Q75" s="366"/>
      <c r="R75" s="366"/>
      <c r="S75" s="369"/>
    </row>
    <row r="76" spans="1:19" x14ac:dyDescent="0.3">
      <c r="A76" s="367"/>
      <c r="B76" s="367"/>
      <c r="C76" s="367"/>
      <c r="D76" s="367"/>
      <c r="E76" s="108"/>
      <c r="F76" s="108"/>
      <c r="G76" s="367"/>
      <c r="H76" s="109" t="s">
        <v>305</v>
      </c>
      <c r="I76" s="126"/>
      <c r="J76" s="126"/>
      <c r="K76" s="126">
        <v>15.8</v>
      </c>
      <c r="L76" s="126">
        <f t="shared" si="4"/>
        <v>5.031847133757962</v>
      </c>
      <c r="M76" s="126">
        <v>4.4000000000000004</v>
      </c>
      <c r="N76" s="126"/>
      <c r="O76" s="127">
        <f t="shared" si="5"/>
        <v>6.7637797344103044E-3</v>
      </c>
      <c r="P76" s="127">
        <f>O76*(1+'Key Data'!F$3)</f>
        <v>8.4547246680128814E-3</v>
      </c>
      <c r="Q76" s="366"/>
      <c r="R76" s="366"/>
      <c r="S76" s="369"/>
    </row>
    <row r="77" spans="1:19" x14ac:dyDescent="0.3">
      <c r="A77" s="367"/>
      <c r="B77" s="367"/>
      <c r="C77" s="367"/>
      <c r="D77" s="367"/>
      <c r="E77" s="108"/>
      <c r="F77" s="108"/>
      <c r="G77" s="367"/>
      <c r="H77" s="109" t="s">
        <v>305</v>
      </c>
      <c r="I77" s="126"/>
      <c r="J77" s="126"/>
      <c r="K77" s="126">
        <v>25.8</v>
      </c>
      <c r="L77" s="126">
        <f t="shared" si="4"/>
        <v>8.2165605095541405</v>
      </c>
      <c r="M77" s="126">
        <v>6.6</v>
      </c>
      <c r="N77" s="126"/>
      <c r="O77" s="127">
        <f t="shared" si="5"/>
        <v>2.3355663235134466E-2</v>
      </c>
      <c r="P77" s="127">
        <f>O77*(1+'Key Data'!F$3)</f>
        <v>2.9194579043918083E-2</v>
      </c>
      <c r="Q77" s="366"/>
      <c r="R77" s="366"/>
      <c r="S77" s="369"/>
    </row>
    <row r="78" spans="1:19" x14ac:dyDescent="0.3">
      <c r="A78" s="367"/>
      <c r="B78" s="367"/>
      <c r="C78" s="367"/>
      <c r="D78" s="367"/>
      <c r="E78" s="108"/>
      <c r="F78" s="108"/>
      <c r="G78" s="367"/>
      <c r="H78" s="109" t="s">
        <v>305</v>
      </c>
      <c r="I78" s="126"/>
      <c r="J78" s="126"/>
      <c r="K78" s="126">
        <v>34.200000000000003</v>
      </c>
      <c r="L78" s="126">
        <f t="shared" si="4"/>
        <v>10.891719745222931</v>
      </c>
      <c r="M78" s="126">
        <v>7.2</v>
      </c>
      <c r="N78" s="126"/>
      <c r="O78" s="127">
        <f t="shared" si="5"/>
        <v>4.1786675576477313E-2</v>
      </c>
      <c r="P78" s="127">
        <f>O78*(1+'Key Data'!F$3)</f>
        <v>5.2233344470596639E-2</v>
      </c>
      <c r="Q78" s="366"/>
      <c r="R78" s="366"/>
      <c r="S78" s="369"/>
    </row>
    <row r="79" spans="1:19" x14ac:dyDescent="0.3">
      <c r="A79" s="367"/>
      <c r="B79" s="367"/>
      <c r="C79" s="367"/>
      <c r="D79" s="367"/>
      <c r="E79" s="108"/>
      <c r="F79" s="108"/>
      <c r="G79" s="367"/>
      <c r="H79" s="109" t="s">
        <v>305</v>
      </c>
      <c r="I79" s="126"/>
      <c r="J79" s="126"/>
      <c r="K79" s="126">
        <v>24</v>
      </c>
      <c r="L79" s="126">
        <f t="shared" si="4"/>
        <v>7.6433121019108281</v>
      </c>
      <c r="M79" s="126">
        <v>4.2</v>
      </c>
      <c r="N79" s="126"/>
      <c r="O79" s="127">
        <f t="shared" si="5"/>
        <v>1.370081675230368E-2</v>
      </c>
      <c r="P79" s="127">
        <f>O79*(1+'Key Data'!F$3)</f>
        <v>1.7126020940379599E-2</v>
      </c>
      <c r="Q79" s="366"/>
      <c r="R79" s="366"/>
      <c r="S79" s="369"/>
    </row>
    <row r="80" spans="1:19" x14ac:dyDescent="0.3">
      <c r="A80" s="367"/>
      <c r="B80" s="367"/>
      <c r="C80" s="367"/>
      <c r="D80" s="367"/>
      <c r="E80" s="108"/>
      <c r="F80" s="108"/>
      <c r="G80" s="367"/>
      <c r="H80" s="109" t="s">
        <v>305</v>
      </c>
      <c r="I80" s="126"/>
      <c r="J80" s="126"/>
      <c r="K80" s="126">
        <v>22</v>
      </c>
      <c r="L80" s="126">
        <f t="shared" si="4"/>
        <v>7.0063694267515917</v>
      </c>
      <c r="M80" s="126">
        <v>5.2</v>
      </c>
      <c r="N80" s="126"/>
      <c r="O80" s="127">
        <f t="shared" si="5"/>
        <v>1.4193929193687895E-2</v>
      </c>
      <c r="P80" s="127">
        <f>O80*(1+'Key Data'!F$3)</f>
        <v>1.774241149210987E-2</v>
      </c>
      <c r="Q80" s="366"/>
      <c r="R80" s="366"/>
      <c r="S80" s="369"/>
    </row>
    <row r="81" spans="1:19" x14ac:dyDescent="0.3">
      <c r="A81" s="367"/>
      <c r="B81" s="367"/>
      <c r="C81" s="367"/>
      <c r="D81" s="367"/>
      <c r="E81" s="108"/>
      <c r="F81" s="108"/>
      <c r="G81" s="367"/>
      <c r="H81" s="109" t="s">
        <v>305</v>
      </c>
      <c r="I81" s="126"/>
      <c r="J81" s="126"/>
      <c r="K81" s="126">
        <v>16.2</v>
      </c>
      <c r="L81" s="126">
        <f t="shared" si="4"/>
        <v>5.1592356687898082</v>
      </c>
      <c r="M81" s="126">
        <v>4.2</v>
      </c>
      <c r="N81" s="126"/>
      <c r="O81" s="127">
        <f t="shared" si="5"/>
        <v>6.7848711349856585E-3</v>
      </c>
      <c r="P81" s="127">
        <f>O81*(1+'Key Data'!F$3)</f>
        <v>8.4810889187320725E-3</v>
      </c>
      <c r="Q81" s="366"/>
      <c r="R81" s="366"/>
      <c r="S81" s="369"/>
    </row>
    <row r="82" spans="1:19" x14ac:dyDescent="0.3">
      <c r="A82" s="367"/>
      <c r="B82" s="367"/>
      <c r="C82" s="367"/>
      <c r="D82" s="367"/>
      <c r="E82" s="108"/>
      <c r="F82" s="108"/>
      <c r="G82" s="367"/>
      <c r="H82" s="109" t="s">
        <v>305</v>
      </c>
      <c r="I82" s="126"/>
      <c r="J82" s="126"/>
      <c r="K82" s="126">
        <v>22.4</v>
      </c>
      <c r="L82" s="126">
        <f t="shared" si="4"/>
        <v>7.1337579617834388</v>
      </c>
      <c r="M82" s="126">
        <v>5.8</v>
      </c>
      <c r="N82" s="126"/>
      <c r="O82" s="127">
        <f t="shared" si="5"/>
        <v>1.6161883612471478E-2</v>
      </c>
      <c r="P82" s="127">
        <f>O82*(1+'Key Data'!F$3)</f>
        <v>2.0202354515589348E-2</v>
      </c>
      <c r="Q82" s="366"/>
      <c r="R82" s="366"/>
      <c r="S82" s="369"/>
    </row>
    <row r="83" spans="1:19" x14ac:dyDescent="0.3">
      <c r="A83" s="367"/>
      <c r="B83" s="367"/>
      <c r="C83" s="367"/>
      <c r="D83" s="367"/>
      <c r="E83" s="108"/>
      <c r="F83" s="108"/>
      <c r="G83" s="367"/>
      <c r="H83" s="109" t="s">
        <v>305</v>
      </c>
      <c r="I83" s="126"/>
      <c r="J83" s="126"/>
      <c r="K83" s="126">
        <v>21</v>
      </c>
      <c r="L83" s="126">
        <f t="shared" si="4"/>
        <v>6.6878980891719744</v>
      </c>
      <c r="M83" s="126">
        <v>6</v>
      </c>
      <c r="N83" s="126"/>
      <c r="O83" s="127">
        <f t="shared" si="5"/>
        <v>1.4843598841626487E-2</v>
      </c>
      <c r="P83" s="127">
        <f>O83*(1+'Key Data'!F$3)</f>
        <v>1.8554498552033109E-2</v>
      </c>
      <c r="Q83" s="366"/>
      <c r="R83" s="366"/>
      <c r="S83" s="369"/>
    </row>
    <row r="84" spans="1:19" x14ac:dyDescent="0.3">
      <c r="A84" s="367"/>
      <c r="B84" s="367"/>
      <c r="C84" s="367"/>
      <c r="D84" s="367"/>
      <c r="E84" s="108"/>
      <c r="F84" s="108"/>
      <c r="G84" s="367"/>
      <c r="H84" s="109" t="s">
        <v>305</v>
      </c>
      <c r="I84" s="126"/>
      <c r="J84" s="126"/>
      <c r="K84" s="126">
        <v>28</v>
      </c>
      <c r="L84" s="126">
        <f t="shared" si="4"/>
        <v>8.9171974522292992</v>
      </c>
      <c r="M84" s="126">
        <v>6.4</v>
      </c>
      <c r="N84" s="126"/>
      <c r="O84" s="127">
        <f t="shared" si="5"/>
        <v>2.6301913713882175E-2</v>
      </c>
      <c r="P84" s="127">
        <f>O84*(1+'Key Data'!F$3)</f>
        <v>3.2877392142352718E-2</v>
      </c>
      <c r="Q84" s="366"/>
      <c r="R84" s="366"/>
      <c r="S84" s="369"/>
    </row>
    <row r="85" spans="1:19" x14ac:dyDescent="0.3">
      <c r="A85" s="367"/>
      <c r="B85" s="367"/>
      <c r="C85" s="367"/>
      <c r="D85" s="367"/>
      <c r="E85" s="108"/>
      <c r="F85" s="108"/>
      <c r="G85" s="367"/>
      <c r="H85" s="109" t="s">
        <v>305</v>
      </c>
      <c r="I85" s="126"/>
      <c r="J85" s="126"/>
      <c r="K85" s="126">
        <v>25</v>
      </c>
      <c r="L85" s="126">
        <f t="shared" si="4"/>
        <v>7.9617834394904454</v>
      </c>
      <c r="M85" s="126">
        <v>6</v>
      </c>
      <c r="N85" s="126"/>
      <c r="O85" s="127">
        <f t="shared" si="5"/>
        <v>2.0273458633378854E-2</v>
      </c>
      <c r="P85" s="127">
        <f>O85*(1+'Key Data'!F$3)</f>
        <v>2.5341823291723568E-2</v>
      </c>
      <c r="Q85" s="366"/>
      <c r="R85" s="366"/>
      <c r="S85" s="369"/>
    </row>
    <row r="86" spans="1:19" x14ac:dyDescent="0.3">
      <c r="A86" s="367"/>
      <c r="B86" s="367"/>
      <c r="C86" s="367"/>
      <c r="D86" s="367"/>
      <c r="E86" s="108"/>
      <c r="F86" s="108"/>
      <c r="G86" s="367"/>
      <c r="H86" s="109" t="s">
        <v>305</v>
      </c>
      <c r="I86" s="126"/>
      <c r="J86" s="126"/>
      <c r="K86" s="126">
        <v>28</v>
      </c>
      <c r="L86" s="126">
        <f t="shared" si="4"/>
        <v>8.9171974522292992</v>
      </c>
      <c r="M86" s="126">
        <v>7.2</v>
      </c>
      <c r="N86" s="126"/>
      <c r="O86" s="127">
        <f t="shared" si="5"/>
        <v>2.9222522638676682E-2</v>
      </c>
      <c r="P86" s="127">
        <f>O86*(1+'Key Data'!F$3)</f>
        <v>3.6528153298345856E-2</v>
      </c>
      <c r="Q86" s="366"/>
      <c r="R86" s="366"/>
      <c r="S86" s="369"/>
    </row>
    <row r="87" spans="1:19" x14ac:dyDescent="0.3">
      <c r="A87" s="367"/>
      <c r="B87" s="367"/>
      <c r="C87" s="367"/>
      <c r="D87" s="367"/>
      <c r="E87" s="108"/>
      <c r="F87" s="108"/>
      <c r="G87" s="367"/>
      <c r="H87" s="109" t="s">
        <v>305</v>
      </c>
      <c r="I87" s="126"/>
      <c r="J87" s="126"/>
      <c r="K87" s="126">
        <v>22</v>
      </c>
      <c r="L87" s="126">
        <f t="shared" si="4"/>
        <v>7.0063694267515917</v>
      </c>
      <c r="M87" s="126">
        <v>7.2</v>
      </c>
      <c r="N87" s="126"/>
      <c r="O87" s="127">
        <f t="shared" si="5"/>
        <v>1.8986761584582467E-2</v>
      </c>
      <c r="P87" s="127">
        <f>O87*(1+'Key Data'!F$3)</f>
        <v>2.3733451980728085E-2</v>
      </c>
      <c r="Q87" s="366"/>
      <c r="R87" s="366"/>
      <c r="S87" s="369"/>
    </row>
    <row r="88" spans="1:19" x14ac:dyDescent="0.3">
      <c r="A88" s="367"/>
      <c r="B88" s="367"/>
      <c r="C88" s="367"/>
      <c r="D88" s="367"/>
      <c r="E88" s="108"/>
      <c r="F88" s="108"/>
      <c r="G88" s="367"/>
      <c r="H88" s="109" t="s">
        <v>305</v>
      </c>
      <c r="I88" s="126"/>
      <c r="J88" s="126"/>
      <c r="K88" s="126">
        <v>23.1</v>
      </c>
      <c r="L88" s="126">
        <f t="shared" si="4"/>
        <v>7.3566878980891719</v>
      </c>
      <c r="M88" s="126">
        <v>4.4000000000000004</v>
      </c>
      <c r="N88" s="126"/>
      <c r="O88" s="127">
        <f t="shared" si="5"/>
        <v>1.333916991739539E-2</v>
      </c>
      <c r="P88" s="127">
        <f>O88*(1+'Key Data'!F$3)</f>
        <v>1.6673962396744239E-2</v>
      </c>
      <c r="Q88" s="366"/>
      <c r="R88" s="366"/>
      <c r="S88" s="369"/>
    </row>
    <row r="89" spans="1:19" x14ac:dyDescent="0.3">
      <c r="A89" s="367"/>
      <c r="B89" s="367"/>
      <c r="C89" s="367"/>
      <c r="D89" s="367"/>
      <c r="E89" s="108"/>
      <c r="F89" s="108"/>
      <c r="G89" s="367"/>
      <c r="H89" s="109" t="s">
        <v>305</v>
      </c>
      <c r="I89" s="126"/>
      <c r="J89" s="126"/>
      <c r="K89" s="126">
        <v>14</v>
      </c>
      <c r="L89" s="126">
        <f t="shared" si="4"/>
        <v>4.4585987261146496</v>
      </c>
      <c r="M89" s="126">
        <v>4.2</v>
      </c>
      <c r="N89" s="126"/>
      <c r="O89" s="127">
        <f t="shared" si="5"/>
        <v>5.2264365857594862E-3</v>
      </c>
      <c r="P89" s="127">
        <f>O89*(1+'Key Data'!F$3)</f>
        <v>6.5330457321993579E-3</v>
      </c>
      <c r="Q89" s="366"/>
      <c r="R89" s="366"/>
      <c r="S89" s="369"/>
    </row>
    <row r="90" spans="1:19" x14ac:dyDescent="0.3">
      <c r="A90" s="367"/>
      <c r="B90" s="367"/>
      <c r="C90" s="367"/>
      <c r="D90" s="367"/>
      <c r="E90" s="108"/>
      <c r="F90" s="108"/>
      <c r="G90" s="367"/>
      <c r="H90" s="109" t="s">
        <v>305</v>
      </c>
      <c r="I90" s="126"/>
      <c r="J90" s="126"/>
      <c r="K90" s="126">
        <v>27.2</v>
      </c>
      <c r="L90" s="126">
        <f t="shared" si="4"/>
        <v>8.6624203821656049</v>
      </c>
      <c r="M90" s="126">
        <v>6</v>
      </c>
      <c r="N90" s="126"/>
      <c r="O90" s="127">
        <f t="shared" si="5"/>
        <v>2.3573296036465616E-2</v>
      </c>
      <c r="P90" s="127">
        <f>O90*(1+'Key Data'!F$3)</f>
        <v>2.946662004558202E-2</v>
      </c>
      <c r="Q90" s="366"/>
      <c r="R90" s="366"/>
      <c r="S90" s="369"/>
    </row>
    <row r="91" spans="1:19" x14ac:dyDescent="0.3">
      <c r="A91" s="367"/>
      <c r="B91" s="367"/>
      <c r="C91" s="367"/>
      <c r="D91" s="367"/>
      <c r="E91" s="108"/>
      <c r="F91" s="108"/>
      <c r="G91" s="367"/>
      <c r="H91" s="109" t="s">
        <v>305</v>
      </c>
      <c r="I91" s="126"/>
      <c r="J91" s="126"/>
      <c r="K91" s="126">
        <v>29.8</v>
      </c>
      <c r="L91" s="126">
        <f t="shared" si="4"/>
        <v>9.4904458598726116</v>
      </c>
      <c r="M91" s="126">
        <v>6.2</v>
      </c>
      <c r="N91" s="126"/>
      <c r="O91" s="127">
        <f t="shared" si="5"/>
        <v>2.857858635192707E-2</v>
      </c>
      <c r="P91" s="127">
        <f>O91*(1+'Key Data'!F$3)</f>
        <v>3.5723232939908839E-2</v>
      </c>
      <c r="Q91" s="366"/>
      <c r="R91" s="366"/>
      <c r="S91" s="369"/>
    </row>
    <row r="92" spans="1:19" x14ac:dyDescent="0.3">
      <c r="A92" s="367"/>
      <c r="B92" s="367"/>
      <c r="C92" s="367"/>
      <c r="D92" s="367"/>
      <c r="E92" s="108"/>
      <c r="F92" s="108"/>
      <c r="G92" s="367"/>
      <c r="H92" s="109" t="s">
        <v>305</v>
      </c>
      <c r="I92" s="126"/>
      <c r="J92" s="126"/>
      <c r="K92" s="126">
        <v>34</v>
      </c>
      <c r="L92" s="126">
        <f t="shared" si="4"/>
        <v>10.828025477707007</v>
      </c>
      <c r="M92" s="126">
        <v>6.6</v>
      </c>
      <c r="N92" s="126"/>
      <c r="O92" s="127">
        <f t="shared" si="5"/>
        <v>3.8256080616013634E-2</v>
      </c>
      <c r="P92" s="127">
        <f>O92*(1+'Key Data'!F$3)</f>
        <v>4.7820100770017041E-2</v>
      </c>
      <c r="Q92" s="366"/>
      <c r="R92" s="366"/>
      <c r="S92" s="369"/>
    </row>
    <row r="93" spans="1:19" x14ac:dyDescent="0.3">
      <c r="A93" s="367"/>
      <c r="B93" s="367"/>
      <c r="C93" s="367"/>
      <c r="D93" s="367"/>
      <c r="E93" s="108"/>
      <c r="F93" s="108"/>
      <c r="G93" s="367"/>
      <c r="H93" s="109" t="s">
        <v>305</v>
      </c>
      <c r="I93" s="126"/>
      <c r="J93" s="126"/>
      <c r="K93" s="126">
        <v>16.399999999999999</v>
      </c>
      <c r="L93" s="126">
        <f t="shared" si="4"/>
        <v>5.2229299363057322</v>
      </c>
      <c r="M93" s="126">
        <v>4.4000000000000004</v>
      </c>
      <c r="N93" s="126"/>
      <c r="O93" s="127">
        <f t="shared" si="5"/>
        <v>7.2298849270401987E-3</v>
      </c>
      <c r="P93" s="127">
        <f>O93*(1+'Key Data'!F$3)</f>
        <v>9.0373561588002489E-3</v>
      </c>
      <c r="Q93" s="366"/>
      <c r="R93" s="366"/>
      <c r="S93" s="369"/>
    </row>
    <row r="94" spans="1:19" x14ac:dyDescent="0.3">
      <c r="A94" s="367"/>
      <c r="B94" s="367"/>
      <c r="C94" s="367"/>
      <c r="D94" s="367"/>
      <c r="E94" s="108"/>
      <c r="F94" s="108"/>
      <c r="G94" s="367"/>
      <c r="H94" s="109" t="s">
        <v>305</v>
      </c>
      <c r="I94" s="126"/>
      <c r="J94" s="126"/>
      <c r="K94" s="126">
        <v>30.2</v>
      </c>
      <c r="L94" s="126">
        <f t="shared" si="4"/>
        <v>9.6178343949044578</v>
      </c>
      <c r="M94" s="126">
        <v>6.8</v>
      </c>
      <c r="N94" s="126"/>
      <c r="O94" s="127">
        <f t="shared" si="5"/>
        <v>3.1787712311906954E-2</v>
      </c>
      <c r="P94" s="127">
        <f>O94*(1+'Key Data'!F$3)</f>
        <v>3.9734640389883696E-2</v>
      </c>
      <c r="Q94" s="366"/>
      <c r="R94" s="366"/>
      <c r="S94" s="369"/>
    </row>
    <row r="95" spans="1:19" x14ac:dyDescent="0.3">
      <c r="A95" s="367"/>
      <c r="B95" s="367"/>
      <c r="C95" s="367"/>
      <c r="D95" s="367"/>
      <c r="E95" s="108"/>
      <c r="F95" s="108"/>
      <c r="G95" s="367"/>
      <c r="H95" s="109" t="s">
        <v>305</v>
      </c>
      <c r="I95" s="126"/>
      <c r="J95" s="126"/>
      <c r="K95" s="126">
        <v>28.8</v>
      </c>
      <c r="L95" s="126">
        <f t="shared" si="4"/>
        <v>9.1719745222929934</v>
      </c>
      <c r="M95" s="126">
        <v>7</v>
      </c>
      <c r="N95" s="126"/>
      <c r="O95" s="127">
        <f t="shared" si="5"/>
        <v>2.9967830786351093E-2</v>
      </c>
      <c r="P95" s="127">
        <f>O95*(1+'Key Data'!F$3)</f>
        <v>3.7459788482938863E-2</v>
      </c>
      <c r="Q95" s="366"/>
      <c r="R95" s="366"/>
      <c r="S95" s="369"/>
    </row>
    <row r="96" spans="1:19" x14ac:dyDescent="0.3">
      <c r="A96" s="367"/>
      <c r="B96" s="367"/>
      <c r="C96" s="367"/>
      <c r="D96" s="367"/>
      <c r="E96" s="108"/>
      <c r="F96" s="108"/>
      <c r="G96" s="367"/>
      <c r="H96" s="109" t="s">
        <v>305</v>
      </c>
      <c r="I96" s="126"/>
      <c r="J96" s="126"/>
      <c r="K96" s="126">
        <v>24</v>
      </c>
      <c r="L96" s="126">
        <f t="shared" si="4"/>
        <v>7.6433121019108281</v>
      </c>
      <c r="M96" s="126">
        <v>6</v>
      </c>
      <c r="N96" s="126"/>
      <c r="O96" s="127">
        <f t="shared" si="5"/>
        <v>1.8846417596371283E-2</v>
      </c>
      <c r="P96" s="127">
        <f>O96*(1+'Key Data'!F$3)</f>
        <v>2.3558021995464105E-2</v>
      </c>
      <c r="Q96" s="366"/>
      <c r="R96" s="366"/>
      <c r="S96" s="369"/>
    </row>
    <row r="97" spans="1:19" x14ac:dyDescent="0.3">
      <c r="A97" s="367"/>
      <c r="B97" s="367"/>
      <c r="C97" s="367"/>
      <c r="D97" s="367"/>
      <c r="E97" s="108"/>
      <c r="F97" s="108"/>
      <c r="G97" s="367"/>
      <c r="H97" s="109" t="s">
        <v>305</v>
      </c>
      <c r="I97" s="126"/>
      <c r="J97" s="126"/>
      <c r="K97" s="126">
        <v>15.9</v>
      </c>
      <c r="L97" s="126">
        <f t="shared" si="4"/>
        <v>5.0636942675159231</v>
      </c>
      <c r="M97" s="126">
        <v>4.4000000000000004</v>
      </c>
      <c r="N97" s="126"/>
      <c r="O97" s="127">
        <f t="shared" si="5"/>
        <v>6.8405125334997357E-3</v>
      </c>
      <c r="P97" s="127">
        <f>O97*(1+'Key Data'!F$3)</f>
        <v>8.55064066687467E-3</v>
      </c>
      <c r="Q97" s="366"/>
      <c r="R97" s="366"/>
      <c r="S97" s="369"/>
    </row>
    <row r="98" spans="1:19" x14ac:dyDescent="0.3">
      <c r="A98" s="374">
        <v>2</v>
      </c>
      <c r="B98" s="374" t="s">
        <v>306</v>
      </c>
      <c r="C98" s="374" t="s">
        <v>307</v>
      </c>
      <c r="D98" s="374" t="s">
        <v>289</v>
      </c>
      <c r="E98" s="113">
        <v>15.296669</v>
      </c>
      <c r="F98" s="113">
        <v>75.792092800000006</v>
      </c>
      <c r="G98" s="374">
        <v>2019</v>
      </c>
      <c r="H98" s="78" t="s">
        <v>305</v>
      </c>
      <c r="I98" s="128">
        <v>30.2</v>
      </c>
      <c r="J98" s="128">
        <f t="shared" ref="J98:J129" si="6">I98/3.14</f>
        <v>9.6178343949044578</v>
      </c>
      <c r="K98" s="128">
        <v>22.4</v>
      </c>
      <c r="L98" s="128">
        <f t="shared" ref="L98:L129" si="7">K98/3.14</f>
        <v>7.1337579617834388</v>
      </c>
      <c r="M98" s="128">
        <v>7</v>
      </c>
      <c r="N98" s="128"/>
      <c r="O98" s="129">
        <f t="shared" ref="O98:O129" si="8">(EXP(-2.302+0.894*LN(L98*L98*M98)))/1000</f>
        <v>1.912075322464396E-2</v>
      </c>
      <c r="P98" s="129">
        <f>O98*(1+'Key Data'!F$3)</f>
        <v>2.3900941530804951E-2</v>
      </c>
      <c r="Q98" s="379">
        <f>SUM(P98:P188)</f>
        <v>2.2847642491180862</v>
      </c>
      <c r="R98" s="379">
        <f>Q98*10000/900</f>
        <v>25.386269434645399</v>
      </c>
      <c r="S98" s="369"/>
    </row>
    <row r="99" spans="1:19" x14ac:dyDescent="0.3">
      <c r="A99" s="374"/>
      <c r="B99" s="374"/>
      <c r="C99" s="374"/>
      <c r="D99" s="374"/>
      <c r="E99" s="113">
        <v>15.296617599999999</v>
      </c>
      <c r="F99" s="113">
        <v>75.792295600000003</v>
      </c>
      <c r="G99" s="374"/>
      <c r="H99" s="78" t="s">
        <v>305</v>
      </c>
      <c r="I99" s="128">
        <v>33.200000000000003</v>
      </c>
      <c r="J99" s="128">
        <f t="shared" si="6"/>
        <v>10.573248407643312</v>
      </c>
      <c r="K99" s="128">
        <v>26.2</v>
      </c>
      <c r="L99" s="128">
        <f t="shared" si="7"/>
        <v>8.3439490445859867</v>
      </c>
      <c r="M99" s="128">
        <v>7</v>
      </c>
      <c r="N99" s="128"/>
      <c r="O99" s="129">
        <f t="shared" si="8"/>
        <v>2.530371273661277E-2</v>
      </c>
      <c r="P99" s="129">
        <f>O99*(1+'Key Data'!F$3)</f>
        <v>3.1629640920765964E-2</v>
      </c>
      <c r="Q99" s="379"/>
      <c r="R99" s="379"/>
      <c r="S99" s="369"/>
    </row>
    <row r="100" spans="1:19" x14ac:dyDescent="0.3">
      <c r="A100" s="374"/>
      <c r="B100" s="374"/>
      <c r="C100" s="374"/>
      <c r="D100" s="374"/>
      <c r="E100" s="113">
        <v>15.296810600000001</v>
      </c>
      <c r="F100" s="113">
        <v>75.792341199999996</v>
      </c>
      <c r="G100" s="374"/>
      <c r="H100" s="78" t="s">
        <v>305</v>
      </c>
      <c r="I100" s="128">
        <v>29</v>
      </c>
      <c r="J100" s="128">
        <f t="shared" si="6"/>
        <v>9.2356687898089174</v>
      </c>
      <c r="K100" s="128">
        <v>21</v>
      </c>
      <c r="L100" s="128">
        <f t="shared" si="7"/>
        <v>6.6878980891719744</v>
      </c>
      <c r="M100" s="128">
        <v>6.2</v>
      </c>
      <c r="N100" s="128"/>
      <c r="O100" s="129">
        <f t="shared" si="8"/>
        <v>1.5285166059328829E-2</v>
      </c>
      <c r="P100" s="129">
        <f>O100*(1+'Key Data'!F$3)</f>
        <v>1.9106457574161038E-2</v>
      </c>
      <c r="Q100" s="379"/>
      <c r="R100" s="379"/>
      <c r="S100" s="369"/>
    </row>
    <row r="101" spans="1:19" x14ac:dyDescent="0.3">
      <c r="A101" s="374"/>
      <c r="B101" s="374"/>
      <c r="C101" s="374"/>
      <c r="D101" s="374"/>
      <c r="E101" s="113">
        <v>15.2968397</v>
      </c>
      <c r="F101" s="113">
        <v>75.792108600000006</v>
      </c>
      <c r="G101" s="374"/>
      <c r="H101" s="78" t="s">
        <v>305</v>
      </c>
      <c r="I101" s="128">
        <v>22.4</v>
      </c>
      <c r="J101" s="128">
        <f t="shared" si="6"/>
        <v>7.1337579617834388</v>
      </c>
      <c r="K101" s="128">
        <v>16</v>
      </c>
      <c r="L101" s="128">
        <f t="shared" si="7"/>
        <v>5.0955414012738851</v>
      </c>
      <c r="M101" s="128">
        <v>6.2</v>
      </c>
      <c r="N101" s="128"/>
      <c r="O101" s="129">
        <f t="shared" si="8"/>
        <v>9.39958309034215E-3</v>
      </c>
      <c r="P101" s="129">
        <f>O101*(1+'Key Data'!F$3)</f>
        <v>1.1749478862927688E-2</v>
      </c>
      <c r="Q101" s="379"/>
      <c r="R101" s="379"/>
      <c r="S101" s="369"/>
    </row>
    <row r="102" spans="1:19" x14ac:dyDescent="0.3">
      <c r="A102" s="374"/>
      <c r="B102" s="374"/>
      <c r="C102" s="374"/>
      <c r="D102" s="374"/>
      <c r="E102" s="113">
        <v>15.2967379</v>
      </c>
      <c r="F102" s="113">
        <v>75.792771999999999</v>
      </c>
      <c r="G102" s="374"/>
      <c r="H102" s="78" t="s">
        <v>305</v>
      </c>
      <c r="I102" s="128">
        <v>32</v>
      </c>
      <c r="J102" s="128">
        <f t="shared" si="6"/>
        <v>10.19108280254777</v>
      </c>
      <c r="K102" s="128">
        <v>23.6</v>
      </c>
      <c r="L102" s="128">
        <f t="shared" si="7"/>
        <v>7.515923566878981</v>
      </c>
      <c r="M102" s="128">
        <v>6.2</v>
      </c>
      <c r="N102" s="128"/>
      <c r="O102" s="129">
        <f t="shared" si="8"/>
        <v>1.883253241511278E-2</v>
      </c>
      <c r="P102" s="129">
        <f>O102*(1+'Key Data'!F$3)</f>
        <v>2.3540665518890974E-2</v>
      </c>
      <c r="Q102" s="379"/>
      <c r="R102" s="379"/>
      <c r="S102" s="369"/>
    </row>
    <row r="103" spans="1:19" x14ac:dyDescent="0.3">
      <c r="A103" s="374"/>
      <c r="B103" s="374"/>
      <c r="C103" s="374"/>
      <c r="D103" s="374"/>
      <c r="E103" s="113"/>
      <c r="F103" s="113"/>
      <c r="G103" s="374"/>
      <c r="H103" s="78" t="s">
        <v>305</v>
      </c>
      <c r="I103" s="128">
        <v>27</v>
      </c>
      <c r="J103" s="128">
        <f t="shared" si="6"/>
        <v>8.598726114649681</v>
      </c>
      <c r="K103" s="128">
        <v>20.2</v>
      </c>
      <c r="L103" s="128">
        <f t="shared" si="7"/>
        <v>6.4331210191082802</v>
      </c>
      <c r="M103" s="128">
        <v>6.2</v>
      </c>
      <c r="N103" s="128"/>
      <c r="O103" s="129">
        <f t="shared" si="8"/>
        <v>1.4259697442090932E-2</v>
      </c>
      <c r="P103" s="129">
        <f>O103*(1+'Key Data'!F$3)</f>
        <v>1.7824621802613665E-2</v>
      </c>
      <c r="Q103" s="379"/>
      <c r="R103" s="379"/>
      <c r="S103" s="369"/>
    </row>
    <row r="104" spans="1:19" x14ac:dyDescent="0.3">
      <c r="A104" s="374"/>
      <c r="B104" s="374"/>
      <c r="C104" s="374"/>
      <c r="D104" s="374"/>
      <c r="E104" s="113"/>
      <c r="F104" s="113"/>
      <c r="G104" s="374"/>
      <c r="H104" s="78" t="s">
        <v>305</v>
      </c>
      <c r="I104" s="128">
        <v>31</v>
      </c>
      <c r="J104" s="128">
        <f t="shared" si="6"/>
        <v>9.872611464968152</v>
      </c>
      <c r="K104" s="128">
        <v>23.2</v>
      </c>
      <c r="L104" s="128">
        <f t="shared" si="7"/>
        <v>7.388535031847133</v>
      </c>
      <c r="M104" s="128">
        <v>5.8</v>
      </c>
      <c r="N104" s="128"/>
      <c r="O104" s="129">
        <f t="shared" si="8"/>
        <v>1.7208421503681494E-2</v>
      </c>
      <c r="P104" s="129">
        <f>O104*(1+'Key Data'!F$3)</f>
        <v>2.1510526879601866E-2</v>
      </c>
      <c r="Q104" s="379"/>
      <c r="R104" s="379"/>
      <c r="S104" s="369"/>
    </row>
    <row r="105" spans="1:19" x14ac:dyDescent="0.3">
      <c r="A105" s="374"/>
      <c r="B105" s="374"/>
      <c r="C105" s="374"/>
      <c r="D105" s="374"/>
      <c r="E105" s="113"/>
      <c r="F105" s="113"/>
      <c r="G105" s="374"/>
      <c r="H105" s="78" t="s">
        <v>305</v>
      </c>
      <c r="I105" s="128">
        <v>35</v>
      </c>
      <c r="J105" s="128">
        <f t="shared" si="6"/>
        <v>11.146496815286623</v>
      </c>
      <c r="K105" s="128">
        <v>26.2</v>
      </c>
      <c r="L105" s="128">
        <f t="shared" si="7"/>
        <v>8.3439490445859867</v>
      </c>
      <c r="M105" s="128">
        <v>6.1</v>
      </c>
      <c r="N105" s="128"/>
      <c r="O105" s="129">
        <f t="shared" si="8"/>
        <v>2.2374403881278229E-2</v>
      </c>
      <c r="P105" s="129">
        <f>O105*(1+'Key Data'!F$3)</f>
        <v>2.7968004851597787E-2</v>
      </c>
      <c r="Q105" s="379"/>
      <c r="R105" s="379"/>
      <c r="S105" s="369"/>
    </row>
    <row r="106" spans="1:19" x14ac:dyDescent="0.3">
      <c r="A106" s="374"/>
      <c r="B106" s="374"/>
      <c r="C106" s="374"/>
      <c r="D106" s="374"/>
      <c r="E106" s="113"/>
      <c r="F106" s="113"/>
      <c r="G106" s="374"/>
      <c r="H106" s="78" t="s">
        <v>305</v>
      </c>
      <c r="I106" s="128">
        <v>27</v>
      </c>
      <c r="J106" s="128">
        <f t="shared" si="6"/>
        <v>8.598726114649681</v>
      </c>
      <c r="K106" s="128">
        <v>20</v>
      </c>
      <c r="L106" s="128">
        <f t="shared" si="7"/>
        <v>6.3694267515923562</v>
      </c>
      <c r="M106" s="128">
        <v>6.1</v>
      </c>
      <c r="N106" s="128"/>
      <c r="O106" s="129">
        <f t="shared" si="8"/>
        <v>1.3806080351295555E-2</v>
      </c>
      <c r="P106" s="129">
        <f>O106*(1+'Key Data'!F$3)</f>
        <v>1.7257600439119444E-2</v>
      </c>
      <c r="Q106" s="379"/>
      <c r="R106" s="379"/>
      <c r="S106" s="369"/>
    </row>
    <row r="107" spans="1:19" x14ac:dyDescent="0.3">
      <c r="A107" s="374"/>
      <c r="B107" s="374"/>
      <c r="C107" s="374"/>
      <c r="D107" s="374"/>
      <c r="E107" s="113"/>
      <c r="F107" s="113"/>
      <c r="G107" s="374"/>
      <c r="H107" s="78" t="s">
        <v>305</v>
      </c>
      <c r="I107" s="128">
        <v>31</v>
      </c>
      <c r="J107" s="128">
        <f t="shared" si="6"/>
        <v>9.872611464968152</v>
      </c>
      <c r="K107" s="128">
        <v>24</v>
      </c>
      <c r="L107" s="128">
        <f t="shared" si="7"/>
        <v>7.6433121019108281</v>
      </c>
      <c r="M107" s="128">
        <v>7</v>
      </c>
      <c r="N107" s="128"/>
      <c r="O107" s="129">
        <f t="shared" si="8"/>
        <v>2.1631131618091062E-2</v>
      </c>
      <c r="P107" s="129">
        <f>O107*(1+'Key Data'!F$3)</f>
        <v>2.7038914522613828E-2</v>
      </c>
      <c r="Q107" s="379"/>
      <c r="R107" s="379"/>
      <c r="S107" s="369"/>
    </row>
    <row r="108" spans="1:19" x14ac:dyDescent="0.3">
      <c r="A108" s="374"/>
      <c r="B108" s="374"/>
      <c r="C108" s="374"/>
      <c r="D108" s="374"/>
      <c r="E108" s="113"/>
      <c r="F108" s="113"/>
      <c r="G108" s="374"/>
      <c r="H108" s="78" t="s">
        <v>305</v>
      </c>
      <c r="I108" s="128">
        <v>35.4</v>
      </c>
      <c r="J108" s="128">
        <f t="shared" si="6"/>
        <v>11.273885350318471</v>
      </c>
      <c r="K108" s="128">
        <v>26</v>
      </c>
      <c r="L108" s="128">
        <f t="shared" si="7"/>
        <v>8.2802547770700627</v>
      </c>
      <c r="M108" s="128">
        <v>6.8</v>
      </c>
      <c r="N108" s="128"/>
      <c r="O108" s="129">
        <f t="shared" si="8"/>
        <v>2.4320875582405931E-2</v>
      </c>
      <c r="P108" s="129">
        <f>O108*(1+'Key Data'!F$3)</f>
        <v>3.0401094478007415E-2</v>
      </c>
      <c r="Q108" s="379"/>
      <c r="R108" s="379"/>
      <c r="S108" s="369"/>
    </row>
    <row r="109" spans="1:19" x14ac:dyDescent="0.3">
      <c r="A109" s="374"/>
      <c r="B109" s="374"/>
      <c r="C109" s="374"/>
      <c r="D109" s="374"/>
      <c r="E109" s="113"/>
      <c r="F109" s="113"/>
      <c r="G109" s="374"/>
      <c r="H109" s="78" t="s">
        <v>305</v>
      </c>
      <c r="I109" s="128">
        <v>32.799999999999997</v>
      </c>
      <c r="J109" s="128">
        <f t="shared" si="6"/>
        <v>10.445859872611464</v>
      </c>
      <c r="K109" s="128">
        <v>24</v>
      </c>
      <c r="L109" s="128">
        <f t="shared" si="7"/>
        <v>7.6433121019108281</v>
      </c>
      <c r="M109" s="128">
        <v>6.8</v>
      </c>
      <c r="N109" s="128"/>
      <c r="O109" s="129">
        <f t="shared" si="8"/>
        <v>2.1077765090875146E-2</v>
      </c>
      <c r="P109" s="129">
        <f>O109*(1+'Key Data'!F$3)</f>
        <v>2.6347206363593931E-2</v>
      </c>
      <c r="Q109" s="379"/>
      <c r="R109" s="379"/>
      <c r="S109" s="369"/>
    </row>
    <row r="110" spans="1:19" x14ac:dyDescent="0.3">
      <c r="A110" s="374"/>
      <c r="B110" s="374"/>
      <c r="C110" s="374"/>
      <c r="D110" s="374"/>
      <c r="E110" s="113"/>
      <c r="F110" s="113"/>
      <c r="G110" s="374"/>
      <c r="H110" s="78" t="s">
        <v>305</v>
      </c>
      <c r="I110" s="128">
        <v>34</v>
      </c>
      <c r="J110" s="128">
        <f t="shared" si="6"/>
        <v>10.828025477707007</v>
      </c>
      <c r="K110" s="128">
        <v>25.4</v>
      </c>
      <c r="L110" s="128">
        <f t="shared" si="7"/>
        <v>8.0891719745222925</v>
      </c>
      <c r="M110" s="128">
        <v>6.2</v>
      </c>
      <c r="N110" s="128"/>
      <c r="O110" s="129">
        <f t="shared" si="8"/>
        <v>2.1477550439153989E-2</v>
      </c>
      <c r="P110" s="129">
        <f>O110*(1+'Key Data'!F$3)</f>
        <v>2.6846938048942486E-2</v>
      </c>
      <c r="Q110" s="379"/>
      <c r="R110" s="379"/>
      <c r="S110" s="369"/>
    </row>
    <row r="111" spans="1:19" x14ac:dyDescent="0.3">
      <c r="A111" s="374"/>
      <c r="B111" s="374"/>
      <c r="C111" s="374"/>
      <c r="D111" s="374"/>
      <c r="E111" s="113"/>
      <c r="F111" s="113"/>
      <c r="G111" s="374"/>
      <c r="H111" s="78" t="s">
        <v>305</v>
      </c>
      <c r="I111" s="128">
        <v>39</v>
      </c>
      <c r="J111" s="128">
        <f t="shared" si="6"/>
        <v>12.420382165605096</v>
      </c>
      <c r="K111" s="128">
        <v>31</v>
      </c>
      <c r="L111" s="128">
        <f t="shared" si="7"/>
        <v>9.872611464968152</v>
      </c>
      <c r="M111" s="128">
        <v>6.2</v>
      </c>
      <c r="N111" s="128"/>
      <c r="O111" s="129">
        <f t="shared" si="8"/>
        <v>3.0668799119101659E-2</v>
      </c>
      <c r="P111" s="129">
        <f>O111*(1+'Key Data'!F$3)</f>
        <v>3.8335998898877073E-2</v>
      </c>
      <c r="Q111" s="379"/>
      <c r="R111" s="379"/>
      <c r="S111" s="369"/>
    </row>
    <row r="112" spans="1:19" x14ac:dyDescent="0.3">
      <c r="A112" s="374"/>
      <c r="B112" s="374"/>
      <c r="C112" s="374"/>
      <c r="D112" s="374"/>
      <c r="E112" s="113"/>
      <c r="F112" s="113"/>
      <c r="G112" s="374"/>
      <c r="H112" s="78" t="s">
        <v>305</v>
      </c>
      <c r="I112" s="128">
        <v>29.2</v>
      </c>
      <c r="J112" s="128">
        <f t="shared" si="6"/>
        <v>9.2993630573248396</v>
      </c>
      <c r="K112" s="128">
        <v>21</v>
      </c>
      <c r="L112" s="128">
        <f t="shared" si="7"/>
        <v>6.6878980891719744</v>
      </c>
      <c r="M112" s="128">
        <v>6.8</v>
      </c>
      <c r="N112" s="128"/>
      <c r="O112" s="129">
        <f t="shared" si="8"/>
        <v>1.6601027112294806E-2</v>
      </c>
      <c r="P112" s="129">
        <f>O112*(1+'Key Data'!F$3)</f>
        <v>2.0751283890368507E-2</v>
      </c>
      <c r="Q112" s="379"/>
      <c r="R112" s="379"/>
      <c r="S112" s="369"/>
    </row>
    <row r="113" spans="1:19" x14ac:dyDescent="0.3">
      <c r="A113" s="374"/>
      <c r="B113" s="374"/>
      <c r="C113" s="374"/>
      <c r="D113" s="374"/>
      <c r="E113" s="113"/>
      <c r="F113" s="113"/>
      <c r="G113" s="374"/>
      <c r="H113" s="78" t="s">
        <v>305</v>
      </c>
      <c r="I113" s="128">
        <v>31</v>
      </c>
      <c r="J113" s="128">
        <f t="shared" si="6"/>
        <v>9.872611464968152</v>
      </c>
      <c r="K113" s="128">
        <v>21</v>
      </c>
      <c r="L113" s="128">
        <f t="shared" si="7"/>
        <v>6.6878980891719744</v>
      </c>
      <c r="M113" s="128">
        <v>6.3</v>
      </c>
      <c r="N113" s="128"/>
      <c r="O113" s="129">
        <f t="shared" si="8"/>
        <v>1.5505380995047545E-2</v>
      </c>
      <c r="P113" s="129">
        <f>O113*(1+'Key Data'!F$3)</f>
        <v>1.9381726243809433E-2</v>
      </c>
      <c r="Q113" s="379"/>
      <c r="R113" s="379"/>
      <c r="S113" s="369"/>
    </row>
    <row r="114" spans="1:19" x14ac:dyDescent="0.3">
      <c r="A114" s="374"/>
      <c r="B114" s="374"/>
      <c r="C114" s="374"/>
      <c r="D114" s="374"/>
      <c r="E114" s="113"/>
      <c r="F114" s="113"/>
      <c r="G114" s="374"/>
      <c r="H114" s="78" t="s">
        <v>305</v>
      </c>
      <c r="I114" s="128">
        <v>22</v>
      </c>
      <c r="J114" s="128">
        <f t="shared" si="6"/>
        <v>7.0063694267515917</v>
      </c>
      <c r="K114" s="128">
        <v>15.2</v>
      </c>
      <c r="L114" s="128">
        <f t="shared" si="7"/>
        <v>4.8407643312101909</v>
      </c>
      <c r="M114" s="128">
        <v>6.2</v>
      </c>
      <c r="N114" s="128"/>
      <c r="O114" s="129">
        <f t="shared" si="8"/>
        <v>8.5758741181741534E-3</v>
      </c>
      <c r="P114" s="129">
        <f>O114*(1+'Key Data'!F$3)</f>
        <v>1.0719842647717692E-2</v>
      </c>
      <c r="Q114" s="379"/>
      <c r="R114" s="379"/>
      <c r="S114" s="369"/>
    </row>
    <row r="115" spans="1:19" x14ac:dyDescent="0.3">
      <c r="A115" s="374"/>
      <c r="B115" s="374"/>
      <c r="C115" s="374"/>
      <c r="D115" s="374"/>
      <c r="E115" s="113"/>
      <c r="F115" s="113"/>
      <c r="G115" s="374"/>
      <c r="H115" s="78" t="s">
        <v>305</v>
      </c>
      <c r="I115" s="128">
        <v>26.2</v>
      </c>
      <c r="J115" s="128">
        <f t="shared" si="6"/>
        <v>8.3439490445859867</v>
      </c>
      <c r="K115" s="128">
        <v>20</v>
      </c>
      <c r="L115" s="128">
        <f t="shared" si="7"/>
        <v>6.3694267515923562</v>
      </c>
      <c r="M115" s="128">
        <v>6.1</v>
      </c>
      <c r="N115" s="128"/>
      <c r="O115" s="129">
        <f t="shared" si="8"/>
        <v>1.3806080351295555E-2</v>
      </c>
      <c r="P115" s="129">
        <f>O115*(1+'Key Data'!F$3)</f>
        <v>1.7257600439119444E-2</v>
      </c>
      <c r="Q115" s="379"/>
      <c r="R115" s="379"/>
      <c r="S115" s="369"/>
    </row>
    <row r="116" spans="1:19" x14ac:dyDescent="0.3">
      <c r="A116" s="374"/>
      <c r="B116" s="374"/>
      <c r="C116" s="374"/>
      <c r="D116" s="374"/>
      <c r="E116" s="113"/>
      <c r="F116" s="113"/>
      <c r="G116" s="374"/>
      <c r="H116" s="78" t="s">
        <v>305</v>
      </c>
      <c r="I116" s="128">
        <v>25.4</v>
      </c>
      <c r="J116" s="128">
        <f t="shared" si="6"/>
        <v>8.0891719745222925</v>
      </c>
      <c r="K116" s="128">
        <v>18.8</v>
      </c>
      <c r="L116" s="128">
        <f t="shared" si="7"/>
        <v>5.9872611464968148</v>
      </c>
      <c r="M116" s="128">
        <v>6.2</v>
      </c>
      <c r="N116" s="128"/>
      <c r="O116" s="129">
        <f t="shared" si="8"/>
        <v>1.2541119231127837E-2</v>
      </c>
      <c r="P116" s="129">
        <f>O116*(1+'Key Data'!F$3)</f>
        <v>1.5676399038909796E-2</v>
      </c>
      <c r="Q116" s="379"/>
      <c r="R116" s="379"/>
      <c r="S116" s="369"/>
    </row>
    <row r="117" spans="1:19" x14ac:dyDescent="0.3">
      <c r="A117" s="374"/>
      <c r="B117" s="374"/>
      <c r="C117" s="374"/>
      <c r="D117" s="374"/>
      <c r="E117" s="113"/>
      <c r="F117" s="113"/>
      <c r="G117" s="374"/>
      <c r="H117" s="78" t="s">
        <v>305</v>
      </c>
      <c r="I117" s="128">
        <v>23.4</v>
      </c>
      <c r="J117" s="128">
        <f t="shared" si="6"/>
        <v>7.452229299363057</v>
      </c>
      <c r="K117" s="128">
        <v>16.8</v>
      </c>
      <c r="L117" s="128">
        <f t="shared" si="7"/>
        <v>5.3503184713375793</v>
      </c>
      <c r="M117" s="128">
        <v>6</v>
      </c>
      <c r="N117" s="128"/>
      <c r="O117" s="129">
        <f t="shared" si="8"/>
        <v>9.9601093268965671E-3</v>
      </c>
      <c r="P117" s="129">
        <f>O117*(1+'Key Data'!F$3)</f>
        <v>1.2450136658620709E-2</v>
      </c>
      <c r="Q117" s="379"/>
      <c r="R117" s="379"/>
      <c r="S117" s="369"/>
    </row>
    <row r="118" spans="1:19" x14ac:dyDescent="0.3">
      <c r="A118" s="374"/>
      <c r="B118" s="374"/>
      <c r="C118" s="374"/>
      <c r="D118" s="374"/>
      <c r="E118" s="113"/>
      <c r="F118" s="113"/>
      <c r="G118" s="374"/>
      <c r="H118" s="78" t="s">
        <v>305</v>
      </c>
      <c r="I118" s="128">
        <v>36</v>
      </c>
      <c r="J118" s="128">
        <f t="shared" si="6"/>
        <v>11.464968152866241</v>
      </c>
      <c r="K118" s="128">
        <v>26</v>
      </c>
      <c r="L118" s="128">
        <f t="shared" si="7"/>
        <v>8.2802547770700627</v>
      </c>
      <c r="M118" s="128">
        <v>6.2</v>
      </c>
      <c r="N118" s="128"/>
      <c r="O118" s="129">
        <f t="shared" si="8"/>
        <v>2.2393109743796005E-2</v>
      </c>
      <c r="P118" s="129">
        <f>O118*(1+'Key Data'!F$3)</f>
        <v>2.7991387179745007E-2</v>
      </c>
      <c r="Q118" s="379"/>
      <c r="R118" s="379"/>
      <c r="S118" s="369"/>
    </row>
    <row r="119" spans="1:19" x14ac:dyDescent="0.3">
      <c r="A119" s="374"/>
      <c r="B119" s="374"/>
      <c r="C119" s="374"/>
      <c r="D119" s="374"/>
      <c r="E119" s="113"/>
      <c r="F119" s="113"/>
      <c r="G119" s="374"/>
      <c r="H119" s="78" t="s">
        <v>305</v>
      </c>
      <c r="I119" s="128">
        <v>37.799999999999997</v>
      </c>
      <c r="J119" s="128">
        <f t="shared" si="6"/>
        <v>12.038216560509552</v>
      </c>
      <c r="K119" s="128">
        <v>29.2</v>
      </c>
      <c r="L119" s="128">
        <f t="shared" si="7"/>
        <v>9.2993630573248396</v>
      </c>
      <c r="M119" s="128">
        <v>6.2</v>
      </c>
      <c r="N119" s="128"/>
      <c r="O119" s="129">
        <f t="shared" si="8"/>
        <v>2.7557930511130247E-2</v>
      </c>
      <c r="P119" s="129">
        <f>O119*(1+'Key Data'!F$3)</f>
        <v>3.4447413138912808E-2</v>
      </c>
      <c r="Q119" s="379"/>
      <c r="R119" s="379"/>
      <c r="S119" s="369"/>
    </row>
    <row r="120" spans="1:19" x14ac:dyDescent="0.3">
      <c r="A120" s="374"/>
      <c r="B120" s="374"/>
      <c r="C120" s="374"/>
      <c r="D120" s="374"/>
      <c r="E120" s="113"/>
      <c r="F120" s="113"/>
      <c r="G120" s="374"/>
      <c r="H120" s="78" t="s">
        <v>305</v>
      </c>
      <c r="I120" s="128">
        <v>34.799999999999997</v>
      </c>
      <c r="J120" s="128">
        <f t="shared" si="6"/>
        <v>11.082802547770699</v>
      </c>
      <c r="K120" s="128">
        <v>26.8</v>
      </c>
      <c r="L120" s="128">
        <f t="shared" si="7"/>
        <v>8.5350318471337587</v>
      </c>
      <c r="M120" s="128">
        <v>6.2</v>
      </c>
      <c r="N120" s="128"/>
      <c r="O120" s="129">
        <f t="shared" si="8"/>
        <v>2.3639978326350768E-2</v>
      </c>
      <c r="P120" s="129">
        <f>O120*(1+'Key Data'!F$3)</f>
        <v>2.9549972907938461E-2</v>
      </c>
      <c r="Q120" s="379"/>
      <c r="R120" s="379"/>
      <c r="S120" s="369"/>
    </row>
    <row r="121" spans="1:19" x14ac:dyDescent="0.3">
      <c r="A121" s="374"/>
      <c r="B121" s="374"/>
      <c r="C121" s="374"/>
      <c r="D121" s="374"/>
      <c r="E121" s="113"/>
      <c r="F121" s="113"/>
      <c r="G121" s="374"/>
      <c r="H121" s="78" t="s">
        <v>305</v>
      </c>
      <c r="I121" s="128">
        <v>35</v>
      </c>
      <c r="J121" s="128">
        <f t="shared" si="6"/>
        <v>11.146496815286623</v>
      </c>
      <c r="K121" s="128">
        <v>27</v>
      </c>
      <c r="L121" s="128">
        <f t="shared" si="7"/>
        <v>8.598726114649681</v>
      </c>
      <c r="M121" s="128">
        <v>6</v>
      </c>
      <c r="N121" s="128"/>
      <c r="O121" s="129">
        <f t="shared" si="8"/>
        <v>2.3264274849435104E-2</v>
      </c>
      <c r="P121" s="129">
        <f>O121*(1+'Key Data'!F$3)</f>
        <v>2.908034356179388E-2</v>
      </c>
      <c r="Q121" s="379"/>
      <c r="R121" s="379"/>
      <c r="S121" s="369"/>
    </row>
    <row r="122" spans="1:19" x14ac:dyDescent="0.3">
      <c r="A122" s="374"/>
      <c r="B122" s="374"/>
      <c r="C122" s="374"/>
      <c r="D122" s="374"/>
      <c r="E122" s="113"/>
      <c r="F122" s="113"/>
      <c r="G122" s="374"/>
      <c r="H122" s="78" t="s">
        <v>305</v>
      </c>
      <c r="I122" s="128">
        <v>33.200000000000003</v>
      </c>
      <c r="J122" s="128">
        <f t="shared" si="6"/>
        <v>10.573248407643312</v>
      </c>
      <c r="K122" s="128">
        <v>23.2</v>
      </c>
      <c r="L122" s="128">
        <f t="shared" si="7"/>
        <v>7.388535031847133</v>
      </c>
      <c r="M122" s="128">
        <v>6.6</v>
      </c>
      <c r="N122" s="128"/>
      <c r="O122" s="129">
        <f t="shared" si="8"/>
        <v>1.9315621530493075E-2</v>
      </c>
      <c r="P122" s="129">
        <f>O122*(1+'Key Data'!F$3)</f>
        <v>2.4144526913116342E-2</v>
      </c>
      <c r="Q122" s="379"/>
      <c r="R122" s="379"/>
      <c r="S122" s="369"/>
    </row>
    <row r="123" spans="1:19" x14ac:dyDescent="0.3">
      <c r="A123" s="374"/>
      <c r="B123" s="374"/>
      <c r="C123" s="374"/>
      <c r="D123" s="374"/>
      <c r="E123" s="113"/>
      <c r="F123" s="113"/>
      <c r="G123" s="374"/>
      <c r="H123" s="78" t="s">
        <v>305</v>
      </c>
      <c r="I123" s="128">
        <v>36</v>
      </c>
      <c r="J123" s="128">
        <f t="shared" si="6"/>
        <v>11.464968152866241</v>
      </c>
      <c r="K123" s="128">
        <v>26</v>
      </c>
      <c r="L123" s="128">
        <f t="shared" si="7"/>
        <v>8.2802547770700627</v>
      </c>
      <c r="M123" s="128">
        <v>6.6</v>
      </c>
      <c r="N123" s="128"/>
      <c r="O123" s="129">
        <f t="shared" si="8"/>
        <v>2.3680371777599529E-2</v>
      </c>
      <c r="P123" s="129">
        <f>O123*(1+'Key Data'!F$3)</f>
        <v>2.9600464721999412E-2</v>
      </c>
      <c r="Q123" s="379"/>
      <c r="R123" s="379"/>
      <c r="S123" s="369"/>
    </row>
    <row r="124" spans="1:19" x14ac:dyDescent="0.3">
      <c r="A124" s="374"/>
      <c r="B124" s="374"/>
      <c r="C124" s="374"/>
      <c r="D124" s="374"/>
      <c r="E124" s="113"/>
      <c r="F124" s="113"/>
      <c r="G124" s="374"/>
      <c r="H124" s="78" t="s">
        <v>305</v>
      </c>
      <c r="I124" s="128">
        <v>41</v>
      </c>
      <c r="J124" s="128">
        <f t="shared" si="6"/>
        <v>13.057324840764331</v>
      </c>
      <c r="K124" s="128">
        <v>30.2</v>
      </c>
      <c r="L124" s="128">
        <f t="shared" si="7"/>
        <v>9.6178343949044578</v>
      </c>
      <c r="M124" s="128">
        <v>4.8</v>
      </c>
      <c r="N124" s="128"/>
      <c r="O124" s="129">
        <f t="shared" si="8"/>
        <v>2.3282304887343445E-2</v>
      </c>
      <c r="P124" s="129">
        <f>O124*(1+'Key Data'!F$3)</f>
        <v>2.9102881109179309E-2</v>
      </c>
      <c r="Q124" s="379"/>
      <c r="R124" s="379"/>
      <c r="S124" s="369"/>
    </row>
    <row r="125" spans="1:19" x14ac:dyDescent="0.3">
      <c r="A125" s="374"/>
      <c r="B125" s="374"/>
      <c r="C125" s="374"/>
      <c r="D125" s="374"/>
      <c r="E125" s="113"/>
      <c r="F125" s="113"/>
      <c r="G125" s="374"/>
      <c r="H125" s="78" t="s">
        <v>305</v>
      </c>
      <c r="I125" s="128">
        <v>32.200000000000003</v>
      </c>
      <c r="J125" s="128">
        <f t="shared" si="6"/>
        <v>10.254777070063694</v>
      </c>
      <c r="K125" s="128">
        <v>26.4</v>
      </c>
      <c r="L125" s="128">
        <f t="shared" si="7"/>
        <v>8.4076433121019107</v>
      </c>
      <c r="M125" s="128">
        <v>4.8</v>
      </c>
      <c r="N125" s="128"/>
      <c r="O125" s="129">
        <f t="shared" si="8"/>
        <v>1.8306333896199754E-2</v>
      </c>
      <c r="P125" s="129">
        <f>O125*(1+'Key Data'!F$3)</f>
        <v>2.2882917370249695E-2</v>
      </c>
      <c r="Q125" s="379"/>
      <c r="R125" s="379"/>
      <c r="S125" s="369"/>
    </row>
    <row r="126" spans="1:19" x14ac:dyDescent="0.3">
      <c r="A126" s="374"/>
      <c r="B126" s="374"/>
      <c r="C126" s="374"/>
      <c r="D126" s="374"/>
      <c r="E126" s="113"/>
      <c r="F126" s="113"/>
      <c r="G126" s="374"/>
      <c r="H126" s="78" t="s">
        <v>305</v>
      </c>
      <c r="I126" s="128">
        <v>26</v>
      </c>
      <c r="J126" s="128">
        <f t="shared" si="6"/>
        <v>8.2802547770700627</v>
      </c>
      <c r="K126" s="128">
        <v>19.2</v>
      </c>
      <c r="L126" s="128">
        <f t="shared" si="7"/>
        <v>6.114649681528662</v>
      </c>
      <c r="M126" s="128">
        <v>4.8</v>
      </c>
      <c r="N126" s="128"/>
      <c r="O126" s="129">
        <f t="shared" si="8"/>
        <v>1.0358959974911828E-2</v>
      </c>
      <c r="P126" s="129">
        <f>O126*(1+'Key Data'!F$3)</f>
        <v>1.2948699968639784E-2</v>
      </c>
      <c r="Q126" s="379"/>
      <c r="R126" s="379"/>
      <c r="S126" s="369"/>
    </row>
    <row r="127" spans="1:19" x14ac:dyDescent="0.3">
      <c r="A127" s="374"/>
      <c r="B127" s="374"/>
      <c r="C127" s="374"/>
      <c r="D127" s="374"/>
      <c r="E127" s="113"/>
      <c r="F127" s="113"/>
      <c r="G127" s="374"/>
      <c r="H127" s="78" t="s">
        <v>305</v>
      </c>
      <c r="I127" s="128">
        <v>26.4</v>
      </c>
      <c r="J127" s="128">
        <f t="shared" si="6"/>
        <v>8.4076433121019107</v>
      </c>
      <c r="K127" s="128">
        <v>18</v>
      </c>
      <c r="L127" s="128">
        <f t="shared" si="7"/>
        <v>5.7324840764331206</v>
      </c>
      <c r="M127" s="128">
        <v>4.5999999999999996</v>
      </c>
      <c r="N127" s="128"/>
      <c r="O127" s="129">
        <f t="shared" si="8"/>
        <v>8.8853928196782096E-3</v>
      </c>
      <c r="P127" s="129">
        <f>O127*(1+'Key Data'!F$3)</f>
        <v>1.1106741024597761E-2</v>
      </c>
      <c r="Q127" s="379"/>
      <c r="R127" s="379"/>
      <c r="S127" s="369"/>
    </row>
    <row r="128" spans="1:19" x14ac:dyDescent="0.3">
      <c r="A128" s="374"/>
      <c r="B128" s="374"/>
      <c r="C128" s="374"/>
      <c r="D128" s="374"/>
      <c r="E128" s="113"/>
      <c r="F128" s="113"/>
      <c r="G128" s="374"/>
      <c r="H128" s="78" t="s">
        <v>305</v>
      </c>
      <c r="I128" s="128">
        <v>24.2</v>
      </c>
      <c r="J128" s="128">
        <f t="shared" si="6"/>
        <v>7.7070063694267512</v>
      </c>
      <c r="K128" s="128">
        <v>17</v>
      </c>
      <c r="L128" s="128">
        <f t="shared" si="7"/>
        <v>5.4140127388535033</v>
      </c>
      <c r="M128" s="128">
        <v>4.5999999999999996</v>
      </c>
      <c r="N128" s="128"/>
      <c r="O128" s="129">
        <f t="shared" si="8"/>
        <v>8.022173765557394E-3</v>
      </c>
      <c r="P128" s="129">
        <f>O128*(1+'Key Data'!F$3)</f>
        <v>1.0027717206946743E-2</v>
      </c>
      <c r="Q128" s="379"/>
      <c r="R128" s="379"/>
      <c r="S128" s="369"/>
    </row>
    <row r="129" spans="1:19" x14ac:dyDescent="0.3">
      <c r="A129" s="374"/>
      <c r="B129" s="374"/>
      <c r="C129" s="374"/>
      <c r="D129" s="374"/>
      <c r="E129" s="113"/>
      <c r="F129" s="113"/>
      <c r="G129" s="374"/>
      <c r="H129" s="78" t="s">
        <v>305</v>
      </c>
      <c r="I129" s="128">
        <v>21.2</v>
      </c>
      <c r="J129" s="128">
        <f t="shared" si="6"/>
        <v>6.7515923566878975</v>
      </c>
      <c r="K129" s="128">
        <v>15.4</v>
      </c>
      <c r="L129" s="128">
        <f t="shared" si="7"/>
        <v>4.9044585987261149</v>
      </c>
      <c r="M129" s="128">
        <v>4.5999999999999996</v>
      </c>
      <c r="N129" s="128"/>
      <c r="O129" s="129">
        <f t="shared" si="8"/>
        <v>6.7225871695329956E-3</v>
      </c>
      <c r="P129" s="129">
        <f>O129*(1+'Key Data'!F$3)</f>
        <v>8.4032339619162441E-3</v>
      </c>
      <c r="Q129" s="379"/>
      <c r="R129" s="379"/>
      <c r="S129" s="369"/>
    </row>
    <row r="130" spans="1:19" x14ac:dyDescent="0.3">
      <c r="A130" s="374"/>
      <c r="B130" s="374"/>
      <c r="C130" s="374"/>
      <c r="D130" s="374"/>
      <c r="E130" s="113"/>
      <c r="F130" s="113"/>
      <c r="G130" s="374"/>
      <c r="H130" s="78" t="s">
        <v>305</v>
      </c>
      <c r="I130" s="128">
        <v>42.4</v>
      </c>
      <c r="J130" s="128">
        <f t="shared" ref="J130:J161" si="9">I130/3.14</f>
        <v>13.503184713375795</v>
      </c>
      <c r="K130" s="128">
        <v>30.4</v>
      </c>
      <c r="L130" s="128">
        <f t="shared" ref="L130:L153" si="10">K130/3.14</f>
        <v>9.6815286624203818</v>
      </c>
      <c r="M130" s="128">
        <v>6.4</v>
      </c>
      <c r="N130" s="128"/>
      <c r="O130" s="129">
        <f t="shared" ref="O130:O153" si="11">(EXP(-2.302+0.894*LN(L130*L130*M130)))/1000</f>
        <v>3.0468197081678194E-2</v>
      </c>
      <c r="P130" s="129">
        <f>O130*(1+'Key Data'!F$3)</f>
        <v>3.8085246352097743E-2</v>
      </c>
      <c r="Q130" s="379"/>
      <c r="R130" s="379"/>
      <c r="S130" s="369"/>
    </row>
    <row r="131" spans="1:19" x14ac:dyDescent="0.3">
      <c r="A131" s="374"/>
      <c r="B131" s="374"/>
      <c r="C131" s="374"/>
      <c r="D131" s="374"/>
      <c r="E131" s="113"/>
      <c r="F131" s="113"/>
      <c r="G131" s="374"/>
      <c r="H131" s="78" t="s">
        <v>305</v>
      </c>
      <c r="I131" s="128">
        <v>30.8</v>
      </c>
      <c r="J131" s="128">
        <f t="shared" si="9"/>
        <v>9.8089171974522298</v>
      </c>
      <c r="K131" s="128">
        <v>30.6</v>
      </c>
      <c r="L131" s="128">
        <f t="shared" si="10"/>
        <v>9.7452229299363058</v>
      </c>
      <c r="M131" s="128">
        <v>6.4</v>
      </c>
      <c r="N131" s="128"/>
      <c r="O131" s="129">
        <f t="shared" si="11"/>
        <v>3.0827527879928103E-2</v>
      </c>
      <c r="P131" s="129">
        <f>O131*(1+'Key Data'!F$3)</f>
        <v>3.8534409849910127E-2</v>
      </c>
      <c r="Q131" s="379"/>
      <c r="R131" s="379"/>
      <c r="S131" s="369"/>
    </row>
    <row r="132" spans="1:19" x14ac:dyDescent="0.3">
      <c r="A132" s="374"/>
      <c r="B132" s="374"/>
      <c r="C132" s="374"/>
      <c r="D132" s="374"/>
      <c r="E132" s="113"/>
      <c r="F132" s="113"/>
      <c r="G132" s="374"/>
      <c r="H132" s="78" t="s">
        <v>305</v>
      </c>
      <c r="I132" s="128">
        <v>31</v>
      </c>
      <c r="J132" s="128">
        <f t="shared" si="9"/>
        <v>9.872611464968152</v>
      </c>
      <c r="K132" s="128">
        <v>30</v>
      </c>
      <c r="L132" s="128">
        <f t="shared" si="10"/>
        <v>9.5541401273885338</v>
      </c>
      <c r="M132" s="128">
        <v>6.4</v>
      </c>
      <c r="N132" s="128"/>
      <c r="O132" s="129">
        <f t="shared" si="11"/>
        <v>2.9755112189794715E-2</v>
      </c>
      <c r="P132" s="129">
        <f>O132*(1+'Key Data'!F$3)</f>
        <v>3.7193890237243392E-2</v>
      </c>
      <c r="Q132" s="379"/>
      <c r="R132" s="379"/>
      <c r="S132" s="369"/>
    </row>
    <row r="133" spans="1:19" x14ac:dyDescent="0.3">
      <c r="A133" s="374"/>
      <c r="B133" s="374"/>
      <c r="C133" s="374"/>
      <c r="D133" s="374"/>
      <c r="E133" s="113"/>
      <c r="F133" s="113"/>
      <c r="G133" s="374"/>
      <c r="H133" s="78" t="s">
        <v>305</v>
      </c>
      <c r="I133" s="128">
        <v>36.4</v>
      </c>
      <c r="J133" s="128">
        <f t="shared" si="9"/>
        <v>11.592356687898087</v>
      </c>
      <c r="K133" s="128">
        <v>26.6</v>
      </c>
      <c r="L133" s="128">
        <f t="shared" si="10"/>
        <v>8.4713375796178347</v>
      </c>
      <c r="M133" s="128">
        <v>6.2</v>
      </c>
      <c r="N133" s="128"/>
      <c r="O133" s="129">
        <f t="shared" si="11"/>
        <v>2.3325471354760149E-2</v>
      </c>
      <c r="P133" s="129">
        <f>O133*(1+'Key Data'!F$3)</f>
        <v>2.9156839193450187E-2</v>
      </c>
      <c r="Q133" s="379"/>
      <c r="R133" s="379"/>
      <c r="S133" s="369"/>
    </row>
    <row r="134" spans="1:19" x14ac:dyDescent="0.3">
      <c r="A134" s="374"/>
      <c r="B134" s="374"/>
      <c r="C134" s="374"/>
      <c r="D134" s="374"/>
      <c r="E134" s="113"/>
      <c r="F134" s="113"/>
      <c r="G134" s="374"/>
      <c r="H134" s="78" t="s">
        <v>305</v>
      </c>
      <c r="I134" s="128">
        <v>38.4</v>
      </c>
      <c r="J134" s="128">
        <f t="shared" si="9"/>
        <v>12.229299363057324</v>
      </c>
      <c r="K134" s="128">
        <v>26.4</v>
      </c>
      <c r="L134" s="128">
        <f t="shared" si="10"/>
        <v>8.4076433121019107</v>
      </c>
      <c r="M134" s="128">
        <v>6.4</v>
      </c>
      <c r="N134" s="128"/>
      <c r="O134" s="129">
        <f t="shared" si="11"/>
        <v>2.3675361004117865E-2</v>
      </c>
      <c r="P134" s="129">
        <f>O134*(1+'Key Data'!F$3)</f>
        <v>2.9594201255147331E-2</v>
      </c>
      <c r="Q134" s="379"/>
      <c r="R134" s="379"/>
      <c r="S134" s="369"/>
    </row>
    <row r="135" spans="1:19" x14ac:dyDescent="0.3">
      <c r="A135" s="374"/>
      <c r="B135" s="374"/>
      <c r="C135" s="374"/>
      <c r="D135" s="374"/>
      <c r="E135" s="113"/>
      <c r="F135" s="113"/>
      <c r="G135" s="374"/>
      <c r="H135" s="78" t="s">
        <v>305</v>
      </c>
      <c r="I135" s="128">
        <v>35</v>
      </c>
      <c r="J135" s="128">
        <f t="shared" si="9"/>
        <v>11.146496815286623</v>
      </c>
      <c r="K135" s="128">
        <v>24</v>
      </c>
      <c r="L135" s="128">
        <f t="shared" si="10"/>
        <v>7.6433121019108281</v>
      </c>
      <c r="M135" s="128">
        <v>6.4</v>
      </c>
      <c r="N135" s="128"/>
      <c r="O135" s="129">
        <f t="shared" si="11"/>
        <v>1.9965789537057695E-2</v>
      </c>
      <c r="P135" s="129">
        <f>O135*(1+'Key Data'!F$3)</f>
        <v>2.4957236921322117E-2</v>
      </c>
      <c r="Q135" s="379"/>
      <c r="R135" s="379"/>
      <c r="S135" s="369"/>
    </row>
    <row r="136" spans="1:19" x14ac:dyDescent="0.3">
      <c r="A136" s="374"/>
      <c r="B136" s="374"/>
      <c r="C136" s="374"/>
      <c r="D136" s="374"/>
      <c r="E136" s="113"/>
      <c r="F136" s="113"/>
      <c r="G136" s="374"/>
      <c r="H136" s="78" t="s">
        <v>305</v>
      </c>
      <c r="I136" s="128">
        <v>32.4</v>
      </c>
      <c r="J136" s="128">
        <f t="shared" si="9"/>
        <v>10.318471337579616</v>
      </c>
      <c r="K136" s="128">
        <v>22</v>
      </c>
      <c r="L136" s="128">
        <f t="shared" si="10"/>
        <v>7.0063694267515917</v>
      </c>
      <c r="M136" s="128">
        <v>6.4</v>
      </c>
      <c r="N136" s="128"/>
      <c r="O136" s="129">
        <f t="shared" si="11"/>
        <v>1.708915315349227E-2</v>
      </c>
      <c r="P136" s="129">
        <f>O136*(1+'Key Data'!F$3)</f>
        <v>2.1361441441865338E-2</v>
      </c>
      <c r="Q136" s="379"/>
      <c r="R136" s="379"/>
      <c r="S136" s="369"/>
    </row>
    <row r="137" spans="1:19" x14ac:dyDescent="0.3">
      <c r="A137" s="374"/>
      <c r="B137" s="374"/>
      <c r="C137" s="374"/>
      <c r="D137" s="374"/>
      <c r="E137" s="113"/>
      <c r="F137" s="113"/>
      <c r="G137" s="374"/>
      <c r="H137" s="78" t="s">
        <v>305</v>
      </c>
      <c r="I137" s="128">
        <v>40</v>
      </c>
      <c r="J137" s="128">
        <f t="shared" si="9"/>
        <v>12.738853503184712</v>
      </c>
      <c r="K137" s="128">
        <v>28</v>
      </c>
      <c r="L137" s="128">
        <f t="shared" si="10"/>
        <v>8.9171974522292992</v>
      </c>
      <c r="M137" s="128">
        <v>6.4</v>
      </c>
      <c r="N137" s="128"/>
      <c r="O137" s="129">
        <f t="shared" si="11"/>
        <v>2.6301913713882175E-2</v>
      </c>
      <c r="P137" s="129">
        <f>O137*(1+'Key Data'!F$3)</f>
        <v>3.2877392142352718E-2</v>
      </c>
      <c r="Q137" s="379"/>
      <c r="R137" s="379"/>
      <c r="S137" s="369"/>
    </row>
    <row r="138" spans="1:19" x14ac:dyDescent="0.3">
      <c r="A138" s="374"/>
      <c r="B138" s="374"/>
      <c r="C138" s="374"/>
      <c r="D138" s="374"/>
      <c r="E138" s="113"/>
      <c r="F138" s="113"/>
      <c r="G138" s="374"/>
      <c r="H138" s="78" t="s">
        <v>305</v>
      </c>
      <c r="I138" s="128">
        <v>35</v>
      </c>
      <c r="J138" s="128">
        <f t="shared" si="9"/>
        <v>11.146496815286623</v>
      </c>
      <c r="K138" s="128">
        <v>24.2</v>
      </c>
      <c r="L138" s="128">
        <f t="shared" si="10"/>
        <v>7.7070063694267512</v>
      </c>
      <c r="M138" s="128">
        <v>4.8</v>
      </c>
      <c r="N138" s="128"/>
      <c r="O138" s="129">
        <f t="shared" si="11"/>
        <v>1.5668789007841397E-2</v>
      </c>
      <c r="P138" s="129">
        <f>O138*(1+'Key Data'!F$3)</f>
        <v>1.9585986259801746E-2</v>
      </c>
      <c r="Q138" s="379"/>
      <c r="R138" s="379"/>
      <c r="S138" s="369"/>
    </row>
    <row r="139" spans="1:19" x14ac:dyDescent="0.3">
      <c r="A139" s="374"/>
      <c r="B139" s="374"/>
      <c r="C139" s="374"/>
      <c r="D139" s="374"/>
      <c r="E139" s="113"/>
      <c r="F139" s="113"/>
      <c r="G139" s="374"/>
      <c r="H139" s="78" t="s">
        <v>305</v>
      </c>
      <c r="I139" s="128">
        <v>35.200000000000003</v>
      </c>
      <c r="J139" s="128">
        <f t="shared" si="9"/>
        <v>11.210191082802549</v>
      </c>
      <c r="K139" s="128">
        <v>25</v>
      </c>
      <c r="L139" s="128">
        <f t="shared" si="10"/>
        <v>7.9617834394904454</v>
      </c>
      <c r="M139" s="128">
        <v>6</v>
      </c>
      <c r="N139" s="128"/>
      <c r="O139" s="129">
        <f t="shared" si="11"/>
        <v>2.0273458633378854E-2</v>
      </c>
      <c r="P139" s="129">
        <f>O139*(1+'Key Data'!F$3)</f>
        <v>2.5341823291723568E-2</v>
      </c>
      <c r="Q139" s="379"/>
      <c r="R139" s="379"/>
      <c r="S139" s="369"/>
    </row>
    <row r="140" spans="1:19" x14ac:dyDescent="0.3">
      <c r="A140" s="374"/>
      <c r="B140" s="374"/>
      <c r="C140" s="374"/>
      <c r="D140" s="374"/>
      <c r="E140" s="113"/>
      <c r="F140" s="113"/>
      <c r="G140" s="374"/>
      <c r="H140" s="78" t="s">
        <v>305</v>
      </c>
      <c r="I140" s="128">
        <v>22.8</v>
      </c>
      <c r="J140" s="128">
        <f t="shared" si="9"/>
        <v>7.2611464968152868</v>
      </c>
      <c r="K140" s="128">
        <v>16.2</v>
      </c>
      <c r="L140" s="128">
        <f t="shared" si="10"/>
        <v>5.1592356687898082</v>
      </c>
      <c r="M140" s="128">
        <v>6</v>
      </c>
      <c r="N140" s="128"/>
      <c r="O140" s="129">
        <f t="shared" si="11"/>
        <v>9.3330578066453534E-3</v>
      </c>
      <c r="P140" s="129">
        <f>O140*(1+'Key Data'!F$3)</f>
        <v>1.1666322258306692E-2</v>
      </c>
      <c r="Q140" s="379"/>
      <c r="R140" s="379"/>
      <c r="S140" s="369"/>
    </row>
    <row r="141" spans="1:19" x14ac:dyDescent="0.3">
      <c r="A141" s="374"/>
      <c r="B141" s="374"/>
      <c r="C141" s="374"/>
      <c r="D141" s="374"/>
      <c r="E141" s="113"/>
      <c r="F141" s="113"/>
      <c r="G141" s="374"/>
      <c r="H141" s="78" t="s">
        <v>305</v>
      </c>
      <c r="I141" s="128">
        <v>35</v>
      </c>
      <c r="J141" s="128">
        <f t="shared" si="9"/>
        <v>11.146496815286623</v>
      </c>
      <c r="K141" s="128">
        <v>26</v>
      </c>
      <c r="L141" s="128">
        <f t="shared" si="10"/>
        <v>8.2802547770700627</v>
      </c>
      <c r="M141" s="128">
        <v>6</v>
      </c>
      <c r="N141" s="128"/>
      <c r="O141" s="129">
        <f t="shared" si="11"/>
        <v>2.1746203905358179E-2</v>
      </c>
      <c r="P141" s="129">
        <f>O141*(1+'Key Data'!F$3)</f>
        <v>2.7182754881697725E-2</v>
      </c>
      <c r="Q141" s="379"/>
      <c r="R141" s="379"/>
      <c r="S141" s="369"/>
    </row>
    <row r="142" spans="1:19" x14ac:dyDescent="0.3">
      <c r="A142" s="374"/>
      <c r="B142" s="374"/>
      <c r="C142" s="374"/>
      <c r="D142" s="374"/>
      <c r="E142" s="113"/>
      <c r="F142" s="113"/>
      <c r="G142" s="374"/>
      <c r="H142" s="78" t="s">
        <v>305</v>
      </c>
      <c r="I142" s="128">
        <v>27</v>
      </c>
      <c r="J142" s="128">
        <f t="shared" si="9"/>
        <v>8.598726114649681</v>
      </c>
      <c r="K142" s="128">
        <v>18</v>
      </c>
      <c r="L142" s="128">
        <f t="shared" si="10"/>
        <v>5.7324840764331206</v>
      </c>
      <c r="M142" s="128">
        <v>6</v>
      </c>
      <c r="N142" s="128"/>
      <c r="O142" s="129">
        <f t="shared" si="11"/>
        <v>1.1267779739084395E-2</v>
      </c>
      <c r="P142" s="129">
        <f>O142*(1+'Key Data'!F$3)</f>
        <v>1.4084724673855494E-2</v>
      </c>
      <c r="Q142" s="379"/>
      <c r="R142" s="379"/>
      <c r="S142" s="369"/>
    </row>
    <row r="143" spans="1:19" x14ac:dyDescent="0.3">
      <c r="A143" s="374"/>
      <c r="B143" s="374"/>
      <c r="C143" s="374"/>
      <c r="D143" s="374"/>
      <c r="E143" s="113"/>
      <c r="F143" s="113"/>
      <c r="G143" s="374"/>
      <c r="H143" s="78" t="s">
        <v>305</v>
      </c>
      <c r="I143" s="128">
        <v>28.4</v>
      </c>
      <c r="J143" s="128">
        <f t="shared" si="9"/>
        <v>9.0445859872611454</v>
      </c>
      <c r="K143" s="128">
        <v>29</v>
      </c>
      <c r="L143" s="128">
        <f t="shared" si="10"/>
        <v>9.2356687898089174</v>
      </c>
      <c r="M143" s="128">
        <v>4</v>
      </c>
      <c r="N143" s="128"/>
      <c r="O143" s="129">
        <f t="shared" si="11"/>
        <v>1.839725992856224E-2</v>
      </c>
      <c r="P143" s="129">
        <f>O143*(1+'Key Data'!F$3)</f>
        <v>2.29965749107028E-2</v>
      </c>
      <c r="Q143" s="379"/>
      <c r="R143" s="379"/>
      <c r="S143" s="369"/>
    </row>
    <row r="144" spans="1:19" x14ac:dyDescent="0.3">
      <c r="A144" s="374"/>
      <c r="B144" s="374"/>
      <c r="C144" s="374"/>
      <c r="D144" s="374"/>
      <c r="E144" s="113"/>
      <c r="F144" s="113"/>
      <c r="G144" s="374"/>
      <c r="H144" s="78" t="s">
        <v>305</v>
      </c>
      <c r="I144" s="128">
        <v>37</v>
      </c>
      <c r="J144" s="128">
        <f t="shared" si="9"/>
        <v>11.783439490445859</v>
      </c>
      <c r="K144" s="128">
        <v>27</v>
      </c>
      <c r="L144" s="128">
        <f t="shared" si="10"/>
        <v>8.598726114649681</v>
      </c>
      <c r="M144" s="128">
        <v>6</v>
      </c>
      <c r="N144" s="128"/>
      <c r="O144" s="129">
        <f t="shared" si="11"/>
        <v>2.3264274849435104E-2</v>
      </c>
      <c r="P144" s="129">
        <f>O144*(1+'Key Data'!F$3)</f>
        <v>2.908034356179388E-2</v>
      </c>
      <c r="Q144" s="379"/>
      <c r="R144" s="379"/>
      <c r="S144" s="369"/>
    </row>
    <row r="145" spans="1:19" x14ac:dyDescent="0.3">
      <c r="A145" s="374"/>
      <c r="B145" s="374"/>
      <c r="C145" s="374"/>
      <c r="D145" s="374"/>
      <c r="E145" s="113"/>
      <c r="F145" s="113"/>
      <c r="G145" s="374"/>
      <c r="H145" s="78" t="s">
        <v>305</v>
      </c>
      <c r="I145" s="128">
        <v>42</v>
      </c>
      <c r="J145" s="128">
        <f t="shared" si="9"/>
        <v>13.375796178343949</v>
      </c>
      <c r="K145" s="128">
        <v>31.2</v>
      </c>
      <c r="L145" s="128">
        <f t="shared" si="10"/>
        <v>9.936305732484076</v>
      </c>
      <c r="M145" s="128">
        <v>6</v>
      </c>
      <c r="N145" s="128"/>
      <c r="O145" s="129">
        <f t="shared" si="11"/>
        <v>3.0127252257862797E-2</v>
      </c>
      <c r="P145" s="129">
        <f>O145*(1+'Key Data'!F$3)</f>
        <v>3.7659065322328496E-2</v>
      </c>
      <c r="Q145" s="379"/>
      <c r="R145" s="379"/>
      <c r="S145" s="369"/>
    </row>
    <row r="146" spans="1:19" x14ac:dyDescent="0.3">
      <c r="A146" s="374"/>
      <c r="B146" s="374"/>
      <c r="C146" s="374"/>
      <c r="D146" s="374"/>
      <c r="E146" s="113"/>
      <c r="F146" s="113"/>
      <c r="G146" s="374"/>
      <c r="H146" s="78" t="s">
        <v>305</v>
      </c>
      <c r="I146" s="128">
        <v>21.8</v>
      </c>
      <c r="J146" s="128">
        <f t="shared" si="9"/>
        <v>6.9426751592356686</v>
      </c>
      <c r="K146" s="128">
        <v>23.2</v>
      </c>
      <c r="L146" s="128">
        <f t="shared" si="10"/>
        <v>7.388535031847133</v>
      </c>
      <c r="M146" s="128">
        <v>6.2</v>
      </c>
      <c r="N146" s="128"/>
      <c r="O146" s="129">
        <f t="shared" si="11"/>
        <v>1.8265626771582999E-2</v>
      </c>
      <c r="P146" s="129">
        <f>O146*(1+'Key Data'!F$3)</f>
        <v>2.2832033464478749E-2</v>
      </c>
      <c r="Q146" s="379"/>
      <c r="R146" s="379"/>
      <c r="S146" s="369"/>
    </row>
    <row r="147" spans="1:19" x14ac:dyDescent="0.3">
      <c r="A147" s="374"/>
      <c r="B147" s="374"/>
      <c r="C147" s="374"/>
      <c r="D147" s="374"/>
      <c r="E147" s="113"/>
      <c r="F147" s="113"/>
      <c r="G147" s="374"/>
      <c r="H147" s="78" t="s">
        <v>305</v>
      </c>
      <c r="I147" s="128">
        <f>SQRT(23^2+31.4^2)</f>
        <v>38.922487073669892</v>
      </c>
      <c r="J147" s="128">
        <f t="shared" si="9"/>
        <v>12.395696520277035</v>
      </c>
      <c r="K147" s="128">
        <f>SQRT(17.2^2+24^2)</f>
        <v>29.52693685433692</v>
      </c>
      <c r="L147" s="128">
        <f t="shared" si="10"/>
        <v>9.4034830746295928</v>
      </c>
      <c r="M147" s="128">
        <v>6.2</v>
      </c>
      <c r="N147" s="128"/>
      <c r="O147" s="129">
        <f t="shared" si="11"/>
        <v>2.8112052361964412E-2</v>
      </c>
      <c r="P147" s="129">
        <f>O147*(1+'Key Data'!F$3)</f>
        <v>3.5140065452455516E-2</v>
      </c>
      <c r="Q147" s="379"/>
      <c r="R147" s="379"/>
      <c r="S147" s="369"/>
    </row>
    <row r="148" spans="1:19" x14ac:dyDescent="0.3">
      <c r="A148" s="374"/>
      <c r="B148" s="374"/>
      <c r="C148" s="374"/>
      <c r="D148" s="374"/>
      <c r="E148" s="113"/>
      <c r="F148" s="113"/>
      <c r="G148" s="374"/>
      <c r="H148" s="78" t="s">
        <v>305</v>
      </c>
      <c r="I148" s="128">
        <v>33.799999999999997</v>
      </c>
      <c r="J148" s="128">
        <f t="shared" si="9"/>
        <v>10.764331210191081</v>
      </c>
      <c r="K148" s="128">
        <v>25</v>
      </c>
      <c r="L148" s="128">
        <f t="shared" si="10"/>
        <v>7.9617834394904454</v>
      </c>
      <c r="M148" s="128">
        <v>6</v>
      </c>
      <c r="N148" s="128"/>
      <c r="O148" s="129">
        <f t="shared" si="11"/>
        <v>2.0273458633378854E-2</v>
      </c>
      <c r="P148" s="129">
        <f>O148*(1+'Key Data'!F$3)</f>
        <v>2.5341823291723568E-2</v>
      </c>
      <c r="Q148" s="379"/>
      <c r="R148" s="379"/>
      <c r="S148" s="369"/>
    </row>
    <row r="149" spans="1:19" x14ac:dyDescent="0.3">
      <c r="A149" s="374"/>
      <c r="B149" s="374"/>
      <c r="C149" s="374"/>
      <c r="D149" s="374"/>
      <c r="E149" s="113"/>
      <c r="F149" s="113"/>
      <c r="G149" s="374"/>
      <c r="H149" s="78" t="s">
        <v>305</v>
      </c>
      <c r="I149" s="128">
        <v>25.8</v>
      </c>
      <c r="J149" s="128">
        <f t="shared" si="9"/>
        <v>8.2165605095541405</v>
      </c>
      <c r="K149" s="128">
        <v>18</v>
      </c>
      <c r="L149" s="128">
        <f t="shared" si="10"/>
        <v>5.7324840764331206</v>
      </c>
      <c r="M149" s="128">
        <v>5.8</v>
      </c>
      <c r="N149" s="128"/>
      <c r="O149" s="129">
        <f t="shared" si="11"/>
        <v>1.0931399271262148E-2</v>
      </c>
      <c r="P149" s="129">
        <f>O149*(1+'Key Data'!F$3)</f>
        <v>1.3664249089077684E-2</v>
      </c>
      <c r="Q149" s="379"/>
      <c r="R149" s="379"/>
      <c r="S149" s="369"/>
    </row>
    <row r="150" spans="1:19" x14ac:dyDescent="0.3">
      <c r="A150" s="374"/>
      <c r="B150" s="374"/>
      <c r="C150" s="374"/>
      <c r="D150" s="374"/>
      <c r="E150" s="113"/>
      <c r="F150" s="113"/>
      <c r="G150" s="374"/>
      <c r="H150" s="78" t="s">
        <v>305</v>
      </c>
      <c r="I150" s="128">
        <v>29</v>
      </c>
      <c r="J150" s="128">
        <f t="shared" si="9"/>
        <v>9.2356687898089174</v>
      </c>
      <c r="K150" s="128">
        <v>21</v>
      </c>
      <c r="L150" s="128">
        <f t="shared" si="10"/>
        <v>6.6878980891719744</v>
      </c>
      <c r="M150" s="128">
        <v>6</v>
      </c>
      <c r="N150" s="128"/>
      <c r="O150" s="129">
        <f t="shared" si="11"/>
        <v>1.4843598841626487E-2</v>
      </c>
      <c r="P150" s="129">
        <f>O150*(1+'Key Data'!F$3)</f>
        <v>1.8554498552033109E-2</v>
      </c>
      <c r="Q150" s="379"/>
      <c r="R150" s="379"/>
      <c r="S150" s="369"/>
    </row>
    <row r="151" spans="1:19" x14ac:dyDescent="0.3">
      <c r="A151" s="374"/>
      <c r="B151" s="374"/>
      <c r="C151" s="374"/>
      <c r="D151" s="374"/>
      <c r="E151" s="113"/>
      <c r="F151" s="113"/>
      <c r="G151" s="374"/>
      <c r="H151" s="78" t="s">
        <v>305</v>
      </c>
      <c r="I151" s="128">
        <v>21.8</v>
      </c>
      <c r="J151" s="128">
        <f t="shared" si="9"/>
        <v>6.9426751592356686</v>
      </c>
      <c r="K151" s="128">
        <v>19</v>
      </c>
      <c r="L151" s="128">
        <f t="shared" si="10"/>
        <v>6.0509554140127388</v>
      </c>
      <c r="M151" s="128">
        <v>6</v>
      </c>
      <c r="N151" s="128"/>
      <c r="O151" s="129">
        <f t="shared" si="11"/>
        <v>1.24114507488333E-2</v>
      </c>
      <c r="P151" s="129">
        <f>O151*(1+'Key Data'!F$3)</f>
        <v>1.5514313436041625E-2</v>
      </c>
      <c r="Q151" s="379"/>
      <c r="R151" s="379"/>
      <c r="S151" s="369"/>
    </row>
    <row r="152" spans="1:19" x14ac:dyDescent="0.3">
      <c r="A152" s="374"/>
      <c r="B152" s="374"/>
      <c r="C152" s="374"/>
      <c r="D152" s="374"/>
      <c r="E152" s="113"/>
      <c r="F152" s="113"/>
      <c r="G152" s="374"/>
      <c r="H152" s="78" t="s">
        <v>305</v>
      </c>
      <c r="I152" s="128">
        <v>27</v>
      </c>
      <c r="J152" s="128">
        <f t="shared" si="9"/>
        <v>8.598726114649681</v>
      </c>
      <c r="K152" s="128">
        <v>19.2</v>
      </c>
      <c r="L152" s="128">
        <f t="shared" si="10"/>
        <v>6.114649681528662</v>
      </c>
      <c r="M152" s="128">
        <v>6</v>
      </c>
      <c r="N152" s="128"/>
      <c r="O152" s="129">
        <f t="shared" si="11"/>
        <v>1.2646015409268246E-2</v>
      </c>
      <c r="P152" s="129">
        <f>O152*(1+'Key Data'!F$3)</f>
        <v>1.5807519261585308E-2</v>
      </c>
      <c r="Q152" s="379"/>
      <c r="R152" s="379"/>
      <c r="S152" s="369"/>
    </row>
    <row r="153" spans="1:19" x14ac:dyDescent="0.3">
      <c r="A153" s="374"/>
      <c r="B153" s="374"/>
      <c r="C153" s="374"/>
      <c r="D153" s="374"/>
      <c r="E153" s="113"/>
      <c r="F153" s="113"/>
      <c r="G153" s="374"/>
      <c r="H153" s="78" t="s">
        <v>305</v>
      </c>
      <c r="I153" s="128">
        <v>33.4</v>
      </c>
      <c r="J153" s="128">
        <f t="shared" si="9"/>
        <v>10.636942675159235</v>
      </c>
      <c r="K153" s="128">
        <v>25</v>
      </c>
      <c r="L153" s="128">
        <f t="shared" si="10"/>
        <v>7.9617834394904454</v>
      </c>
      <c r="M153" s="128">
        <v>6.2</v>
      </c>
      <c r="N153" s="128"/>
      <c r="O153" s="129">
        <f t="shared" si="11"/>
        <v>2.0876553261403984E-2</v>
      </c>
      <c r="P153" s="129">
        <f>O153*(1+'Key Data'!F$3)</f>
        <v>2.6095691576754981E-2</v>
      </c>
      <c r="Q153" s="379"/>
      <c r="R153" s="379"/>
      <c r="S153" s="369"/>
    </row>
    <row r="154" spans="1:19" x14ac:dyDescent="0.3">
      <c r="A154" s="374"/>
      <c r="B154" s="374"/>
      <c r="C154" s="374"/>
      <c r="D154" s="374"/>
      <c r="E154" s="113"/>
      <c r="F154" s="113"/>
      <c r="G154" s="374"/>
      <c r="H154" s="78" t="s">
        <v>308</v>
      </c>
      <c r="I154" s="128">
        <v>26.6</v>
      </c>
      <c r="J154" s="128">
        <f t="shared" si="9"/>
        <v>8.4713375796178347</v>
      </c>
      <c r="K154" s="128"/>
      <c r="L154" s="128"/>
      <c r="M154" s="128">
        <v>3</v>
      </c>
      <c r="N154" s="128">
        <f t="shared" ref="N154:N174" si="12">3.14*J154/2*J154/2</f>
        <v>56.334394904458605</v>
      </c>
      <c r="O154" s="129">
        <f t="shared" ref="O154:O174" si="13">(10^(-0.535+LOG10(N154)))/1000</f>
        <v>1.6435148551167719E-2</v>
      </c>
      <c r="P154" s="129">
        <f>O154*(1+'Key Data'!F$3)</f>
        <v>2.0543935688959649E-2</v>
      </c>
      <c r="Q154" s="379"/>
      <c r="R154" s="379"/>
      <c r="S154" s="369"/>
    </row>
    <row r="155" spans="1:19" x14ac:dyDescent="0.3">
      <c r="A155" s="374"/>
      <c r="B155" s="374"/>
      <c r="C155" s="374"/>
      <c r="D155" s="374"/>
      <c r="E155" s="113"/>
      <c r="F155" s="113"/>
      <c r="G155" s="374"/>
      <c r="H155" s="78" t="s">
        <v>308</v>
      </c>
      <c r="I155" s="128">
        <v>24.8</v>
      </c>
      <c r="J155" s="128">
        <f t="shared" si="9"/>
        <v>7.8980891719745223</v>
      </c>
      <c r="K155" s="128"/>
      <c r="L155" s="128"/>
      <c r="M155" s="128">
        <v>2.2999999999999998</v>
      </c>
      <c r="N155" s="128">
        <f t="shared" si="12"/>
        <v>48.968152866242036</v>
      </c>
      <c r="O155" s="129">
        <f t="shared" si="13"/>
        <v>1.4286101199771325E-2</v>
      </c>
      <c r="P155" s="129">
        <f>O155*(1+'Key Data'!F$3)</f>
        <v>1.7857626499714157E-2</v>
      </c>
      <c r="Q155" s="379"/>
      <c r="R155" s="379"/>
      <c r="S155" s="369"/>
    </row>
    <row r="156" spans="1:19" x14ac:dyDescent="0.3">
      <c r="A156" s="374"/>
      <c r="B156" s="374"/>
      <c r="C156" s="374"/>
      <c r="D156" s="374"/>
      <c r="E156" s="113"/>
      <c r="F156" s="113"/>
      <c r="G156" s="374"/>
      <c r="H156" s="78" t="s">
        <v>308</v>
      </c>
      <c r="I156" s="128">
        <v>29.4</v>
      </c>
      <c r="J156" s="128">
        <f t="shared" si="9"/>
        <v>9.3630573248407636</v>
      </c>
      <c r="K156" s="128"/>
      <c r="L156" s="128"/>
      <c r="M156" s="128">
        <v>2.6</v>
      </c>
      <c r="N156" s="128">
        <f t="shared" si="12"/>
        <v>68.818471337579609</v>
      </c>
      <c r="O156" s="129">
        <f t="shared" si="13"/>
        <v>2.0077286734251978E-2</v>
      </c>
      <c r="P156" s="129">
        <f>O156*(1+'Key Data'!F$3)</f>
        <v>2.5096608417814973E-2</v>
      </c>
      <c r="Q156" s="379"/>
      <c r="R156" s="379"/>
      <c r="S156" s="369"/>
    </row>
    <row r="157" spans="1:19" x14ac:dyDescent="0.3">
      <c r="A157" s="374"/>
      <c r="B157" s="374"/>
      <c r="C157" s="374"/>
      <c r="D157" s="374"/>
      <c r="E157" s="113"/>
      <c r="F157" s="113"/>
      <c r="G157" s="374"/>
      <c r="H157" s="78" t="s">
        <v>308</v>
      </c>
      <c r="I157" s="128">
        <v>30.1</v>
      </c>
      <c r="J157" s="128">
        <f t="shared" si="9"/>
        <v>9.5859872611464976</v>
      </c>
      <c r="K157" s="128"/>
      <c r="L157" s="128"/>
      <c r="M157" s="128">
        <v>2.6</v>
      </c>
      <c r="N157" s="128">
        <f t="shared" si="12"/>
        <v>72.134554140127406</v>
      </c>
      <c r="O157" s="129">
        <f t="shared" si="13"/>
        <v>2.1044729689133755E-2</v>
      </c>
      <c r="P157" s="129">
        <f>O157*(1+'Key Data'!F$3)</f>
        <v>2.6305912111417196E-2</v>
      </c>
      <c r="Q157" s="379"/>
      <c r="R157" s="379"/>
      <c r="S157" s="369"/>
    </row>
    <row r="158" spans="1:19" x14ac:dyDescent="0.3">
      <c r="A158" s="374"/>
      <c r="B158" s="374"/>
      <c r="C158" s="374"/>
      <c r="D158" s="374"/>
      <c r="E158" s="113"/>
      <c r="F158" s="113"/>
      <c r="G158" s="374"/>
      <c r="H158" s="78" t="s">
        <v>308</v>
      </c>
      <c r="I158" s="128">
        <v>27.4</v>
      </c>
      <c r="J158" s="128">
        <f t="shared" si="9"/>
        <v>8.7261146496815272</v>
      </c>
      <c r="K158" s="128"/>
      <c r="L158" s="128"/>
      <c r="M158" s="128">
        <v>2.8</v>
      </c>
      <c r="N158" s="128">
        <f t="shared" si="12"/>
        <v>59.773885350318452</v>
      </c>
      <c r="O158" s="129">
        <f t="shared" si="13"/>
        <v>1.7438594785282771E-2</v>
      </c>
      <c r="P158" s="129">
        <f>O158*(1+'Key Data'!F$3)</f>
        <v>2.1798243481603464E-2</v>
      </c>
      <c r="Q158" s="379"/>
      <c r="R158" s="379"/>
      <c r="S158" s="369"/>
    </row>
    <row r="159" spans="1:19" x14ac:dyDescent="0.3">
      <c r="A159" s="374"/>
      <c r="B159" s="374"/>
      <c r="C159" s="374"/>
      <c r="D159" s="374"/>
      <c r="E159" s="113"/>
      <c r="F159" s="113"/>
      <c r="G159" s="374"/>
      <c r="H159" s="78" t="s">
        <v>308</v>
      </c>
      <c r="I159" s="128">
        <v>25.8</v>
      </c>
      <c r="J159" s="128">
        <f t="shared" si="9"/>
        <v>8.2165605095541405</v>
      </c>
      <c r="K159" s="128"/>
      <c r="L159" s="128"/>
      <c r="M159" s="128">
        <v>2.6</v>
      </c>
      <c r="N159" s="128">
        <f t="shared" si="12"/>
        <v>52.996815286624205</v>
      </c>
      <c r="O159" s="129">
        <f t="shared" si="13"/>
        <v>1.5461434057322754E-2</v>
      </c>
      <c r="P159" s="129">
        <f>O159*(1+'Key Data'!F$3)</f>
        <v>1.9326792571653442E-2</v>
      </c>
      <c r="Q159" s="379"/>
      <c r="R159" s="379"/>
      <c r="S159" s="369"/>
    </row>
    <row r="160" spans="1:19" x14ac:dyDescent="0.3">
      <c r="A160" s="374"/>
      <c r="B160" s="374"/>
      <c r="C160" s="374"/>
      <c r="D160" s="374"/>
      <c r="E160" s="113"/>
      <c r="F160" s="113"/>
      <c r="G160" s="374"/>
      <c r="H160" s="78" t="s">
        <v>308</v>
      </c>
      <c r="I160" s="128">
        <v>21.8</v>
      </c>
      <c r="J160" s="128">
        <f t="shared" si="9"/>
        <v>6.9426751592356686</v>
      </c>
      <c r="K160" s="128"/>
      <c r="L160" s="128"/>
      <c r="M160" s="128">
        <v>2.2000000000000002</v>
      </c>
      <c r="N160" s="128">
        <f t="shared" si="12"/>
        <v>37.837579617834393</v>
      </c>
      <c r="O160" s="129">
        <f t="shared" si="13"/>
        <v>1.1038837692149001E-2</v>
      </c>
      <c r="P160" s="129">
        <f>O160*(1+'Key Data'!F$3)</f>
        <v>1.3798547115186251E-2</v>
      </c>
      <c r="Q160" s="379"/>
      <c r="R160" s="379"/>
      <c r="S160" s="369"/>
    </row>
    <row r="161" spans="1:19" x14ac:dyDescent="0.3">
      <c r="A161" s="374"/>
      <c r="B161" s="374"/>
      <c r="C161" s="374"/>
      <c r="D161" s="374"/>
      <c r="E161" s="113"/>
      <c r="F161" s="113"/>
      <c r="G161" s="374"/>
      <c r="H161" s="78" t="s">
        <v>308</v>
      </c>
      <c r="I161" s="128">
        <v>27</v>
      </c>
      <c r="J161" s="128">
        <f t="shared" si="9"/>
        <v>8.598726114649681</v>
      </c>
      <c r="K161" s="128"/>
      <c r="L161" s="128"/>
      <c r="M161" s="128">
        <v>3.8</v>
      </c>
      <c r="N161" s="128">
        <f t="shared" si="12"/>
        <v>58.041401273885349</v>
      </c>
      <c r="O161" s="129">
        <f t="shared" si="13"/>
        <v>1.6933155200691483E-2</v>
      </c>
      <c r="P161" s="129">
        <f>O161*(1+'Key Data'!F$3)</f>
        <v>2.1166444000864353E-2</v>
      </c>
      <c r="Q161" s="379"/>
      <c r="R161" s="379"/>
      <c r="S161" s="369"/>
    </row>
    <row r="162" spans="1:19" x14ac:dyDescent="0.3">
      <c r="A162" s="374"/>
      <c r="B162" s="374"/>
      <c r="C162" s="374"/>
      <c r="D162" s="374"/>
      <c r="E162" s="113"/>
      <c r="F162" s="113"/>
      <c r="G162" s="374"/>
      <c r="H162" s="78" t="s">
        <v>308</v>
      </c>
      <c r="I162" s="128">
        <v>27.8</v>
      </c>
      <c r="J162" s="128">
        <f t="shared" ref="J162:J193" si="14">I162/3.14</f>
        <v>8.8535031847133752</v>
      </c>
      <c r="K162" s="128"/>
      <c r="L162" s="128"/>
      <c r="M162" s="128">
        <v>2.2000000000000002</v>
      </c>
      <c r="N162" s="128">
        <f t="shared" si="12"/>
        <v>61.531847133757957</v>
      </c>
      <c r="O162" s="129">
        <f t="shared" si="13"/>
        <v>1.7951467304941567E-2</v>
      </c>
      <c r="P162" s="129">
        <f>O162*(1+'Key Data'!F$3)</f>
        <v>2.243933413117696E-2</v>
      </c>
      <c r="Q162" s="379"/>
      <c r="R162" s="379"/>
      <c r="S162" s="369"/>
    </row>
    <row r="163" spans="1:19" x14ac:dyDescent="0.3">
      <c r="A163" s="374"/>
      <c r="B163" s="374"/>
      <c r="C163" s="374"/>
      <c r="D163" s="374"/>
      <c r="E163" s="113"/>
      <c r="F163" s="113"/>
      <c r="G163" s="374"/>
      <c r="H163" s="78" t="s">
        <v>308</v>
      </c>
      <c r="I163" s="128">
        <v>20.2</v>
      </c>
      <c r="J163" s="128">
        <f t="shared" si="14"/>
        <v>6.4331210191082802</v>
      </c>
      <c r="K163" s="128"/>
      <c r="L163" s="128"/>
      <c r="M163" s="128">
        <v>2</v>
      </c>
      <c r="N163" s="128">
        <f t="shared" si="12"/>
        <v>32.487261146496813</v>
      </c>
      <c r="O163" s="129">
        <f t="shared" si="13"/>
        <v>9.4779213279700333E-3</v>
      </c>
      <c r="P163" s="129">
        <f>O163*(1+'Key Data'!F$3)</f>
        <v>1.1847401659962542E-2</v>
      </c>
      <c r="Q163" s="379"/>
      <c r="R163" s="379"/>
      <c r="S163" s="369"/>
    </row>
    <row r="164" spans="1:19" x14ac:dyDescent="0.3">
      <c r="A164" s="374"/>
      <c r="B164" s="374"/>
      <c r="C164" s="374"/>
      <c r="D164" s="374"/>
      <c r="E164" s="113"/>
      <c r="F164" s="113"/>
      <c r="G164" s="374"/>
      <c r="H164" s="78" t="s">
        <v>308</v>
      </c>
      <c r="I164" s="128">
        <v>21.8</v>
      </c>
      <c r="J164" s="128">
        <f t="shared" si="14"/>
        <v>6.9426751592356686</v>
      </c>
      <c r="K164" s="128"/>
      <c r="L164" s="128"/>
      <c r="M164" s="128">
        <v>2.2000000000000002</v>
      </c>
      <c r="N164" s="128">
        <f t="shared" si="12"/>
        <v>37.837579617834393</v>
      </c>
      <c r="O164" s="129">
        <f>(10^(-0.535+LOG10(N164)))/1000</f>
        <v>1.1038837692149001E-2</v>
      </c>
      <c r="P164" s="129">
        <f>O164*(1+'Key Data'!F$3)</f>
        <v>1.3798547115186251E-2</v>
      </c>
      <c r="Q164" s="379"/>
      <c r="R164" s="379"/>
      <c r="S164" s="369"/>
    </row>
    <row r="165" spans="1:19" x14ac:dyDescent="0.3">
      <c r="A165" s="374"/>
      <c r="B165" s="374"/>
      <c r="C165" s="374"/>
      <c r="D165" s="374"/>
      <c r="E165" s="113"/>
      <c r="F165" s="113"/>
      <c r="G165" s="374"/>
      <c r="H165" s="78" t="s">
        <v>308</v>
      </c>
      <c r="I165" s="128">
        <v>25.2</v>
      </c>
      <c r="J165" s="128">
        <f t="shared" si="14"/>
        <v>8.0254777070063685</v>
      </c>
      <c r="K165" s="128"/>
      <c r="L165" s="128"/>
      <c r="M165" s="128">
        <v>2.2999999999999998</v>
      </c>
      <c r="N165" s="128">
        <f t="shared" si="12"/>
        <v>50.560509554140118</v>
      </c>
      <c r="O165" s="129">
        <f t="shared" si="13"/>
        <v>1.4750659641491257E-2</v>
      </c>
      <c r="P165" s="129">
        <f>O165*(1+'Key Data'!F$3)</f>
        <v>1.8438324551864071E-2</v>
      </c>
      <c r="Q165" s="379"/>
      <c r="R165" s="379"/>
      <c r="S165" s="369"/>
    </row>
    <row r="166" spans="1:19" x14ac:dyDescent="0.3">
      <c r="A166" s="374"/>
      <c r="B166" s="374"/>
      <c r="C166" s="374"/>
      <c r="D166" s="374"/>
      <c r="E166" s="113"/>
      <c r="F166" s="113"/>
      <c r="G166" s="374"/>
      <c r="H166" s="78" t="s">
        <v>308</v>
      </c>
      <c r="I166" s="128">
        <v>26.2</v>
      </c>
      <c r="J166" s="128">
        <f t="shared" si="14"/>
        <v>8.3439490445859867</v>
      </c>
      <c r="K166" s="128"/>
      <c r="L166" s="128"/>
      <c r="M166" s="128">
        <v>1.7</v>
      </c>
      <c r="N166" s="128">
        <f t="shared" si="12"/>
        <v>54.652866242038215</v>
      </c>
      <c r="O166" s="129">
        <f t="shared" si="13"/>
        <v>1.594457483671147E-2</v>
      </c>
      <c r="P166" s="129">
        <f>O166*(1+'Key Data'!F$3)</f>
        <v>1.9930718545889337E-2</v>
      </c>
      <c r="Q166" s="379"/>
      <c r="R166" s="379"/>
      <c r="S166" s="369"/>
    </row>
    <row r="167" spans="1:19" x14ac:dyDescent="0.3">
      <c r="A167" s="374"/>
      <c r="B167" s="374"/>
      <c r="C167" s="374"/>
      <c r="D167" s="374"/>
      <c r="E167" s="113"/>
      <c r="F167" s="113"/>
      <c r="G167" s="374"/>
      <c r="H167" s="78" t="s">
        <v>308</v>
      </c>
      <c r="I167" s="128">
        <v>22.6</v>
      </c>
      <c r="J167" s="128">
        <f t="shared" si="14"/>
        <v>7.1974522292993628</v>
      </c>
      <c r="K167" s="128"/>
      <c r="L167" s="128"/>
      <c r="M167" s="128">
        <v>2.2000000000000002</v>
      </c>
      <c r="N167" s="128">
        <f t="shared" si="12"/>
        <v>40.665605095541402</v>
      </c>
      <c r="O167" s="129">
        <f t="shared" si="13"/>
        <v>1.18638934846436E-2</v>
      </c>
      <c r="P167" s="129">
        <f>O167*(1+'Key Data'!F$3)</f>
        <v>1.4829866855804501E-2</v>
      </c>
      <c r="Q167" s="379"/>
      <c r="R167" s="379"/>
      <c r="S167" s="369"/>
    </row>
    <row r="168" spans="1:19" x14ac:dyDescent="0.3">
      <c r="A168" s="374"/>
      <c r="B168" s="374"/>
      <c r="C168" s="374"/>
      <c r="D168" s="374"/>
      <c r="E168" s="113"/>
      <c r="F168" s="113"/>
      <c r="G168" s="374"/>
      <c r="H168" s="78" t="s">
        <v>308</v>
      </c>
      <c r="I168" s="128">
        <v>13</v>
      </c>
      <c r="J168" s="128">
        <f t="shared" si="14"/>
        <v>4.1401273885350314</v>
      </c>
      <c r="K168" s="128"/>
      <c r="L168" s="128"/>
      <c r="M168" s="128">
        <v>1</v>
      </c>
      <c r="N168" s="128">
        <f t="shared" si="12"/>
        <v>13.455414012738849</v>
      </c>
      <c r="O168" s="129">
        <f t="shared" si="13"/>
        <v>3.9255188325334166E-3</v>
      </c>
      <c r="P168" s="129">
        <f>O168*(1+'Key Data'!F$3)</f>
        <v>4.9068985406667707E-3</v>
      </c>
      <c r="Q168" s="379"/>
      <c r="R168" s="379"/>
      <c r="S168" s="369"/>
    </row>
    <row r="169" spans="1:19" x14ac:dyDescent="0.3">
      <c r="A169" s="374"/>
      <c r="B169" s="374"/>
      <c r="C169" s="374"/>
      <c r="D169" s="374"/>
      <c r="E169" s="113"/>
      <c r="F169" s="113"/>
      <c r="G169" s="374"/>
      <c r="H169" s="78" t="s">
        <v>308</v>
      </c>
      <c r="I169" s="128">
        <v>20</v>
      </c>
      <c r="J169" s="128">
        <f t="shared" si="14"/>
        <v>6.3694267515923562</v>
      </c>
      <c r="K169" s="128"/>
      <c r="L169" s="128"/>
      <c r="M169" s="128">
        <v>2.5</v>
      </c>
      <c r="N169" s="128">
        <f t="shared" si="12"/>
        <v>31.847133757961782</v>
      </c>
      <c r="O169" s="129">
        <f t="shared" si="13"/>
        <v>9.2911688343986203E-3</v>
      </c>
      <c r="P169" s="129">
        <f>O169*(1+'Key Data'!F$3)</f>
        <v>1.1613961042998276E-2</v>
      </c>
      <c r="Q169" s="379"/>
      <c r="R169" s="379"/>
      <c r="S169" s="369"/>
    </row>
    <row r="170" spans="1:19" x14ac:dyDescent="0.3">
      <c r="A170" s="374"/>
      <c r="B170" s="374"/>
      <c r="C170" s="374"/>
      <c r="D170" s="374"/>
      <c r="E170" s="113"/>
      <c r="F170" s="113"/>
      <c r="G170" s="374"/>
      <c r="H170" s="78" t="s">
        <v>308</v>
      </c>
      <c r="I170" s="128">
        <v>20</v>
      </c>
      <c r="J170" s="128">
        <f t="shared" si="14"/>
        <v>6.3694267515923562</v>
      </c>
      <c r="K170" s="128"/>
      <c r="L170" s="128"/>
      <c r="M170" s="128">
        <v>2</v>
      </c>
      <c r="N170" s="128">
        <f t="shared" si="12"/>
        <v>31.847133757961782</v>
      </c>
      <c r="O170" s="129">
        <f t="shared" si="13"/>
        <v>9.2911688343986203E-3</v>
      </c>
      <c r="P170" s="129">
        <f>O170*(1+'Key Data'!F$3)</f>
        <v>1.1613961042998276E-2</v>
      </c>
      <c r="Q170" s="379"/>
      <c r="R170" s="379"/>
      <c r="S170" s="369"/>
    </row>
    <row r="171" spans="1:19" x14ac:dyDescent="0.3">
      <c r="A171" s="374"/>
      <c r="B171" s="374"/>
      <c r="C171" s="374"/>
      <c r="D171" s="374"/>
      <c r="E171" s="113"/>
      <c r="F171" s="113"/>
      <c r="G171" s="374"/>
      <c r="H171" s="78" t="s">
        <v>308</v>
      </c>
      <c r="I171" s="128">
        <v>46</v>
      </c>
      <c r="J171" s="128">
        <f t="shared" si="14"/>
        <v>14.64968152866242</v>
      </c>
      <c r="K171" s="128"/>
      <c r="L171" s="128"/>
      <c r="M171" s="128">
        <v>5.2</v>
      </c>
      <c r="N171" s="128">
        <f t="shared" si="12"/>
        <v>168.47133757961782</v>
      </c>
      <c r="O171" s="129">
        <f t="shared" si="13"/>
        <v>4.9150283133968707E-2</v>
      </c>
      <c r="P171" s="129">
        <f>O171*(1+'Key Data'!F$3)</f>
        <v>6.1437853917460886E-2</v>
      </c>
      <c r="Q171" s="379"/>
      <c r="R171" s="379"/>
      <c r="S171" s="369"/>
    </row>
    <row r="172" spans="1:19" x14ac:dyDescent="0.3">
      <c r="A172" s="374"/>
      <c r="B172" s="374"/>
      <c r="C172" s="374"/>
      <c r="D172" s="374"/>
      <c r="E172" s="113"/>
      <c r="F172" s="113"/>
      <c r="G172" s="374"/>
      <c r="H172" s="78" t="s">
        <v>308</v>
      </c>
      <c r="I172" s="128">
        <v>27</v>
      </c>
      <c r="J172" s="128">
        <f t="shared" si="14"/>
        <v>8.598726114649681</v>
      </c>
      <c r="K172" s="128"/>
      <c r="L172" s="128"/>
      <c r="M172" s="128">
        <v>3</v>
      </c>
      <c r="N172" s="128">
        <f t="shared" si="12"/>
        <v>58.041401273885349</v>
      </c>
      <c r="O172" s="129">
        <f t="shared" si="13"/>
        <v>1.6933155200691483E-2</v>
      </c>
      <c r="P172" s="129">
        <f>O172*(1+'Key Data'!F$3)</f>
        <v>2.1166444000864353E-2</v>
      </c>
      <c r="Q172" s="379"/>
      <c r="R172" s="379"/>
      <c r="S172" s="369"/>
    </row>
    <row r="173" spans="1:19" x14ac:dyDescent="0.3">
      <c r="A173" s="374"/>
      <c r="B173" s="374"/>
      <c r="C173" s="374"/>
      <c r="D173" s="374"/>
      <c r="E173" s="113"/>
      <c r="F173" s="113"/>
      <c r="G173" s="374"/>
      <c r="H173" s="78" t="s">
        <v>308</v>
      </c>
      <c r="I173" s="128">
        <v>19.2</v>
      </c>
      <c r="J173" s="128">
        <f t="shared" si="14"/>
        <v>6.114649681528662</v>
      </c>
      <c r="K173" s="128"/>
      <c r="L173" s="128"/>
      <c r="M173" s="128">
        <v>1.6</v>
      </c>
      <c r="N173" s="128">
        <f t="shared" si="12"/>
        <v>29.350318471337577</v>
      </c>
      <c r="O173" s="129">
        <f t="shared" si="13"/>
        <v>8.5627411977817671E-3</v>
      </c>
      <c r="P173" s="129">
        <f>O173*(1+'Key Data'!F$3)</f>
        <v>1.0703426497227209E-2</v>
      </c>
      <c r="Q173" s="379"/>
      <c r="R173" s="379"/>
      <c r="S173" s="369"/>
    </row>
    <row r="174" spans="1:19" x14ac:dyDescent="0.3">
      <c r="A174" s="374"/>
      <c r="B174" s="374"/>
      <c r="C174" s="374"/>
      <c r="D174" s="374"/>
      <c r="E174" s="113"/>
      <c r="F174" s="113"/>
      <c r="G174" s="374"/>
      <c r="H174" s="78" t="s">
        <v>308</v>
      </c>
      <c r="I174" s="128">
        <v>21.2</v>
      </c>
      <c r="J174" s="128">
        <f t="shared" si="14"/>
        <v>6.7515923566878975</v>
      </c>
      <c r="K174" s="128"/>
      <c r="L174" s="128"/>
      <c r="M174" s="128">
        <v>2</v>
      </c>
      <c r="N174" s="128">
        <f t="shared" si="12"/>
        <v>35.783439490445858</v>
      </c>
      <c r="O174" s="129">
        <f t="shared" si="13"/>
        <v>1.0439557302330291E-2</v>
      </c>
      <c r="P174" s="129">
        <f>O174*(1+'Key Data'!F$3)</f>
        <v>1.3049446627912863E-2</v>
      </c>
      <c r="Q174" s="379"/>
      <c r="R174" s="379"/>
      <c r="S174" s="369"/>
    </row>
    <row r="175" spans="1:19" x14ac:dyDescent="0.3">
      <c r="A175" s="374"/>
      <c r="B175" s="374"/>
      <c r="C175" s="374"/>
      <c r="D175" s="374"/>
      <c r="E175" s="113"/>
      <c r="F175" s="113"/>
      <c r="G175" s="374"/>
      <c r="H175" s="78" t="s">
        <v>309</v>
      </c>
      <c r="I175" s="128">
        <v>19.600000000000001</v>
      </c>
      <c r="J175" s="128">
        <f t="shared" si="14"/>
        <v>6.2420382165605099</v>
      </c>
      <c r="K175" s="128"/>
      <c r="L175" s="128"/>
      <c r="M175" s="128">
        <v>1.7</v>
      </c>
      <c r="N175" s="128"/>
      <c r="O175" s="129">
        <f>(3.264 * J175^1.012+ 1.643)/1000</f>
        <v>2.2469701400382399E-2</v>
      </c>
      <c r="P175" s="129">
        <f>O175*(1+'Key Data'!F$3)</f>
        <v>2.8087126750478E-2</v>
      </c>
      <c r="Q175" s="379"/>
      <c r="R175" s="379"/>
      <c r="S175" s="369"/>
    </row>
    <row r="176" spans="1:19" x14ac:dyDescent="0.3">
      <c r="A176" s="374"/>
      <c r="B176" s="374"/>
      <c r="C176" s="374"/>
      <c r="D176" s="374"/>
      <c r="E176" s="113"/>
      <c r="F176" s="113"/>
      <c r="G176" s="374"/>
      <c r="H176" s="78" t="s">
        <v>309</v>
      </c>
      <c r="I176" s="128">
        <v>14.1</v>
      </c>
      <c r="J176" s="128">
        <f t="shared" si="14"/>
        <v>4.4904458598726116</v>
      </c>
      <c r="K176" s="128"/>
      <c r="L176" s="128"/>
      <c r="M176" s="128">
        <v>2.4</v>
      </c>
      <c r="N176" s="128"/>
      <c r="O176" s="129">
        <f t="shared" ref="O176:O183" si="15">(3.264 * J176^1.012+ 1.643)/1000</f>
        <v>1.6566376237241488E-2</v>
      </c>
      <c r="P176" s="129">
        <f>O176*(1+'Key Data'!F$3)</f>
        <v>2.0707970296551859E-2</v>
      </c>
      <c r="Q176" s="379"/>
      <c r="R176" s="379"/>
      <c r="S176" s="369"/>
    </row>
    <row r="177" spans="1:19" x14ac:dyDescent="0.3">
      <c r="A177" s="374"/>
      <c r="B177" s="374"/>
      <c r="C177" s="374"/>
      <c r="D177" s="374"/>
      <c r="E177" s="113"/>
      <c r="F177" s="113"/>
      <c r="G177" s="374"/>
      <c r="H177" s="78" t="s">
        <v>309</v>
      </c>
      <c r="I177" s="128">
        <v>19.600000000000001</v>
      </c>
      <c r="J177" s="128">
        <f t="shared" si="14"/>
        <v>6.2420382165605099</v>
      </c>
      <c r="K177" s="128"/>
      <c r="L177" s="128"/>
      <c r="M177" s="128">
        <v>2</v>
      </c>
      <c r="N177" s="128"/>
      <c r="O177" s="129">
        <f t="shared" si="15"/>
        <v>2.2469701400382399E-2</v>
      </c>
      <c r="P177" s="129">
        <f>O177*(1+'Key Data'!F$3)</f>
        <v>2.8087126750478E-2</v>
      </c>
      <c r="Q177" s="379"/>
      <c r="R177" s="379"/>
      <c r="S177" s="369"/>
    </row>
    <row r="178" spans="1:19" x14ac:dyDescent="0.3">
      <c r="A178" s="374"/>
      <c r="B178" s="374"/>
      <c r="C178" s="374"/>
      <c r="D178" s="374"/>
      <c r="E178" s="113"/>
      <c r="F178" s="113"/>
      <c r="G178" s="374"/>
      <c r="H178" s="78" t="s">
        <v>309</v>
      </c>
      <c r="I178" s="128">
        <v>25.4</v>
      </c>
      <c r="J178" s="128">
        <f t="shared" si="14"/>
        <v>8.0891719745222925</v>
      </c>
      <c r="K178" s="128"/>
      <c r="L178" s="128"/>
      <c r="M178" s="128">
        <v>2.2999999999999998</v>
      </c>
      <c r="N178" s="128"/>
      <c r="O178" s="129">
        <f t="shared" si="15"/>
        <v>2.8716790716943715E-2</v>
      </c>
      <c r="P178" s="129">
        <f>O178*(1+'Key Data'!F$3)</f>
        <v>3.5895988396179641E-2</v>
      </c>
      <c r="Q178" s="379"/>
      <c r="R178" s="379"/>
      <c r="S178" s="369"/>
    </row>
    <row r="179" spans="1:19" x14ac:dyDescent="0.3">
      <c r="A179" s="374"/>
      <c r="B179" s="374"/>
      <c r="C179" s="374"/>
      <c r="D179" s="374"/>
      <c r="E179" s="113"/>
      <c r="F179" s="113"/>
      <c r="G179" s="374"/>
      <c r="H179" s="78" t="s">
        <v>309</v>
      </c>
      <c r="I179" s="128">
        <v>29.6</v>
      </c>
      <c r="J179" s="128">
        <f t="shared" si="14"/>
        <v>9.4267515923566876</v>
      </c>
      <c r="K179" s="128"/>
      <c r="L179" s="128"/>
      <c r="M179" s="128">
        <v>2</v>
      </c>
      <c r="N179" s="128"/>
      <c r="O179" s="129">
        <f t="shared" si="15"/>
        <v>3.3251548850487762E-2</v>
      </c>
      <c r="P179" s="129">
        <f>O179*(1+'Key Data'!F$3)</f>
        <v>4.1564436063109701E-2</v>
      </c>
      <c r="Q179" s="379"/>
      <c r="R179" s="379"/>
      <c r="S179" s="369"/>
    </row>
    <row r="180" spans="1:19" x14ac:dyDescent="0.3">
      <c r="A180" s="374"/>
      <c r="B180" s="374"/>
      <c r="C180" s="374"/>
      <c r="D180" s="374"/>
      <c r="E180" s="113"/>
      <c r="F180" s="113"/>
      <c r="G180" s="374"/>
      <c r="H180" s="78" t="s">
        <v>309</v>
      </c>
      <c r="I180" s="128">
        <v>31.8</v>
      </c>
      <c r="J180" s="128">
        <f t="shared" si="14"/>
        <v>10.127388535031846</v>
      </c>
      <c r="K180" s="128"/>
      <c r="L180" s="128"/>
      <c r="M180" s="128">
        <v>3</v>
      </c>
      <c r="N180" s="128"/>
      <c r="O180" s="129">
        <f t="shared" si="15"/>
        <v>3.5630059487048164E-2</v>
      </c>
      <c r="P180" s="129">
        <f>O180*(1+'Key Data'!F$3)</f>
        <v>4.4537574358810207E-2</v>
      </c>
      <c r="Q180" s="379"/>
      <c r="R180" s="379"/>
      <c r="S180" s="369"/>
    </row>
    <row r="181" spans="1:19" x14ac:dyDescent="0.3">
      <c r="A181" s="374"/>
      <c r="B181" s="374"/>
      <c r="C181" s="374"/>
      <c r="D181" s="374"/>
      <c r="E181" s="113"/>
      <c r="F181" s="113"/>
      <c r="G181" s="374"/>
      <c r="H181" s="78" t="s">
        <v>309</v>
      </c>
      <c r="I181" s="128">
        <v>19.600000000000001</v>
      </c>
      <c r="J181" s="128">
        <f t="shared" si="14"/>
        <v>6.2420382165605099</v>
      </c>
      <c r="K181" s="128"/>
      <c r="L181" s="128"/>
      <c r="M181" s="128">
        <v>1.9</v>
      </c>
      <c r="N181" s="128"/>
      <c r="O181" s="129">
        <f t="shared" si="15"/>
        <v>2.2469701400382399E-2</v>
      </c>
      <c r="P181" s="129">
        <f>O181*(1+'Key Data'!F$3)</f>
        <v>2.8087126750478E-2</v>
      </c>
      <c r="Q181" s="379"/>
      <c r="R181" s="379"/>
      <c r="S181" s="369"/>
    </row>
    <row r="182" spans="1:19" x14ac:dyDescent="0.3">
      <c r="A182" s="374"/>
      <c r="B182" s="374"/>
      <c r="C182" s="374"/>
      <c r="D182" s="374"/>
      <c r="E182" s="113"/>
      <c r="F182" s="113"/>
      <c r="G182" s="374"/>
      <c r="H182" s="78" t="s">
        <v>309</v>
      </c>
      <c r="I182" s="128">
        <v>19</v>
      </c>
      <c r="J182" s="128">
        <f t="shared" si="14"/>
        <v>6.0509554140127388</v>
      </c>
      <c r="K182" s="128"/>
      <c r="L182" s="128"/>
      <c r="M182" s="128">
        <v>3</v>
      </c>
      <c r="N182" s="128"/>
      <c r="O182" s="129">
        <f>(3.264 * J182^1.012+ 1.643)/1000</f>
        <v>2.1824618411569741E-2</v>
      </c>
      <c r="P182" s="129">
        <f>O182*(1+'Key Data'!F$3)</f>
        <v>2.7280773014462176E-2</v>
      </c>
      <c r="Q182" s="379"/>
      <c r="R182" s="379"/>
      <c r="S182" s="369"/>
    </row>
    <row r="183" spans="1:19" x14ac:dyDescent="0.3">
      <c r="A183" s="374"/>
      <c r="B183" s="374"/>
      <c r="C183" s="374"/>
      <c r="D183" s="374"/>
      <c r="E183" s="113"/>
      <c r="F183" s="113"/>
      <c r="G183" s="374"/>
      <c r="H183" s="78" t="s">
        <v>309</v>
      </c>
      <c r="I183" s="128">
        <v>14</v>
      </c>
      <c r="J183" s="128">
        <f t="shared" si="14"/>
        <v>4.4585987261146496</v>
      </c>
      <c r="K183" s="128"/>
      <c r="L183" s="128"/>
      <c r="M183" s="128">
        <v>1.6</v>
      </c>
      <c r="N183" s="128"/>
      <c r="O183" s="129">
        <f t="shared" si="15"/>
        <v>1.6459271183425984E-2</v>
      </c>
      <c r="P183" s="129">
        <f>O183*(1+'Key Data'!F$3)</f>
        <v>2.0574088979282479E-2</v>
      </c>
      <c r="Q183" s="379"/>
      <c r="R183" s="379"/>
      <c r="S183" s="369"/>
    </row>
    <row r="184" spans="1:19" x14ac:dyDescent="0.3">
      <c r="A184" s="374"/>
      <c r="B184" s="374"/>
      <c r="C184" s="374"/>
      <c r="D184" s="374"/>
      <c r="E184" s="113"/>
      <c r="F184" s="113"/>
      <c r="G184" s="374"/>
      <c r="H184" s="78" t="s">
        <v>310</v>
      </c>
      <c r="I184" s="128">
        <v>13.2</v>
      </c>
      <c r="J184" s="128">
        <f t="shared" si="14"/>
        <v>4.2038216560509554</v>
      </c>
      <c r="K184" s="128">
        <v>8.4</v>
      </c>
      <c r="L184" s="128">
        <f>K184/3.14</f>
        <v>2.6751592356687897</v>
      </c>
      <c r="M184" s="128">
        <v>2.2000000000000002</v>
      </c>
      <c r="N184" s="128"/>
      <c r="O184" s="129">
        <f>(((0.144504+2.943115*L184/100)^2)*'Key Data'!$I$14*'Key Data'!$F$14)</f>
        <v>3.4535491352600957E-2</v>
      </c>
      <c r="P184" s="129">
        <f>O184*(1+'Key Data'!F$3)</f>
        <v>4.3169364190751194E-2</v>
      </c>
      <c r="Q184" s="379"/>
      <c r="R184" s="379"/>
      <c r="S184" s="369"/>
    </row>
    <row r="185" spans="1:19" x14ac:dyDescent="0.3">
      <c r="A185" s="374"/>
      <c r="B185" s="374"/>
      <c r="C185" s="374"/>
      <c r="D185" s="374"/>
      <c r="E185" s="113"/>
      <c r="F185" s="113"/>
      <c r="G185" s="374"/>
      <c r="H185" s="78" t="s">
        <v>310</v>
      </c>
      <c r="I185" s="128">
        <v>19.8</v>
      </c>
      <c r="J185" s="128">
        <f t="shared" si="14"/>
        <v>6.3057324840764331</v>
      </c>
      <c r="K185" s="128">
        <v>13.6</v>
      </c>
      <c r="L185" s="128">
        <f>K185/3.14</f>
        <v>4.3312101910828025</v>
      </c>
      <c r="M185" s="128">
        <v>4</v>
      </c>
      <c r="N185" s="128"/>
      <c r="O185" s="129">
        <f>(((0.144504+2.943115*L185/100)^2)*'Key Data'!$I$14*'Key Data'!$F$14)</f>
        <v>5.1262051870201518E-2</v>
      </c>
      <c r="P185" s="129">
        <f>O185*(1+'Key Data'!F$3)</f>
        <v>6.4077564837751899E-2</v>
      </c>
      <c r="Q185" s="379"/>
      <c r="R185" s="379"/>
      <c r="S185" s="369"/>
    </row>
    <row r="186" spans="1:19" x14ac:dyDescent="0.3">
      <c r="A186" s="374"/>
      <c r="B186" s="374"/>
      <c r="C186" s="374"/>
      <c r="D186" s="374"/>
      <c r="E186" s="113"/>
      <c r="F186" s="113"/>
      <c r="G186" s="374"/>
      <c r="H186" s="78" t="s">
        <v>310</v>
      </c>
      <c r="I186" s="128">
        <v>18</v>
      </c>
      <c r="J186" s="128">
        <f t="shared" si="14"/>
        <v>5.7324840764331206</v>
      </c>
      <c r="K186" s="128">
        <v>12.4</v>
      </c>
      <c r="L186" s="128">
        <f>K186/3.14</f>
        <v>3.9490445859872612</v>
      </c>
      <c r="M186" s="128">
        <v>4.2</v>
      </c>
      <c r="N186" s="128"/>
      <c r="O186" s="129">
        <f>(((0.144504+2.943115*L186/100)^2)*'Key Data'!$I$14*'Key Data'!$F$14)</f>
        <v>4.7109843107949995E-2</v>
      </c>
      <c r="P186" s="129">
        <f>O186*(1+'Key Data'!F$3)</f>
        <v>5.8887303884937493E-2</v>
      </c>
      <c r="Q186" s="379"/>
      <c r="R186" s="379"/>
      <c r="S186" s="369"/>
    </row>
    <row r="187" spans="1:19" x14ac:dyDescent="0.3">
      <c r="A187" s="374"/>
      <c r="B187" s="374"/>
      <c r="C187" s="374"/>
      <c r="D187" s="374"/>
      <c r="E187" s="113"/>
      <c r="F187" s="113"/>
      <c r="G187" s="374"/>
      <c r="H187" s="78" t="s">
        <v>310</v>
      </c>
      <c r="I187" s="128">
        <v>21.4</v>
      </c>
      <c r="J187" s="128">
        <f t="shared" si="14"/>
        <v>6.8152866242038206</v>
      </c>
      <c r="K187" s="128">
        <v>15.8</v>
      </c>
      <c r="L187" s="128">
        <f>K187/3.14</f>
        <v>5.031847133757962</v>
      </c>
      <c r="M187" s="128">
        <v>3.4</v>
      </c>
      <c r="N187" s="128"/>
      <c r="O187" s="129">
        <f>(((0.144504+2.943115*L187/100)^2)*'Key Data'!$I$14*'Key Data'!$F$14)</f>
        <v>5.9329831428341855E-2</v>
      </c>
      <c r="P187" s="129">
        <f>O187*(1+'Key Data'!F$3)</f>
        <v>7.4162289285427313E-2</v>
      </c>
      <c r="Q187" s="379"/>
      <c r="R187" s="379"/>
      <c r="S187" s="369"/>
    </row>
    <row r="188" spans="1:19" x14ac:dyDescent="0.3">
      <c r="A188" s="374"/>
      <c r="B188" s="374"/>
      <c r="C188" s="374"/>
      <c r="D188" s="374"/>
      <c r="E188" s="113"/>
      <c r="F188" s="113"/>
      <c r="G188" s="374"/>
      <c r="H188" s="78" t="s">
        <v>310</v>
      </c>
      <c r="I188" s="128">
        <v>17</v>
      </c>
      <c r="J188" s="128">
        <f t="shared" si="14"/>
        <v>5.4140127388535033</v>
      </c>
      <c r="K188" s="128">
        <f>SQRT(6.2^2+7^2)</f>
        <v>9.3509357820487669</v>
      </c>
      <c r="L188" s="128">
        <f>K188/3.14</f>
        <v>2.9780050261301803</v>
      </c>
      <c r="M188" s="128">
        <v>2</v>
      </c>
      <c r="N188" s="128"/>
      <c r="O188" s="129">
        <f>(((0.144504+2.943115*L188/100)^2)*'Key Data'!$I$14*'Key Data'!$F$14)</f>
        <v>3.7348316630650358E-2</v>
      </c>
      <c r="P188" s="129">
        <f>O188*(1+'Key Data'!F$3)</f>
        <v>4.6685395788312947E-2</v>
      </c>
      <c r="Q188" s="379"/>
      <c r="R188" s="379"/>
      <c r="S188" s="369"/>
    </row>
    <row r="189" spans="1:19" ht="15" customHeight="1" x14ac:dyDescent="0.3">
      <c r="A189" s="367">
        <v>3</v>
      </c>
      <c r="B189" s="367" t="s">
        <v>409</v>
      </c>
      <c r="C189" s="367" t="s">
        <v>432</v>
      </c>
      <c r="D189" s="367" t="s">
        <v>275</v>
      </c>
      <c r="E189" s="367">
        <v>15.473385</v>
      </c>
      <c r="F189" s="367">
        <v>79.390585000000002</v>
      </c>
      <c r="G189" s="367">
        <v>2019</v>
      </c>
      <c r="H189" s="109" t="s">
        <v>481</v>
      </c>
      <c r="I189" s="127">
        <f>SQRT((20)^2+(10.5)^2)</f>
        <v>22.588713996153036</v>
      </c>
      <c r="J189" s="127">
        <f t="shared" si="14"/>
        <v>7.1938579605582911</v>
      </c>
      <c r="K189" s="127"/>
      <c r="L189" s="127"/>
      <c r="M189" s="127"/>
      <c r="N189" s="127">
        <f>3.14*(J189/2)^2</f>
        <v>40.625</v>
      </c>
      <c r="O189" s="127">
        <f>(10^(-0.535+LOG10(N189)))/1000</f>
        <v>1.1852047244379748E-2</v>
      </c>
      <c r="P189" s="127">
        <f>O189*(1+'Key Data'!F$3)</f>
        <v>1.4815059055474686E-2</v>
      </c>
      <c r="Q189" s="366">
        <f>SUM(P189:P225)</f>
        <v>0.94209984014080372</v>
      </c>
      <c r="R189" s="366">
        <f>Q189*10000/900</f>
        <v>10.467776001564484</v>
      </c>
      <c r="S189" s="369"/>
    </row>
    <row r="190" spans="1:19" x14ac:dyDescent="0.3">
      <c r="A190" s="367"/>
      <c r="B190" s="367"/>
      <c r="C190" s="367"/>
      <c r="D190" s="367"/>
      <c r="E190" s="367"/>
      <c r="F190" s="367"/>
      <c r="G190" s="367"/>
      <c r="H190" s="109" t="s">
        <v>481</v>
      </c>
      <c r="I190" s="127">
        <v>26</v>
      </c>
      <c r="J190" s="127">
        <f t="shared" si="14"/>
        <v>8.2802547770700627</v>
      </c>
      <c r="K190" s="127"/>
      <c r="L190" s="127"/>
      <c r="M190" s="127"/>
      <c r="N190" s="127">
        <f t="shared" ref="N190:N225" si="16">3.14*(J190/2)^2</f>
        <v>53.821656050955404</v>
      </c>
      <c r="O190" s="127">
        <f t="shared" ref="O190:O225" si="17">(10^(-0.535+LOG10(N190)))/1000</f>
        <v>1.570207533013367E-2</v>
      </c>
      <c r="P190" s="127">
        <f>O190*(1+'Key Data'!F$3)</f>
        <v>1.9627594162667086E-2</v>
      </c>
      <c r="Q190" s="366"/>
      <c r="R190" s="366"/>
      <c r="S190" s="369"/>
    </row>
    <row r="191" spans="1:19" x14ac:dyDescent="0.3">
      <c r="A191" s="367"/>
      <c r="B191" s="367"/>
      <c r="C191" s="367"/>
      <c r="D191" s="367"/>
      <c r="E191" s="367"/>
      <c r="F191" s="367"/>
      <c r="G191" s="367"/>
      <c r="H191" s="109" t="s">
        <v>481</v>
      </c>
      <c r="I191" s="127">
        <v>22.5</v>
      </c>
      <c r="J191" s="127">
        <f t="shared" si="14"/>
        <v>7.1656050955414008</v>
      </c>
      <c r="K191" s="127"/>
      <c r="L191" s="127"/>
      <c r="M191" s="127"/>
      <c r="N191" s="127">
        <f t="shared" si="16"/>
        <v>40.306528662420376</v>
      </c>
      <c r="O191" s="127">
        <f t="shared" si="17"/>
        <v>1.1759135556035753E-2</v>
      </c>
      <c r="P191" s="127">
        <f>O191*(1+'Key Data'!F$3)</f>
        <v>1.469891944504469E-2</v>
      </c>
      <c r="Q191" s="366"/>
      <c r="R191" s="366"/>
      <c r="S191" s="369"/>
    </row>
    <row r="192" spans="1:19" x14ac:dyDescent="0.3">
      <c r="A192" s="367"/>
      <c r="B192" s="367"/>
      <c r="C192" s="367"/>
      <c r="D192" s="367"/>
      <c r="E192" s="367"/>
      <c r="F192" s="367"/>
      <c r="G192" s="367"/>
      <c r="H192" s="109" t="s">
        <v>481</v>
      </c>
      <c r="I192" s="127">
        <f>SQRT((26)^2+(16.5)^2+(15.5)^2)</f>
        <v>34.474628351876397</v>
      </c>
      <c r="J192" s="127">
        <f t="shared" si="14"/>
        <v>10.979181003782292</v>
      </c>
      <c r="K192" s="127"/>
      <c r="L192" s="127"/>
      <c r="M192" s="127"/>
      <c r="N192" s="127">
        <f t="shared" si="16"/>
        <v>94.625796178343961</v>
      </c>
      <c r="O192" s="127">
        <f t="shared" si="17"/>
        <v>2.7606385399206904E-2</v>
      </c>
      <c r="P192" s="127">
        <f>O192*(1+'Key Data'!F$3)</f>
        <v>3.4507981749008633E-2</v>
      </c>
      <c r="Q192" s="366"/>
      <c r="R192" s="366"/>
      <c r="S192" s="369"/>
    </row>
    <row r="193" spans="1:19" x14ac:dyDescent="0.3">
      <c r="A193" s="367"/>
      <c r="B193" s="367"/>
      <c r="C193" s="367"/>
      <c r="D193" s="367"/>
      <c r="E193" s="367"/>
      <c r="F193" s="367"/>
      <c r="G193" s="367"/>
      <c r="H193" s="109" t="s">
        <v>481</v>
      </c>
      <c r="I193" s="127">
        <f>SQRT((21)^2+(27.2)^2)</f>
        <v>34.36335257218073</v>
      </c>
      <c r="J193" s="127">
        <f t="shared" si="14"/>
        <v>10.943742857382398</v>
      </c>
      <c r="K193" s="127"/>
      <c r="L193" s="127"/>
      <c r="M193" s="127"/>
      <c r="N193" s="127">
        <f t="shared" si="16"/>
        <v>94.015923566878982</v>
      </c>
      <c r="O193" s="127">
        <f t="shared" si="17"/>
        <v>2.7428459516028181E-2</v>
      </c>
      <c r="P193" s="127">
        <f>O193*(1+'Key Data'!F$3)</f>
        <v>3.4285574395035226E-2</v>
      </c>
      <c r="Q193" s="366"/>
      <c r="R193" s="366"/>
      <c r="S193" s="369"/>
    </row>
    <row r="194" spans="1:19" x14ac:dyDescent="0.3">
      <c r="A194" s="367"/>
      <c r="B194" s="367"/>
      <c r="C194" s="367"/>
      <c r="D194" s="367"/>
      <c r="E194" s="367"/>
      <c r="F194" s="367"/>
      <c r="G194" s="367"/>
      <c r="H194" s="109" t="s">
        <v>481</v>
      </c>
      <c r="I194" s="127">
        <v>21</v>
      </c>
      <c r="J194" s="127">
        <f t="shared" ref="J194:J225" si="18">I194/3.14</f>
        <v>6.6878980891719744</v>
      </c>
      <c r="K194" s="127"/>
      <c r="L194" s="127"/>
      <c r="M194" s="127"/>
      <c r="N194" s="127">
        <f t="shared" si="16"/>
        <v>35.111464968152866</v>
      </c>
      <c r="O194" s="127">
        <f t="shared" si="17"/>
        <v>1.0243513639924477E-2</v>
      </c>
      <c r="P194" s="127">
        <f>O194*(1+'Key Data'!F$3)</f>
        <v>1.2804392049905597E-2</v>
      </c>
      <c r="Q194" s="366"/>
      <c r="R194" s="366"/>
      <c r="S194" s="369"/>
    </row>
    <row r="195" spans="1:19" x14ac:dyDescent="0.3">
      <c r="A195" s="367"/>
      <c r="B195" s="367"/>
      <c r="C195" s="367"/>
      <c r="D195" s="367"/>
      <c r="E195" s="367"/>
      <c r="F195" s="367"/>
      <c r="G195" s="367"/>
      <c r="H195" s="109" t="s">
        <v>481</v>
      </c>
      <c r="I195" s="127">
        <v>16</v>
      </c>
      <c r="J195" s="127">
        <f t="shared" si="18"/>
        <v>5.0955414012738851</v>
      </c>
      <c r="K195" s="127"/>
      <c r="L195" s="127"/>
      <c r="M195" s="127"/>
      <c r="N195" s="127">
        <f t="shared" si="16"/>
        <v>20.38216560509554</v>
      </c>
      <c r="O195" s="127">
        <f t="shared" si="17"/>
        <v>5.9463480540151185E-3</v>
      </c>
      <c r="P195" s="127">
        <f>O195*(1+'Key Data'!F$3)</f>
        <v>7.4329350675188983E-3</v>
      </c>
      <c r="Q195" s="366"/>
      <c r="R195" s="366"/>
      <c r="S195" s="369"/>
    </row>
    <row r="196" spans="1:19" x14ac:dyDescent="0.3">
      <c r="A196" s="367"/>
      <c r="B196" s="367"/>
      <c r="C196" s="367"/>
      <c r="D196" s="367"/>
      <c r="E196" s="367"/>
      <c r="F196" s="367"/>
      <c r="G196" s="367"/>
      <c r="H196" s="109" t="s">
        <v>481</v>
      </c>
      <c r="I196" s="127">
        <v>20</v>
      </c>
      <c r="J196" s="127">
        <f t="shared" si="18"/>
        <v>6.3694267515923562</v>
      </c>
      <c r="K196" s="127"/>
      <c r="L196" s="127"/>
      <c r="M196" s="127"/>
      <c r="N196" s="127">
        <f t="shared" si="16"/>
        <v>31.847133757961778</v>
      </c>
      <c r="O196" s="127">
        <f t="shared" si="17"/>
        <v>9.2911688343986203E-3</v>
      </c>
      <c r="P196" s="127">
        <f>O196*(1+'Key Data'!F$3)</f>
        <v>1.1613961042998276E-2</v>
      </c>
      <c r="Q196" s="366"/>
      <c r="R196" s="366"/>
      <c r="S196" s="369"/>
    </row>
    <row r="197" spans="1:19" x14ac:dyDescent="0.3">
      <c r="A197" s="367"/>
      <c r="B197" s="367"/>
      <c r="C197" s="367"/>
      <c r="D197" s="367"/>
      <c r="E197" s="367"/>
      <c r="F197" s="367"/>
      <c r="G197" s="367"/>
      <c r="H197" s="109" t="s">
        <v>481</v>
      </c>
      <c r="I197" s="127">
        <v>24</v>
      </c>
      <c r="J197" s="127">
        <f t="shared" si="18"/>
        <v>7.6433121019108281</v>
      </c>
      <c r="K197" s="127"/>
      <c r="L197" s="127"/>
      <c r="M197" s="127"/>
      <c r="N197" s="127">
        <f t="shared" si="16"/>
        <v>45.859872611464972</v>
      </c>
      <c r="O197" s="127">
        <f t="shared" si="17"/>
        <v>1.3379283121534021E-2</v>
      </c>
      <c r="P197" s="127">
        <f>O197*(1+'Key Data'!F$3)</f>
        <v>1.6724103901917527E-2</v>
      </c>
      <c r="Q197" s="366"/>
      <c r="R197" s="366"/>
      <c r="S197" s="369"/>
    </row>
    <row r="198" spans="1:19" x14ac:dyDescent="0.3">
      <c r="A198" s="367"/>
      <c r="B198" s="367"/>
      <c r="C198" s="367"/>
      <c r="D198" s="367"/>
      <c r="E198" s="367"/>
      <c r="F198" s="367"/>
      <c r="G198" s="367"/>
      <c r="H198" s="109" t="s">
        <v>481</v>
      </c>
      <c r="I198" s="127">
        <f>SQRT((30.5)^2+(18.5)^2)</f>
        <v>35.672117963473937</v>
      </c>
      <c r="J198" s="127">
        <f t="shared" si="18"/>
        <v>11.360547122125457</v>
      </c>
      <c r="K198" s="127"/>
      <c r="L198" s="127"/>
      <c r="M198" s="127"/>
      <c r="N198" s="127">
        <f t="shared" si="16"/>
        <v>101.3136942675159</v>
      </c>
      <c r="O198" s="127">
        <f t="shared" si="17"/>
        <v>2.9557530854430601E-2</v>
      </c>
      <c r="P198" s="127">
        <f>O198*(1+'Key Data'!F$3)</f>
        <v>3.6946913568038253E-2</v>
      </c>
      <c r="Q198" s="366"/>
      <c r="R198" s="366"/>
      <c r="S198" s="369"/>
    </row>
    <row r="199" spans="1:19" x14ac:dyDescent="0.3">
      <c r="A199" s="367"/>
      <c r="B199" s="367"/>
      <c r="C199" s="367"/>
      <c r="D199" s="367"/>
      <c r="E199" s="367"/>
      <c r="F199" s="367"/>
      <c r="G199" s="367"/>
      <c r="H199" s="109" t="s">
        <v>481</v>
      </c>
      <c r="I199" s="127">
        <v>27</v>
      </c>
      <c r="J199" s="127">
        <f t="shared" si="18"/>
        <v>8.598726114649681</v>
      </c>
      <c r="K199" s="127"/>
      <c r="L199" s="127"/>
      <c r="M199" s="127"/>
      <c r="N199" s="127">
        <f t="shared" si="16"/>
        <v>58.041401273885342</v>
      </c>
      <c r="O199" s="127">
        <f t="shared" si="17"/>
        <v>1.6933155200691483E-2</v>
      </c>
      <c r="P199" s="127">
        <f>O199*(1+'Key Data'!F$3)</f>
        <v>2.1166444000864353E-2</v>
      </c>
      <c r="Q199" s="366"/>
      <c r="R199" s="366"/>
      <c r="S199" s="369"/>
    </row>
    <row r="200" spans="1:19" x14ac:dyDescent="0.3">
      <c r="A200" s="367"/>
      <c r="B200" s="367"/>
      <c r="C200" s="367"/>
      <c r="D200" s="367"/>
      <c r="E200" s="367"/>
      <c r="F200" s="367"/>
      <c r="G200" s="367"/>
      <c r="H200" s="109" t="s">
        <v>481</v>
      </c>
      <c r="I200" s="127">
        <v>20</v>
      </c>
      <c r="J200" s="127">
        <f t="shared" si="18"/>
        <v>6.3694267515923562</v>
      </c>
      <c r="K200" s="127"/>
      <c r="L200" s="127"/>
      <c r="M200" s="127"/>
      <c r="N200" s="127">
        <f t="shared" si="16"/>
        <v>31.847133757961778</v>
      </c>
      <c r="O200" s="127">
        <f t="shared" si="17"/>
        <v>9.2911688343986203E-3</v>
      </c>
      <c r="P200" s="127">
        <f>O200*(1+'Key Data'!F$3)</f>
        <v>1.1613961042998276E-2</v>
      </c>
      <c r="Q200" s="366"/>
      <c r="R200" s="366"/>
      <c r="S200" s="369"/>
    </row>
    <row r="201" spans="1:19" x14ac:dyDescent="0.3">
      <c r="A201" s="367"/>
      <c r="B201" s="367"/>
      <c r="C201" s="367"/>
      <c r="D201" s="367"/>
      <c r="E201" s="367"/>
      <c r="F201" s="367"/>
      <c r="G201" s="367"/>
      <c r="H201" s="109" t="s">
        <v>481</v>
      </c>
      <c r="I201" s="127">
        <v>32</v>
      </c>
      <c r="J201" s="127">
        <f t="shared" si="18"/>
        <v>10.19108280254777</v>
      </c>
      <c r="K201" s="127"/>
      <c r="L201" s="127"/>
      <c r="M201" s="127"/>
      <c r="N201" s="127">
        <f t="shared" si="16"/>
        <v>81.528662420382162</v>
      </c>
      <c r="O201" s="127">
        <f t="shared" si="17"/>
        <v>2.3785392216060477E-2</v>
      </c>
      <c r="P201" s="127">
        <f>O201*(1+'Key Data'!F$3)</f>
        <v>2.9731740270075597E-2</v>
      </c>
      <c r="Q201" s="366"/>
      <c r="R201" s="366"/>
      <c r="S201" s="369"/>
    </row>
    <row r="202" spans="1:19" x14ac:dyDescent="0.3">
      <c r="A202" s="367"/>
      <c r="B202" s="367"/>
      <c r="C202" s="367"/>
      <c r="D202" s="367"/>
      <c r="E202" s="367"/>
      <c r="F202" s="367"/>
      <c r="G202" s="367"/>
      <c r="H202" s="109" t="s">
        <v>481</v>
      </c>
      <c r="I202" s="127">
        <v>10</v>
      </c>
      <c r="J202" s="127">
        <f t="shared" si="18"/>
        <v>3.1847133757961781</v>
      </c>
      <c r="K202" s="127"/>
      <c r="L202" s="127"/>
      <c r="M202" s="127"/>
      <c r="N202" s="127">
        <f t="shared" si="16"/>
        <v>7.9617834394904445</v>
      </c>
      <c r="O202" s="127">
        <f t="shared" si="17"/>
        <v>2.3227922085996546E-3</v>
      </c>
      <c r="P202" s="127">
        <f>O202*(1+'Key Data'!F$3)</f>
        <v>2.9034902607495685E-3</v>
      </c>
      <c r="Q202" s="366"/>
      <c r="R202" s="366"/>
      <c r="S202" s="369"/>
    </row>
    <row r="203" spans="1:19" x14ac:dyDescent="0.3">
      <c r="A203" s="367"/>
      <c r="B203" s="367"/>
      <c r="C203" s="367"/>
      <c r="D203" s="367"/>
      <c r="E203" s="367"/>
      <c r="F203" s="367"/>
      <c r="G203" s="367"/>
      <c r="H203" s="109" t="s">
        <v>481</v>
      </c>
      <c r="I203" s="127">
        <v>27.5</v>
      </c>
      <c r="J203" s="127">
        <f t="shared" si="18"/>
        <v>8.7579617834394909</v>
      </c>
      <c r="K203" s="127"/>
      <c r="L203" s="127"/>
      <c r="M203" s="127"/>
      <c r="N203" s="127">
        <f t="shared" si="16"/>
        <v>60.210987261146514</v>
      </c>
      <c r="O203" s="127">
        <f t="shared" si="17"/>
        <v>1.7566116077534905E-2</v>
      </c>
      <c r="P203" s="127">
        <f>O203*(1+'Key Data'!F$3)</f>
        <v>2.1957645096918631E-2</v>
      </c>
      <c r="Q203" s="366"/>
      <c r="R203" s="366"/>
      <c r="S203" s="369"/>
    </row>
    <row r="204" spans="1:19" x14ac:dyDescent="0.3">
      <c r="A204" s="367"/>
      <c r="B204" s="367"/>
      <c r="C204" s="367"/>
      <c r="D204" s="367"/>
      <c r="E204" s="367"/>
      <c r="F204" s="367"/>
      <c r="G204" s="367"/>
      <c r="H204" s="109" t="s">
        <v>481</v>
      </c>
      <c r="I204" s="127">
        <v>31</v>
      </c>
      <c r="J204" s="127">
        <f t="shared" si="18"/>
        <v>9.872611464968152</v>
      </c>
      <c r="K204" s="127"/>
      <c r="L204" s="127"/>
      <c r="M204" s="127"/>
      <c r="N204" s="127">
        <f t="shared" si="16"/>
        <v>76.51273885350318</v>
      </c>
      <c r="O204" s="127">
        <f t="shared" si="17"/>
        <v>2.2322033124642683E-2</v>
      </c>
      <c r="P204" s="127">
        <f>O204*(1+'Key Data'!F$3)</f>
        <v>2.7902541405803352E-2</v>
      </c>
      <c r="Q204" s="366"/>
      <c r="R204" s="366"/>
      <c r="S204" s="369"/>
    </row>
    <row r="205" spans="1:19" x14ac:dyDescent="0.3">
      <c r="A205" s="367"/>
      <c r="B205" s="367"/>
      <c r="C205" s="367"/>
      <c r="D205" s="367"/>
      <c r="E205" s="367"/>
      <c r="F205" s="367"/>
      <c r="G205" s="367"/>
      <c r="H205" s="109" t="s">
        <v>481</v>
      </c>
      <c r="I205" s="127">
        <f>SQRT((28.5)^2+(16.5)^2)</f>
        <v>32.931747600150224</v>
      </c>
      <c r="J205" s="127">
        <f t="shared" si="18"/>
        <v>10.48781770705421</v>
      </c>
      <c r="K205" s="127"/>
      <c r="L205" s="127"/>
      <c r="M205" s="127"/>
      <c r="N205" s="127">
        <f t="shared" si="16"/>
        <v>86.345541401273877</v>
      </c>
      <c r="O205" s="127">
        <f t="shared" si="17"/>
        <v>2.5190681502263279E-2</v>
      </c>
      <c r="P205" s="127">
        <f>O205*(1+'Key Data'!F$3)</f>
        <v>3.1488351877829099E-2</v>
      </c>
      <c r="Q205" s="366"/>
      <c r="R205" s="366"/>
      <c r="S205" s="369"/>
    </row>
    <row r="206" spans="1:19" x14ac:dyDescent="0.3">
      <c r="A206" s="367"/>
      <c r="B206" s="367"/>
      <c r="C206" s="367"/>
      <c r="D206" s="367"/>
      <c r="E206" s="367"/>
      <c r="F206" s="367"/>
      <c r="G206" s="367"/>
      <c r="H206" s="109" t="s">
        <v>481</v>
      </c>
      <c r="I206" s="127">
        <f>SQRT((20)^2+(9)^2)</f>
        <v>21.931712199461309</v>
      </c>
      <c r="J206" s="127">
        <f t="shared" si="18"/>
        <v>6.9846217195736653</v>
      </c>
      <c r="K206" s="127"/>
      <c r="L206" s="127"/>
      <c r="M206" s="127"/>
      <c r="N206" s="127">
        <f t="shared" si="16"/>
        <v>38.296178343949045</v>
      </c>
      <c r="O206" s="127">
        <f t="shared" si="17"/>
        <v>1.1172630523364344E-2</v>
      </c>
      <c r="P206" s="127">
        <f>O206*(1+'Key Data'!F$3)</f>
        <v>1.3965788154205429E-2</v>
      </c>
      <c r="Q206" s="366"/>
      <c r="R206" s="366"/>
      <c r="S206" s="369"/>
    </row>
    <row r="207" spans="1:19" x14ac:dyDescent="0.3">
      <c r="A207" s="367"/>
      <c r="B207" s="367"/>
      <c r="C207" s="367"/>
      <c r="D207" s="367"/>
      <c r="E207" s="367"/>
      <c r="F207" s="367"/>
      <c r="G207" s="367"/>
      <c r="H207" s="109" t="s">
        <v>481</v>
      </c>
      <c r="I207" s="127">
        <f>SQRT((14)^2+(14)^2+(16.5)^2+(12.5)^2+(21)^2)</f>
        <v>35.517601270356081</v>
      </c>
      <c r="J207" s="127">
        <f t="shared" si="18"/>
        <v>11.311337984189834</v>
      </c>
      <c r="K207" s="127"/>
      <c r="L207" s="127"/>
      <c r="M207" s="127"/>
      <c r="N207" s="127">
        <f t="shared" si="16"/>
        <v>100.43789808917195</v>
      </c>
      <c r="O207" s="127">
        <f t="shared" si="17"/>
        <v>2.9302023711484659E-2</v>
      </c>
      <c r="P207" s="127">
        <f>O207*(1+'Key Data'!F$3)</f>
        <v>3.6627529639355824E-2</v>
      </c>
      <c r="Q207" s="366"/>
      <c r="R207" s="366"/>
      <c r="S207" s="369"/>
    </row>
    <row r="208" spans="1:19" x14ac:dyDescent="0.3">
      <c r="A208" s="367"/>
      <c r="B208" s="367"/>
      <c r="C208" s="367"/>
      <c r="D208" s="367"/>
      <c r="E208" s="367"/>
      <c r="F208" s="367"/>
      <c r="G208" s="367"/>
      <c r="H208" s="109" t="s">
        <v>481</v>
      </c>
      <c r="I208" s="127">
        <f>SQRT((22.5)^2+(32)^2)</f>
        <v>39.118409988137302</v>
      </c>
      <c r="J208" s="127">
        <f t="shared" si="18"/>
        <v>12.458092352909969</v>
      </c>
      <c r="K208" s="127"/>
      <c r="L208" s="127"/>
      <c r="M208" s="127"/>
      <c r="N208" s="127">
        <f t="shared" si="16"/>
        <v>121.83519108280257</v>
      </c>
      <c r="O208" s="127">
        <f t="shared" si="17"/>
        <v>3.554452777209622E-2</v>
      </c>
      <c r="P208" s="127">
        <f>O208*(1+'Key Data'!F$3)</f>
        <v>4.4430659715120273E-2</v>
      </c>
      <c r="Q208" s="366"/>
      <c r="R208" s="366"/>
      <c r="S208" s="369"/>
    </row>
    <row r="209" spans="1:19" x14ac:dyDescent="0.3">
      <c r="A209" s="367"/>
      <c r="B209" s="367"/>
      <c r="C209" s="367"/>
      <c r="D209" s="367"/>
      <c r="E209" s="367"/>
      <c r="F209" s="367"/>
      <c r="G209" s="367"/>
      <c r="H209" s="109" t="s">
        <v>481</v>
      </c>
      <c r="I209" s="127">
        <f>SQRT((10)^2+(14.4)^2)</f>
        <v>17.531685600648903</v>
      </c>
      <c r="J209" s="127">
        <f t="shared" si="18"/>
        <v>5.5833393632639812</v>
      </c>
      <c r="K209" s="127"/>
      <c r="L209" s="127"/>
      <c r="M209" s="127"/>
      <c r="N209" s="127">
        <f t="shared" si="16"/>
        <v>24.471337579617835</v>
      </c>
      <c r="O209" s="127">
        <f t="shared" si="17"/>
        <v>7.1393341323519009E-3</v>
      </c>
      <c r="P209" s="127">
        <f>O209*(1+'Key Data'!F$3)</f>
        <v>8.924167665439877E-3</v>
      </c>
      <c r="Q209" s="366"/>
      <c r="R209" s="366"/>
      <c r="S209" s="369"/>
    </row>
    <row r="210" spans="1:19" x14ac:dyDescent="0.3">
      <c r="A210" s="367"/>
      <c r="B210" s="367"/>
      <c r="C210" s="367"/>
      <c r="D210" s="367"/>
      <c r="E210" s="367"/>
      <c r="F210" s="367"/>
      <c r="G210" s="367"/>
      <c r="H210" s="109" t="s">
        <v>481</v>
      </c>
      <c r="I210" s="127">
        <f>SQRT((26.4)^2+(21)^2)</f>
        <v>33.733662712489433</v>
      </c>
      <c r="J210" s="127">
        <f t="shared" si="18"/>
        <v>10.743204685506189</v>
      </c>
      <c r="K210" s="127"/>
      <c r="L210" s="127"/>
      <c r="M210" s="127"/>
      <c r="N210" s="127">
        <f t="shared" si="16"/>
        <v>90.601910828025481</v>
      </c>
      <c r="O210" s="127">
        <f t="shared" si="17"/>
        <v>2.6432446216980651E-2</v>
      </c>
      <c r="P210" s="127">
        <f>O210*(1+'Key Data'!F$3)</f>
        <v>3.3040557771225811E-2</v>
      </c>
      <c r="Q210" s="366"/>
      <c r="R210" s="366"/>
      <c r="S210" s="369"/>
    </row>
    <row r="211" spans="1:19" x14ac:dyDescent="0.3">
      <c r="A211" s="367"/>
      <c r="B211" s="367"/>
      <c r="C211" s="367"/>
      <c r="D211" s="367"/>
      <c r="E211" s="367"/>
      <c r="F211" s="367"/>
      <c r="G211" s="367"/>
      <c r="H211" s="109" t="s">
        <v>481</v>
      </c>
      <c r="I211" s="127">
        <v>27</v>
      </c>
      <c r="J211" s="127">
        <f t="shared" si="18"/>
        <v>8.598726114649681</v>
      </c>
      <c r="K211" s="127"/>
      <c r="L211" s="127"/>
      <c r="M211" s="127"/>
      <c r="N211" s="127">
        <f t="shared" si="16"/>
        <v>58.041401273885342</v>
      </c>
      <c r="O211" s="127">
        <f t="shared" si="17"/>
        <v>1.6933155200691483E-2</v>
      </c>
      <c r="P211" s="127">
        <f>O211*(1+'Key Data'!F$3)</f>
        <v>2.1166444000864353E-2</v>
      </c>
      <c r="Q211" s="366"/>
      <c r="R211" s="366"/>
      <c r="S211" s="369"/>
    </row>
    <row r="212" spans="1:19" x14ac:dyDescent="0.3">
      <c r="A212" s="367"/>
      <c r="B212" s="367"/>
      <c r="C212" s="367"/>
      <c r="D212" s="367"/>
      <c r="E212" s="367"/>
      <c r="F212" s="367"/>
      <c r="G212" s="367"/>
      <c r="H212" s="109" t="s">
        <v>481</v>
      </c>
      <c r="I212" s="127">
        <f>SQRT((18.5)^2+(22)^2+(17)^2+(14)^2)</f>
        <v>36.211186116999812</v>
      </c>
      <c r="J212" s="127">
        <f t="shared" si="18"/>
        <v>11.532224878025417</v>
      </c>
      <c r="K212" s="127"/>
      <c r="L212" s="127"/>
      <c r="M212" s="127"/>
      <c r="N212" s="127">
        <f t="shared" si="16"/>
        <v>104.39888535031845</v>
      </c>
      <c r="O212" s="127">
        <f t="shared" si="17"/>
        <v>3.0457612835262972E-2</v>
      </c>
      <c r="P212" s="127">
        <f>O212*(1+'Key Data'!F$3)</f>
        <v>3.8072016044078713E-2</v>
      </c>
      <c r="Q212" s="366"/>
      <c r="R212" s="366"/>
      <c r="S212" s="369"/>
    </row>
    <row r="213" spans="1:19" x14ac:dyDescent="0.3">
      <c r="A213" s="367"/>
      <c r="B213" s="367"/>
      <c r="C213" s="367"/>
      <c r="D213" s="367"/>
      <c r="E213" s="367"/>
      <c r="F213" s="367"/>
      <c r="G213" s="367"/>
      <c r="H213" s="109" t="s">
        <v>481</v>
      </c>
      <c r="I213" s="127">
        <f>SQRT((32)^2+(18)^2)</f>
        <v>36.715119501371639</v>
      </c>
      <c r="J213" s="127">
        <f t="shared" si="18"/>
        <v>11.692713216997337</v>
      </c>
      <c r="K213" s="127"/>
      <c r="L213" s="127"/>
      <c r="M213" s="127"/>
      <c r="N213" s="127">
        <f t="shared" si="16"/>
        <v>107.32484076433121</v>
      </c>
      <c r="O213" s="127">
        <f t="shared" si="17"/>
        <v>3.1311238971923346E-2</v>
      </c>
      <c r="P213" s="127">
        <f>O213*(1+'Key Data'!F$3)</f>
        <v>3.913904871490418E-2</v>
      </c>
      <c r="Q213" s="366"/>
      <c r="R213" s="366"/>
      <c r="S213" s="369"/>
    </row>
    <row r="214" spans="1:19" x14ac:dyDescent="0.3">
      <c r="A214" s="367"/>
      <c r="B214" s="367"/>
      <c r="C214" s="367"/>
      <c r="D214" s="367"/>
      <c r="E214" s="367"/>
      <c r="F214" s="367"/>
      <c r="G214" s="367"/>
      <c r="H214" s="109" t="s">
        <v>481</v>
      </c>
      <c r="I214" s="127">
        <f>SQRT((28)^2+(25)^2+(23.5)^2)</f>
        <v>44.286002303210886</v>
      </c>
      <c r="J214" s="127">
        <f t="shared" si="18"/>
        <v>14.103822389557607</v>
      </c>
      <c r="K214" s="127"/>
      <c r="L214" s="127"/>
      <c r="M214" s="127"/>
      <c r="N214" s="127">
        <f t="shared" si="16"/>
        <v>156.15047770700636</v>
      </c>
      <c r="O214" s="127">
        <f t="shared" si="17"/>
        <v>4.555576219116074E-2</v>
      </c>
      <c r="P214" s="127">
        <f>O214*(1+'Key Data'!F$3)</f>
        <v>5.6944702738950928E-2</v>
      </c>
      <c r="Q214" s="366"/>
      <c r="R214" s="366"/>
      <c r="S214" s="369"/>
    </row>
    <row r="215" spans="1:19" x14ac:dyDescent="0.3">
      <c r="A215" s="367"/>
      <c r="B215" s="367"/>
      <c r="C215" s="367"/>
      <c r="D215" s="367"/>
      <c r="E215" s="367"/>
      <c r="F215" s="367"/>
      <c r="G215" s="367"/>
      <c r="H215" s="109" t="s">
        <v>481</v>
      </c>
      <c r="I215" s="127">
        <f>SQRT((32.5)^2+(15)^2)</f>
        <v>35.794552658190881</v>
      </c>
      <c r="J215" s="127">
        <f t="shared" si="18"/>
        <v>11.399539063118114</v>
      </c>
      <c r="K215" s="127"/>
      <c r="L215" s="127"/>
      <c r="M215" s="127"/>
      <c r="N215" s="127">
        <f t="shared" si="16"/>
        <v>102.01035031847132</v>
      </c>
      <c r="O215" s="127">
        <f t="shared" si="17"/>
        <v>2.976077517268309E-2</v>
      </c>
      <c r="P215" s="127">
        <f>O215*(1+'Key Data'!F$3)</f>
        <v>3.7200968965853863E-2</v>
      </c>
      <c r="Q215" s="366"/>
      <c r="R215" s="366"/>
      <c r="S215" s="369"/>
    </row>
    <row r="216" spans="1:19" x14ac:dyDescent="0.3">
      <c r="A216" s="367"/>
      <c r="B216" s="367"/>
      <c r="C216" s="367"/>
      <c r="D216" s="367"/>
      <c r="E216" s="367"/>
      <c r="F216" s="367"/>
      <c r="G216" s="367"/>
      <c r="H216" s="109" t="s">
        <v>481</v>
      </c>
      <c r="I216" s="127">
        <v>26</v>
      </c>
      <c r="J216" s="127">
        <f t="shared" si="18"/>
        <v>8.2802547770700627</v>
      </c>
      <c r="K216" s="127"/>
      <c r="L216" s="127"/>
      <c r="M216" s="127"/>
      <c r="N216" s="127">
        <f t="shared" si="16"/>
        <v>53.821656050955404</v>
      </c>
      <c r="O216" s="127">
        <f t="shared" si="17"/>
        <v>1.570207533013367E-2</v>
      </c>
      <c r="P216" s="127">
        <f>O216*(1+'Key Data'!F$3)</f>
        <v>1.9627594162667086E-2</v>
      </c>
      <c r="Q216" s="366"/>
      <c r="R216" s="366"/>
      <c r="S216" s="369"/>
    </row>
    <row r="217" spans="1:19" x14ac:dyDescent="0.3">
      <c r="A217" s="367"/>
      <c r="B217" s="367"/>
      <c r="C217" s="367"/>
      <c r="D217" s="367"/>
      <c r="E217" s="367"/>
      <c r="F217" s="367"/>
      <c r="G217" s="367"/>
      <c r="H217" s="109" t="s">
        <v>481</v>
      </c>
      <c r="I217" s="127">
        <f>SQRT((32)^2+(20)^2)</f>
        <v>37.735924528226413</v>
      </c>
      <c r="J217" s="127">
        <f t="shared" si="18"/>
        <v>12.017810359307774</v>
      </c>
      <c r="K217" s="127"/>
      <c r="L217" s="127"/>
      <c r="M217" s="127"/>
      <c r="N217" s="127">
        <f t="shared" si="16"/>
        <v>113.37579617834392</v>
      </c>
      <c r="O217" s="127">
        <f t="shared" si="17"/>
        <v>3.3076561050459079E-2</v>
      </c>
      <c r="P217" s="127">
        <f>O217*(1+'Key Data'!F$3)</f>
        <v>4.134570131307385E-2</v>
      </c>
      <c r="Q217" s="366"/>
      <c r="R217" s="366"/>
      <c r="S217" s="369"/>
    </row>
    <row r="218" spans="1:19" x14ac:dyDescent="0.3">
      <c r="A218" s="367"/>
      <c r="B218" s="367"/>
      <c r="C218" s="367"/>
      <c r="D218" s="367"/>
      <c r="E218" s="367"/>
      <c r="F218" s="367"/>
      <c r="G218" s="367"/>
      <c r="H218" s="109" t="s">
        <v>481</v>
      </c>
      <c r="I218" s="127">
        <v>21.8</v>
      </c>
      <c r="J218" s="127">
        <f t="shared" si="18"/>
        <v>6.9426751592356686</v>
      </c>
      <c r="K218" s="127"/>
      <c r="L218" s="127"/>
      <c r="M218" s="127"/>
      <c r="N218" s="127">
        <f t="shared" si="16"/>
        <v>37.837579617834393</v>
      </c>
      <c r="O218" s="127">
        <f t="shared" si="17"/>
        <v>1.1038837692149001E-2</v>
      </c>
      <c r="P218" s="127">
        <f>O218*(1+'Key Data'!F$3)</f>
        <v>1.3798547115186251E-2</v>
      </c>
      <c r="Q218" s="366"/>
      <c r="R218" s="366"/>
      <c r="S218" s="369"/>
    </row>
    <row r="219" spans="1:19" x14ac:dyDescent="0.3">
      <c r="A219" s="367"/>
      <c r="B219" s="367"/>
      <c r="C219" s="367"/>
      <c r="D219" s="367"/>
      <c r="E219" s="367"/>
      <c r="F219" s="367"/>
      <c r="G219" s="367"/>
      <c r="H219" s="109" t="s">
        <v>481</v>
      </c>
      <c r="I219" s="127">
        <v>24</v>
      </c>
      <c r="J219" s="127">
        <f t="shared" si="18"/>
        <v>7.6433121019108281</v>
      </c>
      <c r="K219" s="127"/>
      <c r="L219" s="127"/>
      <c r="M219" s="127"/>
      <c r="N219" s="127">
        <f t="shared" si="16"/>
        <v>45.859872611464972</v>
      </c>
      <c r="O219" s="127">
        <f t="shared" si="17"/>
        <v>1.3379283121534021E-2</v>
      </c>
      <c r="P219" s="127">
        <f>O219*(1+'Key Data'!F$3)</f>
        <v>1.6724103901917527E-2</v>
      </c>
      <c r="Q219" s="366"/>
      <c r="R219" s="366"/>
      <c r="S219" s="369"/>
    </row>
    <row r="220" spans="1:19" x14ac:dyDescent="0.3">
      <c r="A220" s="367"/>
      <c r="B220" s="367"/>
      <c r="C220" s="367"/>
      <c r="D220" s="367"/>
      <c r="E220" s="367"/>
      <c r="F220" s="367"/>
      <c r="G220" s="367"/>
      <c r="H220" s="109" t="s">
        <v>481</v>
      </c>
      <c r="I220" s="127">
        <f>SQRT((25.5)^2+(27)^2)</f>
        <v>37.138255209419839</v>
      </c>
      <c r="J220" s="127">
        <f t="shared" si="18"/>
        <v>11.827469811917146</v>
      </c>
      <c r="K220" s="127"/>
      <c r="L220" s="127"/>
      <c r="M220" s="127"/>
      <c r="N220" s="127">
        <f t="shared" si="16"/>
        <v>109.81289808917195</v>
      </c>
      <c r="O220" s="127">
        <f t="shared" si="17"/>
        <v>3.2037111537110731E-2</v>
      </c>
      <c r="P220" s="127">
        <f>O220*(1+'Key Data'!F$3)</f>
        <v>4.0046389421388412E-2</v>
      </c>
      <c r="Q220" s="366"/>
      <c r="R220" s="366"/>
      <c r="S220" s="369"/>
    </row>
    <row r="221" spans="1:19" x14ac:dyDescent="0.3">
      <c r="A221" s="367"/>
      <c r="B221" s="367"/>
      <c r="C221" s="367"/>
      <c r="D221" s="367"/>
      <c r="E221" s="367"/>
      <c r="F221" s="367"/>
      <c r="G221" s="367"/>
      <c r="H221" s="109" t="s">
        <v>481</v>
      </c>
      <c r="I221" s="127">
        <v>24.5</v>
      </c>
      <c r="J221" s="127">
        <f t="shared" si="18"/>
        <v>7.8025477707006363</v>
      </c>
      <c r="K221" s="127"/>
      <c r="L221" s="127"/>
      <c r="M221" s="127"/>
      <c r="N221" s="127">
        <f t="shared" si="16"/>
        <v>47.790605095541395</v>
      </c>
      <c r="O221" s="127">
        <f t="shared" si="17"/>
        <v>1.3942560232119433E-2</v>
      </c>
      <c r="P221" s="127">
        <f>O221*(1+'Key Data'!F$3)</f>
        <v>1.7428200290149291E-2</v>
      </c>
      <c r="Q221" s="366"/>
      <c r="R221" s="366"/>
      <c r="S221" s="369"/>
    </row>
    <row r="222" spans="1:19" x14ac:dyDescent="0.3">
      <c r="A222" s="367"/>
      <c r="B222" s="367"/>
      <c r="C222" s="367"/>
      <c r="D222" s="367"/>
      <c r="E222" s="367"/>
      <c r="F222" s="367"/>
      <c r="G222" s="367"/>
      <c r="H222" s="109" t="s">
        <v>481</v>
      </c>
      <c r="I222" s="127">
        <f>SQRT((11)^2+(28.5)^2)</f>
        <v>30.549140740780256</v>
      </c>
      <c r="J222" s="127">
        <f t="shared" si="18"/>
        <v>9.729025713624285</v>
      </c>
      <c r="K222" s="127"/>
      <c r="L222" s="127"/>
      <c r="M222" s="127"/>
      <c r="N222" s="127">
        <f t="shared" si="16"/>
        <v>74.303343949044589</v>
      </c>
      <c r="O222" s="127">
        <f t="shared" si="17"/>
        <v>2.1677458286756296E-2</v>
      </c>
      <c r="P222" s="127">
        <f>O222*(1+'Key Data'!F$3)</f>
        <v>2.709682285844537E-2</v>
      </c>
      <c r="Q222" s="366"/>
      <c r="R222" s="366"/>
      <c r="S222" s="369"/>
    </row>
    <row r="223" spans="1:19" x14ac:dyDescent="0.3">
      <c r="A223" s="367"/>
      <c r="B223" s="367"/>
      <c r="C223" s="367"/>
      <c r="D223" s="367"/>
      <c r="E223" s="367"/>
      <c r="F223" s="367"/>
      <c r="G223" s="367"/>
      <c r="H223" s="109" t="s">
        <v>481</v>
      </c>
      <c r="I223" s="127">
        <f>SQRT((31)^2+(15)^2+(15)^2+(19)^2)</f>
        <v>42.095130359698373</v>
      </c>
      <c r="J223" s="127">
        <f t="shared" si="18"/>
        <v>13.40609247124152</v>
      </c>
      <c r="K223" s="127"/>
      <c r="L223" s="127"/>
      <c r="M223" s="127"/>
      <c r="N223" s="127">
        <f t="shared" si="16"/>
        <v>141.08280254777065</v>
      </c>
      <c r="O223" s="127">
        <f t="shared" si="17"/>
        <v>4.115987793638589E-2</v>
      </c>
      <c r="P223" s="127">
        <f>O223*(1+'Key Data'!F$3)</f>
        <v>5.1449847420482364E-2</v>
      </c>
      <c r="Q223" s="366"/>
      <c r="R223" s="366"/>
      <c r="S223" s="369"/>
    </row>
    <row r="224" spans="1:19" x14ac:dyDescent="0.3">
      <c r="A224" s="367"/>
      <c r="B224" s="367"/>
      <c r="C224" s="367"/>
      <c r="D224" s="367"/>
      <c r="E224" s="367"/>
      <c r="F224" s="367"/>
      <c r="G224" s="367"/>
      <c r="H224" s="109" t="s">
        <v>481</v>
      </c>
      <c r="I224" s="127">
        <f>SQRT((17)^2+(9.5)^2+(25)^2)</f>
        <v>31.68990375498165</v>
      </c>
      <c r="J224" s="127">
        <f t="shared" si="18"/>
        <v>10.09232603661836</v>
      </c>
      <c r="K224" s="127"/>
      <c r="L224" s="127"/>
      <c r="M224" s="127"/>
      <c r="N224" s="127">
        <f t="shared" si="16"/>
        <v>79.956210191082803</v>
      </c>
      <c r="O224" s="127">
        <f t="shared" si="17"/>
        <v>2.332664075486204E-2</v>
      </c>
      <c r="P224" s="127">
        <f>O224*(1+'Key Data'!F$3)</f>
        <v>2.9158300943577551E-2</v>
      </c>
      <c r="Q224" s="366"/>
      <c r="R224" s="366"/>
      <c r="S224" s="369"/>
    </row>
    <row r="225" spans="1:19" x14ac:dyDescent="0.3">
      <c r="A225" s="367"/>
      <c r="B225" s="367"/>
      <c r="C225" s="367"/>
      <c r="D225" s="367"/>
      <c r="E225" s="367"/>
      <c r="F225" s="367"/>
      <c r="G225" s="367"/>
      <c r="H225" s="109" t="s">
        <v>481</v>
      </c>
      <c r="I225" s="127">
        <v>14</v>
      </c>
      <c r="J225" s="127">
        <f t="shared" si="18"/>
        <v>4.4585987261146496</v>
      </c>
      <c r="K225" s="127"/>
      <c r="L225" s="127"/>
      <c r="M225" s="127"/>
      <c r="N225" s="127">
        <f t="shared" si="16"/>
        <v>15.605095541401273</v>
      </c>
      <c r="O225" s="127">
        <f t="shared" si="17"/>
        <v>4.5526727288553257E-3</v>
      </c>
      <c r="P225" s="127">
        <f>O225*(1+'Key Data'!F$3)</f>
        <v>5.6908409110691567E-3</v>
      </c>
      <c r="Q225" s="366"/>
      <c r="R225" s="366"/>
      <c r="S225" s="369"/>
    </row>
    <row r="226" spans="1:19" x14ac:dyDescent="0.3"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</row>
    <row r="227" spans="1:19" x14ac:dyDescent="0.3"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</row>
    <row r="228" spans="1:19" x14ac:dyDescent="0.3"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</row>
    <row r="229" spans="1:19" x14ac:dyDescent="0.3"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</row>
    <row r="230" spans="1:19" x14ac:dyDescent="0.3"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</row>
    <row r="231" spans="1:19" x14ac:dyDescent="0.3"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</row>
    <row r="232" spans="1:19" x14ac:dyDescent="0.3"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</row>
    <row r="233" spans="1:19" x14ac:dyDescent="0.3"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</row>
    <row r="234" spans="1:19" x14ac:dyDescent="0.3"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</row>
    <row r="235" spans="1:19" x14ac:dyDescent="0.3"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</row>
    <row r="236" spans="1:19" x14ac:dyDescent="0.3"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</row>
    <row r="237" spans="1:19" x14ac:dyDescent="0.3"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</row>
    <row r="238" spans="1:19" x14ac:dyDescent="0.3"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</row>
    <row r="239" spans="1:19" x14ac:dyDescent="0.3"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</row>
    <row r="240" spans="1:19" x14ac:dyDescent="0.3"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</row>
    <row r="241" s="66" customFormat="1" x14ac:dyDescent="0.3"/>
    <row r="242" s="66" customFormat="1" x14ac:dyDescent="0.3"/>
    <row r="243" s="66" customFormat="1" x14ac:dyDescent="0.3"/>
    <row r="244" s="66" customFormat="1" x14ac:dyDescent="0.3"/>
    <row r="245" s="66" customFormat="1" x14ac:dyDescent="0.3"/>
    <row r="246" s="66" customFormat="1" x14ac:dyDescent="0.3"/>
    <row r="247" s="66" customFormat="1" x14ac:dyDescent="0.3"/>
    <row r="248" s="66" customFormat="1" x14ac:dyDescent="0.3"/>
    <row r="249" s="66" customFormat="1" x14ac:dyDescent="0.3"/>
    <row r="250" s="66" customFormat="1" x14ac:dyDescent="0.3"/>
    <row r="251" s="66" customFormat="1" x14ac:dyDescent="0.3"/>
    <row r="252" s="66" customFormat="1" x14ac:dyDescent="0.3"/>
    <row r="253" s="66" customFormat="1" x14ac:dyDescent="0.3"/>
    <row r="254" s="66" customFormat="1" x14ac:dyDescent="0.3"/>
    <row r="255" s="66" customFormat="1" x14ac:dyDescent="0.3"/>
    <row r="256" s="66" customFormat="1" x14ac:dyDescent="0.3"/>
    <row r="257" s="66" customFormat="1" x14ac:dyDescent="0.3"/>
    <row r="258" s="66" customFormat="1" x14ac:dyDescent="0.3"/>
    <row r="259" s="66" customFormat="1" x14ac:dyDescent="0.3"/>
    <row r="260" s="66" customFormat="1" x14ac:dyDescent="0.3"/>
    <row r="261" s="66" customFormat="1" x14ac:dyDescent="0.3"/>
    <row r="262" s="66" customFormat="1" x14ac:dyDescent="0.3"/>
    <row r="263" s="66" customFormat="1" x14ac:dyDescent="0.3"/>
    <row r="264" s="66" customFormat="1" x14ac:dyDescent="0.3"/>
    <row r="265" s="66" customFormat="1" x14ac:dyDescent="0.3"/>
    <row r="266" s="66" customFormat="1" x14ac:dyDescent="0.3"/>
    <row r="267" s="66" customFormat="1" x14ac:dyDescent="0.3"/>
    <row r="268" s="66" customFormat="1" x14ac:dyDescent="0.3"/>
    <row r="269" s="66" customFormat="1" x14ac:dyDescent="0.3"/>
    <row r="270" s="66" customFormat="1" x14ac:dyDescent="0.3"/>
    <row r="271" s="66" customFormat="1" x14ac:dyDescent="0.3"/>
    <row r="272" s="66" customFormat="1" x14ac:dyDescent="0.3"/>
    <row r="273" s="66" customFormat="1" x14ac:dyDescent="0.3"/>
    <row r="274" s="66" customFormat="1" x14ac:dyDescent="0.3"/>
    <row r="275" s="66" customFormat="1" x14ac:dyDescent="0.3"/>
    <row r="276" s="66" customFormat="1" x14ac:dyDescent="0.3"/>
    <row r="277" s="66" customFormat="1" x14ac:dyDescent="0.3"/>
    <row r="278" s="66" customFormat="1" x14ac:dyDescent="0.3"/>
    <row r="279" s="66" customFormat="1" x14ac:dyDescent="0.3"/>
    <row r="280" s="66" customFormat="1" x14ac:dyDescent="0.3"/>
    <row r="281" s="66" customFormat="1" x14ac:dyDescent="0.3"/>
    <row r="282" s="66" customFormat="1" x14ac:dyDescent="0.3"/>
    <row r="283" s="66" customFormat="1" x14ac:dyDescent="0.3"/>
    <row r="284" s="66" customFormat="1" x14ac:dyDescent="0.3"/>
    <row r="285" s="66" customFormat="1" x14ac:dyDescent="0.3"/>
    <row r="286" s="66" customFormat="1" x14ac:dyDescent="0.3"/>
    <row r="287" s="66" customFormat="1" x14ac:dyDescent="0.3"/>
    <row r="288" s="66" customFormat="1" x14ac:dyDescent="0.3"/>
    <row r="289" s="66" customFormat="1" x14ac:dyDescent="0.3"/>
    <row r="290" s="66" customFormat="1" x14ac:dyDescent="0.3"/>
    <row r="291" s="66" customFormat="1" x14ac:dyDescent="0.3"/>
    <row r="292" s="66" customFormat="1" x14ac:dyDescent="0.3"/>
    <row r="293" s="66" customFormat="1" x14ac:dyDescent="0.3"/>
    <row r="294" s="66" customFormat="1" x14ac:dyDescent="0.3"/>
    <row r="295" s="66" customFormat="1" x14ac:dyDescent="0.3"/>
    <row r="296" s="66" customFormat="1" x14ac:dyDescent="0.3"/>
    <row r="297" s="66" customFormat="1" x14ac:dyDescent="0.3"/>
    <row r="298" s="66" customFormat="1" x14ac:dyDescent="0.3"/>
    <row r="299" s="66" customFormat="1" x14ac:dyDescent="0.3"/>
    <row r="300" s="66" customFormat="1" x14ac:dyDescent="0.3"/>
    <row r="301" s="66" customFormat="1" x14ac:dyDescent="0.3"/>
    <row r="302" s="66" customFormat="1" x14ac:dyDescent="0.3"/>
    <row r="303" s="66" customFormat="1" x14ac:dyDescent="0.3"/>
    <row r="304" s="66" customFormat="1" x14ac:dyDescent="0.3"/>
    <row r="305" s="66" customFormat="1" x14ac:dyDescent="0.3"/>
    <row r="306" s="66" customFormat="1" x14ac:dyDescent="0.3"/>
    <row r="307" s="66" customFormat="1" x14ac:dyDescent="0.3"/>
    <row r="308" s="66" customFormat="1" x14ac:dyDescent="0.3"/>
    <row r="309" s="66" customFormat="1" x14ac:dyDescent="0.3"/>
    <row r="310" s="66" customFormat="1" x14ac:dyDescent="0.3"/>
    <row r="311" s="66" customFormat="1" ht="15" customHeight="1" x14ac:dyDescent="0.3"/>
    <row r="312" s="66" customFormat="1" x14ac:dyDescent="0.3"/>
    <row r="313" s="66" customFormat="1" x14ac:dyDescent="0.3"/>
    <row r="314" s="66" customFormat="1" x14ac:dyDescent="0.3"/>
    <row r="315" s="66" customFormat="1" x14ac:dyDescent="0.3"/>
    <row r="316" s="66" customFormat="1" x14ac:dyDescent="0.3"/>
    <row r="317" s="66" customFormat="1" x14ac:dyDescent="0.3"/>
    <row r="318" s="66" customFormat="1" x14ac:dyDescent="0.3"/>
    <row r="319" s="66" customFormat="1" x14ac:dyDescent="0.3"/>
    <row r="320" s="66" customFormat="1" x14ac:dyDescent="0.3"/>
    <row r="321" s="66" customFormat="1" x14ac:dyDescent="0.3"/>
    <row r="322" s="66" customFormat="1" x14ac:dyDescent="0.3"/>
    <row r="323" s="66" customFormat="1" x14ac:dyDescent="0.3"/>
    <row r="324" s="66" customFormat="1" x14ac:dyDescent="0.3"/>
    <row r="325" s="66" customFormat="1" x14ac:dyDescent="0.3"/>
    <row r="326" s="66" customFormat="1" x14ac:dyDescent="0.3"/>
    <row r="327" s="66" customFormat="1" x14ac:dyDescent="0.3"/>
    <row r="328" s="66" customFormat="1" x14ac:dyDescent="0.3"/>
    <row r="329" s="66" customFormat="1" x14ac:dyDescent="0.3"/>
    <row r="330" s="66" customFormat="1" ht="15" customHeight="1" x14ac:dyDescent="0.3"/>
    <row r="331" s="66" customFormat="1" x14ac:dyDescent="0.3"/>
    <row r="332" s="66" customFormat="1" x14ac:dyDescent="0.3"/>
    <row r="333" s="66" customFormat="1" x14ac:dyDescent="0.3"/>
    <row r="334" s="66" customFormat="1" x14ac:dyDescent="0.3"/>
    <row r="335" s="66" customFormat="1" x14ac:dyDescent="0.3"/>
    <row r="336" s="66" customFormat="1" x14ac:dyDescent="0.3"/>
    <row r="337" s="66" customFormat="1" x14ac:dyDescent="0.3"/>
    <row r="338" s="66" customFormat="1" x14ac:dyDescent="0.3"/>
    <row r="339" s="66" customFormat="1" x14ac:dyDescent="0.3"/>
    <row r="340" s="66" customFormat="1" x14ac:dyDescent="0.3"/>
    <row r="341" s="66" customFormat="1" x14ac:dyDescent="0.3"/>
    <row r="342" s="66" customFormat="1" x14ac:dyDescent="0.3"/>
    <row r="343" s="66" customFormat="1" x14ac:dyDescent="0.3"/>
    <row r="344" s="66" customFormat="1" x14ac:dyDescent="0.3"/>
    <row r="345" s="66" customFormat="1" x14ac:dyDescent="0.3"/>
    <row r="346" s="66" customFormat="1" x14ac:dyDescent="0.3"/>
    <row r="347" s="66" customFormat="1" x14ac:dyDescent="0.3"/>
    <row r="348" s="66" customFormat="1" x14ac:dyDescent="0.3"/>
    <row r="349" s="66" customFormat="1" x14ac:dyDescent="0.3"/>
    <row r="350" s="66" customFormat="1" x14ac:dyDescent="0.3"/>
    <row r="351" s="66" customFormat="1" x14ac:dyDescent="0.3"/>
    <row r="352" s="66" customFormat="1" x14ac:dyDescent="0.3"/>
    <row r="353" s="66" customFormat="1" x14ac:dyDescent="0.3"/>
    <row r="354" s="66" customFormat="1" x14ac:dyDescent="0.3"/>
    <row r="355" s="66" customFormat="1" x14ac:dyDescent="0.3"/>
    <row r="356" s="66" customFormat="1" x14ac:dyDescent="0.3"/>
    <row r="357" s="66" customFormat="1" x14ac:dyDescent="0.3"/>
    <row r="358" s="66" customFormat="1" x14ac:dyDescent="0.3"/>
    <row r="359" s="66" customFormat="1" x14ac:dyDescent="0.3"/>
    <row r="360" s="66" customFormat="1" x14ac:dyDescent="0.3"/>
    <row r="361" s="66" customFormat="1" x14ac:dyDescent="0.3"/>
    <row r="362" s="66" customFormat="1" x14ac:dyDescent="0.3"/>
    <row r="363" s="66" customFormat="1" x14ac:dyDescent="0.3"/>
    <row r="364" s="66" customFormat="1" x14ac:dyDescent="0.3"/>
    <row r="365" s="66" customFormat="1" x14ac:dyDescent="0.3"/>
    <row r="366" s="66" customFormat="1" x14ac:dyDescent="0.3"/>
    <row r="367" s="66" customFormat="1" x14ac:dyDescent="0.3"/>
    <row r="368" s="66" customFormat="1" x14ac:dyDescent="0.3"/>
    <row r="369" s="66" customFormat="1" x14ac:dyDescent="0.3"/>
    <row r="370" s="66" customFormat="1" x14ac:dyDescent="0.3"/>
    <row r="371" s="66" customFormat="1" x14ac:dyDescent="0.3"/>
    <row r="372" s="66" customFormat="1" x14ac:dyDescent="0.3"/>
    <row r="373" s="66" customFormat="1" x14ac:dyDescent="0.3"/>
    <row r="374" s="66" customFormat="1" x14ac:dyDescent="0.3"/>
    <row r="375" s="66" customFormat="1" x14ac:dyDescent="0.3"/>
    <row r="376" s="66" customFormat="1" x14ac:dyDescent="0.3"/>
    <row r="377" s="66" customFormat="1" x14ac:dyDescent="0.3"/>
    <row r="378" s="66" customFormat="1" x14ac:dyDescent="0.3"/>
    <row r="379" s="66" customFormat="1" x14ac:dyDescent="0.3"/>
    <row r="380" s="66" customFormat="1" x14ac:dyDescent="0.3"/>
    <row r="381" s="66" customFormat="1" x14ac:dyDescent="0.3"/>
    <row r="382" s="66" customFormat="1" x14ac:dyDescent="0.3"/>
    <row r="383" s="66" customFormat="1" x14ac:dyDescent="0.3"/>
    <row r="384" s="66" customFormat="1" x14ac:dyDescent="0.3"/>
    <row r="385" s="66" customFormat="1" x14ac:dyDescent="0.3"/>
    <row r="386" s="66" customFormat="1" x14ac:dyDescent="0.3"/>
    <row r="387" s="66" customFormat="1" x14ac:dyDescent="0.3"/>
    <row r="388" s="66" customFormat="1" x14ac:dyDescent="0.3"/>
    <row r="389" s="66" customFormat="1" x14ac:dyDescent="0.3"/>
    <row r="390" s="66" customFormat="1" x14ac:dyDescent="0.3"/>
    <row r="391" s="66" customFormat="1" x14ac:dyDescent="0.3"/>
    <row r="392" s="66" customFormat="1" x14ac:dyDescent="0.3"/>
    <row r="393" s="66" customFormat="1" x14ac:dyDescent="0.3"/>
    <row r="394" s="66" customFormat="1" x14ac:dyDescent="0.3"/>
    <row r="395" s="66" customFormat="1" x14ac:dyDescent="0.3"/>
    <row r="396" s="66" customFormat="1" x14ac:dyDescent="0.3"/>
    <row r="397" s="66" customFormat="1" x14ac:dyDescent="0.3"/>
    <row r="398" s="66" customFormat="1" x14ac:dyDescent="0.3"/>
    <row r="399" s="66" customFormat="1" x14ac:dyDescent="0.3"/>
    <row r="400" s="66" customFormat="1" x14ac:dyDescent="0.3"/>
    <row r="401" s="66" customFormat="1" x14ac:dyDescent="0.3"/>
    <row r="402" s="66" customFormat="1" x14ac:dyDescent="0.3"/>
    <row r="403" s="66" customFormat="1" x14ac:dyDescent="0.3"/>
    <row r="404" s="66" customFormat="1" x14ac:dyDescent="0.3"/>
    <row r="405" s="66" customFormat="1" x14ac:dyDescent="0.3"/>
    <row r="406" s="66" customFormat="1" x14ac:dyDescent="0.3"/>
    <row r="407" s="66" customFormat="1" x14ac:dyDescent="0.3"/>
    <row r="408" s="66" customFormat="1" x14ac:dyDescent="0.3"/>
    <row r="409" s="66" customFormat="1" x14ac:dyDescent="0.3"/>
    <row r="410" s="66" customFormat="1" x14ac:dyDescent="0.3"/>
    <row r="411" s="66" customFormat="1" x14ac:dyDescent="0.3"/>
    <row r="412" s="66" customFormat="1" x14ac:dyDescent="0.3"/>
    <row r="413" s="66" customFormat="1" x14ac:dyDescent="0.3"/>
    <row r="414" s="66" customFormat="1" x14ac:dyDescent="0.3"/>
    <row r="415" s="66" customFormat="1" x14ac:dyDescent="0.3"/>
    <row r="416" s="66" customFormat="1" x14ac:dyDescent="0.3"/>
    <row r="417" s="66" customFormat="1" x14ac:dyDescent="0.3"/>
    <row r="418" s="66" customFormat="1" x14ac:dyDescent="0.3"/>
    <row r="419" s="66" customFormat="1" x14ac:dyDescent="0.3"/>
    <row r="420" s="66" customFormat="1" x14ac:dyDescent="0.3"/>
    <row r="421" s="66" customFormat="1" x14ac:dyDescent="0.3"/>
    <row r="422" s="66" customFormat="1" x14ac:dyDescent="0.3"/>
    <row r="423" s="66" customFormat="1" x14ac:dyDescent="0.3"/>
    <row r="424" s="66" customFormat="1" x14ac:dyDescent="0.3"/>
    <row r="425" s="66" customFormat="1" x14ac:dyDescent="0.3"/>
    <row r="426" s="66" customFormat="1" x14ac:dyDescent="0.3"/>
    <row r="427" s="66" customFormat="1" x14ac:dyDescent="0.3"/>
    <row r="428" s="66" customFormat="1" x14ac:dyDescent="0.3"/>
  </sheetData>
  <autoFilter ref="H1:H434" xr:uid="{7F20A9B2-2A66-434B-8AE3-86F04AB03CC5}"/>
  <mergeCells count="24">
    <mergeCell ref="S2:S225"/>
    <mergeCell ref="Q2:Q97"/>
    <mergeCell ref="R2:R97"/>
    <mergeCell ref="Q98:Q188"/>
    <mergeCell ref="R98:R188"/>
    <mergeCell ref="A2:A97"/>
    <mergeCell ref="B2:B97"/>
    <mergeCell ref="G2:G97"/>
    <mergeCell ref="A98:A188"/>
    <mergeCell ref="B98:B188"/>
    <mergeCell ref="G98:G188"/>
    <mergeCell ref="C2:C97"/>
    <mergeCell ref="D2:D97"/>
    <mergeCell ref="C98:C188"/>
    <mergeCell ref="D98:D188"/>
    <mergeCell ref="F189:F225"/>
    <mergeCell ref="G189:G225"/>
    <mergeCell ref="Q189:Q225"/>
    <mergeCell ref="R189:R225"/>
    <mergeCell ref="A189:A225"/>
    <mergeCell ref="B189:B225"/>
    <mergeCell ref="C189:C225"/>
    <mergeCell ref="D189:D225"/>
    <mergeCell ref="E189:E2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72D2-8778-4756-B948-F2762D4C550A}">
  <dimension ref="A1:S16"/>
  <sheetViews>
    <sheetView topLeftCell="L2" workbookViewId="0">
      <selection activeCell="Q19" sqref="Q19"/>
    </sheetView>
  </sheetViews>
  <sheetFormatPr defaultRowHeight="14.4" x14ac:dyDescent="0.3"/>
  <cols>
    <col min="15" max="15" width="9.6640625" style="86" customWidth="1"/>
    <col min="16" max="16" width="11.109375" style="86" customWidth="1"/>
    <col min="17" max="17" width="12.5546875" style="86" customWidth="1"/>
    <col min="18" max="18" width="11" style="86" customWidth="1"/>
    <col min="19" max="19" width="12.109375" style="86" customWidth="1"/>
  </cols>
  <sheetData>
    <row r="1" spans="1:19" s="68" customFormat="1" ht="79.8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71" t="s">
        <v>257</v>
      </c>
      <c r="J1" s="71" t="s">
        <v>258</v>
      </c>
      <c r="K1" s="71" t="s">
        <v>251</v>
      </c>
      <c r="L1" s="71" t="s">
        <v>252</v>
      </c>
      <c r="M1" s="71" t="s">
        <v>259</v>
      </c>
      <c r="N1" s="71" t="s">
        <v>368</v>
      </c>
      <c r="O1" s="75" t="s">
        <v>364</v>
      </c>
      <c r="P1" s="75" t="s">
        <v>363</v>
      </c>
      <c r="Q1" s="75" t="s">
        <v>362</v>
      </c>
      <c r="R1" s="75" t="s">
        <v>370</v>
      </c>
      <c r="S1" s="75" t="s">
        <v>361</v>
      </c>
    </row>
    <row r="2" spans="1:19" x14ac:dyDescent="0.3">
      <c r="A2" s="457">
        <v>1</v>
      </c>
      <c r="B2" s="457" t="s">
        <v>301</v>
      </c>
      <c r="C2" s="457" t="s">
        <v>302</v>
      </c>
      <c r="D2" s="457" t="s">
        <v>292</v>
      </c>
      <c r="E2" s="186">
        <v>14.477185</v>
      </c>
      <c r="F2" s="186">
        <v>75.235759999999999</v>
      </c>
      <c r="G2" s="457">
        <v>2024</v>
      </c>
      <c r="H2" s="457" t="s">
        <v>263</v>
      </c>
      <c r="I2" s="187">
        <v>12.2</v>
      </c>
      <c r="J2" s="187">
        <f t="shared" ref="J2:J16" si="0">I2/3.14</f>
        <v>3.8853503184713372</v>
      </c>
      <c r="K2" s="187"/>
      <c r="L2" s="187"/>
      <c r="M2" s="187"/>
      <c r="N2" s="187"/>
      <c r="O2" s="188">
        <f>30.4*EXP(-5.07*EXP(-0.26*J2)+1.277)/1000</f>
        <v>1.720508878940057E-2</v>
      </c>
      <c r="P2" s="188">
        <f>O2*(1+'Key Data'!F$3)</f>
        <v>2.1506360986750711E-2</v>
      </c>
      <c r="Q2" s="454">
        <f>SUM(P2:P16)</f>
        <v>0.33157588285904904</v>
      </c>
      <c r="R2" s="454">
        <f>Q2*10000/900</f>
        <v>3.6841764762116558</v>
      </c>
      <c r="S2" s="453">
        <f>AVERAGE(R2:R16)</f>
        <v>3.6841764762116558</v>
      </c>
    </row>
    <row r="3" spans="1:19" x14ac:dyDescent="0.3">
      <c r="A3" s="457"/>
      <c r="B3" s="457"/>
      <c r="C3" s="457"/>
      <c r="D3" s="457"/>
      <c r="E3" s="186">
        <v>14.476941</v>
      </c>
      <c r="F3" s="186">
        <v>75.235799999999998</v>
      </c>
      <c r="G3" s="457"/>
      <c r="H3" s="457"/>
      <c r="I3" s="187">
        <v>10.8</v>
      </c>
      <c r="J3" s="187">
        <f t="shared" si="0"/>
        <v>3.4394904458598727</v>
      </c>
      <c r="K3" s="187"/>
      <c r="L3" s="187"/>
      <c r="M3" s="187"/>
      <c r="N3" s="187"/>
      <c r="O3" s="188">
        <f t="shared" ref="O3:O16" si="1">30.4*EXP(-5.07*EXP(-0.26*J3)+1.277)/1000</f>
        <v>1.3712174443302257E-2</v>
      </c>
      <c r="P3" s="188">
        <f>O3*(1+'Key Data'!F$3)</f>
        <v>1.7140218054127819E-2</v>
      </c>
      <c r="Q3" s="455"/>
      <c r="R3" s="455"/>
      <c r="S3" s="453"/>
    </row>
    <row r="4" spans="1:19" x14ac:dyDescent="0.3">
      <c r="A4" s="457"/>
      <c r="B4" s="457"/>
      <c r="C4" s="457"/>
      <c r="D4" s="457"/>
      <c r="E4" s="186">
        <v>14.477048</v>
      </c>
      <c r="F4" s="186">
        <v>75.236599999999996</v>
      </c>
      <c r="G4" s="457"/>
      <c r="H4" s="457"/>
      <c r="I4" s="187">
        <v>15.8</v>
      </c>
      <c r="J4" s="187">
        <f t="shared" si="0"/>
        <v>5.031847133757962</v>
      </c>
      <c r="K4" s="187"/>
      <c r="L4" s="187"/>
      <c r="M4" s="187"/>
      <c r="N4" s="187"/>
      <c r="O4" s="188">
        <f t="shared" si="1"/>
        <v>2.769080221814104E-2</v>
      </c>
      <c r="P4" s="188">
        <f>O4*(1+'Key Data'!F$3)</f>
        <v>3.4613502772676302E-2</v>
      </c>
      <c r="Q4" s="455"/>
      <c r="R4" s="455"/>
      <c r="S4" s="453"/>
    </row>
    <row r="5" spans="1:19" x14ac:dyDescent="0.3">
      <c r="A5" s="457"/>
      <c r="B5" s="457"/>
      <c r="C5" s="457"/>
      <c r="D5" s="457"/>
      <c r="E5" s="186">
        <v>14.477266999999999</v>
      </c>
      <c r="F5" s="186">
        <v>75.235950000000003</v>
      </c>
      <c r="G5" s="457"/>
      <c r="H5" s="457"/>
      <c r="I5" s="187">
        <v>12.8</v>
      </c>
      <c r="J5" s="187">
        <f t="shared" si="0"/>
        <v>4.0764331210191083</v>
      </c>
      <c r="K5" s="187"/>
      <c r="L5" s="187"/>
      <c r="M5" s="187"/>
      <c r="N5" s="187"/>
      <c r="O5" s="188">
        <f t="shared" si="1"/>
        <v>1.8815629369169789E-2</v>
      </c>
      <c r="P5" s="188">
        <f>O5*(1+'Key Data'!F$3)</f>
        <v>2.3519536711462237E-2</v>
      </c>
      <c r="Q5" s="455"/>
      <c r="R5" s="455"/>
      <c r="S5" s="453"/>
    </row>
    <row r="6" spans="1:19" x14ac:dyDescent="0.3">
      <c r="A6" s="457"/>
      <c r="B6" s="457"/>
      <c r="C6" s="457"/>
      <c r="D6" s="457"/>
      <c r="E6" s="186">
        <v>14.4771371</v>
      </c>
      <c r="F6" s="186">
        <v>75.235839999999996</v>
      </c>
      <c r="G6" s="457"/>
      <c r="H6" s="457"/>
      <c r="I6" s="187">
        <v>10</v>
      </c>
      <c r="J6" s="187">
        <f t="shared" si="0"/>
        <v>3.1847133757961781</v>
      </c>
      <c r="K6" s="187"/>
      <c r="L6" s="187"/>
      <c r="M6" s="187"/>
      <c r="N6" s="187"/>
      <c r="O6" s="188">
        <f t="shared" si="1"/>
        <v>1.1897201446553259E-2</v>
      </c>
      <c r="P6" s="188">
        <f>O6*(1+'Key Data'!F$3)</f>
        <v>1.4871501808191575E-2</v>
      </c>
      <c r="Q6" s="455"/>
      <c r="R6" s="455"/>
      <c r="S6" s="453"/>
    </row>
    <row r="7" spans="1:19" x14ac:dyDescent="0.3">
      <c r="A7" s="457"/>
      <c r="B7" s="457"/>
      <c r="C7" s="457"/>
      <c r="D7" s="457"/>
      <c r="E7" s="186"/>
      <c r="F7" s="186"/>
      <c r="G7" s="457"/>
      <c r="H7" s="457"/>
      <c r="I7" s="187">
        <v>14.8</v>
      </c>
      <c r="J7" s="187">
        <f t="shared" si="0"/>
        <v>4.7133757961783438</v>
      </c>
      <c r="K7" s="187"/>
      <c r="L7" s="187"/>
      <c r="M7" s="187"/>
      <c r="N7" s="187"/>
      <c r="O7" s="188">
        <f t="shared" si="1"/>
        <v>2.4601375881753231E-2</v>
      </c>
      <c r="P7" s="188">
        <f>O7*(1+'Key Data'!F$3)</f>
        <v>3.075171985219154E-2</v>
      </c>
      <c r="Q7" s="455"/>
      <c r="R7" s="455"/>
      <c r="S7" s="453"/>
    </row>
    <row r="8" spans="1:19" x14ac:dyDescent="0.3">
      <c r="A8" s="457"/>
      <c r="B8" s="457"/>
      <c r="C8" s="457"/>
      <c r="D8" s="457"/>
      <c r="E8" s="186"/>
      <c r="F8" s="186"/>
      <c r="G8" s="457"/>
      <c r="H8" s="457"/>
      <c r="I8" s="187">
        <v>11.2</v>
      </c>
      <c r="J8" s="187">
        <f t="shared" si="0"/>
        <v>3.5668789808917194</v>
      </c>
      <c r="K8" s="187"/>
      <c r="L8" s="187"/>
      <c r="M8" s="187"/>
      <c r="N8" s="187"/>
      <c r="O8" s="188">
        <f t="shared" si="1"/>
        <v>1.4670292468067026E-2</v>
      </c>
      <c r="P8" s="188">
        <f>O8*(1+'Key Data'!F$3)</f>
        <v>1.8337865585083782E-2</v>
      </c>
      <c r="Q8" s="455"/>
      <c r="R8" s="455"/>
      <c r="S8" s="453"/>
    </row>
    <row r="9" spans="1:19" x14ac:dyDescent="0.3">
      <c r="A9" s="457"/>
      <c r="B9" s="457"/>
      <c r="C9" s="457"/>
      <c r="D9" s="457"/>
      <c r="E9" s="186"/>
      <c r="F9" s="186"/>
      <c r="G9" s="457"/>
      <c r="H9" s="457"/>
      <c r="I9" s="187">
        <v>11</v>
      </c>
      <c r="J9" s="187">
        <f t="shared" si="0"/>
        <v>3.5031847133757958</v>
      </c>
      <c r="K9" s="187"/>
      <c r="L9" s="187"/>
      <c r="M9" s="187"/>
      <c r="N9" s="187"/>
      <c r="O9" s="188">
        <f t="shared" si="1"/>
        <v>1.4187111700351446E-2</v>
      </c>
      <c r="P9" s="188">
        <f>O9*(1+'Key Data'!F$3)</f>
        <v>1.7733889625439307E-2</v>
      </c>
      <c r="Q9" s="455"/>
      <c r="R9" s="455"/>
      <c r="S9" s="453"/>
    </row>
    <row r="10" spans="1:19" x14ac:dyDescent="0.3">
      <c r="A10" s="457"/>
      <c r="B10" s="457"/>
      <c r="C10" s="457"/>
      <c r="D10" s="457"/>
      <c r="E10" s="186"/>
      <c r="F10" s="186"/>
      <c r="G10" s="457"/>
      <c r="H10" s="457"/>
      <c r="I10" s="187">
        <v>12</v>
      </c>
      <c r="J10" s="187">
        <f t="shared" si="0"/>
        <v>3.8216560509554141</v>
      </c>
      <c r="K10" s="187"/>
      <c r="L10" s="187"/>
      <c r="M10" s="187"/>
      <c r="N10" s="187"/>
      <c r="O10" s="188">
        <f t="shared" si="1"/>
        <v>1.668276246457303E-2</v>
      </c>
      <c r="P10" s="188">
        <f>O10*(1+'Key Data'!F$3)</f>
        <v>2.0853453080716289E-2</v>
      </c>
      <c r="Q10" s="455"/>
      <c r="R10" s="455"/>
      <c r="S10" s="453"/>
    </row>
    <row r="11" spans="1:19" x14ac:dyDescent="0.3">
      <c r="A11" s="457"/>
      <c r="B11" s="457"/>
      <c r="C11" s="457"/>
      <c r="D11" s="457"/>
      <c r="E11" s="186"/>
      <c r="F11" s="186"/>
      <c r="G11" s="457"/>
      <c r="H11" s="457"/>
      <c r="I11" s="187">
        <v>12.4</v>
      </c>
      <c r="J11" s="187">
        <f t="shared" si="0"/>
        <v>3.9490445859872612</v>
      </c>
      <c r="K11" s="187"/>
      <c r="L11" s="187"/>
      <c r="M11" s="187"/>
      <c r="N11" s="187"/>
      <c r="O11" s="188">
        <f t="shared" si="1"/>
        <v>1.7734786648061707E-2</v>
      </c>
      <c r="P11" s="188">
        <f>O11*(1+'Key Data'!F$3)</f>
        <v>2.2168483310077133E-2</v>
      </c>
      <c r="Q11" s="455"/>
      <c r="R11" s="455"/>
      <c r="S11" s="453"/>
    </row>
    <row r="12" spans="1:19" x14ac:dyDescent="0.3">
      <c r="A12" s="457"/>
      <c r="B12" s="457"/>
      <c r="C12" s="457"/>
      <c r="D12" s="457"/>
      <c r="E12" s="186"/>
      <c r="F12" s="186"/>
      <c r="G12" s="457"/>
      <c r="H12" s="457"/>
      <c r="I12" s="187">
        <v>13.8</v>
      </c>
      <c r="J12" s="187">
        <f t="shared" si="0"/>
        <v>4.3949044585987265</v>
      </c>
      <c r="K12" s="187"/>
      <c r="L12" s="187"/>
      <c r="M12" s="187"/>
      <c r="N12" s="187"/>
      <c r="O12" s="188">
        <f t="shared" si="1"/>
        <v>2.1634561267691546E-2</v>
      </c>
      <c r="P12" s="188">
        <f>O12*(1+'Key Data'!F$3)</f>
        <v>2.7043201584614433E-2</v>
      </c>
      <c r="Q12" s="455"/>
      <c r="R12" s="455"/>
      <c r="S12" s="453"/>
    </row>
    <row r="13" spans="1:19" x14ac:dyDescent="0.3">
      <c r="A13" s="457"/>
      <c r="B13" s="457"/>
      <c r="C13" s="457"/>
      <c r="D13" s="457"/>
      <c r="E13" s="186"/>
      <c r="F13" s="186"/>
      <c r="G13" s="457"/>
      <c r="H13" s="457"/>
      <c r="I13" s="187">
        <v>11</v>
      </c>
      <c r="J13" s="187">
        <f t="shared" si="0"/>
        <v>3.5031847133757958</v>
      </c>
      <c r="K13" s="187"/>
      <c r="L13" s="187"/>
      <c r="M13" s="187"/>
      <c r="N13" s="187"/>
      <c r="O13" s="188">
        <f t="shared" si="1"/>
        <v>1.4187111700351446E-2</v>
      </c>
      <c r="P13" s="188">
        <f>O13*(1+'Key Data'!F$3)</f>
        <v>1.7733889625439307E-2</v>
      </c>
      <c r="Q13" s="455"/>
      <c r="R13" s="455"/>
      <c r="S13" s="453"/>
    </row>
    <row r="14" spans="1:19" x14ac:dyDescent="0.3">
      <c r="A14" s="457"/>
      <c r="B14" s="457"/>
      <c r="C14" s="457"/>
      <c r="D14" s="457"/>
      <c r="E14" s="186"/>
      <c r="F14" s="186"/>
      <c r="G14" s="457"/>
      <c r="H14" s="457"/>
      <c r="I14" s="187">
        <v>9</v>
      </c>
      <c r="J14" s="187">
        <f t="shared" si="0"/>
        <v>2.8662420382165603</v>
      </c>
      <c r="K14" s="187"/>
      <c r="L14" s="187"/>
      <c r="M14" s="187"/>
      <c r="N14" s="187"/>
      <c r="O14" s="188">
        <f t="shared" si="1"/>
        <v>9.826435152829955E-3</v>
      </c>
      <c r="P14" s="188">
        <f>O14*(1+'Key Data'!F$3)</f>
        <v>1.2283043941037443E-2</v>
      </c>
      <c r="Q14" s="455"/>
      <c r="R14" s="455"/>
      <c r="S14" s="453"/>
    </row>
    <row r="15" spans="1:19" x14ac:dyDescent="0.3">
      <c r="A15" s="457"/>
      <c r="B15" s="457"/>
      <c r="C15" s="457"/>
      <c r="D15" s="457"/>
      <c r="E15" s="186"/>
      <c r="F15" s="186"/>
      <c r="G15" s="457"/>
      <c r="H15" s="457"/>
      <c r="I15" s="187">
        <v>12.2</v>
      </c>
      <c r="J15" s="187">
        <f t="shared" si="0"/>
        <v>3.8853503184713372</v>
      </c>
      <c r="K15" s="187"/>
      <c r="L15" s="187"/>
      <c r="M15" s="187"/>
      <c r="N15" s="187"/>
      <c r="O15" s="188">
        <f t="shared" si="1"/>
        <v>1.720508878940057E-2</v>
      </c>
      <c r="P15" s="188">
        <f>O15*(1+'Key Data'!F$3)</f>
        <v>2.1506360986750711E-2</v>
      </c>
      <c r="Q15" s="455"/>
      <c r="R15" s="455"/>
      <c r="S15" s="453"/>
    </row>
    <row r="16" spans="1:19" x14ac:dyDescent="0.3">
      <c r="A16" s="457"/>
      <c r="B16" s="457"/>
      <c r="C16" s="457"/>
      <c r="D16" s="457"/>
      <c r="E16" s="186"/>
      <c r="F16" s="186"/>
      <c r="G16" s="457"/>
      <c r="H16" s="457"/>
      <c r="I16" s="187">
        <v>15</v>
      </c>
      <c r="J16" s="187">
        <f t="shared" si="0"/>
        <v>4.7770700636942669</v>
      </c>
      <c r="K16" s="187"/>
      <c r="L16" s="187"/>
      <c r="M16" s="187"/>
      <c r="N16" s="187"/>
      <c r="O16" s="188">
        <f t="shared" si="1"/>
        <v>2.5210283947592334E-2</v>
      </c>
      <c r="P16" s="188">
        <f>O16*(1+'Key Data'!F$3)</f>
        <v>3.1512854934490415E-2</v>
      </c>
      <c r="Q16" s="456"/>
      <c r="R16" s="456"/>
      <c r="S16" s="453"/>
    </row>
  </sheetData>
  <mergeCells count="9">
    <mergeCell ref="S2:S16"/>
    <mergeCell ref="Q2:Q16"/>
    <mergeCell ref="R2:R16"/>
    <mergeCell ref="A2:A16"/>
    <mergeCell ref="B2:B16"/>
    <mergeCell ref="G2:G16"/>
    <mergeCell ref="H2:H16"/>
    <mergeCell ref="C2:C16"/>
    <mergeCell ref="D2:D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4EE1-B853-4E99-8674-1182E7D4A301}">
  <dimension ref="A1:T87"/>
  <sheetViews>
    <sheetView topLeftCell="I1" workbookViewId="0">
      <pane ySplit="1" topLeftCell="A96" activePane="bottomLeft" state="frozen"/>
      <selection activeCell="D1" sqref="D1"/>
      <selection pane="bottomLeft" activeCell="P4" sqref="P4"/>
    </sheetView>
  </sheetViews>
  <sheetFormatPr defaultColWidth="9.109375" defaultRowHeight="14.4" x14ac:dyDescent="0.3"/>
  <cols>
    <col min="1" max="14" width="9.109375" style="66"/>
    <col min="15" max="15" width="18.44140625" style="66" bestFit="1" customWidth="1"/>
    <col min="16" max="17" width="18.44140625" style="76" bestFit="1" customWidth="1"/>
    <col min="18" max="19" width="15.88671875" style="166" customWidth="1"/>
    <col min="20" max="20" width="16.88671875" style="76" customWidth="1"/>
    <col min="21" max="22" width="11.5546875" style="66" bestFit="1" customWidth="1"/>
    <col min="23" max="16384" width="9.109375" style="66"/>
  </cols>
  <sheetData>
    <row r="1" spans="1:20" s="68" customFormat="1" ht="48.6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71" t="s">
        <v>257</v>
      </c>
      <c r="J1" s="71" t="s">
        <v>258</v>
      </c>
      <c r="K1" s="71" t="s">
        <v>251</v>
      </c>
      <c r="L1" s="71" t="s">
        <v>252</v>
      </c>
      <c r="M1" s="71" t="s">
        <v>259</v>
      </c>
      <c r="N1" s="71" t="s">
        <v>368</v>
      </c>
      <c r="O1" s="71" t="s">
        <v>350</v>
      </c>
      <c r="P1" s="75" t="s">
        <v>364</v>
      </c>
      <c r="Q1" s="75" t="s">
        <v>363</v>
      </c>
      <c r="R1" s="75" t="s">
        <v>362</v>
      </c>
      <c r="S1" s="75" t="s">
        <v>370</v>
      </c>
      <c r="T1" s="75" t="s">
        <v>361</v>
      </c>
    </row>
    <row r="2" spans="1:20" x14ac:dyDescent="0.3">
      <c r="A2" s="459">
        <v>1</v>
      </c>
      <c r="B2" s="458" t="s">
        <v>298</v>
      </c>
      <c r="C2" s="458" t="s">
        <v>299</v>
      </c>
      <c r="D2" s="458" t="s">
        <v>292</v>
      </c>
      <c r="E2" s="193">
        <v>14.459047</v>
      </c>
      <c r="F2" s="193">
        <v>75.256169999999997</v>
      </c>
      <c r="G2" s="458">
        <v>2023</v>
      </c>
      <c r="H2" s="458" t="s">
        <v>263</v>
      </c>
      <c r="I2" s="194">
        <v>13.8</v>
      </c>
      <c r="J2" s="126">
        <f t="shared" ref="J2:J33" si="0">I2/3.14</f>
        <v>4.3949044585987265</v>
      </c>
      <c r="K2" s="126"/>
      <c r="L2" s="126"/>
      <c r="M2" s="126"/>
      <c r="N2" s="126"/>
      <c r="O2" s="95"/>
      <c r="P2" s="95">
        <f t="shared" ref="P2:P33" si="1">30.4*EXP(-5.07*EXP(-0.26*J2)+1.277)/1000</f>
        <v>2.1634561267691546E-2</v>
      </c>
      <c r="Q2" s="95">
        <f>P2*(1+'Key Data'!F$3)</f>
        <v>2.7043201584614433E-2</v>
      </c>
      <c r="R2" s="460">
        <f>SUM(Q2:Q17)</f>
        <v>0.6026656102427661</v>
      </c>
      <c r="S2" s="460">
        <f>R2*10000/900</f>
        <v>6.6962845582529562</v>
      </c>
      <c r="T2" s="368">
        <f>AVERAGE(S2:S87)</f>
        <v>7.8668458445190916</v>
      </c>
    </row>
    <row r="3" spans="1:20" x14ac:dyDescent="0.3">
      <c r="A3" s="459"/>
      <c r="B3" s="458"/>
      <c r="C3" s="458"/>
      <c r="D3" s="458"/>
      <c r="E3" s="193">
        <v>14.459193000000001</v>
      </c>
      <c r="F3" s="193">
        <v>75.256360000000001</v>
      </c>
      <c r="G3" s="458"/>
      <c r="H3" s="458"/>
      <c r="I3" s="194">
        <v>5</v>
      </c>
      <c r="J3" s="126">
        <f t="shared" si="0"/>
        <v>1.592356687898089</v>
      </c>
      <c r="K3" s="126"/>
      <c r="L3" s="126"/>
      <c r="M3" s="126"/>
      <c r="N3" s="126"/>
      <c r="O3" s="95"/>
      <c r="P3" s="95">
        <f>30.4*EXP(-5.07*EXP(-0.26*J3)+1.277)/1000</f>
        <v>3.819847409337703E-3</v>
      </c>
      <c r="Q3" s="95">
        <f>P3*(1+'Key Data'!F$3)</f>
        <v>4.7748092616721289E-3</v>
      </c>
      <c r="R3" s="460"/>
      <c r="S3" s="460"/>
      <c r="T3" s="369"/>
    </row>
    <row r="4" spans="1:20" x14ac:dyDescent="0.3">
      <c r="A4" s="459"/>
      <c r="B4" s="458"/>
      <c r="C4" s="458"/>
      <c r="D4" s="458"/>
      <c r="E4" s="193">
        <v>14.459047999999999</v>
      </c>
      <c r="F4" s="193">
        <v>75.256529999999998</v>
      </c>
      <c r="G4" s="458"/>
      <c r="H4" s="458"/>
      <c r="I4" s="194">
        <v>15.8</v>
      </c>
      <c r="J4" s="126">
        <f t="shared" si="0"/>
        <v>5.031847133757962</v>
      </c>
      <c r="K4" s="126"/>
      <c r="L4" s="126"/>
      <c r="M4" s="126"/>
      <c r="N4" s="126"/>
      <c r="O4" s="95"/>
      <c r="P4" s="95">
        <f t="shared" si="1"/>
        <v>2.769080221814104E-2</v>
      </c>
      <c r="Q4" s="95">
        <f>P4*(1+'Key Data'!F$3)</f>
        <v>3.4613502772676302E-2</v>
      </c>
      <c r="R4" s="460"/>
      <c r="S4" s="460"/>
      <c r="T4" s="369"/>
    </row>
    <row r="5" spans="1:20" x14ac:dyDescent="0.3">
      <c r="A5" s="459"/>
      <c r="B5" s="458"/>
      <c r="C5" s="458"/>
      <c r="D5" s="458"/>
      <c r="E5" s="193">
        <v>14.458899000000001</v>
      </c>
      <c r="F5" s="193">
        <v>75.256270000000001</v>
      </c>
      <c r="G5" s="458"/>
      <c r="H5" s="458"/>
      <c r="I5" s="194">
        <v>22.6</v>
      </c>
      <c r="J5" s="126">
        <f t="shared" si="0"/>
        <v>7.1974522292993628</v>
      </c>
      <c r="K5" s="126"/>
      <c r="L5" s="126"/>
      <c r="M5" s="126"/>
      <c r="N5" s="126"/>
      <c r="O5" s="95"/>
      <c r="P5" s="95">
        <f t="shared" si="1"/>
        <v>4.9952878863371061E-2</v>
      </c>
      <c r="Q5" s="95">
        <f>P5*(1+'Key Data'!F$3)</f>
        <v>6.244109857921383E-2</v>
      </c>
      <c r="R5" s="460"/>
      <c r="S5" s="460"/>
      <c r="T5" s="369"/>
    </row>
    <row r="6" spans="1:20" x14ac:dyDescent="0.3">
      <c r="A6" s="459"/>
      <c r="B6" s="458"/>
      <c r="C6" s="458"/>
      <c r="D6" s="458"/>
      <c r="E6" s="193">
        <v>14.459039000000001</v>
      </c>
      <c r="F6" s="193">
        <v>75.256240000000005</v>
      </c>
      <c r="G6" s="458"/>
      <c r="H6" s="458"/>
      <c r="I6" s="194">
        <v>20</v>
      </c>
      <c r="J6" s="126">
        <f t="shared" si="0"/>
        <v>6.3694267515923562</v>
      </c>
      <c r="K6" s="126"/>
      <c r="L6" s="126"/>
      <c r="M6" s="126"/>
      <c r="N6" s="126"/>
      <c r="O6" s="95"/>
      <c r="P6" s="95">
        <f t="shared" si="1"/>
        <v>4.1414189155155698E-2</v>
      </c>
      <c r="Q6" s="95">
        <f>P6*(1+'Key Data'!F$3)</f>
        <v>5.1767736443944626E-2</v>
      </c>
      <c r="R6" s="460"/>
      <c r="S6" s="460"/>
      <c r="T6" s="369"/>
    </row>
    <row r="7" spans="1:20" x14ac:dyDescent="0.3">
      <c r="A7" s="459"/>
      <c r="B7" s="458"/>
      <c r="C7" s="458"/>
      <c r="D7" s="458"/>
      <c r="E7" s="193"/>
      <c r="F7" s="193"/>
      <c r="G7" s="458"/>
      <c r="H7" s="458"/>
      <c r="I7" s="194">
        <v>14</v>
      </c>
      <c r="J7" s="126">
        <f t="shared" si="0"/>
        <v>4.4585987261146496</v>
      </c>
      <c r="K7" s="126"/>
      <c r="L7" s="126"/>
      <c r="M7" s="126"/>
      <c r="N7" s="126"/>
      <c r="O7" s="95"/>
      <c r="P7" s="95">
        <f t="shared" si="1"/>
        <v>2.221688083936903E-2</v>
      </c>
      <c r="Q7" s="95">
        <f>P7*(1+'Key Data'!F$3)</f>
        <v>2.7771101049211287E-2</v>
      </c>
      <c r="R7" s="460"/>
      <c r="S7" s="460"/>
      <c r="T7" s="369"/>
    </row>
    <row r="8" spans="1:20" x14ac:dyDescent="0.3">
      <c r="A8" s="459"/>
      <c r="B8" s="458"/>
      <c r="C8" s="458"/>
      <c r="D8" s="458"/>
      <c r="E8" s="193"/>
      <c r="F8" s="193"/>
      <c r="G8" s="458"/>
      <c r="H8" s="458"/>
      <c r="I8" s="194">
        <v>6</v>
      </c>
      <c r="J8" s="126">
        <f t="shared" si="0"/>
        <v>1.910828025477707</v>
      </c>
      <c r="K8" s="126"/>
      <c r="L8" s="126"/>
      <c r="M8" s="126"/>
      <c r="N8" s="126"/>
      <c r="O8" s="95"/>
      <c r="P8" s="95">
        <f t="shared" si="1"/>
        <v>4.9854476921598412E-3</v>
      </c>
      <c r="Q8" s="95">
        <f>P8*(1+'Key Data'!F$3)</f>
        <v>6.2318096151998013E-3</v>
      </c>
      <c r="R8" s="460"/>
      <c r="S8" s="460"/>
      <c r="T8" s="369"/>
    </row>
    <row r="9" spans="1:20" x14ac:dyDescent="0.3">
      <c r="A9" s="459"/>
      <c r="B9" s="458"/>
      <c r="C9" s="458"/>
      <c r="D9" s="458"/>
      <c r="E9" s="193"/>
      <c r="F9" s="193"/>
      <c r="G9" s="458"/>
      <c r="H9" s="458"/>
      <c r="I9" s="194">
        <v>15.8</v>
      </c>
      <c r="J9" s="126">
        <f t="shared" si="0"/>
        <v>5.031847133757962</v>
      </c>
      <c r="K9" s="126"/>
      <c r="L9" s="126"/>
      <c r="M9" s="126"/>
      <c r="N9" s="126"/>
      <c r="O9" s="95"/>
      <c r="P9" s="95">
        <f t="shared" si="1"/>
        <v>2.769080221814104E-2</v>
      </c>
      <c r="Q9" s="95">
        <f>P9*(1+'Key Data'!F$3)</f>
        <v>3.4613502772676302E-2</v>
      </c>
      <c r="R9" s="460"/>
      <c r="S9" s="460"/>
      <c r="T9" s="369"/>
    </row>
    <row r="10" spans="1:20" x14ac:dyDescent="0.3">
      <c r="A10" s="459"/>
      <c r="B10" s="458"/>
      <c r="C10" s="458"/>
      <c r="D10" s="458"/>
      <c r="E10" s="193"/>
      <c r="F10" s="193"/>
      <c r="G10" s="458"/>
      <c r="H10" s="458"/>
      <c r="I10" s="194">
        <v>21.6</v>
      </c>
      <c r="J10" s="126">
        <f t="shared" si="0"/>
        <v>6.8789808917197455</v>
      </c>
      <c r="K10" s="126"/>
      <c r="L10" s="126"/>
      <c r="M10" s="126"/>
      <c r="N10" s="126"/>
      <c r="O10" s="95"/>
      <c r="P10" s="95">
        <f t="shared" si="1"/>
        <v>4.669857084749169E-2</v>
      </c>
      <c r="Q10" s="95">
        <f>P10*(1+'Key Data'!F$3)</f>
        <v>5.837321355936461E-2</v>
      </c>
      <c r="R10" s="460"/>
      <c r="S10" s="460"/>
      <c r="T10" s="369"/>
    </row>
    <row r="11" spans="1:20" x14ac:dyDescent="0.3">
      <c r="A11" s="459"/>
      <c r="B11" s="458"/>
      <c r="C11" s="458"/>
      <c r="D11" s="458"/>
      <c r="E11" s="193"/>
      <c r="F11" s="193"/>
      <c r="G11" s="458"/>
      <c r="H11" s="458"/>
      <c r="I11" s="194">
        <v>14.7</v>
      </c>
      <c r="J11" s="126">
        <f t="shared" si="0"/>
        <v>4.6815286624203818</v>
      </c>
      <c r="K11" s="126"/>
      <c r="L11" s="126"/>
      <c r="M11" s="126"/>
      <c r="N11" s="126"/>
      <c r="O11" s="95"/>
      <c r="P11" s="95">
        <f t="shared" si="1"/>
        <v>2.4298749239858346E-2</v>
      </c>
      <c r="Q11" s="95">
        <f>P11*(1+'Key Data'!F$3)</f>
        <v>3.0373436549822934E-2</v>
      </c>
      <c r="R11" s="460"/>
      <c r="S11" s="460"/>
      <c r="T11" s="369"/>
    </row>
    <row r="12" spans="1:20" x14ac:dyDescent="0.3">
      <c r="A12" s="459"/>
      <c r="B12" s="458"/>
      <c r="C12" s="458"/>
      <c r="D12" s="458"/>
      <c r="E12" s="193"/>
      <c r="F12" s="193"/>
      <c r="G12" s="458"/>
      <c r="H12" s="458"/>
      <c r="I12" s="194">
        <v>21.8</v>
      </c>
      <c r="J12" s="126">
        <f t="shared" si="0"/>
        <v>6.9426751592356686</v>
      </c>
      <c r="K12" s="126"/>
      <c r="L12" s="126"/>
      <c r="M12" s="126"/>
      <c r="N12" s="126"/>
      <c r="O12" s="95"/>
      <c r="P12" s="95">
        <f t="shared" si="1"/>
        <v>4.7353312755820248E-2</v>
      </c>
      <c r="Q12" s="95">
        <f>P12*(1+'Key Data'!F$3)</f>
        <v>5.919164094477531E-2</v>
      </c>
      <c r="R12" s="460"/>
      <c r="S12" s="460"/>
      <c r="T12" s="369"/>
    </row>
    <row r="13" spans="1:20" x14ac:dyDescent="0.3">
      <c r="A13" s="459"/>
      <c r="B13" s="458"/>
      <c r="C13" s="458"/>
      <c r="D13" s="458"/>
      <c r="E13" s="193"/>
      <c r="F13" s="193"/>
      <c r="G13" s="458"/>
      <c r="H13" s="458"/>
      <c r="I13" s="194">
        <v>20.8</v>
      </c>
      <c r="J13" s="126">
        <f t="shared" si="0"/>
        <v>6.6242038216560513</v>
      </c>
      <c r="K13" s="126"/>
      <c r="L13" s="126"/>
      <c r="M13" s="126"/>
      <c r="N13" s="126"/>
      <c r="O13" s="95"/>
      <c r="P13" s="95">
        <f t="shared" si="1"/>
        <v>4.4064593131527191E-2</v>
      </c>
      <c r="Q13" s="95">
        <f>P13*(1+'Key Data'!F$3)</f>
        <v>5.5080741414408989E-2</v>
      </c>
      <c r="R13" s="460"/>
      <c r="S13" s="460"/>
      <c r="T13" s="369"/>
    </row>
    <row r="14" spans="1:20" x14ac:dyDescent="0.3">
      <c r="A14" s="459"/>
      <c r="B14" s="458"/>
      <c r="C14" s="458"/>
      <c r="D14" s="458"/>
      <c r="E14" s="193"/>
      <c r="F14" s="193"/>
      <c r="G14" s="458"/>
      <c r="H14" s="458"/>
      <c r="I14" s="194">
        <v>19.399999999999999</v>
      </c>
      <c r="J14" s="126">
        <f t="shared" si="0"/>
        <v>6.1783439490445851</v>
      </c>
      <c r="K14" s="126"/>
      <c r="L14" s="126"/>
      <c r="M14" s="126"/>
      <c r="N14" s="126"/>
      <c r="O14" s="95"/>
      <c r="P14" s="95">
        <f t="shared" si="1"/>
        <v>3.9422092611355916E-2</v>
      </c>
      <c r="Q14" s="95">
        <f>P14*(1+'Key Data'!F$3)</f>
        <v>4.9277615764194899E-2</v>
      </c>
      <c r="R14" s="460"/>
      <c r="S14" s="460"/>
      <c r="T14" s="369"/>
    </row>
    <row r="15" spans="1:20" x14ac:dyDescent="0.3">
      <c r="A15" s="459"/>
      <c r="B15" s="458"/>
      <c r="C15" s="458"/>
      <c r="D15" s="458"/>
      <c r="E15" s="193"/>
      <c r="F15" s="193"/>
      <c r="G15" s="458"/>
      <c r="H15" s="458"/>
      <c r="I15" s="194">
        <v>16.8</v>
      </c>
      <c r="J15" s="126">
        <f t="shared" si="0"/>
        <v>5.3503184713375793</v>
      </c>
      <c r="K15" s="126"/>
      <c r="L15" s="126"/>
      <c r="M15" s="126"/>
      <c r="N15" s="126"/>
      <c r="O15" s="95"/>
      <c r="P15" s="95">
        <f t="shared" si="1"/>
        <v>3.0876564005882873E-2</v>
      </c>
      <c r="Q15" s="95">
        <f>P15*(1+'Key Data'!F$3)</f>
        <v>3.8595705007353591E-2</v>
      </c>
      <c r="R15" s="460"/>
      <c r="S15" s="460"/>
      <c r="T15" s="369"/>
    </row>
    <row r="16" spans="1:20" x14ac:dyDescent="0.3">
      <c r="A16" s="459"/>
      <c r="B16" s="458"/>
      <c r="C16" s="458"/>
      <c r="D16" s="458"/>
      <c r="E16" s="193"/>
      <c r="F16" s="193"/>
      <c r="G16" s="458"/>
      <c r="H16" s="458"/>
      <c r="I16" s="194">
        <v>13.6</v>
      </c>
      <c r="J16" s="126">
        <f t="shared" si="0"/>
        <v>4.3312101910828025</v>
      </c>
      <c r="K16" s="126"/>
      <c r="L16" s="126"/>
      <c r="M16" s="126"/>
      <c r="N16" s="126"/>
      <c r="O16" s="95"/>
      <c r="P16" s="95">
        <f t="shared" si="1"/>
        <v>2.1058163017711705E-2</v>
      </c>
      <c r="Q16" s="95">
        <f>P16*(1+'Key Data'!F$3)</f>
        <v>2.6322703772139633E-2</v>
      </c>
      <c r="R16" s="460"/>
      <c r="S16" s="460"/>
      <c r="T16" s="369"/>
    </row>
    <row r="17" spans="1:20" x14ac:dyDescent="0.3">
      <c r="A17" s="459"/>
      <c r="B17" s="458"/>
      <c r="C17" s="458"/>
      <c r="D17" s="458"/>
      <c r="E17" s="193"/>
      <c r="F17" s="193"/>
      <c r="G17" s="458"/>
      <c r="H17" s="458"/>
      <c r="I17" s="194">
        <v>16.2</v>
      </c>
      <c r="J17" s="126">
        <f t="shared" si="0"/>
        <v>5.1592356687898082</v>
      </c>
      <c r="K17" s="126"/>
      <c r="L17" s="126"/>
      <c r="M17" s="126"/>
      <c r="N17" s="126"/>
      <c r="O17" s="95"/>
      <c r="P17" s="95">
        <f t="shared" si="1"/>
        <v>2.8955032921197943E-2</v>
      </c>
      <c r="Q17" s="95">
        <f>P17*(1+'Key Data'!F$3)</f>
        <v>3.6193791151497429E-2</v>
      </c>
      <c r="R17" s="460"/>
      <c r="S17" s="460"/>
      <c r="T17" s="369"/>
    </row>
    <row r="18" spans="1:20" x14ac:dyDescent="0.3">
      <c r="A18" s="420">
        <v>2</v>
      </c>
      <c r="B18" s="420" t="s">
        <v>300</v>
      </c>
      <c r="C18" s="420" t="s">
        <v>299</v>
      </c>
      <c r="D18" s="420" t="s">
        <v>292</v>
      </c>
      <c r="E18" s="189">
        <v>14.45984</v>
      </c>
      <c r="F18" s="189">
        <v>75.270669999999996</v>
      </c>
      <c r="G18" s="374">
        <v>2023</v>
      </c>
      <c r="H18" s="374" t="s">
        <v>263</v>
      </c>
      <c r="I18" s="128">
        <v>17.8</v>
      </c>
      <c r="J18" s="128">
        <f t="shared" si="0"/>
        <v>5.6687898089171975</v>
      </c>
      <c r="K18" s="128"/>
      <c r="L18" s="128"/>
      <c r="M18" s="128"/>
      <c r="N18" s="128"/>
      <c r="O18" s="114"/>
      <c r="P18" s="114">
        <f>30.4*EXP(-5.07*EXP(-0.26*J18)+1.277)/1000</f>
        <v>3.4132187369653275E-2</v>
      </c>
      <c r="Q18" s="192">
        <f>P18*(1+'Key Data'!F$3)</f>
        <v>4.2665234212066597E-2</v>
      </c>
      <c r="R18" s="426">
        <f>SUM(Q18:Q33)</f>
        <v>0.59123533042107512</v>
      </c>
      <c r="S18" s="426">
        <f>R18*10000/900</f>
        <v>6.5692814491230571</v>
      </c>
      <c r="T18" s="369"/>
    </row>
    <row r="19" spans="1:20" x14ac:dyDescent="0.3">
      <c r="A19" s="421"/>
      <c r="B19" s="421"/>
      <c r="C19" s="421"/>
      <c r="D19" s="421"/>
      <c r="E19" s="189">
        <v>14.459605</v>
      </c>
      <c r="F19" s="189">
        <v>75.270650000000003</v>
      </c>
      <c r="G19" s="374"/>
      <c r="H19" s="374"/>
      <c r="I19" s="128">
        <v>16.899999999999999</v>
      </c>
      <c r="J19" s="128">
        <f t="shared" si="0"/>
        <v>5.3821656050955404</v>
      </c>
      <c r="K19" s="128"/>
      <c r="L19" s="128"/>
      <c r="M19" s="128"/>
      <c r="N19" s="128"/>
      <c r="O19" s="114"/>
      <c r="P19" s="114">
        <f t="shared" si="1"/>
        <v>3.119941710615182E-2</v>
      </c>
      <c r="Q19" s="192">
        <f>P19*(1+'Key Data'!F$3)</f>
        <v>3.8999271382689778E-2</v>
      </c>
      <c r="R19" s="427"/>
      <c r="S19" s="427"/>
      <c r="T19" s="369"/>
    </row>
    <row r="20" spans="1:20" x14ac:dyDescent="0.3">
      <c r="A20" s="421"/>
      <c r="B20" s="421"/>
      <c r="C20" s="421"/>
      <c r="D20" s="421"/>
      <c r="E20" s="189">
        <v>14.459688</v>
      </c>
      <c r="F20" s="189">
        <v>75.270809999999997</v>
      </c>
      <c r="G20" s="374"/>
      <c r="H20" s="374"/>
      <c r="I20" s="128">
        <v>8.5</v>
      </c>
      <c r="J20" s="128">
        <f t="shared" si="0"/>
        <v>2.7070063694267517</v>
      </c>
      <c r="K20" s="128"/>
      <c r="L20" s="128"/>
      <c r="M20" s="128"/>
      <c r="N20" s="128"/>
      <c r="O20" s="114"/>
      <c r="P20" s="114">
        <f t="shared" si="1"/>
        <v>8.8760664519080962E-3</v>
      </c>
      <c r="Q20" s="192">
        <f>P20*(1+'Key Data'!F$3)</f>
        <v>1.109508306488512E-2</v>
      </c>
      <c r="R20" s="427"/>
      <c r="S20" s="427"/>
      <c r="T20" s="369"/>
    </row>
    <row r="21" spans="1:20" x14ac:dyDescent="0.3">
      <c r="A21" s="421"/>
      <c r="B21" s="421"/>
      <c r="C21" s="421"/>
      <c r="D21" s="421"/>
      <c r="E21" s="189">
        <v>14.4569814</v>
      </c>
      <c r="F21" s="189">
        <v>75.270849999999996</v>
      </c>
      <c r="G21" s="374"/>
      <c r="H21" s="374"/>
      <c r="I21" s="128">
        <v>19.600000000000001</v>
      </c>
      <c r="J21" s="128">
        <f t="shared" si="0"/>
        <v>6.2420382165605099</v>
      </c>
      <c r="K21" s="128"/>
      <c r="L21" s="128"/>
      <c r="M21" s="128"/>
      <c r="N21" s="128"/>
      <c r="O21" s="114"/>
      <c r="P21" s="114">
        <f t="shared" si="1"/>
        <v>4.0086180247911538E-2</v>
      </c>
      <c r="Q21" s="192">
        <f>P21*(1+'Key Data'!F$3)</f>
        <v>5.0107725309889425E-2</v>
      </c>
      <c r="R21" s="427"/>
      <c r="S21" s="427"/>
      <c r="T21" s="369"/>
    </row>
    <row r="22" spans="1:20" x14ac:dyDescent="0.3">
      <c r="A22" s="421"/>
      <c r="B22" s="421"/>
      <c r="C22" s="421"/>
      <c r="D22" s="421"/>
      <c r="E22" s="189">
        <v>14.459764</v>
      </c>
      <c r="F22" s="189">
        <v>75.270719999999997</v>
      </c>
      <c r="G22" s="374"/>
      <c r="H22" s="374"/>
      <c r="I22" s="128">
        <v>8.1999999999999993</v>
      </c>
      <c r="J22" s="128">
        <f t="shared" si="0"/>
        <v>2.6114649681528661</v>
      </c>
      <c r="K22" s="128"/>
      <c r="L22" s="128"/>
      <c r="M22" s="128"/>
      <c r="N22" s="128"/>
      <c r="O22" s="114"/>
      <c r="P22" s="114">
        <f t="shared" si="1"/>
        <v>8.3334329835339227E-3</v>
      </c>
      <c r="Q22" s="192">
        <f>P22*(1+'Key Data'!F$3)</f>
        <v>1.0416791229417403E-2</v>
      </c>
      <c r="R22" s="427"/>
      <c r="S22" s="427"/>
      <c r="T22" s="369"/>
    </row>
    <row r="23" spans="1:20" x14ac:dyDescent="0.3">
      <c r="A23" s="421"/>
      <c r="B23" s="421"/>
      <c r="C23" s="421"/>
      <c r="D23" s="421"/>
      <c r="E23" s="113"/>
      <c r="F23" s="113"/>
      <c r="G23" s="374"/>
      <c r="H23" s="374"/>
      <c r="I23" s="128">
        <v>7.8</v>
      </c>
      <c r="J23" s="128">
        <f t="shared" si="0"/>
        <v>2.484076433121019</v>
      </c>
      <c r="K23" s="128"/>
      <c r="L23" s="128"/>
      <c r="M23" s="128"/>
      <c r="N23" s="128"/>
      <c r="O23" s="114"/>
      <c r="P23" s="114">
        <f t="shared" si="1"/>
        <v>7.6422329512388018E-3</v>
      </c>
      <c r="Q23" s="192">
        <f>P23*(1+'Key Data'!F$3)</f>
        <v>9.5527911890485023E-3</v>
      </c>
      <c r="R23" s="427"/>
      <c r="S23" s="427"/>
      <c r="T23" s="369"/>
    </row>
    <row r="24" spans="1:20" x14ac:dyDescent="0.3">
      <c r="A24" s="421"/>
      <c r="B24" s="421"/>
      <c r="C24" s="421"/>
      <c r="D24" s="421"/>
      <c r="E24" s="113"/>
      <c r="F24" s="113"/>
      <c r="G24" s="374"/>
      <c r="H24" s="374"/>
      <c r="I24" s="128">
        <v>10.199999999999999</v>
      </c>
      <c r="J24" s="128">
        <f t="shared" si="0"/>
        <v>3.2484076433121016</v>
      </c>
      <c r="K24" s="128"/>
      <c r="L24" s="128"/>
      <c r="M24" s="128"/>
      <c r="N24" s="128"/>
      <c r="O24" s="114"/>
      <c r="P24" s="114">
        <f t="shared" si="1"/>
        <v>1.233801264366839E-2</v>
      </c>
      <c r="Q24" s="192">
        <f>P24*(1+'Key Data'!F$3)</f>
        <v>1.5422515804585488E-2</v>
      </c>
      <c r="R24" s="427"/>
      <c r="S24" s="427"/>
      <c r="T24" s="369"/>
    </row>
    <row r="25" spans="1:20" x14ac:dyDescent="0.3">
      <c r="A25" s="421"/>
      <c r="B25" s="421"/>
      <c r="C25" s="421"/>
      <c r="D25" s="421"/>
      <c r="E25" s="113"/>
      <c r="F25" s="113"/>
      <c r="G25" s="374"/>
      <c r="H25" s="374"/>
      <c r="I25" s="128">
        <v>21.8</v>
      </c>
      <c r="J25" s="128">
        <f t="shared" si="0"/>
        <v>6.9426751592356686</v>
      </c>
      <c r="K25" s="128"/>
      <c r="L25" s="128"/>
      <c r="M25" s="128"/>
      <c r="N25" s="128"/>
      <c r="O25" s="114"/>
      <c r="P25" s="114">
        <f t="shared" si="1"/>
        <v>4.7353312755820248E-2</v>
      </c>
      <c r="Q25" s="192">
        <f>P25*(1+'Key Data'!F$3)</f>
        <v>5.919164094477531E-2</v>
      </c>
      <c r="R25" s="427"/>
      <c r="S25" s="427"/>
      <c r="T25" s="369"/>
    </row>
    <row r="26" spans="1:20" x14ac:dyDescent="0.3">
      <c r="A26" s="421"/>
      <c r="B26" s="421"/>
      <c r="C26" s="421"/>
      <c r="D26" s="421"/>
      <c r="E26" s="113"/>
      <c r="F26" s="113"/>
      <c r="G26" s="374"/>
      <c r="H26" s="374"/>
      <c r="I26" s="128">
        <v>15.3</v>
      </c>
      <c r="J26" s="128">
        <f t="shared" si="0"/>
        <v>4.8726114649681529</v>
      </c>
      <c r="K26" s="128"/>
      <c r="L26" s="128"/>
      <c r="M26" s="128"/>
      <c r="N26" s="128"/>
      <c r="O26" s="114"/>
      <c r="P26" s="114">
        <f t="shared" si="1"/>
        <v>2.6132391181242828E-2</v>
      </c>
      <c r="Q26" s="192">
        <f>P26*(1+'Key Data'!F$3)</f>
        <v>3.2665488976553532E-2</v>
      </c>
      <c r="R26" s="427"/>
      <c r="S26" s="427"/>
      <c r="T26" s="369"/>
    </row>
    <row r="27" spans="1:20" x14ac:dyDescent="0.3">
      <c r="A27" s="421"/>
      <c r="B27" s="421"/>
      <c r="C27" s="421"/>
      <c r="D27" s="421"/>
      <c r="E27" s="113"/>
      <c r="F27" s="113"/>
      <c r="G27" s="374"/>
      <c r="H27" s="374"/>
      <c r="I27" s="128">
        <v>22.8</v>
      </c>
      <c r="J27" s="128">
        <f t="shared" si="0"/>
        <v>7.2611464968152868</v>
      </c>
      <c r="K27" s="128"/>
      <c r="L27" s="128"/>
      <c r="M27" s="128"/>
      <c r="N27" s="128"/>
      <c r="O27" s="114"/>
      <c r="P27" s="114">
        <f t="shared" si="1"/>
        <v>5.0597234434202679E-2</v>
      </c>
      <c r="Q27" s="192">
        <f>P27*(1+'Key Data'!F$3)</f>
        <v>6.3246543042753345E-2</v>
      </c>
      <c r="R27" s="427"/>
      <c r="S27" s="427"/>
      <c r="T27" s="369"/>
    </row>
    <row r="28" spans="1:20" x14ac:dyDescent="0.3">
      <c r="A28" s="421"/>
      <c r="B28" s="421"/>
      <c r="C28" s="421"/>
      <c r="D28" s="421"/>
      <c r="E28" s="113"/>
      <c r="F28" s="113"/>
      <c r="G28" s="374"/>
      <c r="H28" s="374"/>
      <c r="I28" s="128">
        <v>12.1</v>
      </c>
      <c r="J28" s="128">
        <f t="shared" si="0"/>
        <v>3.8535031847133756</v>
      </c>
      <c r="K28" s="128"/>
      <c r="L28" s="128"/>
      <c r="M28" s="128"/>
      <c r="N28" s="128"/>
      <c r="O28" s="114"/>
      <c r="P28" s="114">
        <f t="shared" si="1"/>
        <v>1.6942994038181787E-2</v>
      </c>
      <c r="Q28" s="192">
        <f>P28*(1+'Key Data'!F$3)</f>
        <v>2.1178742547727232E-2</v>
      </c>
      <c r="R28" s="427"/>
      <c r="S28" s="427"/>
      <c r="T28" s="369"/>
    </row>
    <row r="29" spans="1:20" x14ac:dyDescent="0.3">
      <c r="A29" s="421"/>
      <c r="B29" s="421"/>
      <c r="C29" s="421"/>
      <c r="D29" s="421"/>
      <c r="E29" s="113"/>
      <c r="F29" s="113"/>
      <c r="G29" s="374"/>
      <c r="H29" s="374"/>
      <c r="I29" s="128">
        <v>18.2</v>
      </c>
      <c r="J29" s="128">
        <f t="shared" si="0"/>
        <v>5.7961783439490437</v>
      </c>
      <c r="K29" s="128"/>
      <c r="L29" s="128"/>
      <c r="M29" s="128"/>
      <c r="N29" s="128"/>
      <c r="O29" s="114"/>
      <c r="P29" s="114">
        <f t="shared" si="1"/>
        <v>3.5448150854480914E-2</v>
      </c>
      <c r="Q29" s="192">
        <f>P29*(1+'Key Data'!F$3)</f>
        <v>4.4310188568101143E-2</v>
      </c>
      <c r="R29" s="427"/>
      <c r="S29" s="427"/>
      <c r="T29" s="369"/>
    </row>
    <row r="30" spans="1:20" x14ac:dyDescent="0.3">
      <c r="A30" s="421"/>
      <c r="B30" s="421"/>
      <c r="C30" s="421"/>
      <c r="D30" s="421"/>
      <c r="E30" s="113"/>
      <c r="F30" s="113"/>
      <c r="G30" s="374"/>
      <c r="H30" s="374"/>
      <c r="I30" s="128">
        <v>21.4</v>
      </c>
      <c r="J30" s="128">
        <f t="shared" si="0"/>
        <v>6.8152866242038206</v>
      </c>
      <c r="K30" s="128"/>
      <c r="L30" s="128"/>
      <c r="M30" s="128"/>
      <c r="N30" s="128"/>
      <c r="O30" s="114"/>
      <c r="P30" s="114">
        <f t="shared" si="1"/>
        <v>4.6042176045791403E-2</v>
      </c>
      <c r="Q30" s="192">
        <f>P30*(1+'Key Data'!F$3)</f>
        <v>5.7552720057239257E-2</v>
      </c>
      <c r="R30" s="427"/>
      <c r="S30" s="427"/>
      <c r="T30" s="369"/>
    </row>
    <row r="31" spans="1:20" x14ac:dyDescent="0.3">
      <c r="A31" s="421"/>
      <c r="B31" s="421"/>
      <c r="C31" s="421"/>
      <c r="D31" s="421"/>
      <c r="E31" s="113"/>
      <c r="F31" s="113"/>
      <c r="G31" s="374"/>
      <c r="H31" s="374"/>
      <c r="I31" s="128">
        <v>21.2</v>
      </c>
      <c r="J31" s="128">
        <f t="shared" si="0"/>
        <v>6.7515923566878975</v>
      </c>
      <c r="K31" s="128"/>
      <c r="L31" s="128"/>
      <c r="M31" s="128"/>
      <c r="N31" s="128"/>
      <c r="O31" s="114"/>
      <c r="P31" s="114">
        <f t="shared" si="1"/>
        <v>4.5384278425303584E-2</v>
      </c>
      <c r="Q31" s="192">
        <f>P31*(1+'Key Data'!F$3)</f>
        <v>5.6730348031629477E-2</v>
      </c>
      <c r="R31" s="427"/>
      <c r="S31" s="427"/>
      <c r="T31" s="369"/>
    </row>
    <row r="32" spans="1:20" x14ac:dyDescent="0.3">
      <c r="A32" s="421"/>
      <c r="B32" s="421"/>
      <c r="C32" s="421"/>
      <c r="D32" s="421"/>
      <c r="E32" s="113"/>
      <c r="F32" s="113"/>
      <c r="G32" s="374"/>
      <c r="H32" s="374"/>
      <c r="I32" s="128">
        <v>15.8</v>
      </c>
      <c r="J32" s="128">
        <f t="shared" si="0"/>
        <v>5.031847133757962</v>
      </c>
      <c r="K32" s="128"/>
      <c r="L32" s="128"/>
      <c r="M32" s="128"/>
      <c r="N32" s="128"/>
      <c r="O32" s="114"/>
      <c r="P32" s="114">
        <f t="shared" si="1"/>
        <v>2.769080221814104E-2</v>
      </c>
      <c r="Q32" s="192">
        <f>P32*(1+'Key Data'!F$3)</f>
        <v>3.4613502772676302E-2</v>
      </c>
      <c r="R32" s="427"/>
      <c r="S32" s="427"/>
      <c r="T32" s="369"/>
    </row>
    <row r="33" spans="1:20" x14ac:dyDescent="0.3">
      <c r="A33" s="421"/>
      <c r="B33" s="421"/>
      <c r="C33" s="421"/>
      <c r="D33" s="421"/>
      <c r="E33" s="175"/>
      <c r="F33" s="175"/>
      <c r="G33" s="420"/>
      <c r="H33" s="420"/>
      <c r="I33" s="190">
        <v>18</v>
      </c>
      <c r="J33" s="190">
        <f t="shared" si="0"/>
        <v>5.7324840764331206</v>
      </c>
      <c r="K33" s="190"/>
      <c r="L33" s="190"/>
      <c r="M33" s="190"/>
      <c r="N33" s="190"/>
      <c r="O33" s="191"/>
      <c r="P33" s="191">
        <f t="shared" si="1"/>
        <v>3.478939462962978E-2</v>
      </c>
      <c r="Q33" s="192">
        <f>P33*(1+'Key Data'!F$3)</f>
        <v>4.3486743287037222E-2</v>
      </c>
      <c r="R33" s="427"/>
      <c r="S33" s="427"/>
      <c r="T33" s="369"/>
    </row>
    <row r="34" spans="1:20" ht="15" customHeight="1" x14ac:dyDescent="0.3">
      <c r="A34" s="457">
        <v>3</v>
      </c>
      <c r="B34" s="457" t="s">
        <v>407</v>
      </c>
      <c r="C34" s="457" t="s">
        <v>422</v>
      </c>
      <c r="D34" s="457" t="s">
        <v>277</v>
      </c>
      <c r="E34" s="457">
        <v>13.465412000000001</v>
      </c>
      <c r="F34" s="457">
        <v>79.171080000000003</v>
      </c>
      <c r="G34" s="367">
        <v>2023</v>
      </c>
      <c r="H34" s="367" t="s">
        <v>263</v>
      </c>
      <c r="I34" s="127">
        <v>13.5</v>
      </c>
      <c r="J34" s="126">
        <f t="shared" ref="J34:J65" si="2">I34/3.14</f>
        <v>4.2993630573248405</v>
      </c>
      <c r="K34" s="127"/>
      <c r="L34" s="127"/>
      <c r="M34" s="127"/>
      <c r="N34" s="127"/>
      <c r="O34" s="96"/>
      <c r="P34" s="96">
        <f>30.4*EXP(-5.07*EXP(-0.26*J34)+1.277)/1000</f>
        <v>2.0772245409667666E-2</v>
      </c>
      <c r="Q34" s="95">
        <f>P34*(1+'Key Data'!F$3)</f>
        <v>2.5965306762084583E-2</v>
      </c>
      <c r="R34" s="366">
        <f>SUM(Q34:Q67)</f>
        <v>1.235227668772076</v>
      </c>
      <c r="S34" s="366">
        <f>R34*10000/900</f>
        <v>13.724751875245289</v>
      </c>
      <c r="T34" s="369"/>
    </row>
    <row r="35" spans="1:20" x14ac:dyDescent="0.3">
      <c r="A35" s="457"/>
      <c r="B35" s="457"/>
      <c r="C35" s="457"/>
      <c r="D35" s="457"/>
      <c r="E35" s="457"/>
      <c r="F35" s="457"/>
      <c r="G35" s="367"/>
      <c r="H35" s="367"/>
      <c r="I35" s="127">
        <v>13.5</v>
      </c>
      <c r="J35" s="126">
        <f t="shared" si="2"/>
        <v>4.2993630573248405</v>
      </c>
      <c r="K35" s="127"/>
      <c r="L35" s="127"/>
      <c r="M35" s="127"/>
      <c r="N35" s="127"/>
      <c r="O35" s="96"/>
      <c r="P35" s="96">
        <f t="shared" ref="P35:P65" si="3">30.4*EXP(-5.07*EXP(-0.26*J35)+1.277)/1000</f>
        <v>2.0772245409667666E-2</v>
      </c>
      <c r="Q35" s="95">
        <f>P35*(1+'Key Data'!F$3)</f>
        <v>2.5965306762084583E-2</v>
      </c>
      <c r="R35" s="366"/>
      <c r="S35" s="366"/>
      <c r="T35" s="369"/>
    </row>
    <row r="36" spans="1:20" x14ac:dyDescent="0.3">
      <c r="A36" s="457"/>
      <c r="B36" s="457"/>
      <c r="C36" s="457"/>
      <c r="D36" s="457"/>
      <c r="E36" s="457"/>
      <c r="F36" s="457"/>
      <c r="G36" s="367"/>
      <c r="H36" s="367"/>
      <c r="I36" s="127">
        <v>13.6</v>
      </c>
      <c r="J36" s="126">
        <f t="shared" si="2"/>
        <v>4.3312101910828025</v>
      </c>
      <c r="K36" s="127"/>
      <c r="L36" s="127"/>
      <c r="M36" s="127"/>
      <c r="N36" s="127"/>
      <c r="O36" s="96"/>
      <c r="P36" s="96">
        <f t="shared" si="3"/>
        <v>2.1058163017711705E-2</v>
      </c>
      <c r="Q36" s="95">
        <f>P36*(1+'Key Data'!F$3)</f>
        <v>2.6322703772139633E-2</v>
      </c>
      <c r="R36" s="366"/>
      <c r="S36" s="366"/>
      <c r="T36" s="369"/>
    </row>
    <row r="37" spans="1:20" x14ac:dyDescent="0.3">
      <c r="A37" s="457"/>
      <c r="B37" s="457"/>
      <c r="C37" s="457"/>
      <c r="D37" s="457"/>
      <c r="E37" s="457"/>
      <c r="F37" s="457"/>
      <c r="G37" s="367"/>
      <c r="H37" s="367"/>
      <c r="I37" s="127">
        <v>18</v>
      </c>
      <c r="J37" s="126">
        <f t="shared" si="2"/>
        <v>5.7324840764331206</v>
      </c>
      <c r="K37" s="127"/>
      <c r="L37" s="127"/>
      <c r="M37" s="127"/>
      <c r="N37" s="127"/>
      <c r="O37" s="96"/>
      <c r="P37" s="96">
        <f t="shared" si="3"/>
        <v>3.478939462962978E-2</v>
      </c>
      <c r="Q37" s="95">
        <f>P37*(1+'Key Data'!F$3)</f>
        <v>4.3486743287037222E-2</v>
      </c>
      <c r="R37" s="366"/>
      <c r="S37" s="366"/>
      <c r="T37" s="369"/>
    </row>
    <row r="38" spans="1:20" x14ac:dyDescent="0.3">
      <c r="A38" s="457"/>
      <c r="B38" s="457"/>
      <c r="C38" s="457"/>
      <c r="D38" s="457"/>
      <c r="E38" s="457"/>
      <c r="F38" s="457"/>
      <c r="G38" s="367"/>
      <c r="H38" s="367"/>
      <c r="I38" s="127">
        <v>16.5</v>
      </c>
      <c r="J38" s="126">
        <f t="shared" si="2"/>
        <v>5.2547770700636942</v>
      </c>
      <c r="K38" s="127"/>
      <c r="L38" s="127"/>
      <c r="M38" s="127"/>
      <c r="N38" s="127"/>
      <c r="O38" s="96"/>
      <c r="P38" s="96">
        <f t="shared" si="3"/>
        <v>2.9912299464442071E-2</v>
      </c>
      <c r="Q38" s="95">
        <f>P38*(1+'Key Data'!F$3)</f>
        <v>3.7390374330552589E-2</v>
      </c>
      <c r="R38" s="366"/>
      <c r="S38" s="366"/>
      <c r="T38" s="369"/>
    </row>
    <row r="39" spans="1:20" x14ac:dyDescent="0.3">
      <c r="A39" s="457"/>
      <c r="B39" s="457"/>
      <c r="C39" s="457"/>
      <c r="D39" s="457"/>
      <c r="E39" s="457"/>
      <c r="F39" s="457"/>
      <c r="G39" s="367"/>
      <c r="H39" s="367"/>
      <c r="I39" s="127">
        <v>17</v>
      </c>
      <c r="J39" s="126">
        <f t="shared" si="2"/>
        <v>5.4140127388535033</v>
      </c>
      <c r="K39" s="127"/>
      <c r="L39" s="127"/>
      <c r="M39" s="127"/>
      <c r="N39" s="127"/>
      <c r="O39" s="96"/>
      <c r="P39" s="96">
        <f t="shared" si="3"/>
        <v>3.152294203403376E-2</v>
      </c>
      <c r="Q39" s="95">
        <f>P39*(1+'Key Data'!F$3)</f>
        <v>3.9403677542542204E-2</v>
      </c>
      <c r="R39" s="366"/>
      <c r="S39" s="366"/>
      <c r="T39" s="369"/>
    </row>
    <row r="40" spans="1:20" x14ac:dyDescent="0.3">
      <c r="A40" s="457"/>
      <c r="B40" s="457"/>
      <c r="C40" s="457"/>
      <c r="D40" s="457"/>
      <c r="E40" s="457"/>
      <c r="F40" s="457"/>
      <c r="G40" s="367"/>
      <c r="H40" s="367"/>
      <c r="I40" s="127">
        <v>6.5</v>
      </c>
      <c r="J40" s="126">
        <f t="shared" si="2"/>
        <v>2.0700636942675157</v>
      </c>
      <c r="K40" s="127"/>
      <c r="L40" s="127"/>
      <c r="M40" s="127"/>
      <c r="N40" s="127"/>
      <c r="O40" s="96"/>
      <c r="P40" s="96">
        <f t="shared" si="3"/>
        <v>5.6498841212499588E-3</v>
      </c>
      <c r="Q40" s="95">
        <f>P40*(1+'Key Data'!F$3)</f>
        <v>7.0623551515624486E-3</v>
      </c>
      <c r="R40" s="366"/>
      <c r="S40" s="366"/>
      <c r="T40" s="369"/>
    </row>
    <row r="41" spans="1:20" x14ac:dyDescent="0.3">
      <c r="A41" s="457"/>
      <c r="B41" s="457"/>
      <c r="C41" s="457"/>
      <c r="D41" s="457"/>
      <c r="E41" s="457"/>
      <c r="F41" s="457"/>
      <c r="G41" s="367"/>
      <c r="H41" s="367"/>
      <c r="I41" s="127">
        <v>13.6</v>
      </c>
      <c r="J41" s="126">
        <f t="shared" si="2"/>
        <v>4.3312101910828025</v>
      </c>
      <c r="K41" s="127"/>
      <c r="L41" s="127"/>
      <c r="M41" s="127"/>
      <c r="N41" s="127"/>
      <c r="O41" s="96"/>
      <c r="P41" s="96">
        <f t="shared" si="3"/>
        <v>2.1058163017711705E-2</v>
      </c>
      <c r="Q41" s="95">
        <f>P41*(1+'Key Data'!F$3)</f>
        <v>2.6322703772139633E-2</v>
      </c>
      <c r="R41" s="366"/>
      <c r="S41" s="366"/>
      <c r="T41" s="369"/>
    </row>
    <row r="42" spans="1:20" x14ac:dyDescent="0.3">
      <c r="A42" s="457"/>
      <c r="B42" s="457"/>
      <c r="C42" s="457"/>
      <c r="D42" s="457"/>
      <c r="E42" s="457"/>
      <c r="F42" s="457"/>
      <c r="G42" s="367"/>
      <c r="H42" s="367"/>
      <c r="I42" s="127">
        <v>20</v>
      </c>
      <c r="J42" s="126">
        <f t="shared" si="2"/>
        <v>6.3694267515923562</v>
      </c>
      <c r="K42" s="127"/>
      <c r="L42" s="127"/>
      <c r="M42" s="127"/>
      <c r="N42" s="127"/>
      <c r="O42" s="96"/>
      <c r="P42" s="96">
        <f t="shared" si="3"/>
        <v>4.1414189155155698E-2</v>
      </c>
      <c r="Q42" s="95">
        <f>P42*(1+'Key Data'!F$3)</f>
        <v>5.1767736443944626E-2</v>
      </c>
      <c r="R42" s="366"/>
      <c r="S42" s="366"/>
      <c r="T42" s="369"/>
    </row>
    <row r="43" spans="1:20" x14ac:dyDescent="0.3">
      <c r="A43" s="457"/>
      <c r="B43" s="457"/>
      <c r="C43" s="457"/>
      <c r="D43" s="457"/>
      <c r="E43" s="457"/>
      <c r="F43" s="457"/>
      <c r="G43" s="367"/>
      <c r="H43" s="367"/>
      <c r="I43" s="127">
        <v>24.8</v>
      </c>
      <c r="J43" s="126">
        <f t="shared" si="2"/>
        <v>7.8980891719745223</v>
      </c>
      <c r="K43" s="127"/>
      <c r="L43" s="127"/>
      <c r="M43" s="127"/>
      <c r="N43" s="127"/>
      <c r="O43" s="96"/>
      <c r="P43" s="96">
        <f t="shared" si="3"/>
        <v>5.68854232490048E-2</v>
      </c>
      <c r="Q43" s="95">
        <f>P43*(1+'Key Data'!F$3)</f>
        <v>7.1106779061255995E-2</v>
      </c>
      <c r="R43" s="366"/>
      <c r="S43" s="366"/>
      <c r="T43" s="369"/>
    </row>
    <row r="44" spans="1:20" x14ac:dyDescent="0.3">
      <c r="A44" s="457"/>
      <c r="B44" s="457"/>
      <c r="C44" s="457"/>
      <c r="D44" s="457"/>
      <c r="E44" s="457"/>
      <c r="F44" s="457"/>
      <c r="G44" s="367"/>
      <c r="H44" s="367"/>
      <c r="I44" s="127">
        <v>20.2</v>
      </c>
      <c r="J44" s="126">
        <f t="shared" si="2"/>
        <v>6.4331210191082802</v>
      </c>
      <c r="K44" s="127"/>
      <c r="L44" s="127"/>
      <c r="M44" s="127"/>
      <c r="N44" s="127"/>
      <c r="O44" s="96"/>
      <c r="P44" s="96">
        <f t="shared" si="3"/>
        <v>4.2077752177054131E-2</v>
      </c>
      <c r="Q44" s="95">
        <f>P44*(1+'Key Data'!F$3)</f>
        <v>5.2597190221317661E-2</v>
      </c>
      <c r="R44" s="366"/>
      <c r="S44" s="366"/>
      <c r="T44" s="369"/>
    </row>
    <row r="45" spans="1:20" x14ac:dyDescent="0.3">
      <c r="A45" s="457"/>
      <c r="B45" s="457"/>
      <c r="C45" s="457"/>
      <c r="D45" s="457"/>
      <c r="E45" s="457"/>
      <c r="F45" s="457"/>
      <c r="G45" s="367"/>
      <c r="H45" s="367"/>
      <c r="I45" s="127">
        <v>15.5</v>
      </c>
      <c r="J45" s="126">
        <f t="shared" si="2"/>
        <v>4.936305732484076</v>
      </c>
      <c r="K45" s="127"/>
      <c r="L45" s="127"/>
      <c r="M45" s="127"/>
      <c r="N45" s="127"/>
      <c r="O45" s="96"/>
      <c r="P45" s="96">
        <f t="shared" si="3"/>
        <v>2.6752652871256929E-2</v>
      </c>
      <c r="Q45" s="95">
        <f>P45*(1+'Key Data'!F$3)</f>
        <v>3.3440816089071165E-2</v>
      </c>
      <c r="R45" s="366"/>
      <c r="S45" s="366"/>
      <c r="T45" s="369"/>
    </row>
    <row r="46" spans="1:20" x14ac:dyDescent="0.3">
      <c r="A46" s="457"/>
      <c r="B46" s="457"/>
      <c r="C46" s="457"/>
      <c r="D46" s="457"/>
      <c r="E46" s="457"/>
      <c r="F46" s="457"/>
      <c r="G46" s="367"/>
      <c r="H46" s="367"/>
      <c r="I46" s="127">
        <v>17</v>
      </c>
      <c r="J46" s="126">
        <f t="shared" si="2"/>
        <v>5.4140127388535033</v>
      </c>
      <c r="K46" s="127"/>
      <c r="L46" s="127"/>
      <c r="M46" s="127"/>
      <c r="N46" s="127"/>
      <c r="O46" s="96"/>
      <c r="P46" s="96">
        <f t="shared" si="3"/>
        <v>3.152294203403376E-2</v>
      </c>
      <c r="Q46" s="95">
        <f>P46*(1+'Key Data'!F$3)</f>
        <v>3.9403677542542204E-2</v>
      </c>
      <c r="R46" s="366"/>
      <c r="S46" s="366"/>
      <c r="T46" s="369"/>
    </row>
    <row r="47" spans="1:20" x14ac:dyDescent="0.3">
      <c r="A47" s="457"/>
      <c r="B47" s="457"/>
      <c r="C47" s="457"/>
      <c r="D47" s="457"/>
      <c r="E47" s="457"/>
      <c r="F47" s="457"/>
      <c r="G47" s="367"/>
      <c r="H47" s="367"/>
      <c r="I47" s="127">
        <v>17</v>
      </c>
      <c r="J47" s="126">
        <f t="shared" si="2"/>
        <v>5.4140127388535033</v>
      </c>
      <c r="K47" s="127"/>
      <c r="L47" s="127"/>
      <c r="M47" s="127"/>
      <c r="N47" s="127"/>
      <c r="O47" s="96"/>
      <c r="P47" s="96">
        <f t="shared" si="3"/>
        <v>3.152294203403376E-2</v>
      </c>
      <c r="Q47" s="95">
        <f>P47*(1+'Key Data'!F$3)</f>
        <v>3.9403677542542204E-2</v>
      </c>
      <c r="R47" s="366"/>
      <c r="S47" s="366"/>
      <c r="T47" s="369"/>
    </row>
    <row r="48" spans="1:20" x14ac:dyDescent="0.3">
      <c r="A48" s="457"/>
      <c r="B48" s="457"/>
      <c r="C48" s="457"/>
      <c r="D48" s="457"/>
      <c r="E48" s="457"/>
      <c r="F48" s="457"/>
      <c r="G48" s="367"/>
      <c r="H48" s="367"/>
      <c r="I48" s="127">
        <v>16.2</v>
      </c>
      <c r="J48" s="126">
        <f t="shared" si="2"/>
        <v>5.1592356687898082</v>
      </c>
      <c r="K48" s="127"/>
      <c r="L48" s="127"/>
      <c r="M48" s="127"/>
      <c r="N48" s="127"/>
      <c r="O48" s="96"/>
      <c r="P48" s="96">
        <f t="shared" si="3"/>
        <v>2.8955032921197943E-2</v>
      </c>
      <c r="Q48" s="95">
        <f>P48*(1+'Key Data'!F$3)</f>
        <v>3.6193791151497429E-2</v>
      </c>
      <c r="R48" s="366"/>
      <c r="S48" s="366"/>
      <c r="T48" s="369"/>
    </row>
    <row r="49" spans="1:20" x14ac:dyDescent="0.3">
      <c r="A49" s="457"/>
      <c r="B49" s="457"/>
      <c r="C49" s="457"/>
      <c r="D49" s="457"/>
      <c r="E49" s="457"/>
      <c r="F49" s="457"/>
      <c r="G49" s="367"/>
      <c r="H49" s="367"/>
      <c r="I49" s="127">
        <v>19</v>
      </c>
      <c r="J49" s="126">
        <f t="shared" si="2"/>
        <v>6.0509554140127388</v>
      </c>
      <c r="K49" s="127"/>
      <c r="L49" s="127"/>
      <c r="M49" s="127"/>
      <c r="N49" s="127"/>
      <c r="O49" s="96"/>
      <c r="P49" s="96">
        <f t="shared" si="3"/>
        <v>3.8094669325505315E-2</v>
      </c>
      <c r="Q49" s="95">
        <f>P49*(1+'Key Data'!F$3)</f>
        <v>4.7618336656881644E-2</v>
      </c>
      <c r="R49" s="366"/>
      <c r="S49" s="366"/>
      <c r="T49" s="369"/>
    </row>
    <row r="50" spans="1:20" x14ac:dyDescent="0.3">
      <c r="A50" s="457"/>
      <c r="B50" s="457"/>
      <c r="C50" s="457"/>
      <c r="D50" s="457"/>
      <c r="E50" s="457"/>
      <c r="F50" s="457"/>
      <c r="G50" s="367"/>
      <c r="H50" s="367"/>
      <c r="I50" s="127">
        <v>16</v>
      </c>
      <c r="J50" s="126">
        <f t="shared" si="2"/>
        <v>5.0955414012738851</v>
      </c>
      <c r="K50" s="127"/>
      <c r="L50" s="127"/>
      <c r="M50" s="127"/>
      <c r="N50" s="127"/>
      <c r="O50" s="96"/>
      <c r="P50" s="96">
        <f t="shared" si="3"/>
        <v>2.8321096871497028E-2</v>
      </c>
      <c r="Q50" s="95">
        <f>P50*(1+'Key Data'!F$3)</f>
        <v>3.5401371089371282E-2</v>
      </c>
      <c r="R50" s="366"/>
      <c r="S50" s="366"/>
      <c r="T50" s="369"/>
    </row>
    <row r="51" spans="1:20" x14ac:dyDescent="0.3">
      <c r="A51" s="457"/>
      <c r="B51" s="457"/>
      <c r="C51" s="457"/>
      <c r="D51" s="457"/>
      <c r="E51" s="457"/>
      <c r="F51" s="457"/>
      <c r="G51" s="367"/>
      <c r="H51" s="367"/>
      <c r="I51" s="127">
        <v>13</v>
      </c>
      <c r="J51" s="126">
        <f t="shared" si="2"/>
        <v>4.1401273885350314</v>
      </c>
      <c r="K51" s="127"/>
      <c r="L51" s="127"/>
      <c r="M51" s="127"/>
      <c r="N51" s="127"/>
      <c r="O51" s="96"/>
      <c r="P51" s="96">
        <f t="shared" si="3"/>
        <v>1.9366428092893496E-2</v>
      </c>
      <c r="Q51" s="95">
        <f>P51*(1+'Key Data'!F$3)</f>
        <v>2.4208035116116869E-2</v>
      </c>
      <c r="R51" s="366"/>
      <c r="S51" s="366"/>
      <c r="T51" s="369"/>
    </row>
    <row r="52" spans="1:20" x14ac:dyDescent="0.3">
      <c r="A52" s="457"/>
      <c r="B52" s="457"/>
      <c r="C52" s="457"/>
      <c r="D52" s="457"/>
      <c r="E52" s="457"/>
      <c r="F52" s="457"/>
      <c r="G52" s="367"/>
      <c r="H52" s="367"/>
      <c r="I52" s="127">
        <v>12.6</v>
      </c>
      <c r="J52" s="126">
        <f t="shared" si="2"/>
        <v>4.0127388535031843</v>
      </c>
      <c r="K52" s="127"/>
      <c r="L52" s="127"/>
      <c r="M52" s="127"/>
      <c r="N52" s="127"/>
      <c r="O52" s="96"/>
      <c r="P52" s="96">
        <f t="shared" si="3"/>
        <v>1.8271690404087201E-2</v>
      </c>
      <c r="Q52" s="95">
        <f>P52*(1+'Key Data'!F$3)</f>
        <v>2.2839613005109002E-2</v>
      </c>
      <c r="R52" s="366"/>
      <c r="S52" s="366"/>
      <c r="T52" s="369"/>
    </row>
    <row r="53" spans="1:20" x14ac:dyDescent="0.3">
      <c r="A53" s="457"/>
      <c r="B53" s="457"/>
      <c r="C53" s="457"/>
      <c r="D53" s="457"/>
      <c r="E53" s="457"/>
      <c r="F53" s="457"/>
      <c r="G53" s="367"/>
      <c r="H53" s="367"/>
      <c r="I53" s="127">
        <v>17.100000000000001</v>
      </c>
      <c r="J53" s="126">
        <f t="shared" si="2"/>
        <v>5.4458598726114653</v>
      </c>
      <c r="K53" s="127"/>
      <c r="L53" s="127"/>
      <c r="M53" s="127"/>
      <c r="N53" s="127"/>
      <c r="O53" s="96"/>
      <c r="P53" s="96">
        <f t="shared" si="3"/>
        <v>3.1847112495581177E-2</v>
      </c>
      <c r="Q53" s="95">
        <f>P53*(1+'Key Data'!F$3)</f>
        <v>3.980889061947647E-2</v>
      </c>
      <c r="R53" s="366"/>
      <c r="S53" s="366"/>
      <c r="T53" s="369"/>
    </row>
    <row r="54" spans="1:20" x14ac:dyDescent="0.3">
      <c r="A54" s="457"/>
      <c r="B54" s="457"/>
      <c r="C54" s="457"/>
      <c r="D54" s="457"/>
      <c r="E54" s="457"/>
      <c r="F54" s="457"/>
      <c r="G54" s="367"/>
      <c r="H54" s="367"/>
      <c r="I54" s="127">
        <v>15.5</v>
      </c>
      <c r="J54" s="126">
        <f t="shared" si="2"/>
        <v>4.936305732484076</v>
      </c>
      <c r="K54" s="127"/>
      <c r="L54" s="127"/>
      <c r="M54" s="127"/>
      <c r="N54" s="127"/>
      <c r="O54" s="96"/>
      <c r="P54" s="96">
        <f t="shared" si="3"/>
        <v>2.6752652871256929E-2</v>
      </c>
      <c r="Q54" s="95">
        <f>P54*(1+'Key Data'!F$3)</f>
        <v>3.3440816089071165E-2</v>
      </c>
      <c r="R54" s="366"/>
      <c r="S54" s="366"/>
      <c r="T54" s="369"/>
    </row>
    <row r="55" spans="1:20" x14ac:dyDescent="0.3">
      <c r="A55" s="457"/>
      <c r="B55" s="457"/>
      <c r="C55" s="457"/>
      <c r="D55" s="457"/>
      <c r="E55" s="457"/>
      <c r="F55" s="457"/>
      <c r="G55" s="367"/>
      <c r="H55" s="367"/>
      <c r="I55" s="127">
        <v>15.9</v>
      </c>
      <c r="J55" s="126">
        <f t="shared" si="2"/>
        <v>5.0636942675159231</v>
      </c>
      <c r="K55" s="127"/>
      <c r="L55" s="127"/>
      <c r="M55" s="127"/>
      <c r="N55" s="127"/>
      <c r="O55" s="96"/>
      <c r="P55" s="96">
        <f t="shared" si="3"/>
        <v>2.8005481078117029E-2</v>
      </c>
      <c r="Q55" s="95">
        <f>P55*(1+'Key Data'!F$3)</f>
        <v>3.5006851347646285E-2</v>
      </c>
      <c r="R55" s="366"/>
      <c r="S55" s="366"/>
      <c r="T55" s="369"/>
    </row>
    <row r="56" spans="1:20" x14ac:dyDescent="0.3">
      <c r="A56" s="457"/>
      <c r="B56" s="457"/>
      <c r="C56" s="457"/>
      <c r="D56" s="457"/>
      <c r="E56" s="457"/>
      <c r="F56" s="457"/>
      <c r="G56" s="367"/>
      <c r="H56" s="367"/>
      <c r="I56" s="127">
        <v>16</v>
      </c>
      <c r="J56" s="126">
        <f t="shared" si="2"/>
        <v>5.0955414012738851</v>
      </c>
      <c r="K56" s="127"/>
      <c r="L56" s="127"/>
      <c r="M56" s="127"/>
      <c r="N56" s="127"/>
      <c r="O56" s="96"/>
      <c r="P56" s="96">
        <f t="shared" si="3"/>
        <v>2.8321096871497028E-2</v>
      </c>
      <c r="Q56" s="95">
        <f>P56*(1+'Key Data'!F$3)</f>
        <v>3.5401371089371282E-2</v>
      </c>
      <c r="R56" s="366"/>
      <c r="S56" s="366"/>
      <c r="T56" s="369"/>
    </row>
    <row r="57" spans="1:20" x14ac:dyDescent="0.3">
      <c r="A57" s="457"/>
      <c r="B57" s="457"/>
      <c r="C57" s="457"/>
      <c r="D57" s="457"/>
      <c r="E57" s="457"/>
      <c r="F57" s="457"/>
      <c r="G57" s="367"/>
      <c r="H57" s="367"/>
      <c r="I57" s="127">
        <v>13.2</v>
      </c>
      <c r="J57" s="126">
        <f t="shared" si="2"/>
        <v>4.2038216560509554</v>
      </c>
      <c r="K57" s="127"/>
      <c r="L57" s="127"/>
      <c r="M57" s="127"/>
      <c r="N57" s="127"/>
      <c r="O57" s="96"/>
      <c r="P57" s="96">
        <f t="shared" si="3"/>
        <v>1.9923906654584003E-2</v>
      </c>
      <c r="Q57" s="95">
        <f>P57*(1+'Key Data'!F$3)</f>
        <v>2.4904883318230004E-2</v>
      </c>
      <c r="R57" s="366"/>
      <c r="S57" s="366"/>
      <c r="T57" s="369"/>
    </row>
    <row r="58" spans="1:20" x14ac:dyDescent="0.3">
      <c r="A58" s="457"/>
      <c r="B58" s="457"/>
      <c r="C58" s="457"/>
      <c r="D58" s="457"/>
      <c r="E58" s="457"/>
      <c r="F58" s="457"/>
      <c r="G58" s="367"/>
      <c r="H58" s="367"/>
      <c r="I58" s="127">
        <v>15.5</v>
      </c>
      <c r="J58" s="126">
        <f t="shared" si="2"/>
        <v>4.936305732484076</v>
      </c>
      <c r="K58" s="127"/>
      <c r="L58" s="127"/>
      <c r="M58" s="127"/>
      <c r="N58" s="127"/>
      <c r="O58" s="96"/>
      <c r="P58" s="96">
        <f t="shared" si="3"/>
        <v>2.6752652871256929E-2</v>
      </c>
      <c r="Q58" s="95">
        <f>P58*(1+'Key Data'!F$3)</f>
        <v>3.3440816089071165E-2</v>
      </c>
      <c r="R58" s="366"/>
      <c r="S58" s="366"/>
      <c r="T58" s="369"/>
    </row>
    <row r="59" spans="1:20" x14ac:dyDescent="0.3">
      <c r="A59" s="457"/>
      <c r="B59" s="457"/>
      <c r="C59" s="457"/>
      <c r="D59" s="457"/>
      <c r="E59" s="457"/>
      <c r="F59" s="457"/>
      <c r="G59" s="367"/>
      <c r="H59" s="367"/>
      <c r="I59" s="127">
        <v>13.4</v>
      </c>
      <c r="J59" s="126">
        <f t="shared" si="2"/>
        <v>4.2675159235668794</v>
      </c>
      <c r="K59" s="127"/>
      <c r="L59" s="127"/>
      <c r="M59" s="127"/>
      <c r="N59" s="127"/>
      <c r="O59" s="96"/>
      <c r="P59" s="96">
        <f t="shared" si="3"/>
        <v>2.048788095651247E-2</v>
      </c>
      <c r="Q59" s="95">
        <f>P59*(1+'Key Data'!F$3)</f>
        <v>2.5609851195640587E-2</v>
      </c>
      <c r="R59" s="366"/>
      <c r="S59" s="366"/>
      <c r="T59" s="369"/>
    </row>
    <row r="60" spans="1:20" x14ac:dyDescent="0.3">
      <c r="A60" s="457"/>
      <c r="B60" s="457"/>
      <c r="C60" s="457"/>
      <c r="D60" s="457"/>
      <c r="E60" s="457"/>
      <c r="F60" s="457"/>
      <c r="G60" s="367"/>
      <c r="H60" s="367"/>
      <c r="I60" s="127">
        <v>14</v>
      </c>
      <c r="J60" s="126">
        <f t="shared" si="2"/>
        <v>4.4585987261146496</v>
      </c>
      <c r="K60" s="127"/>
      <c r="L60" s="127"/>
      <c r="M60" s="127"/>
      <c r="N60" s="127"/>
      <c r="O60" s="96"/>
      <c r="P60" s="96">
        <f t="shared" si="3"/>
        <v>2.221688083936903E-2</v>
      </c>
      <c r="Q60" s="95">
        <f>P60*(1+'Key Data'!F$3)</f>
        <v>2.7771101049211287E-2</v>
      </c>
      <c r="R60" s="366"/>
      <c r="S60" s="366"/>
      <c r="T60" s="369"/>
    </row>
    <row r="61" spans="1:20" x14ac:dyDescent="0.3">
      <c r="A61" s="457"/>
      <c r="B61" s="457"/>
      <c r="C61" s="457"/>
      <c r="D61" s="457"/>
      <c r="E61" s="457"/>
      <c r="F61" s="457"/>
      <c r="G61" s="367"/>
      <c r="H61" s="367"/>
      <c r="I61" s="127">
        <v>15</v>
      </c>
      <c r="J61" s="126">
        <f t="shared" si="2"/>
        <v>4.7770700636942669</v>
      </c>
      <c r="K61" s="127"/>
      <c r="L61" s="127"/>
      <c r="M61" s="127"/>
      <c r="N61" s="127"/>
      <c r="O61" s="96"/>
      <c r="P61" s="96">
        <f t="shared" si="3"/>
        <v>2.5210283947592334E-2</v>
      </c>
      <c r="Q61" s="95">
        <f>P61*(1+'Key Data'!F$3)</f>
        <v>3.1512854934490415E-2</v>
      </c>
      <c r="R61" s="366"/>
      <c r="S61" s="366"/>
      <c r="T61" s="369"/>
    </row>
    <row r="62" spans="1:20" x14ac:dyDescent="0.3">
      <c r="A62" s="457"/>
      <c r="B62" s="457"/>
      <c r="C62" s="457"/>
      <c r="D62" s="457"/>
      <c r="E62" s="457"/>
      <c r="F62" s="457"/>
      <c r="G62" s="367"/>
      <c r="H62" s="367"/>
      <c r="I62" s="127">
        <v>19</v>
      </c>
      <c r="J62" s="126">
        <f t="shared" si="2"/>
        <v>6.0509554140127388</v>
      </c>
      <c r="K62" s="127"/>
      <c r="L62" s="127"/>
      <c r="M62" s="127"/>
      <c r="N62" s="127"/>
      <c r="O62" s="96"/>
      <c r="P62" s="96">
        <f t="shared" si="3"/>
        <v>3.8094669325505315E-2</v>
      </c>
      <c r="Q62" s="95">
        <f>P62*(1+'Key Data'!F$3)</f>
        <v>4.7618336656881644E-2</v>
      </c>
      <c r="R62" s="366"/>
      <c r="S62" s="366"/>
      <c r="T62" s="369"/>
    </row>
    <row r="63" spans="1:20" x14ac:dyDescent="0.3">
      <c r="A63" s="457"/>
      <c r="B63" s="457"/>
      <c r="C63" s="457"/>
      <c r="D63" s="457"/>
      <c r="E63" s="457"/>
      <c r="F63" s="457"/>
      <c r="G63" s="367"/>
      <c r="H63" s="367"/>
      <c r="I63" s="127">
        <v>14.8</v>
      </c>
      <c r="J63" s="126">
        <f t="shared" si="2"/>
        <v>4.7133757961783438</v>
      </c>
      <c r="K63" s="127"/>
      <c r="L63" s="127"/>
      <c r="M63" s="127"/>
      <c r="N63" s="127"/>
      <c r="O63" s="96"/>
      <c r="P63" s="96">
        <f t="shared" si="3"/>
        <v>2.4601375881753231E-2</v>
      </c>
      <c r="Q63" s="95">
        <f>P63*(1+'Key Data'!F$3)</f>
        <v>3.075171985219154E-2</v>
      </c>
      <c r="R63" s="366"/>
      <c r="S63" s="366"/>
      <c r="T63" s="369"/>
    </row>
    <row r="64" spans="1:20" x14ac:dyDescent="0.3">
      <c r="A64" s="457"/>
      <c r="B64" s="457"/>
      <c r="C64" s="457"/>
      <c r="D64" s="457"/>
      <c r="E64" s="457"/>
      <c r="F64" s="457"/>
      <c r="G64" s="367"/>
      <c r="H64" s="367"/>
      <c r="I64" s="127">
        <v>16</v>
      </c>
      <c r="J64" s="126">
        <f t="shared" si="2"/>
        <v>5.0955414012738851</v>
      </c>
      <c r="K64" s="127"/>
      <c r="L64" s="127"/>
      <c r="M64" s="127"/>
      <c r="N64" s="127"/>
      <c r="O64" s="96"/>
      <c r="P64" s="96">
        <f t="shared" si="3"/>
        <v>2.8321096871497028E-2</v>
      </c>
      <c r="Q64" s="95">
        <f>P64*(1+'Key Data'!F$3)</f>
        <v>3.5401371089371282E-2</v>
      </c>
      <c r="R64" s="366"/>
      <c r="S64" s="366"/>
      <c r="T64" s="369"/>
    </row>
    <row r="65" spans="1:20" x14ac:dyDescent="0.3">
      <c r="A65" s="457"/>
      <c r="B65" s="457"/>
      <c r="C65" s="457"/>
      <c r="D65" s="457"/>
      <c r="E65" s="457"/>
      <c r="F65" s="457"/>
      <c r="G65" s="367"/>
      <c r="H65" s="367"/>
      <c r="I65" s="127">
        <v>18.5</v>
      </c>
      <c r="J65" s="126">
        <f t="shared" si="2"/>
        <v>5.8917197452229297</v>
      </c>
      <c r="K65" s="127"/>
      <c r="L65" s="127"/>
      <c r="M65" s="127"/>
      <c r="N65" s="127"/>
      <c r="O65" s="96"/>
      <c r="P65" s="96">
        <f t="shared" si="3"/>
        <v>3.6438749424509191E-2</v>
      </c>
      <c r="Q65" s="95">
        <f>P65*(1+'Key Data'!F$3)</f>
        <v>4.5548436780636491E-2</v>
      </c>
      <c r="R65" s="366"/>
      <c r="S65" s="366"/>
      <c r="T65" s="369"/>
    </row>
    <row r="66" spans="1:20" x14ac:dyDescent="0.3">
      <c r="A66" s="457"/>
      <c r="B66" s="457"/>
      <c r="C66" s="457"/>
      <c r="D66" s="457"/>
      <c r="E66" s="457"/>
      <c r="F66" s="457"/>
      <c r="G66" s="367"/>
      <c r="H66" s="367"/>
      <c r="I66" s="127">
        <v>18.899999999999999</v>
      </c>
      <c r="J66" s="126">
        <f t="shared" ref="J66:J87" si="4">I66/3.14</f>
        <v>6.019108280254776</v>
      </c>
      <c r="K66" s="127"/>
      <c r="L66" s="127"/>
      <c r="M66" s="127"/>
      <c r="N66" s="127"/>
      <c r="O66" s="96"/>
      <c r="P66" s="96">
        <f t="shared" ref="P66:P87" si="5">30.4*EXP(-5.07*EXP(-0.26*J66)+1.277)/1000</f>
        <v>3.7763106998693986E-2</v>
      </c>
      <c r="Q66" s="95">
        <f>P66*(1+'Key Data'!F$3)</f>
        <v>4.7203883748367481E-2</v>
      </c>
      <c r="R66" s="366"/>
      <c r="S66" s="366"/>
      <c r="T66" s="369"/>
    </row>
    <row r="67" spans="1:20" x14ac:dyDescent="0.3">
      <c r="A67" s="457"/>
      <c r="B67" s="457"/>
      <c r="C67" s="457"/>
      <c r="D67" s="457"/>
      <c r="E67" s="457"/>
      <c r="F67" s="457"/>
      <c r="G67" s="367"/>
      <c r="H67" s="367"/>
      <c r="I67" s="127">
        <v>21</v>
      </c>
      <c r="J67" s="126">
        <f t="shared" si="4"/>
        <v>6.6878980891719744</v>
      </c>
      <c r="K67" s="127"/>
      <c r="L67" s="127"/>
      <c r="M67" s="127"/>
      <c r="N67" s="127"/>
      <c r="O67" s="96"/>
      <c r="P67" s="96">
        <f t="shared" si="5"/>
        <v>4.4725031690100836E-2</v>
      </c>
      <c r="Q67" s="95">
        <f>P67*(1+'Key Data'!F$3)</f>
        <v>5.5906289612626045E-2</v>
      </c>
      <c r="R67" s="366"/>
      <c r="S67" s="366"/>
      <c r="T67" s="369"/>
    </row>
    <row r="68" spans="1:20" ht="15" customHeight="1" x14ac:dyDescent="0.3">
      <c r="A68" s="374">
        <v>4</v>
      </c>
      <c r="B68" s="374" t="s">
        <v>266</v>
      </c>
      <c r="C68" s="374" t="s">
        <v>423</v>
      </c>
      <c r="D68" s="374"/>
      <c r="E68" s="374">
        <v>14.203989999999999</v>
      </c>
      <c r="F68" s="374">
        <v>78.264870000000002</v>
      </c>
      <c r="G68" s="374">
        <v>2023</v>
      </c>
      <c r="H68" s="374" t="s">
        <v>263</v>
      </c>
      <c r="I68" s="129">
        <v>8</v>
      </c>
      <c r="J68" s="128">
        <f t="shared" si="4"/>
        <v>2.5477707006369426</v>
      </c>
      <c r="K68" s="129"/>
      <c r="L68" s="129"/>
      <c r="M68" s="129"/>
      <c r="N68" s="129"/>
      <c r="O68" s="114"/>
      <c r="P68" s="114">
        <f t="shared" si="5"/>
        <v>7.9832143438996386E-3</v>
      </c>
      <c r="Q68" s="192">
        <f>P68*(1+'Key Data'!F$3)</f>
        <v>9.9790179298745486E-3</v>
      </c>
      <c r="R68" s="379">
        <f>SUM(Q68:Q87)</f>
        <v>0.40293589459095586</v>
      </c>
      <c r="S68" s="379">
        <f>R68*10000/900</f>
        <v>4.477065495455065</v>
      </c>
      <c r="T68" s="369"/>
    </row>
    <row r="69" spans="1:20" x14ac:dyDescent="0.3">
      <c r="A69" s="374"/>
      <c r="B69" s="374"/>
      <c r="C69" s="374"/>
      <c r="D69" s="374"/>
      <c r="E69" s="374"/>
      <c r="F69" s="374"/>
      <c r="G69" s="374"/>
      <c r="H69" s="374"/>
      <c r="I69" s="129">
        <v>7.5</v>
      </c>
      <c r="J69" s="128">
        <f t="shared" si="4"/>
        <v>2.3885350318471334</v>
      </c>
      <c r="K69" s="129"/>
      <c r="L69" s="129"/>
      <c r="M69" s="129"/>
      <c r="N69" s="129"/>
      <c r="O69" s="114"/>
      <c r="P69" s="114">
        <f t="shared" si="5"/>
        <v>7.1480699828073624E-3</v>
      </c>
      <c r="Q69" s="192">
        <f>P69*(1+'Key Data'!F$3)</f>
        <v>8.9350874785092023E-3</v>
      </c>
      <c r="R69" s="379"/>
      <c r="S69" s="379"/>
      <c r="T69" s="369"/>
    </row>
    <row r="70" spans="1:20" x14ac:dyDescent="0.3">
      <c r="A70" s="374"/>
      <c r="B70" s="374"/>
      <c r="C70" s="374"/>
      <c r="D70" s="374"/>
      <c r="E70" s="374"/>
      <c r="F70" s="374"/>
      <c r="G70" s="374"/>
      <c r="H70" s="374"/>
      <c r="I70" s="129">
        <v>9</v>
      </c>
      <c r="J70" s="128">
        <f t="shared" si="4"/>
        <v>2.8662420382165603</v>
      </c>
      <c r="K70" s="129"/>
      <c r="L70" s="129"/>
      <c r="M70" s="129"/>
      <c r="N70" s="129"/>
      <c r="O70" s="114"/>
      <c r="P70" s="114">
        <f t="shared" si="5"/>
        <v>9.826435152829955E-3</v>
      </c>
      <c r="Q70" s="192">
        <f>P70*(1+'Key Data'!F$3)</f>
        <v>1.2283043941037443E-2</v>
      </c>
      <c r="R70" s="379"/>
      <c r="S70" s="379"/>
      <c r="T70" s="369"/>
    </row>
    <row r="71" spans="1:20" x14ac:dyDescent="0.3">
      <c r="A71" s="374"/>
      <c r="B71" s="374"/>
      <c r="C71" s="374"/>
      <c r="D71" s="374"/>
      <c r="E71" s="374"/>
      <c r="F71" s="374"/>
      <c r="G71" s="374"/>
      <c r="H71" s="374"/>
      <c r="I71" s="129">
        <v>10.5</v>
      </c>
      <c r="J71" s="128">
        <f t="shared" si="4"/>
        <v>3.3439490445859872</v>
      </c>
      <c r="K71" s="129"/>
      <c r="L71" s="129"/>
      <c r="M71" s="129"/>
      <c r="N71" s="129"/>
      <c r="O71" s="114"/>
      <c r="P71" s="114">
        <f t="shared" si="5"/>
        <v>1.3015491172432213E-2</v>
      </c>
      <c r="Q71" s="192">
        <f>P71*(1+'Key Data'!F$3)</f>
        <v>1.6269363965540268E-2</v>
      </c>
      <c r="R71" s="379"/>
      <c r="S71" s="379"/>
      <c r="T71" s="369"/>
    </row>
    <row r="72" spans="1:20" x14ac:dyDescent="0.3">
      <c r="A72" s="374"/>
      <c r="B72" s="374"/>
      <c r="C72" s="374"/>
      <c r="D72" s="374"/>
      <c r="E72" s="374"/>
      <c r="F72" s="374"/>
      <c r="G72" s="374"/>
      <c r="H72" s="374"/>
      <c r="I72" s="129">
        <v>19.5</v>
      </c>
      <c r="J72" s="128">
        <f t="shared" si="4"/>
        <v>6.2101910828025479</v>
      </c>
      <c r="K72" s="129"/>
      <c r="L72" s="129"/>
      <c r="M72" s="129"/>
      <c r="N72" s="129"/>
      <c r="O72" s="114"/>
      <c r="P72" s="114">
        <f>30.4*EXP(-5.07*EXP(-0.26*J72)+1.277)/1000</f>
        <v>3.9754124421972549E-2</v>
      </c>
      <c r="Q72" s="192">
        <f>P72*(1+'Key Data'!F$3)</f>
        <v>4.9692655527465684E-2</v>
      </c>
      <c r="R72" s="379"/>
      <c r="S72" s="379"/>
      <c r="T72" s="369"/>
    </row>
    <row r="73" spans="1:20" x14ac:dyDescent="0.3">
      <c r="A73" s="374"/>
      <c r="B73" s="374"/>
      <c r="C73" s="374"/>
      <c r="D73" s="374"/>
      <c r="E73" s="374"/>
      <c r="F73" s="374"/>
      <c r="G73" s="374"/>
      <c r="H73" s="374"/>
      <c r="I73" s="129">
        <v>12.5</v>
      </c>
      <c r="J73" s="128">
        <f t="shared" si="4"/>
        <v>3.9808917197452227</v>
      </c>
      <c r="K73" s="129"/>
      <c r="L73" s="129"/>
      <c r="M73" s="129"/>
      <c r="N73" s="129"/>
      <c r="O73" s="114"/>
      <c r="P73" s="114">
        <f t="shared" si="5"/>
        <v>1.800234834190366E-2</v>
      </c>
      <c r="Q73" s="192">
        <f>P73*(1+'Key Data'!F$3)</f>
        <v>2.2502935427379574E-2</v>
      </c>
      <c r="R73" s="379"/>
      <c r="S73" s="379"/>
      <c r="T73" s="369"/>
    </row>
    <row r="74" spans="1:20" x14ac:dyDescent="0.3">
      <c r="A74" s="374"/>
      <c r="B74" s="374"/>
      <c r="C74" s="374"/>
      <c r="D74" s="374"/>
      <c r="E74" s="374"/>
      <c r="F74" s="374"/>
      <c r="G74" s="374"/>
      <c r="H74" s="374"/>
      <c r="I74" s="129">
        <v>7.5</v>
      </c>
      <c r="J74" s="128">
        <f t="shared" si="4"/>
        <v>2.3885350318471334</v>
      </c>
      <c r="K74" s="129"/>
      <c r="L74" s="129"/>
      <c r="M74" s="129"/>
      <c r="N74" s="129"/>
      <c r="O74" s="114"/>
      <c r="P74" s="114">
        <f t="shared" si="5"/>
        <v>7.1480699828073624E-3</v>
      </c>
      <c r="Q74" s="192">
        <f>P74*(1+'Key Data'!F$3)</f>
        <v>8.9350874785092023E-3</v>
      </c>
      <c r="R74" s="379"/>
      <c r="S74" s="379"/>
      <c r="T74" s="369"/>
    </row>
    <row r="75" spans="1:20" x14ac:dyDescent="0.3">
      <c r="A75" s="374"/>
      <c r="B75" s="374"/>
      <c r="C75" s="374"/>
      <c r="D75" s="374"/>
      <c r="E75" s="374"/>
      <c r="F75" s="374"/>
      <c r="G75" s="374"/>
      <c r="H75" s="374"/>
      <c r="I75" s="129">
        <v>8.1999999999999993</v>
      </c>
      <c r="J75" s="128">
        <f t="shared" si="4"/>
        <v>2.6114649681528661</v>
      </c>
      <c r="K75" s="129"/>
      <c r="L75" s="129"/>
      <c r="M75" s="129"/>
      <c r="N75" s="129"/>
      <c r="O75" s="114"/>
      <c r="P75" s="114">
        <f t="shared" si="5"/>
        <v>8.3334329835339227E-3</v>
      </c>
      <c r="Q75" s="192">
        <f>P75*(1+'Key Data'!F$3)</f>
        <v>1.0416791229417403E-2</v>
      </c>
      <c r="R75" s="379"/>
      <c r="S75" s="379"/>
      <c r="T75" s="369"/>
    </row>
    <row r="76" spans="1:20" x14ac:dyDescent="0.3">
      <c r="A76" s="374"/>
      <c r="B76" s="374"/>
      <c r="C76" s="374"/>
      <c r="D76" s="374"/>
      <c r="E76" s="374"/>
      <c r="F76" s="374"/>
      <c r="G76" s="374"/>
      <c r="H76" s="374"/>
      <c r="I76" s="129">
        <v>10.5</v>
      </c>
      <c r="J76" s="128">
        <f t="shared" si="4"/>
        <v>3.3439490445859872</v>
      </c>
      <c r="K76" s="129"/>
      <c r="L76" s="129"/>
      <c r="M76" s="129"/>
      <c r="N76" s="129"/>
      <c r="O76" s="114"/>
      <c r="P76" s="114">
        <f t="shared" si="5"/>
        <v>1.3015491172432213E-2</v>
      </c>
      <c r="Q76" s="192">
        <f>P76*(1+'Key Data'!F$3)</f>
        <v>1.6269363965540268E-2</v>
      </c>
      <c r="R76" s="379"/>
      <c r="S76" s="379"/>
      <c r="T76" s="369"/>
    </row>
    <row r="77" spans="1:20" x14ac:dyDescent="0.3">
      <c r="A77" s="374"/>
      <c r="B77" s="374"/>
      <c r="C77" s="374"/>
      <c r="D77" s="374"/>
      <c r="E77" s="374"/>
      <c r="F77" s="374"/>
      <c r="G77" s="374"/>
      <c r="H77" s="374"/>
      <c r="I77" s="129">
        <v>6.5</v>
      </c>
      <c r="J77" s="128">
        <f t="shared" si="4"/>
        <v>2.0700636942675157</v>
      </c>
      <c r="K77" s="129"/>
      <c r="L77" s="129"/>
      <c r="M77" s="129"/>
      <c r="N77" s="129"/>
      <c r="O77" s="114"/>
      <c r="P77" s="114">
        <f t="shared" si="5"/>
        <v>5.6498841212499588E-3</v>
      </c>
      <c r="Q77" s="192">
        <f>P77*(1+'Key Data'!F$3)</f>
        <v>7.0623551515624486E-3</v>
      </c>
      <c r="R77" s="379"/>
      <c r="S77" s="379"/>
      <c r="T77" s="369"/>
    </row>
    <row r="78" spans="1:20" x14ac:dyDescent="0.3">
      <c r="A78" s="374"/>
      <c r="B78" s="374"/>
      <c r="C78" s="374"/>
      <c r="D78" s="374"/>
      <c r="E78" s="374"/>
      <c r="F78" s="374"/>
      <c r="G78" s="374"/>
      <c r="H78" s="374"/>
      <c r="I78" s="129">
        <v>10</v>
      </c>
      <c r="J78" s="128">
        <f t="shared" si="4"/>
        <v>3.1847133757961781</v>
      </c>
      <c r="K78" s="129"/>
      <c r="L78" s="129"/>
      <c r="M78" s="129"/>
      <c r="N78" s="129"/>
      <c r="O78" s="114"/>
      <c r="P78" s="114">
        <f t="shared" si="5"/>
        <v>1.1897201446553259E-2</v>
      </c>
      <c r="Q78" s="192">
        <f>P78*(1+'Key Data'!F$3)</f>
        <v>1.4871501808191575E-2</v>
      </c>
      <c r="R78" s="379"/>
      <c r="S78" s="379"/>
      <c r="T78" s="369"/>
    </row>
    <row r="79" spans="1:20" x14ac:dyDescent="0.3">
      <c r="A79" s="374"/>
      <c r="B79" s="374"/>
      <c r="C79" s="374"/>
      <c r="D79" s="374"/>
      <c r="E79" s="374"/>
      <c r="F79" s="374"/>
      <c r="G79" s="374"/>
      <c r="H79" s="374"/>
      <c r="I79" s="129">
        <v>15</v>
      </c>
      <c r="J79" s="128">
        <f t="shared" si="4"/>
        <v>4.7770700636942669</v>
      </c>
      <c r="K79" s="129"/>
      <c r="L79" s="129"/>
      <c r="M79" s="129"/>
      <c r="N79" s="129"/>
      <c r="O79" s="114"/>
      <c r="P79" s="114">
        <f t="shared" si="5"/>
        <v>2.5210283947592334E-2</v>
      </c>
      <c r="Q79" s="192">
        <f>P79*(1+'Key Data'!F$3)</f>
        <v>3.1512854934490415E-2</v>
      </c>
      <c r="R79" s="379"/>
      <c r="S79" s="379"/>
      <c r="T79" s="369"/>
    </row>
    <row r="80" spans="1:20" x14ac:dyDescent="0.3">
      <c r="A80" s="374"/>
      <c r="B80" s="374"/>
      <c r="C80" s="374"/>
      <c r="D80" s="374"/>
      <c r="E80" s="374"/>
      <c r="F80" s="374"/>
      <c r="G80" s="374"/>
      <c r="H80" s="374"/>
      <c r="I80" s="129">
        <v>11.5</v>
      </c>
      <c r="J80" s="128">
        <f t="shared" si="4"/>
        <v>3.6624203821656049</v>
      </c>
      <c r="K80" s="129"/>
      <c r="L80" s="129"/>
      <c r="M80" s="129"/>
      <c r="N80" s="129"/>
      <c r="O80" s="114"/>
      <c r="P80" s="114">
        <f t="shared" si="5"/>
        <v>1.5410235164035066E-2</v>
      </c>
      <c r="Q80" s="192">
        <f>P80*(1+'Key Data'!F$3)</f>
        <v>1.9262793955043832E-2</v>
      </c>
      <c r="R80" s="379"/>
      <c r="S80" s="379"/>
      <c r="T80" s="369"/>
    </row>
    <row r="81" spans="1:20" x14ac:dyDescent="0.3">
      <c r="A81" s="374"/>
      <c r="B81" s="374"/>
      <c r="C81" s="374"/>
      <c r="D81" s="374"/>
      <c r="E81" s="374"/>
      <c r="F81" s="374"/>
      <c r="G81" s="374"/>
      <c r="H81" s="374"/>
      <c r="I81" s="129">
        <v>28</v>
      </c>
      <c r="J81" s="128">
        <f t="shared" si="4"/>
        <v>8.9171974522292992</v>
      </c>
      <c r="K81" s="129"/>
      <c r="L81" s="129"/>
      <c r="M81" s="129"/>
      <c r="N81" s="129"/>
      <c r="O81" s="114"/>
      <c r="P81" s="114">
        <f t="shared" si="5"/>
        <v>6.6183639528078139E-2</v>
      </c>
      <c r="Q81" s="192">
        <f>P81*(1+'Key Data'!F$3)</f>
        <v>8.2729549410097677E-2</v>
      </c>
      <c r="R81" s="379"/>
      <c r="S81" s="379"/>
      <c r="T81" s="369"/>
    </row>
    <row r="82" spans="1:20" x14ac:dyDescent="0.3">
      <c r="A82" s="374"/>
      <c r="B82" s="374"/>
      <c r="C82" s="374"/>
      <c r="D82" s="374"/>
      <c r="E82" s="374"/>
      <c r="F82" s="374"/>
      <c r="G82" s="374"/>
      <c r="H82" s="374"/>
      <c r="I82" s="129">
        <v>7</v>
      </c>
      <c r="J82" s="128">
        <f t="shared" si="4"/>
        <v>2.2292993630573248</v>
      </c>
      <c r="K82" s="129"/>
      <c r="L82" s="129"/>
      <c r="M82" s="129"/>
      <c r="N82" s="129"/>
      <c r="O82" s="114"/>
      <c r="P82" s="114">
        <f t="shared" si="5"/>
        <v>6.3704673544629662E-3</v>
      </c>
      <c r="Q82" s="192">
        <f>P82*(1+'Key Data'!F$3)</f>
        <v>7.963084193078708E-3</v>
      </c>
      <c r="R82" s="379"/>
      <c r="S82" s="379"/>
      <c r="T82" s="369"/>
    </row>
    <row r="83" spans="1:20" x14ac:dyDescent="0.3">
      <c r="A83" s="374"/>
      <c r="B83" s="374"/>
      <c r="C83" s="374"/>
      <c r="D83" s="374"/>
      <c r="E83" s="374"/>
      <c r="F83" s="374"/>
      <c r="G83" s="374"/>
      <c r="H83" s="374"/>
      <c r="I83" s="129">
        <v>9.5</v>
      </c>
      <c r="J83" s="128">
        <f t="shared" si="4"/>
        <v>3.0254777070063694</v>
      </c>
      <c r="K83" s="129"/>
      <c r="L83" s="129"/>
      <c r="M83" s="129"/>
      <c r="N83" s="129"/>
      <c r="O83" s="114"/>
      <c r="P83" s="114">
        <f t="shared" si="5"/>
        <v>1.0833776274969816E-2</v>
      </c>
      <c r="Q83" s="192">
        <f>P83*(1+'Key Data'!F$3)</f>
        <v>1.3542220343712269E-2</v>
      </c>
      <c r="R83" s="379"/>
      <c r="S83" s="379"/>
      <c r="T83" s="369"/>
    </row>
    <row r="84" spans="1:20" x14ac:dyDescent="0.3">
      <c r="A84" s="374"/>
      <c r="B84" s="374"/>
      <c r="C84" s="374"/>
      <c r="D84" s="374"/>
      <c r="E84" s="374"/>
      <c r="F84" s="374"/>
      <c r="G84" s="374"/>
      <c r="H84" s="374"/>
      <c r="I84" s="129">
        <v>11</v>
      </c>
      <c r="J84" s="128">
        <f t="shared" si="4"/>
        <v>3.5031847133757958</v>
      </c>
      <c r="K84" s="129"/>
      <c r="L84" s="129"/>
      <c r="M84" s="129"/>
      <c r="N84" s="129"/>
      <c r="O84" s="114"/>
      <c r="P84" s="114">
        <f t="shared" si="5"/>
        <v>1.4187111700351446E-2</v>
      </c>
      <c r="Q84" s="192">
        <f>P84*(1+'Key Data'!F$3)</f>
        <v>1.7733889625439307E-2</v>
      </c>
      <c r="R84" s="379"/>
      <c r="S84" s="379"/>
      <c r="T84" s="369"/>
    </row>
    <row r="85" spans="1:20" x14ac:dyDescent="0.3">
      <c r="A85" s="374"/>
      <c r="B85" s="374"/>
      <c r="C85" s="374"/>
      <c r="D85" s="374"/>
      <c r="E85" s="374"/>
      <c r="F85" s="374"/>
      <c r="G85" s="374"/>
      <c r="H85" s="374"/>
      <c r="I85" s="129">
        <v>8.5</v>
      </c>
      <c r="J85" s="128">
        <f t="shared" si="4"/>
        <v>2.7070063694267517</v>
      </c>
      <c r="K85" s="129"/>
      <c r="L85" s="129"/>
      <c r="M85" s="129"/>
      <c r="N85" s="129"/>
      <c r="O85" s="114"/>
      <c r="P85" s="114">
        <f t="shared" si="5"/>
        <v>8.8760664519080962E-3</v>
      </c>
      <c r="Q85" s="192">
        <f>P85*(1+'Key Data'!F$3)</f>
        <v>1.109508306488512E-2</v>
      </c>
      <c r="R85" s="379"/>
      <c r="S85" s="379"/>
      <c r="T85" s="369"/>
    </row>
    <row r="86" spans="1:20" x14ac:dyDescent="0.3">
      <c r="A86" s="374"/>
      <c r="B86" s="374"/>
      <c r="C86" s="374"/>
      <c r="D86" s="374"/>
      <c r="E86" s="374"/>
      <c r="F86" s="374"/>
      <c r="G86" s="374"/>
      <c r="H86" s="374"/>
      <c r="I86" s="129">
        <v>10.5</v>
      </c>
      <c r="J86" s="128">
        <f t="shared" si="4"/>
        <v>3.3439490445859872</v>
      </c>
      <c r="K86" s="129"/>
      <c r="L86" s="129"/>
      <c r="M86" s="129"/>
      <c r="N86" s="129"/>
      <c r="O86" s="114"/>
      <c r="P86" s="114">
        <f t="shared" si="5"/>
        <v>1.3015491172432213E-2</v>
      </c>
      <c r="Q86" s="192">
        <f>P86*(1+'Key Data'!F$3)</f>
        <v>1.6269363965540268E-2</v>
      </c>
      <c r="R86" s="379"/>
      <c r="S86" s="379"/>
      <c r="T86" s="369"/>
    </row>
    <row r="87" spans="1:20" x14ac:dyDescent="0.3">
      <c r="A87" s="374"/>
      <c r="B87" s="374"/>
      <c r="C87" s="374"/>
      <c r="D87" s="374"/>
      <c r="E87" s="374"/>
      <c r="F87" s="374"/>
      <c r="G87" s="374"/>
      <c r="H87" s="374"/>
      <c r="I87" s="129">
        <v>13.4</v>
      </c>
      <c r="J87" s="128">
        <f t="shared" si="4"/>
        <v>4.2675159235668794</v>
      </c>
      <c r="K87" s="129"/>
      <c r="L87" s="129"/>
      <c r="M87" s="129"/>
      <c r="N87" s="129"/>
      <c r="O87" s="114"/>
      <c r="P87" s="114">
        <f t="shared" si="5"/>
        <v>2.048788095651247E-2</v>
      </c>
      <c r="Q87" s="192">
        <f>P87*(1+'Key Data'!F$3)</f>
        <v>2.5609851195640587E-2</v>
      </c>
      <c r="R87" s="379"/>
      <c r="S87" s="379"/>
      <c r="T87" s="369"/>
    </row>
  </sheetData>
  <autoFilter ref="H1:H87" xr:uid="{024D4EE1-B853-4E99-8674-1182E7D4A301}"/>
  <mergeCells count="37">
    <mergeCell ref="T2:T87"/>
    <mergeCell ref="R68:R87"/>
    <mergeCell ref="S68:S87"/>
    <mergeCell ref="R2:R17"/>
    <mergeCell ref="S2:S17"/>
    <mergeCell ref="R18:R33"/>
    <mergeCell ref="S18:S33"/>
    <mergeCell ref="R34:R67"/>
    <mergeCell ref="S34:S67"/>
    <mergeCell ref="A2:A17"/>
    <mergeCell ref="B2:B17"/>
    <mergeCell ref="G2:G17"/>
    <mergeCell ref="H2:H17"/>
    <mergeCell ref="A18:A33"/>
    <mergeCell ref="B18:B33"/>
    <mergeCell ref="G18:G33"/>
    <mergeCell ref="H18:H33"/>
    <mergeCell ref="A68:A87"/>
    <mergeCell ref="B68:B87"/>
    <mergeCell ref="C68:C87"/>
    <mergeCell ref="A34:A67"/>
    <mergeCell ref="B34:B67"/>
    <mergeCell ref="C34:C67"/>
    <mergeCell ref="G68:G87"/>
    <mergeCell ref="H34:H67"/>
    <mergeCell ref="H68:H87"/>
    <mergeCell ref="C2:C17"/>
    <mergeCell ref="D2:D17"/>
    <mergeCell ref="C18:C33"/>
    <mergeCell ref="D18:D33"/>
    <mergeCell ref="D68:D87"/>
    <mergeCell ref="E68:E87"/>
    <mergeCell ref="F68:F87"/>
    <mergeCell ref="G34:G67"/>
    <mergeCell ref="D34:D67"/>
    <mergeCell ref="E34:E67"/>
    <mergeCell ref="F34:F6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843A-36CA-4A88-BE65-E7959CD92CF1}">
  <dimension ref="A1:S173"/>
  <sheetViews>
    <sheetView topLeftCell="L1" workbookViewId="0">
      <pane ySplit="1" topLeftCell="A76" activePane="bottomLeft" state="frozen"/>
      <selection activeCell="F1" sqref="F1"/>
      <selection pane="bottomLeft" activeCell="O4" sqref="O4"/>
    </sheetView>
  </sheetViews>
  <sheetFormatPr defaultColWidth="9.109375" defaultRowHeight="14.4" x14ac:dyDescent="0.3"/>
  <cols>
    <col min="1" max="4" width="9.109375" style="66"/>
    <col min="5" max="6" width="10.5546875" style="66" bestFit="1" customWidth="1"/>
    <col min="7" max="8" width="9.109375" style="66"/>
    <col min="9" max="14" width="9.109375" style="74"/>
    <col min="15" max="16" width="18.44140625" style="89" bestFit="1" customWidth="1"/>
    <col min="17" max="18" width="14.6640625" style="89" customWidth="1"/>
    <col min="19" max="19" width="11.5546875" style="89" bestFit="1" customWidth="1"/>
    <col min="20" max="21" width="9.109375" style="66"/>
    <col min="22" max="22" width="10.5546875" style="66" bestFit="1" customWidth="1"/>
    <col min="23" max="16384" width="9.109375" style="66"/>
  </cols>
  <sheetData>
    <row r="1" spans="1:19" s="164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95" t="s">
        <v>364</v>
      </c>
      <c r="P1" s="195" t="s">
        <v>363</v>
      </c>
      <c r="Q1" s="195" t="s">
        <v>546</v>
      </c>
      <c r="R1" s="195" t="s">
        <v>370</v>
      </c>
      <c r="S1" s="195" t="s">
        <v>361</v>
      </c>
    </row>
    <row r="2" spans="1:19" x14ac:dyDescent="0.3">
      <c r="A2" s="462">
        <v>1</v>
      </c>
      <c r="B2" s="462" t="s">
        <v>290</v>
      </c>
      <c r="C2" s="462" t="s">
        <v>291</v>
      </c>
      <c r="D2" s="462" t="s">
        <v>292</v>
      </c>
      <c r="E2" s="160">
        <v>14.457279</v>
      </c>
      <c r="F2" s="160">
        <v>75.257069999999999</v>
      </c>
      <c r="G2" s="462">
        <v>2022</v>
      </c>
      <c r="H2" s="462" t="s">
        <v>263</v>
      </c>
      <c r="I2" s="130">
        <f>SQRT(31.8^2+13.5^2)</f>
        <v>34.5469246098694</v>
      </c>
      <c r="J2" s="130">
        <f t="shared" ref="J2:J33" si="0">I2/3.14</f>
        <v>11.002205289767325</v>
      </c>
      <c r="K2" s="130"/>
      <c r="L2" s="130"/>
      <c r="M2" s="130"/>
      <c r="N2" s="130"/>
      <c r="O2" s="197">
        <f>30.4*EXP(-5.07*EXP(-0.26*J2)+1.277)/1000</f>
        <v>8.1553270066369601E-2</v>
      </c>
      <c r="P2" s="197">
        <f>O2*(1+'Key Data'!F$3)</f>
        <v>0.101941587582962</v>
      </c>
      <c r="Q2" s="471">
        <f>SUM(P2:P16)</f>
        <v>1.5480338661827977</v>
      </c>
      <c r="R2" s="471">
        <f>Q2*10000/900</f>
        <v>17.200376290919973</v>
      </c>
      <c r="S2" s="469">
        <f>AVERAGE(R2:R83)</f>
        <v>17.730020412528397</v>
      </c>
    </row>
    <row r="3" spans="1:19" x14ac:dyDescent="0.3">
      <c r="A3" s="462"/>
      <c r="B3" s="462"/>
      <c r="C3" s="462"/>
      <c r="D3" s="462"/>
      <c r="E3" s="160">
        <v>14.457656</v>
      </c>
      <c r="F3" s="160">
        <v>75.256789999999995</v>
      </c>
      <c r="G3" s="462"/>
      <c r="H3" s="462"/>
      <c r="I3" s="130">
        <v>29.6</v>
      </c>
      <c r="J3" s="130">
        <f t="shared" si="0"/>
        <v>9.4267515923566876</v>
      </c>
      <c r="K3" s="130"/>
      <c r="L3" s="130"/>
      <c r="M3" s="130"/>
      <c r="N3" s="130"/>
      <c r="O3" s="197">
        <f>30.4*EXP(-5.07*EXP(-0.26*J3)+1.277)/1000</f>
        <v>7.0411170818647048E-2</v>
      </c>
      <c r="P3" s="197">
        <f>O3*(1+'Key Data'!F$3)</f>
        <v>8.8013963523308814E-2</v>
      </c>
      <c r="Q3" s="471"/>
      <c r="R3" s="471"/>
      <c r="S3" s="470"/>
    </row>
    <row r="4" spans="1:19" x14ac:dyDescent="0.3">
      <c r="A4" s="462"/>
      <c r="B4" s="462"/>
      <c r="C4" s="462"/>
      <c r="D4" s="462"/>
      <c r="E4" s="160">
        <v>14.456992</v>
      </c>
      <c r="F4" s="160">
        <v>75.256879999999995</v>
      </c>
      <c r="G4" s="462"/>
      <c r="H4" s="462"/>
      <c r="I4" s="130">
        <v>27.5</v>
      </c>
      <c r="J4" s="130">
        <f t="shared" si="0"/>
        <v>8.7579617834394909</v>
      </c>
      <c r="K4" s="130"/>
      <c r="L4" s="130"/>
      <c r="M4" s="130"/>
      <c r="N4" s="130"/>
      <c r="O4" s="197">
        <f t="shared" ref="O4:O33" si="1">30.4*EXP(-5.07*EXP(-0.26*J4)+1.277)/1000</f>
        <v>6.4802231741112215E-2</v>
      </c>
      <c r="P4" s="197">
        <f>O4*(1+'Key Data'!F$3)</f>
        <v>8.1002789676390269E-2</v>
      </c>
      <c r="Q4" s="471"/>
      <c r="R4" s="471"/>
      <c r="S4" s="470"/>
    </row>
    <row r="5" spans="1:19" x14ac:dyDescent="0.3">
      <c r="A5" s="462"/>
      <c r="B5" s="462"/>
      <c r="C5" s="462"/>
      <c r="D5" s="462"/>
      <c r="E5" s="160">
        <v>14.45739</v>
      </c>
      <c r="F5" s="160">
        <v>75.25712</v>
      </c>
      <c r="G5" s="462"/>
      <c r="H5" s="462"/>
      <c r="I5" s="130">
        <v>30.5</v>
      </c>
      <c r="J5" s="130">
        <f t="shared" si="0"/>
        <v>9.7133757961783438</v>
      </c>
      <c r="K5" s="130"/>
      <c r="L5" s="130"/>
      <c r="M5" s="130"/>
      <c r="N5" s="130"/>
      <c r="O5" s="197">
        <f t="shared" si="1"/>
        <v>7.2656351736949829E-2</v>
      </c>
      <c r="P5" s="197">
        <f>O5*(1+'Key Data'!F$3)</f>
        <v>9.0820439671187289E-2</v>
      </c>
      <c r="Q5" s="471"/>
      <c r="R5" s="471"/>
      <c r="S5" s="470"/>
    </row>
    <row r="6" spans="1:19" x14ac:dyDescent="0.3">
      <c r="A6" s="462"/>
      <c r="B6" s="462"/>
      <c r="C6" s="462"/>
      <c r="D6" s="462"/>
      <c r="E6" s="160">
        <v>14.457088000000001</v>
      </c>
      <c r="F6" s="160">
        <v>75.257009999999994</v>
      </c>
      <c r="G6" s="462"/>
      <c r="H6" s="462"/>
      <c r="I6" s="130">
        <v>44.2</v>
      </c>
      <c r="J6" s="130">
        <f t="shared" si="0"/>
        <v>14.076433121019109</v>
      </c>
      <c r="K6" s="130"/>
      <c r="L6" s="130"/>
      <c r="M6" s="130"/>
      <c r="N6" s="130"/>
      <c r="O6" s="197">
        <f t="shared" si="1"/>
        <v>9.5675489562741495E-2</v>
      </c>
      <c r="P6" s="197">
        <f>O6*(1+'Key Data'!F$3)</f>
        <v>0.11959436195342688</v>
      </c>
      <c r="Q6" s="471"/>
      <c r="R6" s="471"/>
      <c r="S6" s="470"/>
    </row>
    <row r="7" spans="1:19" x14ac:dyDescent="0.3">
      <c r="A7" s="462"/>
      <c r="B7" s="462"/>
      <c r="C7" s="462"/>
      <c r="D7" s="462"/>
      <c r="E7" s="160"/>
      <c r="F7" s="160"/>
      <c r="G7" s="462"/>
      <c r="H7" s="462"/>
      <c r="I7" s="130">
        <v>33.799999999999997</v>
      </c>
      <c r="J7" s="130">
        <f t="shared" si="0"/>
        <v>10.764331210191081</v>
      </c>
      <c r="K7" s="130"/>
      <c r="L7" s="130"/>
      <c r="M7" s="130"/>
      <c r="N7" s="130"/>
      <c r="O7" s="197">
        <f t="shared" si="1"/>
        <v>8.0057297162445903E-2</v>
      </c>
      <c r="P7" s="197">
        <f>O7*(1+'Key Data'!F$3)</f>
        <v>0.10007162145305738</v>
      </c>
      <c r="Q7" s="471"/>
      <c r="R7" s="471"/>
      <c r="S7" s="470"/>
    </row>
    <row r="8" spans="1:19" x14ac:dyDescent="0.3">
      <c r="A8" s="462"/>
      <c r="B8" s="462"/>
      <c r="C8" s="462"/>
      <c r="D8" s="462"/>
      <c r="E8" s="160"/>
      <c r="F8" s="160"/>
      <c r="G8" s="462"/>
      <c r="H8" s="462"/>
      <c r="I8" s="130">
        <v>34.5</v>
      </c>
      <c r="J8" s="130">
        <f t="shared" si="0"/>
        <v>10.987261146496815</v>
      </c>
      <c r="K8" s="130"/>
      <c r="L8" s="130"/>
      <c r="M8" s="130"/>
      <c r="N8" s="130"/>
      <c r="O8" s="197">
        <f t="shared" si="1"/>
        <v>8.1461190941682818E-2</v>
      </c>
      <c r="P8" s="197">
        <f>O8*(1+'Key Data'!F$3)</f>
        <v>0.10182648867710352</v>
      </c>
      <c r="Q8" s="471"/>
      <c r="R8" s="471"/>
      <c r="S8" s="470"/>
    </row>
    <row r="9" spans="1:19" x14ac:dyDescent="0.3">
      <c r="A9" s="462"/>
      <c r="B9" s="462"/>
      <c r="C9" s="462"/>
      <c r="D9" s="462"/>
      <c r="E9" s="160"/>
      <c r="F9" s="160"/>
      <c r="G9" s="462"/>
      <c r="H9" s="462"/>
      <c r="I9" s="130">
        <v>42.3</v>
      </c>
      <c r="J9" s="130">
        <f t="shared" si="0"/>
        <v>13.471337579617833</v>
      </c>
      <c r="K9" s="130"/>
      <c r="L9" s="130"/>
      <c r="M9" s="130"/>
      <c r="N9" s="130"/>
      <c r="O9" s="197">
        <f t="shared" si="1"/>
        <v>9.3572023403915794E-2</v>
      </c>
      <c r="P9" s="197">
        <f>O9*(1+'Key Data'!F$3)</f>
        <v>0.11696502925489474</v>
      </c>
      <c r="Q9" s="471"/>
      <c r="R9" s="471"/>
      <c r="S9" s="470"/>
    </row>
    <row r="10" spans="1:19" x14ac:dyDescent="0.3">
      <c r="A10" s="462"/>
      <c r="B10" s="462"/>
      <c r="C10" s="462"/>
      <c r="D10" s="462"/>
      <c r="E10" s="160"/>
      <c r="F10" s="160"/>
      <c r="G10" s="462"/>
      <c r="H10" s="462"/>
      <c r="I10" s="130">
        <v>34.799999999999997</v>
      </c>
      <c r="J10" s="130">
        <f t="shared" si="0"/>
        <v>11.082802547770699</v>
      </c>
      <c r="K10" s="130"/>
      <c r="L10" s="130"/>
      <c r="M10" s="130"/>
      <c r="N10" s="130"/>
      <c r="O10" s="197">
        <f t="shared" si="1"/>
        <v>8.2045509791717097E-2</v>
      </c>
      <c r="P10" s="197">
        <f>O10*(1+'Key Data'!F$3)</f>
        <v>0.10255688723964637</v>
      </c>
      <c r="Q10" s="471"/>
      <c r="R10" s="471"/>
      <c r="S10" s="470"/>
    </row>
    <row r="11" spans="1:19" x14ac:dyDescent="0.3">
      <c r="A11" s="462"/>
      <c r="B11" s="462"/>
      <c r="C11" s="462"/>
      <c r="D11" s="462"/>
      <c r="E11" s="160"/>
      <c r="F11" s="160"/>
      <c r="G11" s="462"/>
      <c r="H11" s="462"/>
      <c r="I11" s="130">
        <v>42.8</v>
      </c>
      <c r="J11" s="130">
        <f t="shared" si="0"/>
        <v>13.630573248407641</v>
      </c>
      <c r="K11" s="130"/>
      <c r="L11" s="130"/>
      <c r="M11" s="130"/>
      <c r="N11" s="130"/>
      <c r="O11" s="197">
        <f t="shared" si="1"/>
        <v>9.4153345620990814E-2</v>
      </c>
      <c r="P11" s="197">
        <f>O11*(1+'Key Data'!F$3)</f>
        <v>0.11769168202623852</v>
      </c>
      <c r="Q11" s="471"/>
      <c r="R11" s="471"/>
      <c r="S11" s="470"/>
    </row>
    <row r="12" spans="1:19" x14ac:dyDescent="0.3">
      <c r="A12" s="462"/>
      <c r="B12" s="462"/>
      <c r="C12" s="462"/>
      <c r="D12" s="462"/>
      <c r="E12" s="160"/>
      <c r="F12" s="160"/>
      <c r="G12" s="462"/>
      <c r="H12" s="462"/>
      <c r="I12" s="130">
        <v>33.5</v>
      </c>
      <c r="J12" s="130">
        <f t="shared" si="0"/>
        <v>10.668789808917197</v>
      </c>
      <c r="K12" s="130"/>
      <c r="L12" s="130"/>
      <c r="M12" s="130"/>
      <c r="N12" s="130"/>
      <c r="O12" s="197">
        <f t="shared" si="1"/>
        <v>7.9438108670558588E-2</v>
      </c>
      <c r="P12" s="197">
        <f>O12*(1+'Key Data'!F$3)</f>
        <v>9.9297635838198228E-2</v>
      </c>
      <c r="Q12" s="471"/>
      <c r="R12" s="471"/>
      <c r="S12" s="470"/>
    </row>
    <row r="13" spans="1:19" x14ac:dyDescent="0.3">
      <c r="A13" s="462"/>
      <c r="B13" s="462"/>
      <c r="C13" s="462"/>
      <c r="D13" s="462"/>
      <c r="E13" s="160"/>
      <c r="F13" s="160"/>
      <c r="G13" s="462"/>
      <c r="H13" s="462"/>
      <c r="I13" s="130">
        <v>41.6</v>
      </c>
      <c r="J13" s="130">
        <f t="shared" si="0"/>
        <v>13.248407643312103</v>
      </c>
      <c r="K13" s="130"/>
      <c r="L13" s="130"/>
      <c r="M13" s="130"/>
      <c r="N13" s="130"/>
      <c r="O13" s="197">
        <f t="shared" si="1"/>
        <v>9.2723178722471516E-2</v>
      </c>
      <c r="P13" s="197">
        <f>O13*(1+'Key Data'!F$3)</f>
        <v>0.11590397340308939</v>
      </c>
      <c r="Q13" s="471"/>
      <c r="R13" s="471"/>
      <c r="S13" s="470"/>
    </row>
    <row r="14" spans="1:19" x14ac:dyDescent="0.3">
      <c r="A14" s="462"/>
      <c r="B14" s="462"/>
      <c r="C14" s="462"/>
      <c r="D14" s="462"/>
      <c r="E14" s="160"/>
      <c r="F14" s="160"/>
      <c r="G14" s="462"/>
      <c r="H14" s="462"/>
      <c r="I14" s="130">
        <v>37.799999999999997</v>
      </c>
      <c r="J14" s="130">
        <f t="shared" si="0"/>
        <v>12.038216560509552</v>
      </c>
      <c r="K14" s="130"/>
      <c r="L14" s="130"/>
      <c r="M14" s="130"/>
      <c r="N14" s="130"/>
      <c r="O14" s="197">
        <f t="shared" si="1"/>
        <v>8.7337441853074918E-2</v>
      </c>
      <c r="P14" s="197">
        <f>O14*(1+'Key Data'!F$3)</f>
        <v>0.10917180231634364</v>
      </c>
      <c r="Q14" s="471"/>
      <c r="R14" s="471"/>
      <c r="S14" s="470"/>
    </row>
    <row r="15" spans="1:19" x14ac:dyDescent="0.3">
      <c r="A15" s="462"/>
      <c r="B15" s="462"/>
      <c r="C15" s="462"/>
      <c r="D15" s="462"/>
      <c r="E15" s="160"/>
      <c r="F15" s="160"/>
      <c r="G15" s="462"/>
      <c r="H15" s="462"/>
      <c r="I15" s="130">
        <v>30.2</v>
      </c>
      <c r="J15" s="130">
        <f t="shared" si="0"/>
        <v>9.6178343949044578</v>
      </c>
      <c r="K15" s="130"/>
      <c r="L15" s="130"/>
      <c r="M15" s="130"/>
      <c r="N15" s="130"/>
      <c r="O15" s="197">
        <f t="shared" si="1"/>
        <v>7.1918724715646948E-2</v>
      </c>
      <c r="P15" s="197">
        <f>O15*(1+'Key Data'!F$3)</f>
        <v>8.9898405894558692E-2</v>
      </c>
      <c r="Q15" s="471"/>
      <c r="R15" s="471"/>
      <c r="S15" s="470"/>
    </row>
    <row r="16" spans="1:19" x14ac:dyDescent="0.3">
      <c r="A16" s="462"/>
      <c r="B16" s="462"/>
      <c r="C16" s="462"/>
      <c r="D16" s="462"/>
      <c r="E16" s="160"/>
      <c r="F16" s="160"/>
      <c r="G16" s="462"/>
      <c r="H16" s="462"/>
      <c r="I16" s="130">
        <v>40</v>
      </c>
      <c r="J16" s="130">
        <f t="shared" si="0"/>
        <v>12.738853503184712</v>
      </c>
      <c r="K16" s="130"/>
      <c r="L16" s="130"/>
      <c r="M16" s="130"/>
      <c r="N16" s="130"/>
      <c r="O16" s="197">
        <f t="shared" si="1"/>
        <v>9.06217581379134E-2</v>
      </c>
      <c r="P16" s="197">
        <f>O16*(1+'Key Data'!F$3)</f>
        <v>0.11327719767239175</v>
      </c>
      <c r="Q16" s="471"/>
      <c r="R16" s="471"/>
      <c r="S16" s="470"/>
    </row>
    <row r="17" spans="1:19" x14ac:dyDescent="0.3">
      <c r="A17" s="466">
        <v>2</v>
      </c>
      <c r="B17" s="466" t="s">
        <v>293</v>
      </c>
      <c r="C17" s="466" t="s">
        <v>294</v>
      </c>
      <c r="D17" s="466" t="s">
        <v>295</v>
      </c>
      <c r="E17" s="160">
        <v>14.8050768</v>
      </c>
      <c r="F17" s="160">
        <v>75.040556600000002</v>
      </c>
      <c r="G17" s="466">
        <v>2022</v>
      </c>
      <c r="H17" s="466" t="s">
        <v>263</v>
      </c>
      <c r="I17" s="130">
        <v>33.799999999999997</v>
      </c>
      <c r="J17" s="130">
        <f t="shared" si="0"/>
        <v>10.764331210191081</v>
      </c>
      <c r="K17" s="130"/>
      <c r="L17" s="130"/>
      <c r="M17" s="198">
        <v>3</v>
      </c>
      <c r="N17" s="198"/>
      <c r="O17" s="197">
        <f>30.4*EXP(-5.07*EXP(-0.26*J17)+1.277)/1000</f>
        <v>8.0057297162445903E-2</v>
      </c>
      <c r="P17" s="197">
        <f>O17*(1+'Key Data'!F$3)</f>
        <v>0.10007162145305738</v>
      </c>
      <c r="Q17" s="463">
        <f>SUM(P17:P32)</f>
        <v>1.6266093894788609</v>
      </c>
      <c r="R17" s="463">
        <f>Q17*10000/900</f>
        <v>18.073437660876234</v>
      </c>
      <c r="S17" s="470"/>
    </row>
    <row r="18" spans="1:19" x14ac:dyDescent="0.3">
      <c r="A18" s="467"/>
      <c r="B18" s="467"/>
      <c r="C18" s="467"/>
      <c r="D18" s="467"/>
      <c r="E18" s="160">
        <v>14.805208</v>
      </c>
      <c r="F18" s="160">
        <v>75.040784900000006</v>
      </c>
      <c r="G18" s="467"/>
      <c r="H18" s="467"/>
      <c r="I18" s="130">
        <v>33.6</v>
      </c>
      <c r="J18" s="130">
        <f t="shared" si="0"/>
        <v>10.700636942675159</v>
      </c>
      <c r="K18" s="130"/>
      <c r="L18" s="130"/>
      <c r="M18" s="198"/>
      <c r="N18" s="198"/>
      <c r="O18" s="197">
        <f t="shared" si="1"/>
        <v>7.9645680038650815E-2</v>
      </c>
      <c r="P18" s="197">
        <f>O18*(1+'Key Data'!F$3)</f>
        <v>9.9557100048313515E-2</v>
      </c>
      <c r="Q18" s="464"/>
      <c r="R18" s="464"/>
      <c r="S18" s="470"/>
    </row>
    <row r="19" spans="1:19" x14ac:dyDescent="0.3">
      <c r="A19" s="467"/>
      <c r="B19" s="467"/>
      <c r="C19" s="467"/>
      <c r="D19" s="467"/>
      <c r="E19" s="160">
        <v>14.805221400000001</v>
      </c>
      <c r="F19" s="160">
        <v>75.040802999999997</v>
      </c>
      <c r="G19" s="467"/>
      <c r="H19" s="467"/>
      <c r="I19" s="130">
        <v>37</v>
      </c>
      <c r="J19" s="130">
        <f t="shared" si="0"/>
        <v>11.783439490445859</v>
      </c>
      <c r="K19" s="130"/>
      <c r="L19" s="130"/>
      <c r="M19" s="198"/>
      <c r="N19" s="198"/>
      <c r="O19" s="197">
        <f t="shared" si="1"/>
        <v>8.6021612861952396E-2</v>
      </c>
      <c r="P19" s="197">
        <f>O19*(1+'Key Data'!F$3)</f>
        <v>0.1075270160774405</v>
      </c>
      <c r="Q19" s="464"/>
      <c r="R19" s="464"/>
      <c r="S19" s="470"/>
    </row>
    <row r="20" spans="1:19" x14ac:dyDescent="0.3">
      <c r="A20" s="467"/>
      <c r="B20" s="467"/>
      <c r="C20" s="467"/>
      <c r="D20" s="467"/>
      <c r="E20" s="160">
        <v>14.805355499999999</v>
      </c>
      <c r="F20" s="160">
        <v>75.040443600000003</v>
      </c>
      <c r="G20" s="467"/>
      <c r="H20" s="467"/>
      <c r="I20" s="130">
        <v>26.8</v>
      </c>
      <c r="J20" s="130">
        <f t="shared" si="0"/>
        <v>8.5350318471337587</v>
      </c>
      <c r="K20" s="130"/>
      <c r="L20" s="130"/>
      <c r="M20" s="198"/>
      <c r="N20" s="198"/>
      <c r="O20" s="197">
        <f t="shared" si="1"/>
        <v>6.28218651352625E-2</v>
      </c>
      <c r="P20" s="197">
        <f>O20*(1+'Key Data'!F$3)</f>
        <v>7.8527331419078125E-2</v>
      </c>
      <c r="Q20" s="464"/>
      <c r="R20" s="464"/>
      <c r="S20" s="470"/>
    </row>
    <row r="21" spans="1:19" x14ac:dyDescent="0.3">
      <c r="A21" s="467"/>
      <c r="B21" s="467"/>
      <c r="C21" s="467"/>
      <c r="D21" s="467"/>
      <c r="E21" s="160">
        <v>14.80527</v>
      </c>
      <c r="F21" s="160">
        <v>75.040629300000006</v>
      </c>
      <c r="G21" s="467"/>
      <c r="H21" s="467"/>
      <c r="I21" s="130">
        <v>45.8</v>
      </c>
      <c r="J21" s="130">
        <f t="shared" si="0"/>
        <v>14.585987261146496</v>
      </c>
      <c r="K21" s="130"/>
      <c r="L21" s="130"/>
      <c r="M21" s="198"/>
      <c r="N21" s="198"/>
      <c r="O21" s="197">
        <f>30.4*EXP(-5.07*EXP(-0.26*J21)+1.277)/1000</f>
        <v>9.7237123796104039E-2</v>
      </c>
      <c r="P21" s="197">
        <f>O21*(1+'Key Data'!F$3)</f>
        <v>0.12154640474513005</v>
      </c>
      <c r="Q21" s="464"/>
      <c r="R21" s="464"/>
      <c r="S21" s="470"/>
    </row>
    <row r="22" spans="1:19" x14ac:dyDescent="0.3">
      <c r="A22" s="467"/>
      <c r="B22" s="467"/>
      <c r="C22" s="467"/>
      <c r="D22" s="467"/>
      <c r="E22" s="160"/>
      <c r="F22" s="160"/>
      <c r="G22" s="467"/>
      <c r="H22" s="467"/>
      <c r="I22" s="130">
        <v>34.200000000000003</v>
      </c>
      <c r="J22" s="130">
        <f t="shared" si="0"/>
        <v>10.891719745222931</v>
      </c>
      <c r="K22" s="130"/>
      <c r="L22" s="130"/>
      <c r="M22" s="198"/>
      <c r="N22" s="198"/>
      <c r="O22" s="197">
        <f t="shared" si="1"/>
        <v>8.0866494894979851E-2</v>
      </c>
      <c r="P22" s="197">
        <f>O22*(1+'Key Data'!F$3)</f>
        <v>0.10108311861872482</v>
      </c>
      <c r="Q22" s="464"/>
      <c r="R22" s="464"/>
      <c r="S22" s="470"/>
    </row>
    <row r="23" spans="1:19" x14ac:dyDescent="0.3">
      <c r="A23" s="467"/>
      <c r="B23" s="467"/>
      <c r="C23" s="467"/>
      <c r="D23" s="467"/>
      <c r="E23" s="160"/>
      <c r="F23" s="160"/>
      <c r="G23" s="467"/>
      <c r="H23" s="467"/>
      <c r="I23" s="130">
        <v>35.6</v>
      </c>
      <c r="J23" s="130">
        <f t="shared" si="0"/>
        <v>11.337579617834395</v>
      </c>
      <c r="K23" s="130"/>
      <c r="L23" s="130"/>
      <c r="M23" s="198"/>
      <c r="N23" s="198"/>
      <c r="O23" s="197">
        <f t="shared" si="1"/>
        <v>8.3553577044201202E-2</v>
      </c>
      <c r="P23" s="197">
        <f>O23*(1+'Key Data'!F$3)</f>
        <v>0.1044419713052515</v>
      </c>
      <c r="Q23" s="464"/>
      <c r="R23" s="464"/>
      <c r="S23" s="470"/>
    </row>
    <row r="24" spans="1:19" x14ac:dyDescent="0.3">
      <c r="A24" s="467"/>
      <c r="B24" s="467"/>
      <c r="C24" s="467"/>
      <c r="D24" s="467"/>
      <c r="E24" s="160"/>
      <c r="F24" s="160"/>
      <c r="G24" s="467"/>
      <c r="H24" s="467"/>
      <c r="I24" s="130">
        <v>48</v>
      </c>
      <c r="J24" s="130">
        <f t="shared" si="0"/>
        <v>15.286624203821656</v>
      </c>
      <c r="K24" s="130"/>
      <c r="L24" s="130"/>
      <c r="M24" s="198"/>
      <c r="N24" s="198"/>
      <c r="O24" s="197">
        <f t="shared" si="1"/>
        <v>9.9105610669934466E-2</v>
      </c>
      <c r="P24" s="197">
        <f>O24*(1+'Key Data'!F$3)</f>
        <v>0.12388201333741808</v>
      </c>
      <c r="Q24" s="464"/>
      <c r="R24" s="464"/>
      <c r="S24" s="470"/>
    </row>
    <row r="25" spans="1:19" x14ac:dyDescent="0.3">
      <c r="A25" s="467"/>
      <c r="B25" s="467"/>
      <c r="C25" s="467"/>
      <c r="D25" s="467"/>
      <c r="E25" s="160"/>
      <c r="F25" s="160"/>
      <c r="G25" s="467"/>
      <c r="H25" s="467"/>
      <c r="I25" s="130">
        <v>32.799999999999997</v>
      </c>
      <c r="J25" s="130">
        <f t="shared" si="0"/>
        <v>10.445859872611464</v>
      </c>
      <c r="K25" s="130"/>
      <c r="L25" s="130"/>
      <c r="M25" s="198"/>
      <c r="N25" s="198"/>
      <c r="O25" s="197">
        <f t="shared" si="1"/>
        <v>7.79520081496239E-2</v>
      </c>
      <c r="P25" s="197">
        <f>O25*(1+'Key Data'!F$3)</f>
        <v>9.7440010187029871E-2</v>
      </c>
      <c r="Q25" s="464"/>
      <c r="R25" s="464"/>
      <c r="S25" s="470"/>
    </row>
    <row r="26" spans="1:19" x14ac:dyDescent="0.3">
      <c r="A26" s="467"/>
      <c r="B26" s="467"/>
      <c r="C26" s="467"/>
      <c r="D26" s="467"/>
      <c r="E26" s="160"/>
      <c r="F26" s="160"/>
      <c r="G26" s="467"/>
      <c r="H26" s="467"/>
      <c r="I26" s="130">
        <v>35.4</v>
      </c>
      <c r="J26" s="130">
        <f t="shared" si="0"/>
        <v>11.273885350318471</v>
      </c>
      <c r="K26" s="130"/>
      <c r="L26" s="130"/>
      <c r="M26" s="198"/>
      <c r="N26" s="198"/>
      <c r="O26" s="197">
        <f t="shared" si="1"/>
        <v>8.3183337171705424E-2</v>
      </c>
      <c r="P26" s="197">
        <f>O26*(1+'Key Data'!F$3)</f>
        <v>0.10397917146463179</v>
      </c>
      <c r="Q26" s="464"/>
      <c r="R26" s="464"/>
      <c r="S26" s="470"/>
    </row>
    <row r="27" spans="1:19" x14ac:dyDescent="0.3">
      <c r="A27" s="467"/>
      <c r="B27" s="467"/>
      <c r="C27" s="467"/>
      <c r="D27" s="467"/>
      <c r="E27" s="160"/>
      <c r="F27" s="160"/>
      <c r="G27" s="467"/>
      <c r="H27" s="467"/>
      <c r="I27" s="130">
        <v>48.8</v>
      </c>
      <c r="J27" s="130">
        <f t="shared" si="0"/>
        <v>15.541401273885349</v>
      </c>
      <c r="K27" s="130"/>
      <c r="L27" s="130"/>
      <c r="M27" s="198"/>
      <c r="N27" s="198"/>
      <c r="O27" s="197">
        <f t="shared" si="1"/>
        <v>9.9712554341441703E-2</v>
      </c>
      <c r="P27" s="197">
        <f>O27*(1+'Key Data'!F$3)</f>
        <v>0.12464069292680213</v>
      </c>
      <c r="Q27" s="464"/>
      <c r="R27" s="464"/>
      <c r="S27" s="470"/>
    </row>
    <row r="28" spans="1:19" x14ac:dyDescent="0.3">
      <c r="A28" s="467"/>
      <c r="B28" s="467"/>
      <c r="C28" s="467"/>
      <c r="D28" s="467"/>
      <c r="E28" s="160"/>
      <c r="F28" s="160"/>
      <c r="G28" s="467"/>
      <c r="H28" s="467"/>
      <c r="I28" s="130">
        <v>44.4</v>
      </c>
      <c r="J28" s="130">
        <f t="shared" si="0"/>
        <v>14.140127388535031</v>
      </c>
      <c r="K28" s="130"/>
      <c r="L28" s="130"/>
      <c r="M28" s="198"/>
      <c r="N28" s="198"/>
      <c r="O28" s="197">
        <f t="shared" si="1"/>
        <v>9.5880744776754859E-2</v>
      </c>
      <c r="P28" s="197">
        <f>O28*(1+'Key Data'!F$3)</f>
        <v>0.11985093097094357</v>
      </c>
      <c r="Q28" s="464"/>
      <c r="R28" s="464"/>
      <c r="S28" s="470"/>
    </row>
    <row r="29" spans="1:19" x14ac:dyDescent="0.3">
      <c r="A29" s="467"/>
      <c r="B29" s="467"/>
      <c r="C29" s="467"/>
      <c r="D29" s="467"/>
      <c r="E29" s="160"/>
      <c r="F29" s="160"/>
      <c r="G29" s="467"/>
      <c r="H29" s="467"/>
      <c r="I29" s="130">
        <v>14.4</v>
      </c>
      <c r="J29" s="130">
        <f t="shared" si="0"/>
        <v>4.5859872611464967</v>
      </c>
      <c r="K29" s="130"/>
      <c r="L29" s="130"/>
      <c r="M29" s="198"/>
      <c r="N29" s="198"/>
      <c r="O29" s="197">
        <f t="shared" si="1"/>
        <v>2.3398489743408964E-2</v>
      </c>
      <c r="P29" s="197">
        <f>O29*(1+'Key Data'!F$3)</f>
        <v>2.9248112179261206E-2</v>
      </c>
      <c r="Q29" s="464"/>
      <c r="R29" s="464"/>
      <c r="S29" s="470"/>
    </row>
    <row r="30" spans="1:19" x14ac:dyDescent="0.3">
      <c r="A30" s="467"/>
      <c r="B30" s="467"/>
      <c r="C30" s="467"/>
      <c r="D30" s="467"/>
      <c r="E30" s="160"/>
      <c r="F30" s="160"/>
      <c r="G30" s="467"/>
      <c r="H30" s="467"/>
      <c r="I30" s="130">
        <v>39</v>
      </c>
      <c r="J30" s="130">
        <f t="shared" si="0"/>
        <v>12.420382165605096</v>
      </c>
      <c r="K30" s="130"/>
      <c r="L30" s="130"/>
      <c r="M30" s="198"/>
      <c r="N30" s="198"/>
      <c r="O30" s="197">
        <f t="shared" si="1"/>
        <v>8.9187912740586753E-2</v>
      </c>
      <c r="P30" s="197">
        <f>O30*(1+'Key Data'!F$3)</f>
        <v>0.11148489092573344</v>
      </c>
      <c r="Q30" s="464"/>
      <c r="R30" s="464"/>
      <c r="S30" s="470"/>
    </row>
    <row r="31" spans="1:19" x14ac:dyDescent="0.3">
      <c r="A31" s="467"/>
      <c r="B31" s="467"/>
      <c r="C31" s="467"/>
      <c r="D31" s="467"/>
      <c r="E31" s="160"/>
      <c r="F31" s="160"/>
      <c r="G31" s="467"/>
      <c r="H31" s="467"/>
      <c r="I31" s="130">
        <v>33</v>
      </c>
      <c r="J31" s="130">
        <f t="shared" si="0"/>
        <v>10.509554140127388</v>
      </c>
      <c r="K31" s="130"/>
      <c r="L31" s="130"/>
      <c r="M31" s="198"/>
      <c r="N31" s="198"/>
      <c r="O31" s="197">
        <f t="shared" si="1"/>
        <v>7.8382538522569559E-2</v>
      </c>
      <c r="P31" s="197">
        <f>O31*(1+'Key Data'!F$3)</f>
        <v>9.7978173153211945E-2</v>
      </c>
      <c r="Q31" s="464"/>
      <c r="R31" s="464"/>
      <c r="S31" s="470"/>
    </row>
    <row r="32" spans="1:19" x14ac:dyDescent="0.3">
      <c r="A32" s="468"/>
      <c r="B32" s="468"/>
      <c r="C32" s="468"/>
      <c r="D32" s="468"/>
      <c r="E32" s="160"/>
      <c r="F32" s="160"/>
      <c r="G32" s="468"/>
      <c r="H32" s="468"/>
      <c r="I32" s="130">
        <v>36</v>
      </c>
      <c r="J32" s="130">
        <f t="shared" si="0"/>
        <v>11.464968152866241</v>
      </c>
      <c r="K32" s="130"/>
      <c r="L32" s="130"/>
      <c r="M32" s="198"/>
      <c r="N32" s="198"/>
      <c r="O32" s="197">
        <f t="shared" si="1"/>
        <v>8.4280664533466707E-2</v>
      </c>
      <c r="P32" s="197">
        <f>O32*(1+'Key Data'!F$3)</f>
        <v>0.10535083066683339</v>
      </c>
      <c r="Q32" s="465"/>
      <c r="R32" s="465"/>
      <c r="S32" s="470"/>
    </row>
    <row r="33" spans="1:19" x14ac:dyDescent="0.3">
      <c r="A33" s="461">
        <v>3</v>
      </c>
      <c r="B33" s="461" t="s">
        <v>296</v>
      </c>
      <c r="C33" s="461" t="s">
        <v>297</v>
      </c>
      <c r="D33" s="461" t="s">
        <v>283</v>
      </c>
      <c r="E33" s="160">
        <v>14.7984939</v>
      </c>
      <c r="F33" s="160">
        <v>75.079752400000004</v>
      </c>
      <c r="G33" s="461">
        <v>2022</v>
      </c>
      <c r="H33" s="461" t="s">
        <v>263</v>
      </c>
      <c r="I33" s="130">
        <v>24.2</v>
      </c>
      <c r="J33" s="130">
        <f t="shared" si="0"/>
        <v>7.7070063694267512</v>
      </c>
      <c r="K33" s="130"/>
      <c r="L33" s="130"/>
      <c r="M33" s="130"/>
      <c r="N33" s="130"/>
      <c r="O33" s="197">
        <f t="shared" si="1"/>
        <v>5.5031731047773598E-2</v>
      </c>
      <c r="P33" s="197">
        <f>O33*(1+'Key Data'!F$3)</f>
        <v>6.8789663809717003E-2</v>
      </c>
      <c r="Q33" s="471">
        <f>SUM(P33:P48)</f>
        <v>1.2307828057690109</v>
      </c>
      <c r="R33" s="471">
        <f>Q33*10000/900</f>
        <v>13.675364508544565</v>
      </c>
      <c r="S33" s="470"/>
    </row>
    <row r="34" spans="1:19" x14ac:dyDescent="0.3">
      <c r="A34" s="461"/>
      <c r="B34" s="461"/>
      <c r="C34" s="461"/>
      <c r="D34" s="461"/>
      <c r="E34" s="160">
        <v>14.798753899999999</v>
      </c>
      <c r="F34" s="160">
        <v>75.079833500000007</v>
      </c>
      <c r="G34" s="461"/>
      <c r="H34" s="461"/>
      <c r="I34" s="130">
        <v>28.5</v>
      </c>
      <c r="J34" s="130">
        <f t="shared" ref="J34:J65" si="2">I34/3.14</f>
        <v>9.0764331210191074</v>
      </c>
      <c r="K34" s="130"/>
      <c r="L34" s="130"/>
      <c r="M34" s="130"/>
      <c r="N34" s="130"/>
      <c r="O34" s="197">
        <f t="shared" ref="O34:O65" si="3">30.4*EXP(-5.07*EXP(-0.26*J34)+1.277)/1000</f>
        <v>6.753669573575527E-2</v>
      </c>
      <c r="P34" s="197">
        <f>O34*(1+'Key Data'!F$3)</f>
        <v>8.4420869669694087E-2</v>
      </c>
      <c r="Q34" s="471"/>
      <c r="R34" s="471"/>
      <c r="S34" s="470"/>
    </row>
    <row r="35" spans="1:19" x14ac:dyDescent="0.3">
      <c r="A35" s="461"/>
      <c r="B35" s="461"/>
      <c r="C35" s="461"/>
      <c r="D35" s="461"/>
      <c r="E35" s="160">
        <v>14.7986719</v>
      </c>
      <c r="F35" s="160">
        <v>75.080053100000001</v>
      </c>
      <c r="G35" s="461"/>
      <c r="H35" s="461"/>
      <c r="I35" s="130">
        <v>27.5</v>
      </c>
      <c r="J35" s="130">
        <f t="shared" si="2"/>
        <v>8.7579617834394909</v>
      </c>
      <c r="K35" s="130"/>
      <c r="L35" s="130"/>
      <c r="M35" s="130"/>
      <c r="N35" s="130"/>
      <c r="O35" s="197">
        <f t="shared" si="3"/>
        <v>6.4802231741112215E-2</v>
      </c>
      <c r="P35" s="197">
        <f>O35*(1+'Key Data'!F$3)</f>
        <v>8.1002789676390269E-2</v>
      </c>
      <c r="Q35" s="471"/>
      <c r="R35" s="471"/>
      <c r="S35" s="470"/>
    </row>
    <row r="36" spans="1:19" x14ac:dyDescent="0.3">
      <c r="A36" s="461"/>
      <c r="B36" s="461"/>
      <c r="C36" s="461"/>
      <c r="D36" s="461"/>
      <c r="E36" s="160">
        <v>14.798430700000001</v>
      </c>
      <c r="F36" s="160">
        <v>75.079970299999999</v>
      </c>
      <c r="G36" s="461"/>
      <c r="H36" s="461"/>
      <c r="I36" s="130">
        <v>27.8</v>
      </c>
      <c r="J36" s="130">
        <f t="shared" si="2"/>
        <v>8.8535031847133752</v>
      </c>
      <c r="K36" s="130"/>
      <c r="L36" s="130"/>
      <c r="M36" s="130"/>
      <c r="N36" s="130"/>
      <c r="O36" s="197">
        <f t="shared" si="3"/>
        <v>6.563444542218716E-2</v>
      </c>
      <c r="P36" s="197">
        <f>O36*(1+'Key Data'!F$3)</f>
        <v>8.204305677773395E-2</v>
      </c>
      <c r="Q36" s="471"/>
      <c r="R36" s="471"/>
      <c r="S36" s="470"/>
    </row>
    <row r="37" spans="1:19" x14ac:dyDescent="0.3">
      <c r="A37" s="461"/>
      <c r="B37" s="461"/>
      <c r="C37" s="461"/>
      <c r="D37" s="461"/>
      <c r="E37" s="160">
        <v>14.798596099999999</v>
      </c>
      <c r="F37" s="160">
        <v>75.079914000000002</v>
      </c>
      <c r="G37" s="461"/>
      <c r="H37" s="461"/>
      <c r="I37" s="130">
        <v>27.4</v>
      </c>
      <c r="J37" s="130">
        <f t="shared" si="2"/>
        <v>8.7261146496815272</v>
      </c>
      <c r="K37" s="130"/>
      <c r="L37" s="130"/>
      <c r="M37" s="130"/>
      <c r="N37" s="130"/>
      <c r="O37" s="197">
        <f t="shared" si="3"/>
        <v>6.4522602085777689E-2</v>
      </c>
      <c r="P37" s="197">
        <f>O37*(1+'Key Data'!F$3)</f>
        <v>8.0653252607222115E-2</v>
      </c>
      <c r="Q37" s="471"/>
      <c r="R37" s="471"/>
      <c r="S37" s="470"/>
    </row>
    <row r="38" spans="1:19" x14ac:dyDescent="0.3">
      <c r="A38" s="461"/>
      <c r="B38" s="461"/>
      <c r="C38" s="461"/>
      <c r="D38" s="461"/>
      <c r="E38" s="160"/>
      <c r="F38" s="160"/>
      <c r="G38" s="461"/>
      <c r="H38" s="461"/>
      <c r="I38" s="130">
        <v>30</v>
      </c>
      <c r="J38" s="130">
        <f t="shared" si="2"/>
        <v>9.5541401273885338</v>
      </c>
      <c r="K38" s="130"/>
      <c r="L38" s="130"/>
      <c r="M38" s="130"/>
      <c r="N38" s="130"/>
      <c r="O38" s="197">
        <f t="shared" si="3"/>
        <v>7.1420982321553222E-2</v>
      </c>
      <c r="P38" s="197">
        <f>O38*(1+'Key Data'!F$3)</f>
        <v>8.9276227901941535E-2</v>
      </c>
      <c r="Q38" s="471"/>
      <c r="R38" s="471"/>
      <c r="S38" s="470"/>
    </row>
    <row r="39" spans="1:19" x14ac:dyDescent="0.3">
      <c r="A39" s="461"/>
      <c r="B39" s="461"/>
      <c r="C39" s="461"/>
      <c r="D39" s="461"/>
      <c r="E39" s="160"/>
      <c r="F39" s="160"/>
      <c r="G39" s="461"/>
      <c r="H39" s="461"/>
      <c r="I39" s="130">
        <v>17</v>
      </c>
      <c r="J39" s="130">
        <f t="shared" si="2"/>
        <v>5.4140127388535033</v>
      </c>
      <c r="K39" s="130"/>
      <c r="L39" s="130"/>
      <c r="M39" s="130"/>
      <c r="N39" s="130"/>
      <c r="O39" s="197">
        <f t="shared" si="3"/>
        <v>3.152294203403376E-2</v>
      </c>
      <c r="P39" s="197">
        <f>O39*(1+'Key Data'!F$3)</f>
        <v>3.9403677542542204E-2</v>
      </c>
      <c r="Q39" s="471"/>
      <c r="R39" s="471"/>
      <c r="S39" s="470"/>
    </row>
    <row r="40" spans="1:19" x14ac:dyDescent="0.3">
      <c r="A40" s="461"/>
      <c r="B40" s="461"/>
      <c r="C40" s="461"/>
      <c r="D40" s="461"/>
      <c r="E40" s="160"/>
      <c r="F40" s="160"/>
      <c r="G40" s="461"/>
      <c r="H40" s="461"/>
      <c r="I40" s="130">
        <f>SQRT(15.2^2+17.4^2)</f>
        <v>23.104112188093268</v>
      </c>
      <c r="J40" s="130">
        <f t="shared" si="2"/>
        <v>7.3579975121316137</v>
      </c>
      <c r="K40" s="130"/>
      <c r="L40" s="130"/>
      <c r="M40" s="130"/>
      <c r="N40" s="130"/>
      <c r="O40" s="197">
        <f t="shared" si="3"/>
        <v>5.1572231114477465E-2</v>
      </c>
      <c r="P40" s="197">
        <f>O40*(1+'Key Data'!F$3)</f>
        <v>6.4465288893096828E-2</v>
      </c>
      <c r="Q40" s="471"/>
      <c r="R40" s="471"/>
      <c r="S40" s="470"/>
    </row>
    <row r="41" spans="1:19" x14ac:dyDescent="0.3">
      <c r="A41" s="461"/>
      <c r="B41" s="461"/>
      <c r="C41" s="461"/>
      <c r="D41" s="461"/>
      <c r="E41" s="160"/>
      <c r="F41" s="160"/>
      <c r="G41" s="461"/>
      <c r="H41" s="461"/>
      <c r="I41" s="130">
        <v>32.4</v>
      </c>
      <c r="J41" s="130">
        <f t="shared" si="2"/>
        <v>10.318471337579616</v>
      </c>
      <c r="K41" s="130"/>
      <c r="L41" s="130"/>
      <c r="M41" s="130"/>
      <c r="N41" s="130"/>
      <c r="O41" s="197">
        <f t="shared" si="3"/>
        <v>7.7076640743807351E-2</v>
      </c>
      <c r="P41" s="197">
        <f>O41*(1+'Key Data'!F$3)</f>
        <v>9.6345800929759196E-2</v>
      </c>
      <c r="Q41" s="471"/>
      <c r="R41" s="471"/>
      <c r="S41" s="470"/>
    </row>
    <row r="42" spans="1:19" x14ac:dyDescent="0.3">
      <c r="A42" s="461"/>
      <c r="B42" s="461"/>
      <c r="C42" s="461"/>
      <c r="D42" s="461"/>
      <c r="E42" s="160"/>
      <c r="F42" s="160"/>
      <c r="G42" s="461"/>
      <c r="H42" s="461"/>
      <c r="I42" s="130">
        <v>21.2</v>
      </c>
      <c r="J42" s="130">
        <f t="shared" si="2"/>
        <v>6.7515923566878975</v>
      </c>
      <c r="K42" s="130"/>
      <c r="L42" s="130"/>
      <c r="M42" s="130"/>
      <c r="N42" s="130"/>
      <c r="O42" s="197">
        <f t="shared" si="3"/>
        <v>4.5384278425303584E-2</v>
      </c>
      <c r="P42" s="197">
        <f>O42*(1+'Key Data'!F$3)</f>
        <v>5.6730348031629477E-2</v>
      </c>
      <c r="Q42" s="471"/>
      <c r="R42" s="471"/>
      <c r="S42" s="470"/>
    </row>
    <row r="43" spans="1:19" x14ac:dyDescent="0.3">
      <c r="A43" s="461"/>
      <c r="B43" s="461"/>
      <c r="C43" s="461"/>
      <c r="D43" s="461"/>
      <c r="E43" s="160"/>
      <c r="F43" s="160"/>
      <c r="G43" s="461"/>
      <c r="H43" s="461"/>
      <c r="I43" s="130">
        <v>21.4</v>
      </c>
      <c r="J43" s="130">
        <f t="shared" si="2"/>
        <v>6.8152866242038206</v>
      </c>
      <c r="K43" s="130"/>
      <c r="L43" s="130"/>
      <c r="M43" s="130"/>
      <c r="N43" s="130"/>
      <c r="O43" s="197">
        <f t="shared" si="3"/>
        <v>4.6042176045791403E-2</v>
      </c>
      <c r="P43" s="197">
        <f>O43*(1+'Key Data'!F$3)</f>
        <v>5.7552720057239257E-2</v>
      </c>
      <c r="Q43" s="471"/>
      <c r="R43" s="471"/>
      <c r="S43" s="470"/>
    </row>
    <row r="44" spans="1:19" x14ac:dyDescent="0.3">
      <c r="A44" s="461"/>
      <c r="B44" s="461"/>
      <c r="C44" s="461"/>
      <c r="D44" s="461"/>
      <c r="E44" s="160"/>
      <c r="F44" s="160"/>
      <c r="G44" s="461"/>
      <c r="H44" s="461"/>
      <c r="I44" s="130">
        <v>29.4</v>
      </c>
      <c r="J44" s="130">
        <f t="shared" si="2"/>
        <v>9.3630573248407636</v>
      </c>
      <c r="K44" s="130"/>
      <c r="L44" s="130"/>
      <c r="M44" s="130"/>
      <c r="N44" s="130"/>
      <c r="O44" s="197">
        <f t="shared" si="3"/>
        <v>6.9899130794413705E-2</v>
      </c>
      <c r="P44" s="197">
        <f>O44*(1+'Key Data'!F$3)</f>
        <v>8.7373913493017125E-2</v>
      </c>
      <c r="Q44" s="471"/>
      <c r="R44" s="471"/>
      <c r="S44" s="470"/>
    </row>
    <row r="45" spans="1:19" x14ac:dyDescent="0.3">
      <c r="A45" s="461"/>
      <c r="B45" s="461"/>
      <c r="C45" s="461"/>
      <c r="D45" s="461"/>
      <c r="E45" s="160"/>
      <c r="F45" s="160"/>
      <c r="G45" s="461"/>
      <c r="H45" s="461"/>
      <c r="I45" s="130">
        <v>28</v>
      </c>
      <c r="J45" s="130">
        <f t="shared" si="2"/>
        <v>8.9171974522292992</v>
      </c>
      <c r="K45" s="130"/>
      <c r="L45" s="130"/>
      <c r="M45" s="130"/>
      <c r="N45" s="130"/>
      <c r="O45" s="197">
        <f t="shared" si="3"/>
        <v>6.6183639528078139E-2</v>
      </c>
      <c r="P45" s="197">
        <f>O45*(1+'Key Data'!F$3)</f>
        <v>8.2729549410097677E-2</v>
      </c>
      <c r="Q45" s="471"/>
      <c r="R45" s="471"/>
      <c r="S45" s="470"/>
    </row>
    <row r="46" spans="1:19" x14ac:dyDescent="0.3">
      <c r="A46" s="461"/>
      <c r="B46" s="461"/>
      <c r="C46" s="461"/>
      <c r="D46" s="461"/>
      <c r="E46" s="160"/>
      <c r="F46" s="160"/>
      <c r="G46" s="461"/>
      <c r="H46" s="461"/>
      <c r="I46" s="130">
        <v>35.4</v>
      </c>
      <c r="J46" s="130">
        <f t="shared" si="2"/>
        <v>11.273885350318471</v>
      </c>
      <c r="K46" s="130"/>
      <c r="L46" s="130"/>
      <c r="M46" s="130"/>
      <c r="N46" s="130"/>
      <c r="O46" s="197">
        <f t="shared" si="3"/>
        <v>8.3183337171705424E-2</v>
      </c>
      <c r="P46" s="197">
        <f>O46*(1+'Key Data'!F$3)</f>
        <v>0.10397917146463179</v>
      </c>
      <c r="Q46" s="471"/>
      <c r="R46" s="471"/>
      <c r="S46" s="470"/>
    </row>
    <row r="47" spans="1:19" x14ac:dyDescent="0.3">
      <c r="A47" s="461"/>
      <c r="B47" s="461"/>
      <c r="C47" s="461"/>
      <c r="D47" s="461"/>
      <c r="E47" s="160"/>
      <c r="F47" s="160"/>
      <c r="G47" s="461"/>
      <c r="H47" s="461"/>
      <c r="I47" s="130">
        <f>SQRT(19.8^2+22^2)</f>
        <v>29.597972903562162</v>
      </c>
      <c r="J47" s="130">
        <f t="shared" si="2"/>
        <v>9.4261060202427274</v>
      </c>
      <c r="K47" s="130"/>
      <c r="L47" s="130"/>
      <c r="M47" s="130"/>
      <c r="N47" s="130"/>
      <c r="O47" s="197">
        <f t="shared" si="3"/>
        <v>7.0406004850308818E-2</v>
      </c>
      <c r="P47" s="197">
        <f>O47*(1+'Key Data'!F$3)</f>
        <v>8.8007506062886015E-2</v>
      </c>
      <c r="Q47" s="471"/>
      <c r="R47" s="471"/>
      <c r="S47" s="470"/>
    </row>
    <row r="48" spans="1:19" x14ac:dyDescent="0.3">
      <c r="A48" s="461"/>
      <c r="B48" s="461"/>
      <c r="C48" s="461"/>
      <c r="D48" s="461"/>
      <c r="E48" s="160"/>
      <c r="F48" s="160"/>
      <c r="G48" s="461"/>
      <c r="H48" s="461"/>
      <c r="I48" s="130">
        <v>24</v>
      </c>
      <c r="J48" s="130">
        <f t="shared" si="2"/>
        <v>7.6433121019108281</v>
      </c>
      <c r="K48" s="130"/>
      <c r="L48" s="130"/>
      <c r="M48" s="130"/>
      <c r="N48" s="130"/>
      <c r="O48" s="197">
        <f t="shared" si="3"/>
        <v>5.4407175553130079E-2</v>
      </c>
      <c r="P48" s="197">
        <f>O48*(1+'Key Data'!F$3)</f>
        <v>6.8008969441412603E-2</v>
      </c>
      <c r="Q48" s="471"/>
      <c r="R48" s="471"/>
      <c r="S48" s="470"/>
    </row>
    <row r="49" spans="1:19" ht="15" customHeight="1" x14ac:dyDescent="0.3">
      <c r="A49" s="462">
        <v>4</v>
      </c>
      <c r="B49" s="462" t="s">
        <v>406</v>
      </c>
      <c r="C49" s="462" t="s">
        <v>424</v>
      </c>
      <c r="D49" s="462" t="s">
        <v>262</v>
      </c>
      <c r="E49" s="462">
        <v>13.478194999999999</v>
      </c>
      <c r="F49" s="462">
        <v>79.125024999999994</v>
      </c>
      <c r="G49" s="462">
        <v>2022</v>
      </c>
      <c r="H49" s="196" t="s">
        <v>263</v>
      </c>
      <c r="I49" s="185">
        <f>SQRT(37.8*37.8+28.8*28.8)</f>
        <v>47.521363616798709</v>
      </c>
      <c r="J49" s="185">
        <f t="shared" si="2"/>
        <v>15.134192234649269</v>
      </c>
      <c r="K49" s="185"/>
      <c r="L49" s="185"/>
      <c r="M49" s="185"/>
      <c r="N49" s="185"/>
      <c r="O49" s="197">
        <f>30.4*EXP(-5.07*EXP(-0.26*J49)+1.277)/1000</f>
        <v>9.8724684330370016E-2</v>
      </c>
      <c r="P49" s="197">
        <f>O49*(1+'Key Data'!F$3)</f>
        <v>0.12340585541296252</v>
      </c>
      <c r="Q49" s="471">
        <f>SUM(P49:P68)</f>
        <v>2.0305433391875041</v>
      </c>
      <c r="R49" s="471">
        <f>Q49*10000/900</f>
        <v>22.561592657638936</v>
      </c>
      <c r="S49" s="470"/>
    </row>
    <row r="50" spans="1:19" x14ac:dyDescent="0.3">
      <c r="A50" s="462"/>
      <c r="B50" s="462"/>
      <c r="C50" s="462"/>
      <c r="D50" s="462"/>
      <c r="E50" s="462"/>
      <c r="F50" s="462"/>
      <c r="G50" s="462"/>
      <c r="H50" s="196" t="s">
        <v>263</v>
      </c>
      <c r="I50" s="185">
        <v>45</v>
      </c>
      <c r="J50" s="185">
        <f t="shared" si="2"/>
        <v>14.331210191082802</v>
      </c>
      <c r="K50" s="185"/>
      <c r="L50" s="185"/>
      <c r="M50" s="185"/>
      <c r="N50" s="185"/>
      <c r="O50" s="197">
        <f t="shared" si="3"/>
        <v>9.6479001445443316E-2</v>
      </c>
      <c r="P50" s="197">
        <f>O50*(1+'Key Data'!F$3)</f>
        <v>0.12059875180680414</v>
      </c>
      <c r="Q50" s="471"/>
      <c r="R50" s="471"/>
      <c r="S50" s="470"/>
    </row>
    <row r="51" spans="1:19" x14ac:dyDescent="0.3">
      <c r="A51" s="462"/>
      <c r="B51" s="462"/>
      <c r="C51" s="462"/>
      <c r="D51" s="462"/>
      <c r="E51" s="462"/>
      <c r="F51" s="462"/>
      <c r="G51" s="462"/>
      <c r="H51" s="196" t="s">
        <v>263</v>
      </c>
      <c r="I51" s="185">
        <v>44.8</v>
      </c>
      <c r="J51" s="185">
        <f t="shared" si="2"/>
        <v>14.267515923566878</v>
      </c>
      <c r="K51" s="185"/>
      <c r="L51" s="185"/>
      <c r="M51" s="185"/>
      <c r="N51" s="185"/>
      <c r="O51" s="197">
        <f t="shared" si="3"/>
        <v>9.6282465617746907E-2</v>
      </c>
      <c r="P51" s="197">
        <f>O51*(1+'Key Data'!F$3)</f>
        <v>0.12035308202218363</v>
      </c>
      <c r="Q51" s="471"/>
      <c r="R51" s="471"/>
      <c r="S51" s="470"/>
    </row>
    <row r="52" spans="1:19" x14ac:dyDescent="0.3">
      <c r="A52" s="462"/>
      <c r="B52" s="462"/>
      <c r="C52" s="462"/>
      <c r="D52" s="462"/>
      <c r="E52" s="462"/>
      <c r="F52" s="462"/>
      <c r="G52" s="462"/>
      <c r="H52" s="196" t="s">
        <v>263</v>
      </c>
      <c r="I52" s="185">
        <f>SQRT(41.5*41.5+28*28)</f>
        <v>50.062460986251963</v>
      </c>
      <c r="J52" s="185">
        <f t="shared" si="2"/>
        <v>15.943458912819096</v>
      </c>
      <c r="K52" s="185"/>
      <c r="L52" s="185"/>
      <c r="M52" s="185"/>
      <c r="N52" s="185"/>
      <c r="O52" s="197">
        <f t="shared" si="3"/>
        <v>0.10059880989952975</v>
      </c>
      <c r="P52" s="197">
        <f>O52*(1+'Key Data'!F$3)</f>
        <v>0.1257485123744122</v>
      </c>
      <c r="Q52" s="471"/>
      <c r="R52" s="471"/>
      <c r="S52" s="470"/>
    </row>
    <row r="53" spans="1:19" x14ac:dyDescent="0.3">
      <c r="A53" s="462"/>
      <c r="B53" s="462"/>
      <c r="C53" s="462"/>
      <c r="D53" s="462"/>
      <c r="E53" s="462"/>
      <c r="F53" s="462"/>
      <c r="G53" s="462"/>
      <c r="H53" s="196" t="s">
        <v>263</v>
      </c>
      <c r="I53" s="185">
        <v>40.5</v>
      </c>
      <c r="J53" s="185">
        <f t="shared" si="2"/>
        <v>12.898089171974522</v>
      </c>
      <c r="K53" s="185"/>
      <c r="L53" s="185"/>
      <c r="M53" s="185"/>
      <c r="N53" s="185"/>
      <c r="O53" s="197">
        <f t="shared" si="3"/>
        <v>9.1303304541138816E-2</v>
      </c>
      <c r="P53" s="197">
        <f>O53*(1+'Key Data'!F$3)</f>
        <v>0.11412913067642352</v>
      </c>
      <c r="Q53" s="471"/>
      <c r="R53" s="471"/>
      <c r="S53" s="470"/>
    </row>
    <row r="54" spans="1:19" x14ac:dyDescent="0.3">
      <c r="A54" s="462"/>
      <c r="B54" s="462"/>
      <c r="C54" s="462"/>
      <c r="D54" s="462"/>
      <c r="E54" s="462"/>
      <c r="F54" s="462"/>
      <c r="G54" s="462"/>
      <c r="H54" s="196" t="s">
        <v>263</v>
      </c>
      <c r="I54" s="185">
        <v>28.5</v>
      </c>
      <c r="J54" s="185">
        <f t="shared" si="2"/>
        <v>9.0764331210191074</v>
      </c>
      <c r="K54" s="185"/>
      <c r="L54" s="185"/>
      <c r="M54" s="185"/>
      <c r="N54" s="185"/>
      <c r="O54" s="197">
        <f t="shared" si="3"/>
        <v>6.753669573575527E-2</v>
      </c>
      <c r="P54" s="197">
        <f>O54*(1+'Key Data'!F$3)</f>
        <v>8.4420869669694087E-2</v>
      </c>
      <c r="Q54" s="471"/>
      <c r="R54" s="471"/>
      <c r="S54" s="470"/>
    </row>
    <row r="55" spans="1:19" x14ac:dyDescent="0.3">
      <c r="A55" s="462"/>
      <c r="B55" s="462"/>
      <c r="C55" s="462"/>
      <c r="D55" s="462"/>
      <c r="E55" s="462"/>
      <c r="F55" s="462"/>
      <c r="G55" s="462"/>
      <c r="H55" s="196" t="s">
        <v>263</v>
      </c>
      <c r="I55" s="185">
        <v>36.200000000000003</v>
      </c>
      <c r="J55" s="185">
        <f t="shared" si="2"/>
        <v>11.528662420382165</v>
      </c>
      <c r="K55" s="185"/>
      <c r="L55" s="185"/>
      <c r="M55" s="185"/>
      <c r="N55" s="185"/>
      <c r="O55" s="197">
        <f t="shared" si="3"/>
        <v>8.4637568695109994E-2</v>
      </c>
      <c r="P55" s="197">
        <f>O55*(1+'Key Data'!F$3)</f>
        <v>0.10579696086888749</v>
      </c>
      <c r="Q55" s="471"/>
      <c r="R55" s="471"/>
      <c r="S55" s="470"/>
    </row>
    <row r="56" spans="1:19" x14ac:dyDescent="0.3">
      <c r="A56" s="462"/>
      <c r="B56" s="462"/>
      <c r="C56" s="462"/>
      <c r="D56" s="462"/>
      <c r="E56" s="462"/>
      <c r="F56" s="462"/>
      <c r="G56" s="462"/>
      <c r="H56" s="196" t="s">
        <v>263</v>
      </c>
      <c r="I56" s="185">
        <v>49.5</v>
      </c>
      <c r="J56" s="185">
        <f t="shared" si="2"/>
        <v>15.764331210191083</v>
      </c>
      <c r="K56" s="185"/>
      <c r="L56" s="185"/>
      <c r="M56" s="185"/>
      <c r="N56" s="185"/>
      <c r="O56" s="197">
        <f t="shared" si="3"/>
        <v>0.10021441490790885</v>
      </c>
      <c r="P56" s="197">
        <f>O56*(1+'Key Data'!F$3)</f>
        <v>0.12526801863488607</v>
      </c>
      <c r="Q56" s="471"/>
      <c r="R56" s="471"/>
      <c r="S56" s="470"/>
    </row>
    <row r="57" spans="1:19" x14ac:dyDescent="0.3">
      <c r="A57" s="462"/>
      <c r="B57" s="462"/>
      <c r="C57" s="462"/>
      <c r="D57" s="462"/>
      <c r="E57" s="462"/>
      <c r="F57" s="462"/>
      <c r="G57" s="462"/>
      <c r="H57" s="196" t="s">
        <v>263</v>
      </c>
      <c r="I57" s="185">
        <v>27</v>
      </c>
      <c r="J57" s="185">
        <f t="shared" si="2"/>
        <v>8.598726114649681</v>
      </c>
      <c r="K57" s="185"/>
      <c r="L57" s="185"/>
      <c r="M57" s="185"/>
      <c r="N57" s="185"/>
      <c r="O57" s="197">
        <f t="shared" si="3"/>
        <v>6.3393109582195781E-2</v>
      </c>
      <c r="P57" s="197">
        <f>O57*(1+'Key Data'!F$3)</f>
        <v>7.9241386977744729E-2</v>
      </c>
      <c r="Q57" s="471"/>
      <c r="R57" s="471"/>
      <c r="S57" s="470"/>
    </row>
    <row r="58" spans="1:19" x14ac:dyDescent="0.3">
      <c r="A58" s="462"/>
      <c r="B58" s="462"/>
      <c r="C58" s="462"/>
      <c r="D58" s="462"/>
      <c r="E58" s="462"/>
      <c r="F58" s="462"/>
      <c r="G58" s="462"/>
      <c r="H58" s="196" t="s">
        <v>263</v>
      </c>
      <c r="I58" s="185">
        <v>28</v>
      </c>
      <c r="J58" s="185">
        <f t="shared" si="2"/>
        <v>8.9171974522292992</v>
      </c>
      <c r="K58" s="185"/>
      <c r="L58" s="185"/>
      <c r="M58" s="185"/>
      <c r="N58" s="185"/>
      <c r="O58" s="197">
        <f t="shared" si="3"/>
        <v>6.6183639528078139E-2</v>
      </c>
      <c r="P58" s="197">
        <f>O58*(1+'Key Data'!F$3)</f>
        <v>8.2729549410097677E-2</v>
      </c>
      <c r="Q58" s="471"/>
      <c r="R58" s="471"/>
      <c r="S58" s="470"/>
    </row>
    <row r="59" spans="1:19" x14ac:dyDescent="0.3">
      <c r="A59" s="462"/>
      <c r="B59" s="462"/>
      <c r="C59" s="462"/>
      <c r="D59" s="462"/>
      <c r="E59" s="462"/>
      <c r="F59" s="462"/>
      <c r="G59" s="462"/>
      <c r="H59" s="196" t="s">
        <v>263</v>
      </c>
      <c r="I59" s="185">
        <v>27</v>
      </c>
      <c r="J59" s="185">
        <f t="shared" si="2"/>
        <v>8.598726114649681</v>
      </c>
      <c r="K59" s="185"/>
      <c r="L59" s="185"/>
      <c r="M59" s="185"/>
      <c r="N59" s="185"/>
      <c r="O59" s="197">
        <f t="shared" si="3"/>
        <v>6.3393109582195781E-2</v>
      </c>
      <c r="P59" s="197">
        <f>O59*(1+'Key Data'!F$3)</f>
        <v>7.9241386977744729E-2</v>
      </c>
      <c r="Q59" s="471"/>
      <c r="R59" s="471"/>
      <c r="S59" s="470"/>
    </row>
    <row r="60" spans="1:19" x14ac:dyDescent="0.3">
      <c r="A60" s="462"/>
      <c r="B60" s="462"/>
      <c r="C60" s="462"/>
      <c r="D60" s="462"/>
      <c r="E60" s="462"/>
      <c r="F60" s="462"/>
      <c r="G60" s="462"/>
      <c r="H60" s="196" t="s">
        <v>263</v>
      </c>
      <c r="I60" s="185">
        <v>48.5</v>
      </c>
      <c r="J60" s="185">
        <f t="shared" si="2"/>
        <v>15.445859872611464</v>
      </c>
      <c r="K60" s="185"/>
      <c r="L60" s="185"/>
      <c r="M60" s="185"/>
      <c r="N60" s="185"/>
      <c r="O60" s="197">
        <f t="shared" si="3"/>
        <v>9.9489217920523426E-2</v>
      </c>
      <c r="P60" s="197">
        <f>O60*(1+'Key Data'!F$3)</f>
        <v>0.12436152240065429</v>
      </c>
      <c r="Q60" s="471"/>
      <c r="R60" s="471"/>
      <c r="S60" s="470"/>
    </row>
    <row r="61" spans="1:19" x14ac:dyDescent="0.3">
      <c r="A61" s="462"/>
      <c r="B61" s="462"/>
      <c r="C61" s="462"/>
      <c r="D61" s="462"/>
      <c r="E61" s="462"/>
      <c r="F61" s="462"/>
      <c r="G61" s="462"/>
      <c r="H61" s="196" t="s">
        <v>263</v>
      </c>
      <c r="I61" s="185">
        <f>SQRT(52*52+34*34)</f>
        <v>62.128898268036266</v>
      </c>
      <c r="J61" s="185">
        <f t="shared" si="2"/>
        <v>19.786273333769511</v>
      </c>
      <c r="K61" s="185"/>
      <c r="L61" s="185"/>
      <c r="M61" s="185"/>
      <c r="N61" s="185"/>
      <c r="O61" s="197">
        <f t="shared" si="3"/>
        <v>0.10583438074501146</v>
      </c>
      <c r="P61" s="197">
        <f>O61*(1+'Key Data'!F$3)</f>
        <v>0.13229297593126432</v>
      </c>
      <c r="Q61" s="471"/>
      <c r="R61" s="471"/>
      <c r="S61" s="470"/>
    </row>
    <row r="62" spans="1:19" x14ac:dyDescent="0.3">
      <c r="A62" s="462"/>
      <c r="B62" s="462"/>
      <c r="C62" s="462"/>
      <c r="D62" s="462"/>
      <c r="E62" s="462"/>
      <c r="F62" s="462"/>
      <c r="G62" s="462"/>
      <c r="H62" s="196" t="s">
        <v>263</v>
      </c>
      <c r="I62" s="185">
        <v>27</v>
      </c>
      <c r="J62" s="185">
        <f t="shared" si="2"/>
        <v>8.598726114649681</v>
      </c>
      <c r="K62" s="185"/>
      <c r="L62" s="185"/>
      <c r="M62" s="185"/>
      <c r="N62" s="185"/>
      <c r="O62" s="197">
        <f t="shared" si="3"/>
        <v>6.3393109582195781E-2</v>
      </c>
      <c r="P62" s="197">
        <f>O62*(1+'Key Data'!F$3)</f>
        <v>7.9241386977744729E-2</v>
      </c>
      <c r="Q62" s="471"/>
      <c r="R62" s="471"/>
      <c r="S62" s="470"/>
    </row>
    <row r="63" spans="1:19" x14ac:dyDescent="0.3">
      <c r="A63" s="462"/>
      <c r="B63" s="462"/>
      <c r="C63" s="462"/>
      <c r="D63" s="462"/>
      <c r="E63" s="462"/>
      <c r="F63" s="462"/>
      <c r="G63" s="462"/>
      <c r="H63" s="196" t="s">
        <v>263</v>
      </c>
      <c r="I63" s="185">
        <v>29</v>
      </c>
      <c r="J63" s="185">
        <f t="shared" si="2"/>
        <v>9.2356687898089174</v>
      </c>
      <c r="K63" s="185"/>
      <c r="L63" s="185"/>
      <c r="M63" s="185"/>
      <c r="N63" s="185"/>
      <c r="O63" s="197">
        <f t="shared" si="3"/>
        <v>6.8860872127670267E-2</v>
      </c>
      <c r="P63" s="197">
        <f>O63*(1+'Key Data'!F$3)</f>
        <v>8.6076090159587837E-2</v>
      </c>
      <c r="Q63" s="471"/>
      <c r="R63" s="471"/>
      <c r="S63" s="470"/>
    </row>
    <row r="64" spans="1:19" x14ac:dyDescent="0.3">
      <c r="A64" s="462"/>
      <c r="B64" s="462"/>
      <c r="C64" s="462"/>
      <c r="D64" s="462"/>
      <c r="E64" s="462"/>
      <c r="F64" s="462"/>
      <c r="G64" s="462"/>
      <c r="H64" s="196" t="s">
        <v>263</v>
      </c>
      <c r="I64" s="185">
        <v>34</v>
      </c>
      <c r="J64" s="185">
        <f t="shared" si="2"/>
        <v>10.828025477707007</v>
      </c>
      <c r="K64" s="185"/>
      <c r="L64" s="185"/>
      <c r="M64" s="185"/>
      <c r="N64" s="185"/>
      <c r="O64" s="197">
        <f t="shared" si="3"/>
        <v>8.0464228929838302E-2</v>
      </c>
      <c r="P64" s="197">
        <f>O64*(1+'Key Data'!F$3)</f>
        <v>0.10058028616229787</v>
      </c>
      <c r="Q64" s="471"/>
      <c r="R64" s="471"/>
      <c r="S64" s="470"/>
    </row>
    <row r="65" spans="1:19" x14ac:dyDescent="0.3">
      <c r="A65" s="462"/>
      <c r="B65" s="462"/>
      <c r="C65" s="462"/>
      <c r="D65" s="462"/>
      <c r="E65" s="462"/>
      <c r="F65" s="462"/>
      <c r="G65" s="462"/>
      <c r="H65" s="196" t="s">
        <v>263</v>
      </c>
      <c r="I65" s="185">
        <v>23</v>
      </c>
      <c r="J65" s="185">
        <f t="shared" si="2"/>
        <v>7.3248407643312099</v>
      </c>
      <c r="K65" s="185"/>
      <c r="L65" s="185"/>
      <c r="M65" s="185"/>
      <c r="N65" s="185"/>
      <c r="O65" s="197">
        <f t="shared" si="3"/>
        <v>5.123911451649759E-2</v>
      </c>
      <c r="P65" s="197">
        <f>O65*(1+'Key Data'!F$3)</f>
        <v>6.4048893145621982E-2</v>
      </c>
      <c r="Q65" s="471"/>
      <c r="R65" s="471"/>
      <c r="S65" s="470"/>
    </row>
    <row r="66" spans="1:19" x14ac:dyDescent="0.3">
      <c r="A66" s="462"/>
      <c r="B66" s="462"/>
      <c r="C66" s="462"/>
      <c r="D66" s="462"/>
      <c r="E66" s="462"/>
      <c r="F66" s="462"/>
      <c r="G66" s="462"/>
      <c r="H66" s="196" t="s">
        <v>263</v>
      </c>
      <c r="I66" s="185">
        <v>49.2</v>
      </c>
      <c r="J66" s="185">
        <f t="shared" ref="J66:J83" si="4">I66/3.14</f>
        <v>15.668789808917198</v>
      </c>
      <c r="K66" s="185"/>
      <c r="L66" s="185"/>
      <c r="M66" s="185"/>
      <c r="N66" s="185"/>
      <c r="O66" s="197">
        <f t="shared" ref="O66:O83" si="5">30.4*EXP(-5.07*EXP(-0.26*J66)+1.277)/1000</f>
        <v>0.10000258131474565</v>
      </c>
      <c r="P66" s="197">
        <f>O66*(1+'Key Data'!F$3)</f>
        <v>0.12500322664343205</v>
      </c>
      <c r="Q66" s="471"/>
      <c r="R66" s="471"/>
      <c r="S66" s="470"/>
    </row>
    <row r="67" spans="1:19" x14ac:dyDescent="0.3">
      <c r="A67" s="462"/>
      <c r="B67" s="462"/>
      <c r="C67" s="462"/>
      <c r="D67" s="462"/>
      <c r="E67" s="462"/>
      <c r="F67" s="462"/>
      <c r="G67" s="462"/>
      <c r="H67" s="196" t="s">
        <v>263</v>
      </c>
      <c r="I67" s="185">
        <v>19</v>
      </c>
      <c r="J67" s="185">
        <f t="shared" si="4"/>
        <v>6.0509554140127388</v>
      </c>
      <c r="K67" s="185"/>
      <c r="L67" s="185"/>
      <c r="M67" s="185"/>
      <c r="N67" s="185"/>
      <c r="O67" s="197">
        <f t="shared" si="5"/>
        <v>3.8094669325505315E-2</v>
      </c>
      <c r="P67" s="197">
        <f>O67*(1+'Key Data'!F$3)</f>
        <v>4.7618336656881644E-2</v>
      </c>
      <c r="Q67" s="471"/>
      <c r="R67" s="471"/>
      <c r="S67" s="470"/>
    </row>
    <row r="68" spans="1:19" x14ac:dyDescent="0.3">
      <c r="A68" s="462"/>
      <c r="B68" s="462"/>
      <c r="C68" s="462"/>
      <c r="D68" s="462"/>
      <c r="E68" s="462"/>
      <c r="F68" s="462"/>
      <c r="G68" s="462"/>
      <c r="H68" s="196" t="s">
        <v>263</v>
      </c>
      <c r="I68" s="185">
        <f>SQRT(24*24+30*30)</f>
        <v>38.418745424597091</v>
      </c>
      <c r="J68" s="185">
        <f t="shared" si="4"/>
        <v>12.235269243502257</v>
      </c>
      <c r="K68" s="185"/>
      <c r="L68" s="185"/>
      <c r="M68" s="185"/>
      <c r="N68" s="185"/>
      <c r="O68" s="197">
        <f t="shared" si="5"/>
        <v>8.8309693022543087E-2</v>
      </c>
      <c r="P68" s="197">
        <f>O68*(1+'Key Data'!F$3)</f>
        <v>0.11038711627817886</v>
      </c>
      <c r="Q68" s="471"/>
      <c r="R68" s="471"/>
      <c r="S68" s="470"/>
    </row>
    <row r="69" spans="1:19" x14ac:dyDescent="0.3">
      <c r="A69" s="462">
        <v>5</v>
      </c>
      <c r="B69" s="462" t="s">
        <v>453</v>
      </c>
      <c r="C69" s="462" t="s">
        <v>454</v>
      </c>
      <c r="D69" s="462" t="s">
        <v>441</v>
      </c>
      <c r="E69" s="466">
        <v>24.743189999999998</v>
      </c>
      <c r="F69" s="466">
        <v>86.752204000000006</v>
      </c>
      <c r="G69" s="462">
        <v>2022</v>
      </c>
      <c r="H69" s="196" t="s">
        <v>263</v>
      </c>
      <c r="I69" s="130">
        <v>33.346924609869397</v>
      </c>
      <c r="J69" s="130">
        <f t="shared" si="4"/>
        <v>10.620039684671783</v>
      </c>
      <c r="K69" s="130"/>
      <c r="L69" s="130"/>
      <c r="M69" s="130"/>
      <c r="N69" s="130"/>
      <c r="O69" s="197">
        <f t="shared" si="5"/>
        <v>7.9118085211369329E-2</v>
      </c>
      <c r="P69" s="197">
        <f>O69*(1+'Key Data'!F$3)</f>
        <v>9.8897606514211658E-2</v>
      </c>
      <c r="Q69" s="471">
        <f>SUM(P69:P83)</f>
        <v>1.542539785019605</v>
      </c>
      <c r="R69" s="471">
        <f>Q69*10000/900</f>
        <v>17.139330944662277</v>
      </c>
      <c r="S69" s="470"/>
    </row>
    <row r="70" spans="1:19" x14ac:dyDescent="0.3">
      <c r="A70" s="462"/>
      <c r="B70" s="462"/>
      <c r="C70" s="462"/>
      <c r="D70" s="462"/>
      <c r="E70" s="467"/>
      <c r="F70" s="467"/>
      <c r="G70" s="462"/>
      <c r="H70" s="196" t="s">
        <v>263</v>
      </c>
      <c r="I70" s="130">
        <v>30.900000000000002</v>
      </c>
      <c r="J70" s="130">
        <f t="shared" si="4"/>
        <v>9.8407643312101918</v>
      </c>
      <c r="K70" s="130"/>
      <c r="L70" s="130"/>
      <c r="M70" s="130"/>
      <c r="N70" s="130"/>
      <c r="O70" s="197">
        <f t="shared" si="5"/>
        <v>7.3623037116629902E-2</v>
      </c>
      <c r="P70" s="197">
        <f>O70*(1+'Key Data'!F$3)</f>
        <v>9.2028796395787371E-2</v>
      </c>
      <c r="Q70" s="471"/>
      <c r="R70" s="471"/>
      <c r="S70" s="470"/>
    </row>
    <row r="71" spans="1:19" x14ac:dyDescent="0.3">
      <c r="A71" s="462"/>
      <c r="B71" s="462"/>
      <c r="C71" s="462"/>
      <c r="D71" s="462"/>
      <c r="E71" s="467"/>
      <c r="F71" s="467"/>
      <c r="G71" s="462"/>
      <c r="H71" s="196" t="s">
        <v>263</v>
      </c>
      <c r="I71" s="130">
        <v>27</v>
      </c>
      <c r="J71" s="130">
        <f t="shared" si="4"/>
        <v>8.598726114649681</v>
      </c>
      <c r="K71" s="130"/>
      <c r="L71" s="130"/>
      <c r="M71" s="130"/>
      <c r="N71" s="130"/>
      <c r="O71" s="197">
        <f t="shared" si="5"/>
        <v>6.3393109582195781E-2</v>
      </c>
      <c r="P71" s="197">
        <f>O71*(1+'Key Data'!F$3)</f>
        <v>7.9241386977744729E-2</v>
      </c>
      <c r="Q71" s="471"/>
      <c r="R71" s="471"/>
      <c r="S71" s="470"/>
    </row>
    <row r="72" spans="1:19" x14ac:dyDescent="0.3">
      <c r="A72" s="462"/>
      <c r="B72" s="462"/>
      <c r="C72" s="462"/>
      <c r="D72" s="462"/>
      <c r="E72" s="467"/>
      <c r="F72" s="467"/>
      <c r="G72" s="462"/>
      <c r="H72" s="196" t="s">
        <v>263</v>
      </c>
      <c r="I72" s="130">
        <v>29.3</v>
      </c>
      <c r="J72" s="130">
        <f t="shared" si="4"/>
        <v>9.3312101910828016</v>
      </c>
      <c r="K72" s="130"/>
      <c r="L72" s="130"/>
      <c r="M72" s="130"/>
      <c r="N72" s="130"/>
      <c r="O72" s="197">
        <f t="shared" si="5"/>
        <v>6.9641334697208165E-2</v>
      </c>
      <c r="P72" s="197">
        <f>O72*(1+'Key Data'!F$3)</f>
        <v>8.705166837151021E-2</v>
      </c>
      <c r="Q72" s="471"/>
      <c r="R72" s="471"/>
      <c r="S72" s="470"/>
    </row>
    <row r="73" spans="1:19" x14ac:dyDescent="0.3">
      <c r="A73" s="462"/>
      <c r="B73" s="462"/>
      <c r="C73" s="462"/>
      <c r="D73" s="462"/>
      <c r="E73" s="467"/>
      <c r="F73" s="467"/>
      <c r="G73" s="462"/>
      <c r="H73" s="196" t="s">
        <v>263</v>
      </c>
      <c r="I73" s="130">
        <v>45.5</v>
      </c>
      <c r="J73" s="130">
        <f t="shared" si="4"/>
        <v>14.490445859872612</v>
      </c>
      <c r="K73" s="130"/>
      <c r="L73" s="130"/>
      <c r="M73" s="130"/>
      <c r="N73" s="130"/>
      <c r="O73" s="197">
        <f t="shared" si="5"/>
        <v>9.6958006569531699E-2</v>
      </c>
      <c r="P73" s="197">
        <f>O73*(1+'Key Data'!F$3)</f>
        <v>0.12119750821191462</v>
      </c>
      <c r="Q73" s="471"/>
      <c r="R73" s="471"/>
      <c r="S73" s="470"/>
    </row>
    <row r="74" spans="1:19" x14ac:dyDescent="0.3">
      <c r="A74" s="462"/>
      <c r="B74" s="462"/>
      <c r="C74" s="462"/>
      <c r="D74" s="462"/>
      <c r="E74" s="467"/>
      <c r="F74" s="467"/>
      <c r="G74" s="462"/>
      <c r="H74" s="196" t="s">
        <v>263</v>
      </c>
      <c r="I74" s="130">
        <v>33.299999999999997</v>
      </c>
      <c r="J74" s="130">
        <f t="shared" si="4"/>
        <v>10.605095541401273</v>
      </c>
      <c r="K74" s="130"/>
      <c r="L74" s="130"/>
      <c r="M74" s="130"/>
      <c r="N74" s="130"/>
      <c r="O74" s="197">
        <f t="shared" si="5"/>
        <v>7.9019429376531475E-2</v>
      </c>
      <c r="P74" s="197">
        <f>O74*(1+'Key Data'!F$3)</f>
        <v>9.877428672066435E-2</v>
      </c>
      <c r="Q74" s="471"/>
      <c r="R74" s="471"/>
      <c r="S74" s="470"/>
    </row>
    <row r="75" spans="1:19" x14ac:dyDescent="0.3">
      <c r="A75" s="462"/>
      <c r="B75" s="462"/>
      <c r="C75" s="462"/>
      <c r="D75" s="462"/>
      <c r="E75" s="467"/>
      <c r="F75" s="467"/>
      <c r="G75" s="462"/>
      <c r="H75" s="196" t="s">
        <v>263</v>
      </c>
      <c r="I75" s="130">
        <v>33.299999999999997</v>
      </c>
      <c r="J75" s="130">
        <f t="shared" si="4"/>
        <v>10.605095541401273</v>
      </c>
      <c r="K75" s="130"/>
      <c r="L75" s="130"/>
      <c r="M75" s="130"/>
      <c r="N75" s="130"/>
      <c r="O75" s="197">
        <f t="shared" si="5"/>
        <v>7.9019429376531475E-2</v>
      </c>
      <c r="P75" s="197">
        <f>O75*(1+'Key Data'!F$3)</f>
        <v>9.877428672066435E-2</v>
      </c>
      <c r="Q75" s="471"/>
      <c r="R75" s="471"/>
      <c r="S75" s="470"/>
    </row>
    <row r="76" spans="1:19" x14ac:dyDescent="0.3">
      <c r="A76" s="462"/>
      <c r="B76" s="462"/>
      <c r="C76" s="462"/>
      <c r="D76" s="462"/>
      <c r="E76" s="467"/>
      <c r="F76" s="467"/>
      <c r="G76" s="462"/>
      <c r="H76" s="196" t="s">
        <v>263</v>
      </c>
      <c r="I76" s="130">
        <v>43.599999999999994</v>
      </c>
      <c r="J76" s="130">
        <f t="shared" si="4"/>
        <v>13.885350318471335</v>
      </c>
      <c r="K76" s="130"/>
      <c r="L76" s="130"/>
      <c r="M76" s="130"/>
      <c r="N76" s="130"/>
      <c r="O76" s="197">
        <f t="shared" si="5"/>
        <v>9.5041719691676754E-2</v>
      </c>
      <c r="P76" s="197">
        <f>O76*(1+'Key Data'!F$3)</f>
        <v>0.11880214961459594</v>
      </c>
      <c r="Q76" s="471"/>
      <c r="R76" s="471"/>
      <c r="S76" s="470"/>
    </row>
    <row r="77" spans="1:19" x14ac:dyDescent="0.3">
      <c r="A77" s="462"/>
      <c r="B77" s="462"/>
      <c r="C77" s="462"/>
      <c r="D77" s="462"/>
      <c r="E77" s="467"/>
      <c r="F77" s="467"/>
      <c r="G77" s="462"/>
      <c r="H77" s="196" t="s">
        <v>263</v>
      </c>
      <c r="I77" s="130">
        <v>34.299999999999997</v>
      </c>
      <c r="J77" s="130">
        <f t="shared" si="4"/>
        <v>10.923566878980891</v>
      </c>
      <c r="K77" s="130"/>
      <c r="L77" s="130"/>
      <c r="M77" s="130"/>
      <c r="N77" s="130"/>
      <c r="O77" s="197">
        <f t="shared" si="5"/>
        <v>8.1065884615282982E-2</v>
      </c>
      <c r="P77" s="197">
        <f>O77*(1+'Key Data'!F$3)</f>
        <v>0.10133235576910372</v>
      </c>
      <c r="Q77" s="471"/>
      <c r="R77" s="471"/>
      <c r="S77" s="470"/>
    </row>
    <row r="78" spans="1:19" x14ac:dyDescent="0.3">
      <c r="A78" s="462"/>
      <c r="B78" s="462"/>
      <c r="C78" s="462"/>
      <c r="D78" s="462"/>
      <c r="E78" s="467"/>
      <c r="F78" s="467"/>
      <c r="G78" s="462"/>
      <c r="H78" s="196" t="s">
        <v>263</v>
      </c>
      <c r="I78" s="130">
        <v>41.599999999999994</v>
      </c>
      <c r="J78" s="130">
        <f t="shared" si="4"/>
        <v>13.248407643312099</v>
      </c>
      <c r="K78" s="130"/>
      <c r="L78" s="130"/>
      <c r="M78" s="130"/>
      <c r="N78" s="130"/>
      <c r="O78" s="197">
        <f t="shared" si="5"/>
        <v>9.2723178722471489E-2</v>
      </c>
      <c r="P78" s="197">
        <f>O78*(1+'Key Data'!F$3)</f>
        <v>0.11590397340308936</v>
      </c>
      <c r="Q78" s="471"/>
      <c r="R78" s="471"/>
      <c r="S78" s="470"/>
    </row>
    <row r="79" spans="1:19" x14ac:dyDescent="0.3">
      <c r="A79" s="462"/>
      <c r="B79" s="462"/>
      <c r="C79" s="462"/>
      <c r="D79" s="462"/>
      <c r="E79" s="467"/>
      <c r="F79" s="467"/>
      <c r="G79" s="462"/>
      <c r="H79" s="196" t="s">
        <v>263</v>
      </c>
      <c r="I79" s="130">
        <v>34.799999999999997</v>
      </c>
      <c r="J79" s="130">
        <f t="shared" si="4"/>
        <v>11.082802547770699</v>
      </c>
      <c r="K79" s="130"/>
      <c r="L79" s="130"/>
      <c r="M79" s="130"/>
      <c r="N79" s="130"/>
      <c r="O79" s="197">
        <f t="shared" si="5"/>
        <v>8.2045509791717097E-2</v>
      </c>
      <c r="P79" s="197">
        <f>O79*(1+'Key Data'!F$3)</f>
        <v>0.10255688723964637</v>
      </c>
      <c r="Q79" s="471"/>
      <c r="R79" s="471"/>
      <c r="S79" s="470"/>
    </row>
    <row r="80" spans="1:19" x14ac:dyDescent="0.3">
      <c r="A80" s="462"/>
      <c r="B80" s="462"/>
      <c r="C80" s="462"/>
      <c r="D80" s="462"/>
      <c r="E80" s="467"/>
      <c r="F80" s="467"/>
      <c r="G80" s="462"/>
      <c r="H80" s="196" t="s">
        <v>263</v>
      </c>
      <c r="I80" s="130">
        <v>41.1</v>
      </c>
      <c r="J80" s="130">
        <f t="shared" si="4"/>
        <v>13.089171974522293</v>
      </c>
      <c r="K80" s="130"/>
      <c r="L80" s="130"/>
      <c r="M80" s="130"/>
      <c r="N80" s="130"/>
      <c r="O80" s="197">
        <f t="shared" si="5"/>
        <v>9.2091084295020886E-2</v>
      </c>
      <c r="P80" s="197">
        <f>O80*(1+'Key Data'!F$3)</f>
        <v>0.11511385536877611</v>
      </c>
      <c r="Q80" s="471"/>
      <c r="R80" s="471"/>
      <c r="S80" s="470"/>
    </row>
    <row r="81" spans="1:19" x14ac:dyDescent="0.3">
      <c r="A81" s="462"/>
      <c r="B81" s="462"/>
      <c r="C81" s="462"/>
      <c r="D81" s="462"/>
      <c r="E81" s="467"/>
      <c r="F81" s="467"/>
      <c r="G81" s="462"/>
      <c r="H81" s="196" t="s">
        <v>263</v>
      </c>
      <c r="I81" s="130">
        <v>36.599999999999994</v>
      </c>
      <c r="J81" s="130">
        <f t="shared" si="4"/>
        <v>11.65605095541401</v>
      </c>
      <c r="K81" s="130"/>
      <c r="L81" s="130"/>
      <c r="M81" s="130"/>
      <c r="N81" s="130"/>
      <c r="O81" s="197">
        <f t="shared" si="5"/>
        <v>8.5338244421129986E-2</v>
      </c>
      <c r="P81" s="197">
        <f>O81*(1+'Key Data'!F$3)</f>
        <v>0.10667280552641248</v>
      </c>
      <c r="Q81" s="471"/>
      <c r="R81" s="471"/>
      <c r="S81" s="470"/>
    </row>
    <row r="82" spans="1:19" x14ac:dyDescent="0.3">
      <c r="A82" s="462"/>
      <c r="B82" s="462"/>
      <c r="C82" s="462"/>
      <c r="D82" s="462"/>
      <c r="E82" s="467"/>
      <c r="F82" s="467"/>
      <c r="G82" s="462"/>
      <c r="H82" s="196" t="s">
        <v>263</v>
      </c>
      <c r="I82" s="130">
        <v>31.5</v>
      </c>
      <c r="J82" s="130">
        <f t="shared" si="4"/>
        <v>10.031847133757962</v>
      </c>
      <c r="K82" s="130"/>
      <c r="L82" s="130"/>
      <c r="M82" s="130"/>
      <c r="N82" s="130"/>
      <c r="O82" s="197">
        <f t="shared" si="5"/>
        <v>7.5036957906877172E-2</v>
      </c>
      <c r="P82" s="197">
        <f>O82*(1+'Key Data'!F$3)</f>
        <v>9.3796197383596458E-2</v>
      </c>
      <c r="Q82" s="471"/>
      <c r="R82" s="471"/>
      <c r="S82" s="470"/>
    </row>
    <row r="83" spans="1:19" x14ac:dyDescent="0.3">
      <c r="A83" s="462"/>
      <c r="B83" s="462"/>
      <c r="C83" s="462"/>
      <c r="D83" s="462"/>
      <c r="E83" s="468"/>
      <c r="F83" s="468"/>
      <c r="G83" s="462"/>
      <c r="H83" s="196" t="s">
        <v>263</v>
      </c>
      <c r="I83" s="130">
        <v>39.5</v>
      </c>
      <c r="J83" s="130">
        <f t="shared" si="4"/>
        <v>12.579617834394904</v>
      </c>
      <c r="K83" s="130"/>
      <c r="L83" s="130"/>
      <c r="M83" s="130"/>
      <c r="N83" s="130"/>
      <c r="O83" s="197">
        <f t="shared" si="5"/>
        <v>8.9916816641509772E-2</v>
      </c>
      <c r="P83" s="197">
        <f>O83*(1+'Key Data'!F$3)</f>
        <v>0.11239602080188721</v>
      </c>
      <c r="Q83" s="471"/>
      <c r="R83" s="471"/>
      <c r="S83" s="470"/>
    </row>
    <row r="84" spans="1:19" x14ac:dyDescent="0.3">
      <c r="Q84" s="199"/>
      <c r="R84" s="199"/>
    </row>
    <row r="85" spans="1:19" x14ac:dyDescent="0.3">
      <c r="Q85" s="199"/>
      <c r="R85" s="199"/>
    </row>
    <row r="86" spans="1:19" x14ac:dyDescent="0.3">
      <c r="Q86" s="199"/>
      <c r="R86" s="199"/>
    </row>
    <row r="172" spans="15:19" x14ac:dyDescent="0.3">
      <c r="O172" s="97"/>
      <c r="P172" s="97"/>
      <c r="Q172" s="97"/>
      <c r="R172" s="97"/>
      <c r="S172" s="97"/>
    </row>
    <row r="173" spans="15:19" x14ac:dyDescent="0.3">
      <c r="O173" s="97"/>
      <c r="P173" s="97"/>
      <c r="Q173" s="97"/>
      <c r="R173" s="97"/>
      <c r="S173" s="97"/>
    </row>
  </sheetData>
  <autoFilter ref="H1:H171" xr:uid="{D0C1843A-36CA-4A88-BE65-E7959CD92CF1}"/>
  <mergeCells count="43">
    <mergeCell ref="S2:S83"/>
    <mergeCell ref="Q69:Q83"/>
    <mergeCell ref="R69:R83"/>
    <mergeCell ref="A69:A83"/>
    <mergeCell ref="B69:B83"/>
    <mergeCell ref="C69:C83"/>
    <mergeCell ref="D69:D83"/>
    <mergeCell ref="G69:G83"/>
    <mergeCell ref="E69:E83"/>
    <mergeCell ref="F69:F83"/>
    <mergeCell ref="Q33:Q48"/>
    <mergeCell ref="R33:R48"/>
    <mergeCell ref="Q49:Q68"/>
    <mergeCell ref="R49:R68"/>
    <mergeCell ref="Q2:Q16"/>
    <mergeCell ref="R2:R16"/>
    <mergeCell ref="Q17:Q32"/>
    <mergeCell ref="R17:R32"/>
    <mergeCell ref="A2:A16"/>
    <mergeCell ref="B2:B16"/>
    <mergeCell ref="G2:G16"/>
    <mergeCell ref="H2:H16"/>
    <mergeCell ref="A17:A32"/>
    <mergeCell ref="B17:B32"/>
    <mergeCell ref="G17:G32"/>
    <mergeCell ref="H17:H32"/>
    <mergeCell ref="C2:C16"/>
    <mergeCell ref="D2:D16"/>
    <mergeCell ref="C17:C32"/>
    <mergeCell ref="D17:D32"/>
    <mergeCell ref="H33:H48"/>
    <mergeCell ref="A49:A68"/>
    <mergeCell ref="B49:B68"/>
    <mergeCell ref="C49:C68"/>
    <mergeCell ref="D49:D68"/>
    <mergeCell ref="E49:E68"/>
    <mergeCell ref="F49:F68"/>
    <mergeCell ref="G49:G68"/>
    <mergeCell ref="C33:C48"/>
    <mergeCell ref="D33:D48"/>
    <mergeCell ref="A33:A48"/>
    <mergeCell ref="B33:B48"/>
    <mergeCell ref="G33:G4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B49C-9EE2-455F-BD2E-2E7100D5E0C8}">
  <dimension ref="A1:S172"/>
  <sheetViews>
    <sheetView topLeftCell="H1" workbookViewId="0">
      <pane ySplit="1" topLeftCell="A164" activePane="bottomLeft" state="frozen"/>
      <selection activeCell="G1" sqref="G1"/>
      <selection pane="bottomLeft" activeCell="S2" sqref="S2:S172"/>
    </sheetView>
  </sheetViews>
  <sheetFormatPr defaultColWidth="9.109375" defaultRowHeight="14.4" x14ac:dyDescent="0.3"/>
  <cols>
    <col min="1" max="2" width="9.109375" style="66"/>
    <col min="3" max="3" width="10" style="66" customWidth="1"/>
    <col min="4" max="7" width="9.109375" style="66"/>
    <col min="8" max="8" width="9.109375" style="44"/>
    <col min="9" max="13" width="9.109375" style="74"/>
    <col min="14" max="14" width="9.109375" style="76"/>
    <col min="15" max="15" width="8.88671875" style="79" customWidth="1"/>
    <col min="16" max="16" width="9.6640625" style="79" customWidth="1"/>
    <col min="17" max="18" width="9.33203125" style="76" customWidth="1"/>
    <col min="19" max="19" width="9.5546875" style="76" customWidth="1"/>
    <col min="20" max="22" width="9.109375" style="66"/>
    <col min="23" max="23" width="11.5546875" style="66" bestFit="1" customWidth="1"/>
    <col min="24" max="16384" width="9.109375" style="66"/>
  </cols>
  <sheetData>
    <row r="1" spans="1:19" s="68" customFormat="1" ht="95.4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71" t="s">
        <v>257</v>
      </c>
      <c r="J1" s="71" t="s">
        <v>258</v>
      </c>
      <c r="K1" s="71" t="s">
        <v>251</v>
      </c>
      <c r="L1" s="71" t="s">
        <v>252</v>
      </c>
      <c r="M1" s="71" t="s">
        <v>259</v>
      </c>
      <c r="N1" s="75" t="s">
        <v>368</v>
      </c>
      <c r="O1" s="75" t="s">
        <v>364</v>
      </c>
      <c r="P1" s="75" t="s">
        <v>363</v>
      </c>
      <c r="Q1" s="75" t="s">
        <v>362</v>
      </c>
      <c r="R1" s="75" t="s">
        <v>370</v>
      </c>
      <c r="S1" s="75" t="s">
        <v>361</v>
      </c>
    </row>
    <row r="2" spans="1:19" x14ac:dyDescent="0.3">
      <c r="A2" s="457">
        <v>1</v>
      </c>
      <c r="B2" s="457" t="s">
        <v>284</v>
      </c>
      <c r="C2" s="457" t="s">
        <v>285</v>
      </c>
      <c r="D2" s="457" t="s">
        <v>286</v>
      </c>
      <c r="E2" s="206">
        <v>14.890100500000001</v>
      </c>
      <c r="F2" s="206">
        <v>75.102441499999998</v>
      </c>
      <c r="G2" s="473">
        <v>2021</v>
      </c>
      <c r="H2" s="473" t="s">
        <v>263</v>
      </c>
      <c r="I2" s="202">
        <v>48</v>
      </c>
      <c r="J2" s="202">
        <f t="shared" ref="J2:J33" si="0">I2/3.14</f>
        <v>15.286624203821656</v>
      </c>
      <c r="K2" s="202"/>
      <c r="L2" s="202"/>
      <c r="M2" s="202"/>
      <c r="N2" s="202"/>
      <c r="O2" s="201">
        <f t="shared" ref="O2:O33" si="1">30.4*EXP(-5.07*EXP(-0.26*J2)+1.277)/1000</f>
        <v>9.9105610669934466E-2</v>
      </c>
      <c r="P2" s="201">
        <f>O2*(1+'Key Data'!F$3)</f>
        <v>0.12388201333741808</v>
      </c>
      <c r="Q2" s="472">
        <f>SUM(P2:P16)</f>
        <v>1.8360383345857716</v>
      </c>
      <c r="R2" s="472">
        <f>Q2*10000/900</f>
        <v>20.400425939841909</v>
      </c>
      <c r="S2" s="368">
        <f>AVERAGE(R2:R172)</f>
        <v>26.977019395183728</v>
      </c>
    </row>
    <row r="3" spans="1:19" x14ac:dyDescent="0.3">
      <c r="A3" s="457"/>
      <c r="B3" s="457"/>
      <c r="C3" s="457"/>
      <c r="D3" s="457"/>
      <c r="E3" s="206">
        <v>14.8896839</v>
      </c>
      <c r="F3" s="206">
        <v>75.102436100000006</v>
      </c>
      <c r="G3" s="474"/>
      <c r="H3" s="474"/>
      <c r="I3" s="202">
        <v>52.3</v>
      </c>
      <c r="J3" s="202">
        <f t="shared" si="0"/>
        <v>16.65605095541401</v>
      </c>
      <c r="K3" s="202"/>
      <c r="L3" s="202"/>
      <c r="M3" s="202"/>
      <c r="N3" s="202"/>
      <c r="O3" s="201">
        <f t="shared" si="1"/>
        <v>0.10197435921399206</v>
      </c>
      <c r="P3" s="201">
        <f>O3*(1+'Key Data'!F$3)</f>
        <v>0.12746794901749009</v>
      </c>
      <c r="Q3" s="472"/>
      <c r="R3" s="472"/>
      <c r="S3" s="369"/>
    </row>
    <row r="4" spans="1:19" x14ac:dyDescent="0.3">
      <c r="A4" s="457"/>
      <c r="B4" s="457"/>
      <c r="C4" s="457"/>
      <c r="D4" s="457"/>
      <c r="E4" s="206">
        <v>14.897052</v>
      </c>
      <c r="F4" s="206">
        <v>75.102624599999999</v>
      </c>
      <c r="G4" s="474"/>
      <c r="H4" s="474"/>
      <c r="I4" s="202">
        <f>SQRT(38.2^2+16.3^2+32.3^2+19.2^2+22^2)</f>
        <v>60.173582243373211</v>
      </c>
      <c r="J4" s="202">
        <f t="shared" si="0"/>
        <v>19.163561224004205</v>
      </c>
      <c r="K4" s="202"/>
      <c r="L4" s="202"/>
      <c r="M4" s="202"/>
      <c r="N4" s="202"/>
      <c r="O4" s="201">
        <f t="shared" si="1"/>
        <v>0.10528585000506378</v>
      </c>
      <c r="P4" s="201">
        <f>O4*(1+'Key Data'!F$3)</f>
        <v>0.13160731250632973</v>
      </c>
      <c r="Q4" s="472"/>
      <c r="R4" s="472"/>
      <c r="S4" s="369"/>
    </row>
    <row r="5" spans="1:19" x14ac:dyDescent="0.3">
      <c r="A5" s="457"/>
      <c r="B5" s="457"/>
      <c r="C5" s="457"/>
      <c r="D5" s="457"/>
      <c r="E5" s="206">
        <v>14.8901725</v>
      </c>
      <c r="F5" s="206">
        <v>75.102656400000001</v>
      </c>
      <c r="G5" s="474"/>
      <c r="H5" s="474"/>
      <c r="I5" s="202">
        <v>34.5</v>
      </c>
      <c r="J5" s="202">
        <f t="shared" si="0"/>
        <v>10.987261146496815</v>
      </c>
      <c r="K5" s="202"/>
      <c r="L5" s="202"/>
      <c r="M5" s="202"/>
      <c r="N5" s="202"/>
      <c r="O5" s="201">
        <f t="shared" si="1"/>
        <v>8.1461190941682818E-2</v>
      </c>
      <c r="P5" s="201">
        <f>O5*(1+'Key Data'!F$3)</f>
        <v>0.10182648867710352</v>
      </c>
      <c r="Q5" s="472"/>
      <c r="R5" s="472"/>
      <c r="S5" s="369"/>
    </row>
    <row r="6" spans="1:19" x14ac:dyDescent="0.3">
      <c r="A6" s="457"/>
      <c r="B6" s="457"/>
      <c r="C6" s="457"/>
      <c r="D6" s="457"/>
      <c r="E6" s="206">
        <v>14.889962000000001</v>
      </c>
      <c r="F6" s="206">
        <v>75.102513900000005</v>
      </c>
      <c r="G6" s="474"/>
      <c r="H6" s="474"/>
      <c r="I6" s="202">
        <v>56.5</v>
      </c>
      <c r="J6" s="202">
        <f t="shared" si="0"/>
        <v>17.993630573248407</v>
      </c>
      <c r="K6" s="202"/>
      <c r="L6" s="202"/>
      <c r="M6" s="202"/>
      <c r="N6" s="202"/>
      <c r="O6" s="201">
        <f t="shared" si="1"/>
        <v>0.10399263041159999</v>
      </c>
      <c r="P6" s="201">
        <f>O6*(1+'Key Data'!F$3)</f>
        <v>0.12999078801449998</v>
      </c>
      <c r="Q6" s="472"/>
      <c r="R6" s="472"/>
      <c r="S6" s="369"/>
    </row>
    <row r="7" spans="1:19" x14ac:dyDescent="0.3">
      <c r="A7" s="457"/>
      <c r="B7" s="457"/>
      <c r="C7" s="457"/>
      <c r="D7" s="457"/>
      <c r="E7" s="186"/>
      <c r="F7" s="186"/>
      <c r="G7" s="474"/>
      <c r="H7" s="474"/>
      <c r="I7" s="202">
        <f>SQRT(29.4^2+25.2^2+33^2+37^2)</f>
        <v>62.907869142103358</v>
      </c>
      <c r="J7" s="202">
        <f t="shared" si="0"/>
        <v>20.03435322996922</v>
      </c>
      <c r="K7" s="202"/>
      <c r="L7" s="202"/>
      <c r="M7" s="202"/>
      <c r="N7" s="202"/>
      <c r="O7" s="201">
        <f t="shared" si="1"/>
        <v>0.10603002714229971</v>
      </c>
      <c r="P7" s="201">
        <f>O7*(1+'Key Data'!F$3)</f>
        <v>0.13253753392787465</v>
      </c>
      <c r="Q7" s="472"/>
      <c r="R7" s="472"/>
      <c r="S7" s="369"/>
    </row>
    <row r="8" spans="1:19" x14ac:dyDescent="0.3">
      <c r="A8" s="457"/>
      <c r="B8" s="457"/>
      <c r="C8" s="457"/>
      <c r="D8" s="457"/>
      <c r="E8" s="186"/>
      <c r="F8" s="186"/>
      <c r="G8" s="474"/>
      <c r="H8" s="474"/>
      <c r="I8" s="202">
        <v>39.5</v>
      </c>
      <c r="J8" s="202">
        <f t="shared" si="0"/>
        <v>12.579617834394904</v>
      </c>
      <c r="K8" s="202"/>
      <c r="L8" s="202"/>
      <c r="M8" s="202"/>
      <c r="N8" s="202"/>
      <c r="O8" s="201">
        <f t="shared" si="1"/>
        <v>8.9916816641509772E-2</v>
      </c>
      <c r="P8" s="201">
        <f>O8*(1+'Key Data'!F$3)</f>
        <v>0.11239602080188721</v>
      </c>
      <c r="Q8" s="472"/>
      <c r="R8" s="472"/>
      <c r="S8" s="369"/>
    </row>
    <row r="9" spans="1:19" x14ac:dyDescent="0.3">
      <c r="A9" s="457"/>
      <c r="B9" s="457"/>
      <c r="C9" s="457"/>
      <c r="D9" s="457"/>
      <c r="E9" s="186"/>
      <c r="F9" s="186"/>
      <c r="G9" s="474"/>
      <c r="H9" s="474"/>
      <c r="I9" s="202">
        <v>54</v>
      </c>
      <c r="J9" s="202">
        <f t="shared" si="0"/>
        <v>17.197452229299362</v>
      </c>
      <c r="K9" s="202"/>
      <c r="L9" s="202"/>
      <c r="M9" s="202"/>
      <c r="N9" s="202"/>
      <c r="O9" s="201">
        <f t="shared" si="1"/>
        <v>0.10287167065451364</v>
      </c>
      <c r="P9" s="201">
        <f>O9*(1+'Key Data'!F$3)</f>
        <v>0.12858958831814205</v>
      </c>
      <c r="Q9" s="472"/>
      <c r="R9" s="472"/>
      <c r="S9" s="369"/>
    </row>
    <row r="10" spans="1:19" x14ac:dyDescent="0.3">
      <c r="A10" s="457"/>
      <c r="B10" s="457"/>
      <c r="C10" s="457"/>
      <c r="D10" s="457"/>
      <c r="E10" s="186"/>
      <c r="F10" s="186"/>
      <c r="G10" s="474"/>
      <c r="H10" s="474"/>
      <c r="I10" s="202">
        <v>54</v>
      </c>
      <c r="J10" s="202">
        <f t="shared" si="0"/>
        <v>17.197452229299362</v>
      </c>
      <c r="K10" s="202"/>
      <c r="L10" s="202"/>
      <c r="M10" s="202"/>
      <c r="N10" s="202"/>
      <c r="O10" s="201">
        <f t="shared" si="1"/>
        <v>0.10287167065451364</v>
      </c>
      <c r="P10" s="201">
        <f>O10*(1+'Key Data'!F$3)</f>
        <v>0.12858958831814205</v>
      </c>
      <c r="Q10" s="472"/>
      <c r="R10" s="472"/>
      <c r="S10" s="369"/>
    </row>
    <row r="11" spans="1:19" x14ac:dyDescent="0.3">
      <c r="A11" s="457"/>
      <c r="B11" s="457"/>
      <c r="C11" s="457"/>
      <c r="D11" s="457"/>
      <c r="E11" s="186"/>
      <c r="F11" s="186"/>
      <c r="G11" s="474"/>
      <c r="H11" s="474"/>
      <c r="I11" s="202">
        <v>49</v>
      </c>
      <c r="J11" s="202">
        <f t="shared" si="0"/>
        <v>15.605095541401273</v>
      </c>
      <c r="K11" s="202"/>
      <c r="L11" s="202"/>
      <c r="M11" s="202"/>
      <c r="N11" s="202"/>
      <c r="O11" s="201">
        <f t="shared" si="1"/>
        <v>9.9858663261479449E-2</v>
      </c>
      <c r="P11" s="201">
        <f>O11*(1+'Key Data'!F$3)</f>
        <v>0.12482332907684932</v>
      </c>
      <c r="Q11" s="472"/>
      <c r="R11" s="472"/>
      <c r="S11" s="369"/>
    </row>
    <row r="12" spans="1:19" x14ac:dyDescent="0.3">
      <c r="A12" s="457"/>
      <c r="B12" s="457"/>
      <c r="C12" s="457"/>
      <c r="D12" s="457"/>
      <c r="E12" s="186"/>
      <c r="F12" s="186"/>
      <c r="G12" s="474"/>
      <c r="H12" s="474"/>
      <c r="I12" s="202">
        <v>39.200000000000003</v>
      </c>
      <c r="J12" s="202">
        <f t="shared" si="0"/>
        <v>12.48407643312102</v>
      </c>
      <c r="K12" s="202"/>
      <c r="L12" s="202"/>
      <c r="M12" s="202"/>
      <c r="N12" s="202"/>
      <c r="O12" s="201">
        <f>30.4*EXP(-5.07*EXP(-0.26*J12)+1.277)/1000</f>
        <v>8.9482385841149176E-2</v>
      </c>
      <c r="P12" s="201">
        <f>O12*(1+'Key Data'!F$3)</f>
        <v>0.11185298230143648</v>
      </c>
      <c r="Q12" s="472"/>
      <c r="R12" s="472"/>
      <c r="S12" s="369"/>
    </row>
    <row r="13" spans="1:19" x14ac:dyDescent="0.3">
      <c r="A13" s="457"/>
      <c r="B13" s="457"/>
      <c r="C13" s="457"/>
      <c r="D13" s="457"/>
      <c r="E13" s="186"/>
      <c r="F13" s="186"/>
      <c r="G13" s="474"/>
      <c r="H13" s="474"/>
      <c r="I13" s="202">
        <v>60.3</v>
      </c>
      <c r="J13" s="202">
        <f t="shared" si="0"/>
        <v>19.203821656050955</v>
      </c>
      <c r="K13" s="202"/>
      <c r="L13" s="202"/>
      <c r="M13" s="202"/>
      <c r="N13" s="202"/>
      <c r="O13" s="201">
        <f t="shared" si="1"/>
        <v>0.10532397008396407</v>
      </c>
      <c r="P13" s="201">
        <f>O13*(1+'Key Data'!F$3)</f>
        <v>0.1316549626049551</v>
      </c>
      <c r="Q13" s="472"/>
      <c r="R13" s="472"/>
      <c r="S13" s="369"/>
    </row>
    <row r="14" spans="1:19" x14ac:dyDescent="0.3">
      <c r="A14" s="457"/>
      <c r="B14" s="457"/>
      <c r="C14" s="457"/>
      <c r="D14" s="457"/>
      <c r="E14" s="186"/>
      <c r="F14" s="186"/>
      <c r="G14" s="474"/>
      <c r="H14" s="474"/>
      <c r="I14" s="202">
        <v>61</v>
      </c>
      <c r="J14" s="202">
        <f t="shared" si="0"/>
        <v>19.426751592356688</v>
      </c>
      <c r="K14" s="202"/>
      <c r="L14" s="202"/>
      <c r="M14" s="202"/>
      <c r="N14" s="202"/>
      <c r="O14" s="201">
        <f t="shared" si="1"/>
        <v>0.10552821094553938</v>
      </c>
      <c r="P14" s="201">
        <f>O14*(1+'Key Data'!F$3)</f>
        <v>0.13191026368192421</v>
      </c>
      <c r="Q14" s="472"/>
      <c r="R14" s="472"/>
      <c r="S14" s="369"/>
    </row>
    <row r="15" spans="1:19" x14ac:dyDescent="0.3">
      <c r="A15" s="457"/>
      <c r="B15" s="457"/>
      <c r="C15" s="457"/>
      <c r="D15" s="457"/>
      <c r="E15" s="186"/>
      <c r="F15" s="186"/>
      <c r="G15" s="474"/>
      <c r="H15" s="474"/>
      <c r="I15" s="202">
        <f>SQRT(36^2+23^2)</f>
        <v>42.720018726587654</v>
      </c>
      <c r="J15" s="202">
        <f t="shared" si="0"/>
        <v>13.605101505282692</v>
      </c>
      <c r="K15" s="202"/>
      <c r="L15" s="202"/>
      <c r="M15" s="202"/>
      <c r="N15" s="202"/>
      <c r="O15" s="201">
        <f t="shared" si="1"/>
        <v>9.4061726586092395E-2</v>
      </c>
      <c r="P15" s="201">
        <f>O15*(1+'Key Data'!F$3)</f>
        <v>0.1175771582326155</v>
      </c>
      <c r="Q15" s="472"/>
      <c r="R15" s="472"/>
      <c r="S15" s="369"/>
    </row>
    <row r="16" spans="1:19" x14ac:dyDescent="0.3">
      <c r="A16" s="457"/>
      <c r="B16" s="457"/>
      <c r="C16" s="457"/>
      <c r="D16" s="457"/>
      <c r="E16" s="186"/>
      <c r="F16" s="186"/>
      <c r="G16" s="475"/>
      <c r="H16" s="475"/>
      <c r="I16" s="202">
        <v>34.299999999999997</v>
      </c>
      <c r="J16" s="202">
        <f t="shared" si="0"/>
        <v>10.923566878980891</v>
      </c>
      <c r="K16" s="202"/>
      <c r="L16" s="202"/>
      <c r="M16" s="202"/>
      <c r="N16" s="202"/>
      <c r="O16" s="201">
        <f t="shared" si="1"/>
        <v>8.1065884615282982E-2</v>
      </c>
      <c r="P16" s="201">
        <f>O16*(1+'Key Data'!F$3)</f>
        <v>0.10133235576910372</v>
      </c>
      <c r="Q16" s="472"/>
      <c r="R16" s="472"/>
      <c r="S16" s="369"/>
    </row>
    <row r="17" spans="1:19" x14ac:dyDescent="0.3">
      <c r="A17" s="374">
        <v>2</v>
      </c>
      <c r="B17" s="374" t="s">
        <v>287</v>
      </c>
      <c r="C17" s="374" t="s">
        <v>288</v>
      </c>
      <c r="D17" s="374" t="s">
        <v>289</v>
      </c>
      <c r="E17" s="113">
        <v>15.3419431</v>
      </c>
      <c r="F17" s="113">
        <v>75.727007900000004</v>
      </c>
      <c r="G17" s="374">
        <v>2021</v>
      </c>
      <c r="H17" s="374" t="s">
        <v>263</v>
      </c>
      <c r="I17" s="203">
        <v>51</v>
      </c>
      <c r="J17" s="203">
        <f t="shared" si="0"/>
        <v>16.242038216560509</v>
      </c>
      <c r="K17" s="203"/>
      <c r="L17" s="203"/>
      <c r="M17" s="203">
        <v>4.3</v>
      </c>
      <c r="N17" s="203"/>
      <c r="O17" s="129">
        <f t="shared" si="1"/>
        <v>0.10120402272427799</v>
      </c>
      <c r="P17" s="129">
        <f>O17*(1+'Key Data'!F$3)</f>
        <v>0.1265050284053475</v>
      </c>
      <c r="Q17" s="379">
        <f>SUM(P17:P41)</f>
        <v>2.6467697158908026</v>
      </c>
      <c r="R17" s="379">
        <f>Q17*10000/900</f>
        <v>29.408552398786693</v>
      </c>
      <c r="S17" s="369"/>
    </row>
    <row r="18" spans="1:19" x14ac:dyDescent="0.3">
      <c r="A18" s="374"/>
      <c r="B18" s="374"/>
      <c r="C18" s="374"/>
      <c r="D18" s="374"/>
      <c r="E18" s="113">
        <v>15.342147000000001</v>
      </c>
      <c r="F18" s="113">
        <v>75.726980999999995</v>
      </c>
      <c r="G18" s="374"/>
      <c r="H18" s="374"/>
      <c r="I18" s="203">
        <v>52</v>
      </c>
      <c r="J18" s="203">
        <f t="shared" si="0"/>
        <v>16.560509554140125</v>
      </c>
      <c r="K18" s="203"/>
      <c r="L18" s="203"/>
      <c r="M18" s="203">
        <v>4.2</v>
      </c>
      <c r="N18" s="203"/>
      <c r="O18" s="129">
        <f t="shared" si="1"/>
        <v>0.10180337313799037</v>
      </c>
      <c r="P18" s="129">
        <f>O18*(1+'Key Data'!F$3)</f>
        <v>0.12725421642248796</v>
      </c>
      <c r="Q18" s="379"/>
      <c r="R18" s="379"/>
      <c r="S18" s="369"/>
    </row>
    <row r="19" spans="1:19" x14ac:dyDescent="0.3">
      <c r="A19" s="374"/>
      <c r="B19" s="374"/>
      <c r="C19" s="374"/>
      <c r="D19" s="374"/>
      <c r="E19" s="113">
        <v>15.342186</v>
      </c>
      <c r="F19" s="113">
        <v>75.727180000000004</v>
      </c>
      <c r="G19" s="374"/>
      <c r="H19" s="374"/>
      <c r="I19" s="203">
        <v>43.4</v>
      </c>
      <c r="J19" s="203">
        <f t="shared" si="0"/>
        <v>13.821656050955413</v>
      </c>
      <c r="K19" s="203"/>
      <c r="L19" s="203"/>
      <c r="M19" s="203">
        <v>3.1</v>
      </c>
      <c r="N19" s="203"/>
      <c r="O19" s="129">
        <f t="shared" si="1"/>
        <v>9.4824342597604444E-2</v>
      </c>
      <c r="P19" s="129">
        <f>O19*(1+'Key Data'!F$3)</f>
        <v>0.11853042824700555</v>
      </c>
      <c r="Q19" s="379"/>
      <c r="R19" s="379"/>
      <c r="S19" s="369"/>
    </row>
    <row r="20" spans="1:19" x14ac:dyDescent="0.3">
      <c r="A20" s="374"/>
      <c r="B20" s="374"/>
      <c r="C20" s="374"/>
      <c r="D20" s="374"/>
      <c r="E20" s="113">
        <v>15.341965999999999</v>
      </c>
      <c r="F20" s="113">
        <v>75.727237000000002</v>
      </c>
      <c r="G20" s="374"/>
      <c r="H20" s="374"/>
      <c r="I20" s="203">
        <v>15</v>
      </c>
      <c r="J20" s="203">
        <f t="shared" si="0"/>
        <v>4.7770700636942669</v>
      </c>
      <c r="K20" s="203"/>
      <c r="L20" s="203"/>
      <c r="M20" s="203">
        <v>2</v>
      </c>
      <c r="N20" s="203"/>
      <c r="O20" s="129">
        <f t="shared" si="1"/>
        <v>2.5210283947592334E-2</v>
      </c>
      <c r="P20" s="129">
        <f>O20*(1+'Key Data'!F$3)</f>
        <v>3.1512854934490415E-2</v>
      </c>
      <c r="Q20" s="379"/>
      <c r="R20" s="379"/>
      <c r="S20" s="369"/>
    </row>
    <row r="21" spans="1:19" x14ac:dyDescent="0.3">
      <c r="A21" s="374"/>
      <c r="B21" s="374"/>
      <c r="C21" s="374"/>
      <c r="D21" s="374"/>
      <c r="E21" s="113">
        <v>15.342065</v>
      </c>
      <c r="F21" s="113">
        <v>75.727115999999995</v>
      </c>
      <c r="G21" s="374"/>
      <c r="H21" s="374"/>
      <c r="I21" s="203">
        <v>58.5</v>
      </c>
      <c r="J21" s="203">
        <f t="shared" si="0"/>
        <v>18.630573248407643</v>
      </c>
      <c r="K21" s="203"/>
      <c r="L21" s="203"/>
      <c r="M21" s="203">
        <v>4</v>
      </c>
      <c r="N21" s="203"/>
      <c r="O21" s="129">
        <f t="shared" si="1"/>
        <v>0.10474322139691875</v>
      </c>
      <c r="P21" s="129">
        <f>O21*(1+'Key Data'!F$3)</f>
        <v>0.13092902674614842</v>
      </c>
      <c r="Q21" s="379"/>
      <c r="R21" s="379"/>
      <c r="S21" s="369"/>
    </row>
    <row r="22" spans="1:19" x14ac:dyDescent="0.3">
      <c r="A22" s="374"/>
      <c r="B22" s="374"/>
      <c r="C22" s="374"/>
      <c r="D22" s="374"/>
      <c r="E22" s="113"/>
      <c r="F22" s="113"/>
      <c r="G22" s="374"/>
      <c r="H22" s="374"/>
      <c r="I22" s="203">
        <v>18</v>
      </c>
      <c r="J22" s="203">
        <f t="shared" si="0"/>
        <v>5.7324840764331206</v>
      </c>
      <c r="K22" s="203"/>
      <c r="L22" s="203"/>
      <c r="M22" s="203">
        <v>2</v>
      </c>
      <c r="N22" s="203"/>
      <c r="O22" s="129">
        <f t="shared" si="1"/>
        <v>3.478939462962978E-2</v>
      </c>
      <c r="P22" s="129">
        <f>O22*(1+'Key Data'!F$3)</f>
        <v>4.3486743287037222E-2</v>
      </c>
      <c r="Q22" s="379"/>
      <c r="R22" s="379"/>
      <c r="S22" s="369"/>
    </row>
    <row r="23" spans="1:19" x14ac:dyDescent="0.3">
      <c r="A23" s="374"/>
      <c r="B23" s="374"/>
      <c r="C23" s="374"/>
      <c r="D23" s="374"/>
      <c r="E23" s="113"/>
      <c r="F23" s="113"/>
      <c r="G23" s="374"/>
      <c r="H23" s="374"/>
      <c r="I23" s="203">
        <v>47.1</v>
      </c>
      <c r="J23" s="203">
        <f t="shared" si="0"/>
        <v>15</v>
      </c>
      <c r="K23" s="203"/>
      <c r="L23" s="203"/>
      <c r="M23" s="203">
        <v>3.2</v>
      </c>
      <c r="N23" s="203"/>
      <c r="O23" s="129">
        <f t="shared" si="1"/>
        <v>9.8377893314687853E-2</v>
      </c>
      <c r="P23" s="129">
        <f>O23*(1+'Key Data'!F$3)</f>
        <v>0.12297236664335981</v>
      </c>
      <c r="Q23" s="379"/>
      <c r="R23" s="379"/>
      <c r="S23" s="369"/>
    </row>
    <row r="24" spans="1:19" x14ac:dyDescent="0.3">
      <c r="A24" s="374"/>
      <c r="B24" s="374"/>
      <c r="C24" s="374"/>
      <c r="D24" s="374"/>
      <c r="E24" s="113"/>
      <c r="F24" s="113"/>
      <c r="G24" s="374"/>
      <c r="H24" s="374"/>
      <c r="I24" s="203">
        <v>48</v>
      </c>
      <c r="J24" s="203">
        <f t="shared" si="0"/>
        <v>15.286624203821656</v>
      </c>
      <c r="K24" s="203"/>
      <c r="L24" s="203"/>
      <c r="M24" s="203">
        <v>3.3</v>
      </c>
      <c r="N24" s="203"/>
      <c r="O24" s="129">
        <f>30.4*EXP(-5.07*EXP(-0.26*J24)+1.277)/1000</f>
        <v>9.9105610669934466E-2</v>
      </c>
      <c r="P24" s="129">
        <f>O24*(1+'Key Data'!F$3)</f>
        <v>0.12388201333741808</v>
      </c>
      <c r="Q24" s="379"/>
      <c r="R24" s="379"/>
      <c r="S24" s="369"/>
    </row>
    <row r="25" spans="1:19" x14ac:dyDescent="0.3">
      <c r="A25" s="374"/>
      <c r="B25" s="374"/>
      <c r="C25" s="374"/>
      <c r="D25" s="374"/>
      <c r="E25" s="113"/>
      <c r="F25" s="113"/>
      <c r="G25" s="374"/>
      <c r="H25" s="374"/>
      <c r="I25" s="203">
        <v>47</v>
      </c>
      <c r="J25" s="203">
        <f t="shared" si="0"/>
        <v>14.968152866242038</v>
      </c>
      <c r="K25" s="203"/>
      <c r="L25" s="203"/>
      <c r="M25" s="203">
        <v>3</v>
      </c>
      <c r="N25" s="203"/>
      <c r="O25" s="129">
        <f t="shared" si="1"/>
        <v>9.8293983126644585E-2</v>
      </c>
      <c r="P25" s="129">
        <f>O25*(1+'Key Data'!F$3)</f>
        <v>0.12286747890830574</v>
      </c>
      <c r="Q25" s="379"/>
      <c r="R25" s="379"/>
      <c r="S25" s="369"/>
    </row>
    <row r="26" spans="1:19" x14ac:dyDescent="0.3">
      <c r="A26" s="374"/>
      <c r="B26" s="374"/>
      <c r="C26" s="374"/>
      <c r="D26" s="374"/>
      <c r="E26" s="113"/>
      <c r="F26" s="113"/>
      <c r="G26" s="374"/>
      <c r="H26" s="374"/>
      <c r="I26" s="203">
        <v>55.4</v>
      </c>
      <c r="J26" s="203">
        <f t="shared" si="0"/>
        <v>17.643312101910826</v>
      </c>
      <c r="K26" s="203"/>
      <c r="L26" s="203"/>
      <c r="M26" s="203">
        <v>3.9</v>
      </c>
      <c r="N26" s="203"/>
      <c r="O26" s="129">
        <f t="shared" si="1"/>
        <v>0.10352637806398783</v>
      </c>
      <c r="P26" s="129">
        <f>O26*(1+'Key Data'!F$3)</f>
        <v>0.12940797257998479</v>
      </c>
      <c r="Q26" s="379"/>
      <c r="R26" s="379"/>
      <c r="S26" s="369"/>
    </row>
    <row r="27" spans="1:19" x14ac:dyDescent="0.3">
      <c r="A27" s="374"/>
      <c r="B27" s="374"/>
      <c r="C27" s="374"/>
      <c r="D27" s="374"/>
      <c r="E27" s="113"/>
      <c r="F27" s="113"/>
      <c r="G27" s="374"/>
      <c r="H27" s="374"/>
      <c r="I27" s="203">
        <v>45</v>
      </c>
      <c r="J27" s="203">
        <f t="shared" si="0"/>
        <v>14.331210191082802</v>
      </c>
      <c r="K27" s="203"/>
      <c r="L27" s="203"/>
      <c r="M27" s="203">
        <v>3.5</v>
      </c>
      <c r="N27" s="203"/>
      <c r="O27" s="129">
        <f t="shared" si="1"/>
        <v>9.6479001445443316E-2</v>
      </c>
      <c r="P27" s="129">
        <f>O27*(1+'Key Data'!F$3)</f>
        <v>0.12059875180680414</v>
      </c>
      <c r="Q27" s="379"/>
      <c r="R27" s="379"/>
      <c r="S27" s="369"/>
    </row>
    <row r="28" spans="1:19" x14ac:dyDescent="0.3">
      <c r="A28" s="374"/>
      <c r="B28" s="374"/>
      <c r="C28" s="374"/>
      <c r="D28" s="374"/>
      <c r="E28" s="113"/>
      <c r="F28" s="113"/>
      <c r="G28" s="374"/>
      <c r="H28" s="374"/>
      <c r="I28" s="203">
        <v>25.2</v>
      </c>
      <c r="J28" s="203">
        <f t="shared" si="0"/>
        <v>8.0254777070063685</v>
      </c>
      <c r="K28" s="203"/>
      <c r="L28" s="203"/>
      <c r="M28" s="203">
        <v>2.5</v>
      </c>
      <c r="N28" s="203"/>
      <c r="O28" s="129">
        <f t="shared" si="1"/>
        <v>5.8103639961312147E-2</v>
      </c>
      <c r="P28" s="129">
        <f>O28*(1+'Key Data'!F$3)</f>
        <v>7.2629549951640185E-2</v>
      </c>
      <c r="Q28" s="379"/>
      <c r="R28" s="379"/>
      <c r="S28" s="369"/>
    </row>
    <row r="29" spans="1:19" x14ac:dyDescent="0.3">
      <c r="A29" s="374"/>
      <c r="B29" s="374"/>
      <c r="C29" s="374"/>
      <c r="D29" s="374"/>
      <c r="E29" s="113"/>
      <c r="F29" s="113"/>
      <c r="G29" s="374"/>
      <c r="H29" s="374"/>
      <c r="I29" s="203">
        <v>29.6</v>
      </c>
      <c r="J29" s="203">
        <f t="shared" si="0"/>
        <v>9.4267515923566876</v>
      </c>
      <c r="K29" s="203"/>
      <c r="L29" s="203"/>
      <c r="M29" s="203">
        <v>2.5</v>
      </c>
      <c r="N29" s="203"/>
      <c r="O29" s="129">
        <f t="shared" si="1"/>
        <v>7.0411170818647048E-2</v>
      </c>
      <c r="P29" s="129">
        <f>O29*(1+'Key Data'!F$3)</f>
        <v>8.8013963523308814E-2</v>
      </c>
      <c r="Q29" s="379"/>
      <c r="R29" s="379"/>
      <c r="S29" s="369"/>
    </row>
    <row r="30" spans="1:19" x14ac:dyDescent="0.3">
      <c r="A30" s="374"/>
      <c r="B30" s="374"/>
      <c r="C30" s="374"/>
      <c r="D30" s="374"/>
      <c r="E30" s="113"/>
      <c r="F30" s="113"/>
      <c r="G30" s="374"/>
      <c r="H30" s="374"/>
      <c r="I30" s="203">
        <v>54</v>
      </c>
      <c r="J30" s="203">
        <f t="shared" si="0"/>
        <v>17.197452229299362</v>
      </c>
      <c r="K30" s="203"/>
      <c r="L30" s="203"/>
      <c r="M30" s="203">
        <v>4</v>
      </c>
      <c r="N30" s="203"/>
      <c r="O30" s="129">
        <f t="shared" si="1"/>
        <v>0.10287167065451364</v>
      </c>
      <c r="P30" s="129">
        <f>O30*(1+'Key Data'!F$3)</f>
        <v>0.12858958831814205</v>
      </c>
      <c r="Q30" s="379"/>
      <c r="R30" s="379"/>
      <c r="S30" s="369"/>
    </row>
    <row r="31" spans="1:19" x14ac:dyDescent="0.3">
      <c r="A31" s="374"/>
      <c r="B31" s="374"/>
      <c r="C31" s="374"/>
      <c r="D31" s="374"/>
      <c r="E31" s="113"/>
      <c r="F31" s="113"/>
      <c r="G31" s="374"/>
      <c r="H31" s="374"/>
      <c r="I31" s="203">
        <v>21.4</v>
      </c>
      <c r="J31" s="203">
        <f t="shared" si="0"/>
        <v>6.8152866242038206</v>
      </c>
      <c r="K31" s="203"/>
      <c r="L31" s="203"/>
      <c r="M31" s="203">
        <v>2.8</v>
      </c>
      <c r="N31" s="203"/>
      <c r="O31" s="129">
        <f t="shared" si="1"/>
        <v>4.6042176045791403E-2</v>
      </c>
      <c r="P31" s="129">
        <f>O31*(1+'Key Data'!F$3)</f>
        <v>5.7552720057239257E-2</v>
      </c>
      <c r="Q31" s="379"/>
      <c r="R31" s="379"/>
      <c r="S31" s="369"/>
    </row>
    <row r="32" spans="1:19" x14ac:dyDescent="0.3">
      <c r="A32" s="374"/>
      <c r="B32" s="374"/>
      <c r="C32" s="374"/>
      <c r="D32" s="374"/>
      <c r="E32" s="113"/>
      <c r="F32" s="113"/>
      <c r="G32" s="374"/>
      <c r="H32" s="374"/>
      <c r="I32" s="203">
        <v>47.2</v>
      </c>
      <c r="J32" s="203">
        <f t="shared" si="0"/>
        <v>15.031847133757962</v>
      </c>
      <c r="K32" s="203"/>
      <c r="L32" s="203"/>
      <c r="M32" s="203">
        <v>2.9</v>
      </c>
      <c r="N32" s="203"/>
      <c r="O32" s="129">
        <f t="shared" si="1"/>
        <v>9.8461182321116614E-2</v>
      </c>
      <c r="P32" s="129">
        <f>O32*(1+'Key Data'!F$3)</f>
        <v>0.12307647790139577</v>
      </c>
      <c r="Q32" s="379"/>
      <c r="R32" s="379"/>
      <c r="S32" s="369"/>
    </row>
    <row r="33" spans="1:19" x14ac:dyDescent="0.3">
      <c r="A33" s="374"/>
      <c r="B33" s="374"/>
      <c r="C33" s="374"/>
      <c r="D33" s="374"/>
      <c r="E33" s="113"/>
      <c r="F33" s="113"/>
      <c r="G33" s="374"/>
      <c r="H33" s="374"/>
      <c r="I33" s="203">
        <v>41.2</v>
      </c>
      <c r="J33" s="203">
        <f t="shared" si="0"/>
        <v>13.121019108280255</v>
      </c>
      <c r="K33" s="203"/>
      <c r="L33" s="203"/>
      <c r="M33" s="203">
        <v>3</v>
      </c>
      <c r="N33" s="203"/>
      <c r="O33" s="129">
        <f t="shared" si="1"/>
        <v>9.2219255408552123E-2</v>
      </c>
      <c r="P33" s="129">
        <f>O33*(1+'Key Data'!F$3)</f>
        <v>0.11527406926069016</v>
      </c>
      <c r="Q33" s="379"/>
      <c r="R33" s="379"/>
      <c r="S33" s="369"/>
    </row>
    <row r="34" spans="1:19" x14ac:dyDescent="0.3">
      <c r="A34" s="374"/>
      <c r="B34" s="374"/>
      <c r="C34" s="374"/>
      <c r="D34" s="374"/>
      <c r="E34" s="113"/>
      <c r="F34" s="113"/>
      <c r="G34" s="374"/>
      <c r="H34" s="374"/>
      <c r="I34" s="203">
        <v>52.4</v>
      </c>
      <c r="J34" s="203">
        <f t="shared" ref="J34:J65" si="2">I34/3.14</f>
        <v>16.687898089171973</v>
      </c>
      <c r="K34" s="203"/>
      <c r="L34" s="203"/>
      <c r="M34" s="203">
        <v>4</v>
      </c>
      <c r="N34" s="203"/>
      <c r="O34" s="129">
        <f t="shared" ref="O34:O65" si="3">30.4*EXP(-5.07*EXP(-0.26*J34)+1.277)/1000</f>
        <v>0.10203047967918898</v>
      </c>
      <c r="P34" s="129">
        <f>O34*(1+'Key Data'!F$3)</f>
        <v>0.12753809959898621</v>
      </c>
      <c r="Q34" s="379"/>
      <c r="R34" s="379"/>
      <c r="S34" s="369"/>
    </row>
    <row r="35" spans="1:19" x14ac:dyDescent="0.3">
      <c r="A35" s="374"/>
      <c r="B35" s="374"/>
      <c r="C35" s="374"/>
      <c r="D35" s="374"/>
      <c r="E35" s="113"/>
      <c r="F35" s="113"/>
      <c r="G35" s="374"/>
      <c r="H35" s="374"/>
      <c r="I35" s="203">
        <v>52</v>
      </c>
      <c r="J35" s="203">
        <f t="shared" si="2"/>
        <v>16.560509554140125</v>
      </c>
      <c r="K35" s="203"/>
      <c r="L35" s="203"/>
      <c r="M35" s="203">
        <v>3.8</v>
      </c>
      <c r="N35" s="203"/>
      <c r="O35" s="129">
        <f t="shared" si="3"/>
        <v>0.10180337313799037</v>
      </c>
      <c r="P35" s="129">
        <f>O35*(1+'Key Data'!F$3)</f>
        <v>0.12725421642248796</v>
      </c>
      <c r="Q35" s="379"/>
      <c r="R35" s="379"/>
      <c r="S35" s="369"/>
    </row>
    <row r="36" spans="1:19" x14ac:dyDescent="0.3">
      <c r="A36" s="374"/>
      <c r="B36" s="374"/>
      <c r="C36" s="374"/>
      <c r="D36" s="374"/>
      <c r="E36" s="113"/>
      <c r="F36" s="113"/>
      <c r="G36" s="374"/>
      <c r="H36" s="374"/>
      <c r="I36" s="203">
        <v>31</v>
      </c>
      <c r="J36" s="203">
        <f t="shared" si="2"/>
        <v>9.872611464968152</v>
      </c>
      <c r="K36" s="203"/>
      <c r="L36" s="203"/>
      <c r="M36" s="203">
        <v>1.7</v>
      </c>
      <c r="N36" s="203"/>
      <c r="O36" s="129">
        <f t="shared" si="3"/>
        <v>7.3861700758365859E-2</v>
      </c>
      <c r="P36" s="129">
        <f>O36*(1+'Key Data'!F$3)</f>
        <v>9.232712594795732E-2</v>
      </c>
      <c r="Q36" s="379"/>
      <c r="R36" s="379"/>
      <c r="S36" s="369"/>
    </row>
    <row r="37" spans="1:19" x14ac:dyDescent="0.3">
      <c r="A37" s="374"/>
      <c r="B37" s="374"/>
      <c r="C37" s="374"/>
      <c r="D37" s="374"/>
      <c r="E37" s="113"/>
      <c r="F37" s="113"/>
      <c r="G37" s="374"/>
      <c r="H37" s="374"/>
      <c r="I37" s="203">
        <v>38</v>
      </c>
      <c r="J37" s="203">
        <f t="shared" si="2"/>
        <v>12.101910828025478</v>
      </c>
      <c r="K37" s="203"/>
      <c r="L37" s="203"/>
      <c r="M37" s="203">
        <v>3</v>
      </c>
      <c r="N37" s="203"/>
      <c r="O37" s="129">
        <f t="shared" si="3"/>
        <v>8.7655984615502475E-2</v>
      </c>
      <c r="P37" s="129">
        <f>O37*(1+'Key Data'!F$3)</f>
        <v>0.1095699807693781</v>
      </c>
      <c r="Q37" s="379"/>
      <c r="R37" s="379"/>
      <c r="S37" s="369"/>
    </row>
    <row r="38" spans="1:19" x14ac:dyDescent="0.3">
      <c r="A38" s="374"/>
      <c r="B38" s="374"/>
      <c r="C38" s="374"/>
      <c r="D38" s="374"/>
      <c r="E38" s="113"/>
      <c r="F38" s="113"/>
      <c r="G38" s="374"/>
      <c r="H38" s="374"/>
      <c r="I38" s="203">
        <v>16</v>
      </c>
      <c r="J38" s="203">
        <f t="shared" si="2"/>
        <v>5.0955414012738851</v>
      </c>
      <c r="K38" s="203"/>
      <c r="L38" s="203"/>
      <c r="M38" s="203">
        <v>4.2</v>
      </c>
      <c r="N38" s="203"/>
      <c r="O38" s="129">
        <f t="shared" si="3"/>
        <v>2.8321096871497028E-2</v>
      </c>
      <c r="P38" s="129">
        <f>O38*(1+'Key Data'!F$3)</f>
        <v>3.5401371089371282E-2</v>
      </c>
      <c r="Q38" s="379"/>
      <c r="R38" s="379"/>
      <c r="S38" s="369"/>
    </row>
    <row r="39" spans="1:19" x14ac:dyDescent="0.3">
      <c r="A39" s="374"/>
      <c r="B39" s="374"/>
      <c r="C39" s="374"/>
      <c r="D39" s="374"/>
      <c r="E39" s="113"/>
      <c r="F39" s="113"/>
      <c r="G39" s="374"/>
      <c r="H39" s="374"/>
      <c r="I39" s="203">
        <v>55</v>
      </c>
      <c r="J39" s="203">
        <f t="shared" si="2"/>
        <v>17.515923566878982</v>
      </c>
      <c r="K39" s="203"/>
      <c r="L39" s="203"/>
      <c r="M39" s="203">
        <v>3.9</v>
      </c>
      <c r="N39" s="203"/>
      <c r="O39" s="129">
        <f t="shared" si="3"/>
        <v>0.10334658411791346</v>
      </c>
      <c r="P39" s="129">
        <f>O39*(1+'Key Data'!F$3)</f>
        <v>0.12918323014739183</v>
      </c>
      <c r="Q39" s="379"/>
      <c r="R39" s="379"/>
      <c r="S39" s="369"/>
    </row>
    <row r="40" spans="1:19" x14ac:dyDescent="0.3">
      <c r="A40" s="374"/>
      <c r="B40" s="374"/>
      <c r="C40" s="374"/>
      <c r="D40" s="374"/>
      <c r="E40" s="113"/>
      <c r="F40" s="113"/>
      <c r="G40" s="374"/>
      <c r="H40" s="374"/>
      <c r="I40" s="203">
        <v>48</v>
      </c>
      <c r="J40" s="203">
        <f t="shared" si="2"/>
        <v>15.286624203821656</v>
      </c>
      <c r="K40" s="203"/>
      <c r="L40" s="203"/>
      <c r="M40" s="203">
        <v>3.5</v>
      </c>
      <c r="N40" s="203"/>
      <c r="O40" s="129">
        <f t="shared" si="3"/>
        <v>9.9105610669934466E-2</v>
      </c>
      <c r="P40" s="129">
        <f>O40*(1+'Key Data'!F$3)</f>
        <v>0.12388201333741808</v>
      </c>
      <c r="Q40" s="379"/>
      <c r="R40" s="379"/>
      <c r="S40" s="369"/>
    </row>
    <row r="41" spans="1:19" x14ac:dyDescent="0.3">
      <c r="A41" s="420"/>
      <c r="B41" s="420"/>
      <c r="C41" s="420"/>
      <c r="D41" s="420"/>
      <c r="E41" s="175"/>
      <c r="F41" s="175"/>
      <c r="G41" s="420"/>
      <c r="H41" s="420"/>
      <c r="I41" s="204">
        <v>43.4</v>
      </c>
      <c r="J41" s="204">
        <f t="shared" si="2"/>
        <v>13.821656050955413</v>
      </c>
      <c r="K41" s="204"/>
      <c r="L41" s="204"/>
      <c r="M41" s="204">
        <v>3.2</v>
      </c>
      <c r="N41" s="204"/>
      <c r="O41" s="129">
        <f t="shared" si="3"/>
        <v>9.4824342597604444E-2</v>
      </c>
      <c r="P41" s="205">
        <f>O41*(1+'Key Data'!F$3)</f>
        <v>0.11853042824700555</v>
      </c>
      <c r="Q41" s="426"/>
      <c r="R41" s="426"/>
      <c r="S41" s="369"/>
    </row>
    <row r="42" spans="1:19" ht="15" customHeight="1" x14ac:dyDescent="0.3">
      <c r="A42" s="457">
        <v>3</v>
      </c>
      <c r="B42" s="457" t="s">
        <v>401</v>
      </c>
      <c r="C42" s="457" t="s">
        <v>268</v>
      </c>
      <c r="D42" s="457" t="s">
        <v>269</v>
      </c>
      <c r="E42" s="457">
        <v>13.25248</v>
      </c>
      <c r="F42" s="457">
        <v>79.769717999999997</v>
      </c>
      <c r="G42" s="457">
        <v>2021</v>
      </c>
      <c r="H42" s="457" t="s">
        <v>263</v>
      </c>
      <c r="I42" s="201">
        <v>67.5</v>
      </c>
      <c r="J42" s="201">
        <f t="shared" si="2"/>
        <v>21.496815286624201</v>
      </c>
      <c r="K42" s="201"/>
      <c r="L42" s="201"/>
      <c r="M42" s="201"/>
      <c r="N42" s="201"/>
      <c r="O42" s="201">
        <f t="shared" si="3"/>
        <v>0.10696378622329177</v>
      </c>
      <c r="P42" s="201">
        <f>O42*(1+'Key Data'!F$3)</f>
        <v>0.13370473277911471</v>
      </c>
      <c r="Q42" s="472">
        <f>SUM(P42:P66)</f>
        <v>3.3594289233576946</v>
      </c>
      <c r="R42" s="472">
        <f>Q42*10000/900</f>
        <v>37.326988037307714</v>
      </c>
      <c r="S42" s="369"/>
    </row>
    <row r="43" spans="1:19" x14ac:dyDescent="0.3">
      <c r="A43" s="457"/>
      <c r="B43" s="457"/>
      <c r="C43" s="457"/>
      <c r="D43" s="457"/>
      <c r="E43" s="457"/>
      <c r="F43" s="457"/>
      <c r="G43" s="457"/>
      <c r="H43" s="457" t="s">
        <v>263</v>
      </c>
      <c r="I43" s="201">
        <v>80</v>
      </c>
      <c r="J43" s="201">
        <f t="shared" si="2"/>
        <v>25.477707006369425</v>
      </c>
      <c r="K43" s="201"/>
      <c r="L43" s="201"/>
      <c r="M43" s="201"/>
      <c r="N43" s="201"/>
      <c r="O43" s="201">
        <f t="shared" si="3"/>
        <v>0.10827891818362195</v>
      </c>
      <c r="P43" s="201">
        <f>O43*(1+'Key Data'!F$3)</f>
        <v>0.13534864772952743</v>
      </c>
      <c r="Q43" s="472"/>
      <c r="R43" s="472"/>
      <c r="S43" s="369"/>
    </row>
    <row r="44" spans="1:19" x14ac:dyDescent="0.3">
      <c r="A44" s="457"/>
      <c r="B44" s="457"/>
      <c r="C44" s="457"/>
      <c r="D44" s="457"/>
      <c r="E44" s="457"/>
      <c r="F44" s="457"/>
      <c r="G44" s="457"/>
      <c r="H44" s="457" t="s">
        <v>263</v>
      </c>
      <c r="I44" s="201">
        <v>74.5</v>
      </c>
      <c r="J44" s="201">
        <f t="shared" si="2"/>
        <v>23.726114649681527</v>
      </c>
      <c r="K44" s="201"/>
      <c r="L44" s="201"/>
      <c r="M44" s="201"/>
      <c r="N44" s="201"/>
      <c r="O44" s="201">
        <f t="shared" si="3"/>
        <v>0.107859257179564</v>
      </c>
      <c r="P44" s="201">
        <f>O44*(1+'Key Data'!F$3)</f>
        <v>0.13482407147445499</v>
      </c>
      <c r="Q44" s="472"/>
      <c r="R44" s="472"/>
      <c r="S44" s="369"/>
    </row>
    <row r="45" spans="1:19" x14ac:dyDescent="0.3">
      <c r="A45" s="457"/>
      <c r="B45" s="457"/>
      <c r="C45" s="457"/>
      <c r="D45" s="457"/>
      <c r="E45" s="457"/>
      <c r="F45" s="457"/>
      <c r="G45" s="457"/>
      <c r="H45" s="457" t="s">
        <v>263</v>
      </c>
      <c r="I45" s="201">
        <v>75</v>
      </c>
      <c r="J45" s="201">
        <f t="shared" si="2"/>
        <v>23.885350318471335</v>
      </c>
      <c r="K45" s="201"/>
      <c r="L45" s="201"/>
      <c r="M45" s="201"/>
      <c r="N45" s="201"/>
      <c r="O45" s="201">
        <f t="shared" si="3"/>
        <v>0.1079057025090199</v>
      </c>
      <c r="P45" s="201">
        <f>O45*(1+'Key Data'!F$3)</f>
        <v>0.13488212813627487</v>
      </c>
      <c r="Q45" s="472"/>
      <c r="R45" s="472"/>
      <c r="S45" s="369"/>
    </row>
    <row r="46" spans="1:19" x14ac:dyDescent="0.3">
      <c r="A46" s="457"/>
      <c r="B46" s="457"/>
      <c r="C46" s="457"/>
      <c r="D46" s="457"/>
      <c r="E46" s="457"/>
      <c r="F46" s="457"/>
      <c r="G46" s="457"/>
      <c r="H46" s="457" t="s">
        <v>263</v>
      </c>
      <c r="I46" s="201">
        <v>64.5</v>
      </c>
      <c r="J46" s="201">
        <f t="shared" si="2"/>
        <v>20.541401273885349</v>
      </c>
      <c r="K46" s="201"/>
      <c r="L46" s="201"/>
      <c r="M46" s="201"/>
      <c r="N46" s="201"/>
      <c r="O46" s="201">
        <f t="shared" si="3"/>
        <v>0.10639367414045957</v>
      </c>
      <c r="P46" s="201">
        <f>O46*(1+'Key Data'!F$3)</f>
        <v>0.13299209267557446</v>
      </c>
      <c r="Q46" s="472"/>
      <c r="R46" s="472"/>
      <c r="S46" s="369"/>
    </row>
    <row r="47" spans="1:19" x14ac:dyDescent="0.3">
      <c r="A47" s="457"/>
      <c r="B47" s="457"/>
      <c r="C47" s="457"/>
      <c r="D47" s="457"/>
      <c r="E47" s="457"/>
      <c r="F47" s="457"/>
      <c r="G47" s="457"/>
      <c r="H47" s="457" t="s">
        <v>263</v>
      </c>
      <c r="I47" s="201">
        <v>84.5</v>
      </c>
      <c r="J47" s="201">
        <f t="shared" si="2"/>
        <v>26.910828025477706</v>
      </c>
      <c r="K47" s="201"/>
      <c r="L47" s="201"/>
      <c r="M47" s="201"/>
      <c r="N47" s="201"/>
      <c r="O47" s="201">
        <f t="shared" si="3"/>
        <v>0.10850590762742214</v>
      </c>
      <c r="P47" s="201">
        <f>O47*(1+'Key Data'!F$3)</f>
        <v>0.13563238453427767</v>
      </c>
      <c r="Q47" s="472"/>
      <c r="R47" s="472"/>
      <c r="S47" s="369"/>
    </row>
    <row r="48" spans="1:19" x14ac:dyDescent="0.3">
      <c r="A48" s="457"/>
      <c r="B48" s="457"/>
      <c r="C48" s="457"/>
      <c r="D48" s="457"/>
      <c r="E48" s="457"/>
      <c r="F48" s="457"/>
      <c r="G48" s="457"/>
      <c r="H48" s="457" t="s">
        <v>263</v>
      </c>
      <c r="I48" s="201">
        <v>69</v>
      </c>
      <c r="J48" s="201">
        <f t="shared" si="2"/>
        <v>21.97452229299363</v>
      </c>
      <c r="K48" s="201"/>
      <c r="L48" s="201"/>
      <c r="M48" s="201"/>
      <c r="N48" s="201"/>
      <c r="O48" s="201">
        <f t="shared" si="3"/>
        <v>0.10720082669969964</v>
      </c>
      <c r="P48" s="201">
        <f>O48*(1+'Key Data'!F$3)</f>
        <v>0.13400103337462455</v>
      </c>
      <c r="Q48" s="472"/>
      <c r="R48" s="472"/>
      <c r="S48" s="369"/>
    </row>
    <row r="49" spans="1:19" x14ac:dyDescent="0.3">
      <c r="A49" s="457"/>
      <c r="B49" s="457"/>
      <c r="C49" s="457"/>
      <c r="D49" s="457"/>
      <c r="E49" s="457"/>
      <c r="F49" s="457"/>
      <c r="G49" s="457"/>
      <c r="H49" s="457" t="s">
        <v>263</v>
      </c>
      <c r="I49" s="201">
        <v>87</v>
      </c>
      <c r="J49" s="201">
        <f t="shared" si="2"/>
        <v>27.70700636942675</v>
      </c>
      <c r="K49" s="201"/>
      <c r="L49" s="201"/>
      <c r="M49" s="201"/>
      <c r="N49" s="201"/>
      <c r="O49" s="201">
        <f t="shared" si="3"/>
        <v>0.10860004875620335</v>
      </c>
      <c r="P49" s="201">
        <f>O49*(1+'Key Data'!F$3)</f>
        <v>0.13575006094525419</v>
      </c>
      <c r="Q49" s="472"/>
      <c r="R49" s="472"/>
      <c r="S49" s="369"/>
    </row>
    <row r="50" spans="1:19" x14ac:dyDescent="0.3">
      <c r="A50" s="457"/>
      <c r="B50" s="457"/>
      <c r="C50" s="457"/>
      <c r="D50" s="457"/>
      <c r="E50" s="457"/>
      <c r="F50" s="457"/>
      <c r="G50" s="457"/>
      <c r="H50" s="457" t="s">
        <v>263</v>
      </c>
      <c r="I50" s="201">
        <v>67</v>
      </c>
      <c r="J50" s="201">
        <f t="shared" si="2"/>
        <v>21.337579617834393</v>
      </c>
      <c r="K50" s="201"/>
      <c r="L50" s="201"/>
      <c r="M50" s="201"/>
      <c r="N50" s="201"/>
      <c r="O50" s="201">
        <f t="shared" si="3"/>
        <v>0.10687812996010015</v>
      </c>
      <c r="P50" s="201">
        <f>O50*(1+'Key Data'!F$3)</f>
        <v>0.13359766245012519</v>
      </c>
      <c r="Q50" s="472"/>
      <c r="R50" s="472"/>
      <c r="S50" s="369"/>
    </row>
    <row r="51" spans="1:19" x14ac:dyDescent="0.3">
      <c r="A51" s="457"/>
      <c r="B51" s="457"/>
      <c r="C51" s="457"/>
      <c r="D51" s="457"/>
      <c r="E51" s="457"/>
      <c r="F51" s="457"/>
      <c r="G51" s="457"/>
      <c r="H51" s="457" t="s">
        <v>263</v>
      </c>
      <c r="I51" s="201">
        <v>93.5</v>
      </c>
      <c r="J51" s="201">
        <f t="shared" si="2"/>
        <v>29.777070063694268</v>
      </c>
      <c r="K51" s="201"/>
      <c r="L51" s="201"/>
      <c r="M51" s="201"/>
      <c r="N51" s="201"/>
      <c r="O51" s="201">
        <f t="shared" si="3"/>
        <v>0.10877062279339413</v>
      </c>
      <c r="P51" s="201">
        <f>O51*(1+'Key Data'!F$3)</f>
        <v>0.13596327849174267</v>
      </c>
      <c r="Q51" s="472"/>
      <c r="R51" s="472"/>
      <c r="S51" s="369"/>
    </row>
    <row r="52" spans="1:19" x14ac:dyDescent="0.3">
      <c r="A52" s="457"/>
      <c r="B52" s="457"/>
      <c r="C52" s="457"/>
      <c r="D52" s="457"/>
      <c r="E52" s="457"/>
      <c r="F52" s="457"/>
      <c r="G52" s="457"/>
      <c r="H52" s="457" t="s">
        <v>263</v>
      </c>
      <c r="I52" s="201">
        <v>60</v>
      </c>
      <c r="J52" s="201">
        <f t="shared" si="2"/>
        <v>19.108280254777068</v>
      </c>
      <c r="K52" s="201"/>
      <c r="L52" s="201"/>
      <c r="M52" s="201"/>
      <c r="N52" s="201"/>
      <c r="O52" s="201">
        <f t="shared" si="3"/>
        <v>0.10523287646701386</v>
      </c>
      <c r="P52" s="201">
        <f>O52*(1+'Key Data'!F$3)</f>
        <v>0.13154109558376734</v>
      </c>
      <c r="Q52" s="472"/>
      <c r="R52" s="472"/>
      <c r="S52" s="369"/>
    </row>
    <row r="53" spans="1:19" x14ac:dyDescent="0.3">
      <c r="A53" s="457"/>
      <c r="B53" s="457"/>
      <c r="C53" s="457"/>
      <c r="D53" s="457"/>
      <c r="E53" s="457"/>
      <c r="F53" s="457"/>
      <c r="G53" s="457"/>
      <c r="H53" s="457" t="s">
        <v>263</v>
      </c>
      <c r="I53" s="201">
        <v>95.5</v>
      </c>
      <c r="J53" s="201">
        <f t="shared" si="2"/>
        <v>30.414012738853501</v>
      </c>
      <c r="K53" s="201"/>
      <c r="L53" s="201"/>
      <c r="M53" s="201"/>
      <c r="N53" s="201"/>
      <c r="O53" s="201">
        <f t="shared" si="3"/>
        <v>0.10880717193819063</v>
      </c>
      <c r="P53" s="201">
        <f>O53*(1+'Key Data'!F$3)</f>
        <v>0.13600896492273828</v>
      </c>
      <c r="Q53" s="472"/>
      <c r="R53" s="472"/>
      <c r="S53" s="369"/>
    </row>
    <row r="54" spans="1:19" x14ac:dyDescent="0.3">
      <c r="A54" s="457"/>
      <c r="B54" s="457"/>
      <c r="C54" s="457"/>
      <c r="D54" s="457"/>
      <c r="E54" s="457"/>
      <c r="F54" s="457"/>
      <c r="G54" s="457"/>
      <c r="H54" s="457" t="s">
        <v>263</v>
      </c>
      <c r="I54" s="201">
        <v>85</v>
      </c>
      <c r="J54" s="201">
        <f t="shared" si="2"/>
        <v>27.070063694267514</v>
      </c>
      <c r="K54" s="201"/>
      <c r="L54" s="201"/>
      <c r="M54" s="201"/>
      <c r="N54" s="201"/>
      <c r="O54" s="201">
        <f t="shared" si="3"/>
        <v>0.10852631929409506</v>
      </c>
      <c r="P54" s="201">
        <f>O54*(1+'Key Data'!F$3)</f>
        <v>0.13565789911761883</v>
      </c>
      <c r="Q54" s="472"/>
      <c r="R54" s="472"/>
      <c r="S54" s="369"/>
    </row>
    <row r="55" spans="1:19" x14ac:dyDescent="0.3">
      <c r="A55" s="457"/>
      <c r="B55" s="457"/>
      <c r="C55" s="457"/>
      <c r="D55" s="457"/>
      <c r="E55" s="457"/>
      <c r="F55" s="457"/>
      <c r="G55" s="457"/>
      <c r="H55" s="457" t="s">
        <v>263</v>
      </c>
      <c r="I55" s="201">
        <v>69.5</v>
      </c>
      <c r="J55" s="201">
        <f t="shared" si="2"/>
        <v>22.133757961783438</v>
      </c>
      <c r="K55" s="201"/>
      <c r="L55" s="201"/>
      <c r="M55" s="201"/>
      <c r="N55" s="201"/>
      <c r="O55" s="201">
        <f t="shared" si="3"/>
        <v>0.10727362487270556</v>
      </c>
      <c r="P55" s="201">
        <f>O55*(1+'Key Data'!F$3)</f>
        <v>0.13409203109088194</v>
      </c>
      <c r="Q55" s="472"/>
      <c r="R55" s="472"/>
      <c r="S55" s="369"/>
    </row>
    <row r="56" spans="1:19" x14ac:dyDescent="0.3">
      <c r="A56" s="457"/>
      <c r="B56" s="457"/>
      <c r="C56" s="457"/>
      <c r="D56" s="457"/>
      <c r="E56" s="457"/>
      <c r="F56" s="457"/>
      <c r="G56" s="457"/>
      <c r="H56" s="457" t="s">
        <v>263</v>
      </c>
      <c r="I56" s="201">
        <v>67.5</v>
      </c>
      <c r="J56" s="201">
        <f t="shared" si="2"/>
        <v>21.496815286624201</v>
      </c>
      <c r="K56" s="201"/>
      <c r="L56" s="201"/>
      <c r="M56" s="201"/>
      <c r="N56" s="201"/>
      <c r="O56" s="201">
        <f t="shared" si="3"/>
        <v>0.10696378622329177</v>
      </c>
      <c r="P56" s="201">
        <f>O56*(1+'Key Data'!F$3)</f>
        <v>0.13370473277911471</v>
      </c>
      <c r="Q56" s="472"/>
      <c r="R56" s="472"/>
      <c r="S56" s="369"/>
    </row>
    <row r="57" spans="1:19" x14ac:dyDescent="0.3">
      <c r="A57" s="457"/>
      <c r="B57" s="457"/>
      <c r="C57" s="457"/>
      <c r="D57" s="457"/>
      <c r="E57" s="457"/>
      <c r="F57" s="457"/>
      <c r="G57" s="457"/>
      <c r="H57" s="457" t="s">
        <v>263</v>
      </c>
      <c r="I57" s="201">
        <v>76</v>
      </c>
      <c r="J57" s="201">
        <f t="shared" si="2"/>
        <v>24.203821656050955</v>
      </c>
      <c r="K57" s="201"/>
      <c r="L57" s="201"/>
      <c r="M57" s="201"/>
      <c r="N57" s="201"/>
      <c r="O57" s="201">
        <f t="shared" si="3"/>
        <v>0.10799307280685212</v>
      </c>
      <c r="P57" s="201">
        <f>O57*(1+'Key Data'!F$3)</f>
        <v>0.13499134100856516</v>
      </c>
      <c r="Q57" s="472"/>
      <c r="R57" s="472"/>
      <c r="S57" s="369"/>
    </row>
    <row r="58" spans="1:19" x14ac:dyDescent="0.3">
      <c r="A58" s="457"/>
      <c r="B58" s="457"/>
      <c r="C58" s="457"/>
      <c r="D58" s="457"/>
      <c r="E58" s="457"/>
      <c r="F58" s="457"/>
      <c r="G58" s="457"/>
      <c r="H58" s="457" t="s">
        <v>263</v>
      </c>
      <c r="I58" s="201">
        <v>68.5</v>
      </c>
      <c r="J58" s="201">
        <f t="shared" si="2"/>
        <v>21.815286624203821</v>
      </c>
      <c r="K58" s="201"/>
      <c r="L58" s="201"/>
      <c r="M58" s="201"/>
      <c r="N58" s="201"/>
      <c r="O58" s="201">
        <f t="shared" si="3"/>
        <v>0.10712500390758242</v>
      </c>
      <c r="P58" s="201">
        <f>O58*(1+'Key Data'!F$3)</f>
        <v>0.13390625488447802</v>
      </c>
      <c r="Q58" s="472"/>
      <c r="R58" s="472"/>
      <c r="S58" s="369"/>
    </row>
    <row r="59" spans="1:19" x14ac:dyDescent="0.3">
      <c r="A59" s="457"/>
      <c r="B59" s="457"/>
      <c r="C59" s="457"/>
      <c r="D59" s="457"/>
      <c r="E59" s="457"/>
      <c r="F59" s="457"/>
      <c r="G59" s="457"/>
      <c r="H59" s="457" t="s">
        <v>263</v>
      </c>
      <c r="I59" s="201">
        <v>88</v>
      </c>
      <c r="J59" s="201">
        <f t="shared" si="2"/>
        <v>28.025477707006367</v>
      </c>
      <c r="K59" s="201"/>
      <c r="L59" s="201"/>
      <c r="M59" s="201"/>
      <c r="N59" s="201"/>
      <c r="O59" s="201">
        <f t="shared" si="3"/>
        <v>0.1086325957193304</v>
      </c>
      <c r="P59" s="201">
        <f>O59*(1+'Key Data'!F$3)</f>
        <v>0.13579074464916299</v>
      </c>
      <c r="Q59" s="472"/>
      <c r="R59" s="472"/>
      <c r="S59" s="369"/>
    </row>
    <row r="60" spans="1:19" x14ac:dyDescent="0.3">
      <c r="A60" s="457"/>
      <c r="B60" s="457"/>
      <c r="C60" s="457"/>
      <c r="D60" s="457"/>
      <c r="E60" s="457"/>
      <c r="F60" s="457"/>
      <c r="G60" s="457"/>
      <c r="H60" s="457" t="s">
        <v>263</v>
      </c>
      <c r="I60" s="201">
        <v>65</v>
      </c>
      <c r="J60" s="201">
        <f t="shared" si="2"/>
        <v>20.700636942675157</v>
      </c>
      <c r="K60" s="201"/>
      <c r="L60" s="201"/>
      <c r="M60" s="201"/>
      <c r="N60" s="201"/>
      <c r="O60" s="201">
        <f t="shared" si="3"/>
        <v>0.10649856262815956</v>
      </c>
      <c r="P60" s="201">
        <f>O60*(1+'Key Data'!F$3)</f>
        <v>0.13312320328519944</v>
      </c>
      <c r="Q60" s="472"/>
      <c r="R60" s="472"/>
      <c r="S60" s="369"/>
    </row>
    <row r="61" spans="1:19" x14ac:dyDescent="0.3">
      <c r="A61" s="457"/>
      <c r="B61" s="457"/>
      <c r="C61" s="457"/>
      <c r="D61" s="457"/>
      <c r="E61" s="457"/>
      <c r="F61" s="457"/>
      <c r="G61" s="457"/>
      <c r="H61" s="457" t="s">
        <v>263</v>
      </c>
      <c r="I61" s="201">
        <v>66</v>
      </c>
      <c r="J61" s="201">
        <f t="shared" si="2"/>
        <v>21.019108280254777</v>
      </c>
      <c r="K61" s="201"/>
      <c r="L61" s="201"/>
      <c r="M61" s="201"/>
      <c r="N61" s="201"/>
      <c r="O61" s="201">
        <f t="shared" si="3"/>
        <v>0.10669603057885735</v>
      </c>
      <c r="P61" s="201">
        <f>O61*(1+'Key Data'!F$3)</f>
        <v>0.13337003822357169</v>
      </c>
      <c r="Q61" s="472"/>
      <c r="R61" s="472"/>
      <c r="S61" s="369"/>
    </row>
    <row r="62" spans="1:19" x14ac:dyDescent="0.3">
      <c r="A62" s="457"/>
      <c r="B62" s="457"/>
      <c r="C62" s="457"/>
      <c r="D62" s="457"/>
      <c r="E62" s="457"/>
      <c r="F62" s="457"/>
      <c r="G62" s="457"/>
      <c r="H62" s="457" t="s">
        <v>263</v>
      </c>
      <c r="I62" s="201">
        <v>73</v>
      </c>
      <c r="J62" s="201">
        <f t="shared" si="2"/>
        <v>23.248407643312103</v>
      </c>
      <c r="K62" s="201"/>
      <c r="L62" s="201"/>
      <c r="M62" s="201"/>
      <c r="N62" s="201"/>
      <c r="O62" s="201">
        <f t="shared" si="3"/>
        <v>0.10770794503131888</v>
      </c>
      <c r="P62" s="201">
        <f>O62*(1+'Key Data'!F$3)</f>
        <v>0.13463493128914861</v>
      </c>
      <c r="Q62" s="472"/>
      <c r="R62" s="472"/>
      <c r="S62" s="369"/>
    </row>
    <row r="63" spans="1:19" x14ac:dyDescent="0.3">
      <c r="A63" s="457"/>
      <c r="B63" s="457"/>
      <c r="C63" s="457"/>
      <c r="D63" s="457"/>
      <c r="E63" s="457"/>
      <c r="F63" s="457"/>
      <c r="G63" s="457"/>
      <c r="H63" s="457" t="s">
        <v>263</v>
      </c>
      <c r="I63" s="201">
        <v>66</v>
      </c>
      <c r="J63" s="201">
        <f t="shared" si="2"/>
        <v>21.019108280254777</v>
      </c>
      <c r="K63" s="201"/>
      <c r="L63" s="201"/>
      <c r="M63" s="201"/>
      <c r="N63" s="201"/>
      <c r="O63" s="201">
        <f t="shared" si="3"/>
        <v>0.10669603057885735</v>
      </c>
      <c r="P63" s="201">
        <f>O63*(1+'Key Data'!F$3)</f>
        <v>0.13337003822357169</v>
      </c>
      <c r="Q63" s="472"/>
      <c r="R63" s="472"/>
      <c r="S63" s="369"/>
    </row>
    <row r="64" spans="1:19" x14ac:dyDescent="0.3">
      <c r="A64" s="457"/>
      <c r="B64" s="457"/>
      <c r="C64" s="457"/>
      <c r="D64" s="457"/>
      <c r="E64" s="457"/>
      <c r="F64" s="457"/>
      <c r="G64" s="457"/>
      <c r="H64" s="457" t="s">
        <v>263</v>
      </c>
      <c r="I64" s="201">
        <v>78</v>
      </c>
      <c r="J64" s="201">
        <f t="shared" si="2"/>
        <v>24.840764331210192</v>
      </c>
      <c r="K64" s="201"/>
      <c r="L64" s="201"/>
      <c r="M64" s="201"/>
      <c r="N64" s="201"/>
      <c r="O64" s="201">
        <f t="shared" si="3"/>
        <v>0.10814770907658836</v>
      </c>
      <c r="P64" s="201">
        <f>O64*(1+'Key Data'!F$3)</f>
        <v>0.13518463634573544</v>
      </c>
      <c r="Q64" s="472"/>
      <c r="R64" s="472"/>
      <c r="S64" s="369"/>
    </row>
    <row r="65" spans="1:19" x14ac:dyDescent="0.3">
      <c r="A65" s="457"/>
      <c r="B65" s="457"/>
      <c r="C65" s="457"/>
      <c r="D65" s="457"/>
      <c r="E65" s="457"/>
      <c r="F65" s="457"/>
      <c r="G65" s="457"/>
      <c r="H65" s="457" t="s">
        <v>263</v>
      </c>
      <c r="I65" s="201">
        <v>60</v>
      </c>
      <c r="J65" s="201">
        <f t="shared" si="2"/>
        <v>19.108280254777068</v>
      </c>
      <c r="K65" s="201"/>
      <c r="L65" s="201"/>
      <c r="M65" s="201"/>
      <c r="N65" s="201"/>
      <c r="O65" s="201">
        <f t="shared" si="3"/>
        <v>0.10523287646701386</v>
      </c>
      <c r="P65" s="201">
        <f>O65*(1+'Key Data'!F$3)</f>
        <v>0.13154109558376734</v>
      </c>
      <c r="Q65" s="472"/>
      <c r="R65" s="472"/>
      <c r="S65" s="369"/>
    </row>
    <row r="66" spans="1:19" x14ac:dyDescent="0.3">
      <c r="A66" s="457"/>
      <c r="B66" s="457"/>
      <c r="C66" s="457"/>
      <c r="D66" s="457"/>
      <c r="E66" s="457"/>
      <c r="F66" s="457"/>
      <c r="G66" s="457"/>
      <c r="H66" s="457" t="s">
        <v>263</v>
      </c>
      <c r="I66" s="201">
        <f>SQRT(59.2*59.2+66*66)</f>
        <v>88.660250394412941</v>
      </c>
      <c r="J66" s="201">
        <f t="shared" ref="J66:J97" si="4">I66/3.14</f>
        <v>28.235748533252529</v>
      </c>
      <c r="K66" s="201"/>
      <c r="L66" s="201"/>
      <c r="M66" s="201"/>
      <c r="N66" s="201"/>
      <c r="O66" s="201">
        <f t="shared" ref="O66:O97" si="5">30.4*EXP(-5.07*EXP(-0.26*J66)+1.277)/1000</f>
        <v>0.10865265902352185</v>
      </c>
      <c r="P66" s="201">
        <f>O66*(1+'Key Data'!F$3)</f>
        <v>0.13581582377940232</v>
      </c>
      <c r="Q66" s="472"/>
      <c r="R66" s="472"/>
      <c r="S66" s="369"/>
    </row>
    <row r="67" spans="1:19" ht="15" customHeight="1" x14ac:dyDescent="0.3">
      <c r="A67" s="374">
        <v>4</v>
      </c>
      <c r="B67" s="374" t="s">
        <v>402</v>
      </c>
      <c r="C67" s="374" t="s">
        <v>426</v>
      </c>
      <c r="D67" s="374" t="s">
        <v>269</v>
      </c>
      <c r="E67" s="374">
        <v>13.370445</v>
      </c>
      <c r="F67" s="374">
        <v>78.967367999999993</v>
      </c>
      <c r="G67" s="374">
        <v>2021</v>
      </c>
      <c r="H67" s="374" t="s">
        <v>263</v>
      </c>
      <c r="I67" s="129">
        <v>38</v>
      </c>
      <c r="J67" s="129">
        <f t="shared" si="4"/>
        <v>12.101910828025478</v>
      </c>
      <c r="K67" s="129"/>
      <c r="L67" s="129"/>
      <c r="M67" s="129"/>
      <c r="N67" s="129"/>
      <c r="O67" s="129">
        <f t="shared" si="5"/>
        <v>8.7655984615502475E-2</v>
      </c>
      <c r="P67" s="129">
        <f>O67*(1+'Key Data'!F$3)</f>
        <v>0.1095699807693781</v>
      </c>
      <c r="Q67" s="379">
        <f>SUM(P67:P100)</f>
        <v>2.4746303282971684</v>
      </c>
      <c r="R67" s="379">
        <f>Q67*10000/900</f>
        <v>27.495892536635203</v>
      </c>
      <c r="S67" s="369"/>
    </row>
    <row r="68" spans="1:19" x14ac:dyDescent="0.3">
      <c r="A68" s="374"/>
      <c r="B68" s="374"/>
      <c r="C68" s="374"/>
      <c r="D68" s="374"/>
      <c r="E68" s="374"/>
      <c r="F68" s="374"/>
      <c r="G68" s="374"/>
      <c r="H68" s="374" t="s">
        <v>263</v>
      </c>
      <c r="I68" s="129">
        <v>24</v>
      </c>
      <c r="J68" s="129">
        <f t="shared" si="4"/>
        <v>7.6433121019108281</v>
      </c>
      <c r="K68" s="129"/>
      <c r="L68" s="129"/>
      <c r="M68" s="129"/>
      <c r="N68" s="129"/>
      <c r="O68" s="129">
        <f t="shared" si="5"/>
        <v>5.4407175553130079E-2</v>
      </c>
      <c r="P68" s="129">
        <f>O68*(1+'Key Data'!F$3)</f>
        <v>6.8008969441412603E-2</v>
      </c>
      <c r="Q68" s="379"/>
      <c r="R68" s="379"/>
      <c r="S68" s="369"/>
    </row>
    <row r="69" spans="1:19" x14ac:dyDescent="0.3">
      <c r="A69" s="374"/>
      <c r="B69" s="374"/>
      <c r="C69" s="374"/>
      <c r="D69" s="374"/>
      <c r="E69" s="374"/>
      <c r="F69" s="374"/>
      <c r="G69" s="374"/>
      <c r="H69" s="374" t="s">
        <v>263</v>
      </c>
      <c r="I69" s="129">
        <v>25</v>
      </c>
      <c r="J69" s="129">
        <f t="shared" si="4"/>
        <v>7.9617834394904454</v>
      </c>
      <c r="K69" s="129"/>
      <c r="L69" s="129"/>
      <c r="M69" s="129"/>
      <c r="N69" s="129"/>
      <c r="O69" s="129">
        <f t="shared" si="5"/>
        <v>5.749634859184289E-2</v>
      </c>
      <c r="P69" s="129">
        <f>O69*(1+'Key Data'!F$3)</f>
        <v>7.1870435739803618E-2</v>
      </c>
      <c r="Q69" s="379"/>
      <c r="R69" s="379"/>
      <c r="S69" s="369"/>
    </row>
    <row r="70" spans="1:19" x14ac:dyDescent="0.3">
      <c r="A70" s="374"/>
      <c r="B70" s="374"/>
      <c r="C70" s="374"/>
      <c r="D70" s="374"/>
      <c r="E70" s="374"/>
      <c r="F70" s="374"/>
      <c r="G70" s="374"/>
      <c r="H70" s="374" t="s">
        <v>263</v>
      </c>
      <c r="I70" s="129">
        <v>30.5</v>
      </c>
      <c r="J70" s="129">
        <f t="shared" si="4"/>
        <v>9.7133757961783438</v>
      </c>
      <c r="K70" s="129"/>
      <c r="L70" s="129"/>
      <c r="M70" s="129"/>
      <c r="N70" s="129"/>
      <c r="O70" s="129">
        <f t="shared" si="5"/>
        <v>7.2656351736949829E-2</v>
      </c>
      <c r="P70" s="129">
        <f>O70*(1+'Key Data'!F$3)</f>
        <v>9.0820439671187289E-2</v>
      </c>
      <c r="Q70" s="379"/>
      <c r="R70" s="379"/>
      <c r="S70" s="369"/>
    </row>
    <row r="71" spans="1:19" x14ac:dyDescent="0.3">
      <c r="A71" s="374"/>
      <c r="B71" s="374"/>
      <c r="C71" s="374"/>
      <c r="D71" s="374"/>
      <c r="E71" s="374"/>
      <c r="F71" s="374"/>
      <c r="G71" s="374"/>
      <c r="H71" s="374" t="s">
        <v>263</v>
      </c>
      <c r="I71" s="129">
        <v>31.5</v>
      </c>
      <c r="J71" s="129">
        <f t="shared" si="4"/>
        <v>10.031847133757962</v>
      </c>
      <c r="K71" s="129"/>
      <c r="L71" s="129"/>
      <c r="M71" s="129"/>
      <c r="N71" s="129"/>
      <c r="O71" s="129">
        <f t="shared" si="5"/>
        <v>7.5036957906877172E-2</v>
      </c>
      <c r="P71" s="129">
        <f>O71*(1+'Key Data'!F$3)</f>
        <v>9.3796197383596458E-2</v>
      </c>
      <c r="Q71" s="379"/>
      <c r="R71" s="379"/>
      <c r="S71" s="369"/>
    </row>
    <row r="72" spans="1:19" x14ac:dyDescent="0.3">
      <c r="A72" s="374"/>
      <c r="B72" s="374"/>
      <c r="C72" s="374"/>
      <c r="D72" s="374"/>
      <c r="E72" s="374"/>
      <c r="F72" s="374"/>
      <c r="G72" s="374"/>
      <c r="H72" s="374" t="s">
        <v>263</v>
      </c>
      <c r="I72" s="129">
        <v>30</v>
      </c>
      <c r="J72" s="129">
        <f t="shared" si="4"/>
        <v>9.5541401273885338</v>
      </c>
      <c r="K72" s="129"/>
      <c r="L72" s="129"/>
      <c r="M72" s="129"/>
      <c r="N72" s="129"/>
      <c r="O72" s="129">
        <f t="shared" si="5"/>
        <v>7.1420982321553222E-2</v>
      </c>
      <c r="P72" s="129">
        <f>O72*(1+'Key Data'!F$3)</f>
        <v>8.9276227901941535E-2</v>
      </c>
      <c r="Q72" s="379"/>
      <c r="R72" s="379"/>
      <c r="S72" s="369"/>
    </row>
    <row r="73" spans="1:19" x14ac:dyDescent="0.3">
      <c r="A73" s="374"/>
      <c r="B73" s="374"/>
      <c r="C73" s="374"/>
      <c r="D73" s="374"/>
      <c r="E73" s="374"/>
      <c r="F73" s="374"/>
      <c r="G73" s="374"/>
      <c r="H73" s="374" t="s">
        <v>263</v>
      </c>
      <c r="I73" s="129">
        <v>38.5</v>
      </c>
      <c r="J73" s="129">
        <f t="shared" si="4"/>
        <v>12.261146496815286</v>
      </c>
      <c r="K73" s="129"/>
      <c r="L73" s="129"/>
      <c r="M73" s="129"/>
      <c r="N73" s="129"/>
      <c r="O73" s="129">
        <f t="shared" si="5"/>
        <v>8.8434485897848497E-2</v>
      </c>
      <c r="P73" s="129">
        <f>O73*(1+'Key Data'!F$3)</f>
        <v>0.11054310737231063</v>
      </c>
      <c r="Q73" s="379"/>
      <c r="R73" s="379"/>
      <c r="S73" s="369"/>
    </row>
    <row r="74" spans="1:19" x14ac:dyDescent="0.3">
      <c r="A74" s="374"/>
      <c r="B74" s="374"/>
      <c r="C74" s="374"/>
      <c r="D74" s="374"/>
      <c r="E74" s="374"/>
      <c r="F74" s="374"/>
      <c r="G74" s="374"/>
      <c r="H74" s="374" t="s">
        <v>263</v>
      </c>
      <c r="I74" s="129">
        <v>40</v>
      </c>
      <c r="J74" s="129">
        <f t="shared" si="4"/>
        <v>12.738853503184712</v>
      </c>
      <c r="K74" s="129"/>
      <c r="L74" s="129"/>
      <c r="M74" s="129"/>
      <c r="N74" s="129"/>
      <c r="O74" s="129">
        <f t="shared" si="5"/>
        <v>9.06217581379134E-2</v>
      </c>
      <c r="P74" s="129">
        <f>O74*(1+'Key Data'!F$3)</f>
        <v>0.11327719767239175</v>
      </c>
      <c r="Q74" s="379"/>
      <c r="R74" s="379"/>
      <c r="S74" s="369"/>
    </row>
    <row r="75" spans="1:19" x14ac:dyDescent="0.3">
      <c r="A75" s="374"/>
      <c r="B75" s="374"/>
      <c r="C75" s="374"/>
      <c r="D75" s="374"/>
      <c r="E75" s="374"/>
      <c r="F75" s="374"/>
      <c r="G75" s="374"/>
      <c r="H75" s="374" t="s">
        <v>263</v>
      </c>
      <c r="I75" s="129">
        <v>26</v>
      </c>
      <c r="J75" s="129">
        <f t="shared" si="4"/>
        <v>8.2802547770700627</v>
      </c>
      <c r="K75" s="129"/>
      <c r="L75" s="129"/>
      <c r="M75" s="129"/>
      <c r="N75" s="129"/>
      <c r="O75" s="129">
        <f t="shared" si="5"/>
        <v>6.0494849846184154E-2</v>
      </c>
      <c r="P75" s="129">
        <f>O75*(1+'Key Data'!F$3)</f>
        <v>7.5618562307730189E-2</v>
      </c>
      <c r="Q75" s="379"/>
      <c r="R75" s="379"/>
      <c r="S75" s="369"/>
    </row>
    <row r="76" spans="1:19" x14ac:dyDescent="0.3">
      <c r="A76" s="374"/>
      <c r="B76" s="374"/>
      <c r="C76" s="374"/>
      <c r="D76" s="374"/>
      <c r="E76" s="374"/>
      <c r="F76" s="374"/>
      <c r="G76" s="374"/>
      <c r="H76" s="374" t="s">
        <v>263</v>
      </c>
      <c r="I76" s="129">
        <v>30.5</v>
      </c>
      <c r="J76" s="129">
        <f t="shared" si="4"/>
        <v>9.7133757961783438</v>
      </c>
      <c r="K76" s="129"/>
      <c r="L76" s="129"/>
      <c r="M76" s="129"/>
      <c r="N76" s="129"/>
      <c r="O76" s="129">
        <f t="shared" si="5"/>
        <v>7.2656351736949829E-2</v>
      </c>
      <c r="P76" s="129">
        <f>O76*(1+'Key Data'!F$3)</f>
        <v>9.0820439671187289E-2</v>
      </c>
      <c r="Q76" s="379"/>
      <c r="R76" s="379"/>
      <c r="S76" s="369"/>
    </row>
    <row r="77" spans="1:19" x14ac:dyDescent="0.3">
      <c r="A77" s="374"/>
      <c r="B77" s="374"/>
      <c r="C77" s="374"/>
      <c r="D77" s="374"/>
      <c r="E77" s="374"/>
      <c r="F77" s="374"/>
      <c r="G77" s="374"/>
      <c r="H77" s="374" t="s">
        <v>263</v>
      </c>
      <c r="I77" s="129">
        <v>30</v>
      </c>
      <c r="J77" s="129">
        <f t="shared" si="4"/>
        <v>9.5541401273885338</v>
      </c>
      <c r="K77" s="129"/>
      <c r="L77" s="129"/>
      <c r="M77" s="129"/>
      <c r="N77" s="129"/>
      <c r="O77" s="129">
        <f t="shared" si="5"/>
        <v>7.1420982321553222E-2</v>
      </c>
      <c r="P77" s="129">
        <f>O77*(1+'Key Data'!F$3)</f>
        <v>8.9276227901941535E-2</v>
      </c>
      <c r="Q77" s="379"/>
      <c r="R77" s="379"/>
      <c r="S77" s="369"/>
    </row>
    <row r="78" spans="1:19" x14ac:dyDescent="0.3">
      <c r="A78" s="374"/>
      <c r="B78" s="374"/>
      <c r="C78" s="374"/>
      <c r="D78" s="374"/>
      <c r="E78" s="374"/>
      <c r="F78" s="374"/>
      <c r="G78" s="374"/>
      <c r="H78" s="374" t="s">
        <v>263</v>
      </c>
      <c r="I78" s="129">
        <v>35</v>
      </c>
      <c r="J78" s="129">
        <f t="shared" si="4"/>
        <v>11.146496815286623</v>
      </c>
      <c r="K78" s="129"/>
      <c r="L78" s="129"/>
      <c r="M78" s="129"/>
      <c r="N78" s="129"/>
      <c r="O78" s="129">
        <f t="shared" si="5"/>
        <v>8.2429329470591506E-2</v>
      </c>
      <c r="P78" s="129">
        <f>O78*(1+'Key Data'!F$3)</f>
        <v>0.10303666183823938</v>
      </c>
      <c r="Q78" s="379"/>
      <c r="R78" s="379"/>
      <c r="S78" s="369"/>
    </row>
    <row r="79" spans="1:19" x14ac:dyDescent="0.3">
      <c r="A79" s="374"/>
      <c r="B79" s="374"/>
      <c r="C79" s="374"/>
      <c r="D79" s="374"/>
      <c r="E79" s="374"/>
      <c r="F79" s="374"/>
      <c r="G79" s="374"/>
      <c r="H79" s="374" t="s">
        <v>263</v>
      </c>
      <c r="I79" s="129">
        <v>34</v>
      </c>
      <c r="J79" s="129">
        <f t="shared" si="4"/>
        <v>10.828025477707007</v>
      </c>
      <c r="K79" s="129"/>
      <c r="L79" s="129"/>
      <c r="M79" s="129"/>
      <c r="N79" s="129"/>
      <c r="O79" s="129">
        <f t="shared" si="5"/>
        <v>8.0464228929838302E-2</v>
      </c>
      <c r="P79" s="129">
        <f>O79*(1+'Key Data'!F$3)</f>
        <v>0.10058028616229787</v>
      </c>
      <c r="Q79" s="379"/>
      <c r="R79" s="379"/>
      <c r="S79" s="369"/>
    </row>
    <row r="80" spans="1:19" x14ac:dyDescent="0.3">
      <c r="A80" s="374"/>
      <c r="B80" s="374"/>
      <c r="C80" s="374"/>
      <c r="D80" s="374"/>
      <c r="E80" s="374"/>
      <c r="F80" s="374"/>
      <c r="G80" s="374"/>
      <c r="H80" s="374" t="s">
        <v>263</v>
      </c>
      <c r="I80" s="129">
        <v>31</v>
      </c>
      <c r="J80" s="129">
        <f t="shared" si="4"/>
        <v>9.872611464968152</v>
      </c>
      <c r="K80" s="129"/>
      <c r="L80" s="129"/>
      <c r="M80" s="129"/>
      <c r="N80" s="129"/>
      <c r="O80" s="129">
        <f t="shared" si="5"/>
        <v>7.3861700758365859E-2</v>
      </c>
      <c r="P80" s="129">
        <f>O80*(1+'Key Data'!F$3)</f>
        <v>9.232712594795732E-2</v>
      </c>
      <c r="Q80" s="379"/>
      <c r="R80" s="379"/>
      <c r="S80" s="369"/>
    </row>
    <row r="81" spans="1:19" x14ac:dyDescent="0.3">
      <c r="A81" s="374"/>
      <c r="B81" s="374"/>
      <c r="C81" s="374"/>
      <c r="D81" s="374"/>
      <c r="E81" s="374"/>
      <c r="F81" s="374"/>
      <c r="G81" s="374"/>
      <c r="H81" s="374" t="s">
        <v>263</v>
      </c>
      <c r="I81" s="129">
        <v>24</v>
      </c>
      <c r="J81" s="129">
        <f t="shared" si="4"/>
        <v>7.6433121019108281</v>
      </c>
      <c r="K81" s="129"/>
      <c r="L81" s="129"/>
      <c r="M81" s="129"/>
      <c r="N81" s="129"/>
      <c r="O81" s="129">
        <f t="shared" si="5"/>
        <v>5.4407175553130079E-2</v>
      </c>
      <c r="P81" s="129">
        <f>O81*(1+'Key Data'!F$3)</f>
        <v>6.8008969441412603E-2</v>
      </c>
      <c r="Q81" s="379"/>
      <c r="R81" s="379"/>
      <c r="S81" s="369"/>
    </row>
    <row r="82" spans="1:19" x14ac:dyDescent="0.3">
      <c r="A82" s="374"/>
      <c r="B82" s="374"/>
      <c r="C82" s="374"/>
      <c r="D82" s="374"/>
      <c r="E82" s="374"/>
      <c r="F82" s="374"/>
      <c r="G82" s="374"/>
      <c r="H82" s="374" t="s">
        <v>263</v>
      </c>
      <c r="I82" s="129">
        <v>12.5</v>
      </c>
      <c r="J82" s="129">
        <f t="shared" si="4"/>
        <v>3.9808917197452227</v>
      </c>
      <c r="K82" s="129"/>
      <c r="L82" s="129"/>
      <c r="M82" s="129"/>
      <c r="N82" s="129"/>
      <c r="O82" s="129">
        <f t="shared" si="5"/>
        <v>1.800234834190366E-2</v>
      </c>
      <c r="P82" s="129">
        <f>O82*(1+'Key Data'!F$3)</f>
        <v>2.2502935427379574E-2</v>
      </c>
      <c r="Q82" s="379"/>
      <c r="R82" s="379"/>
      <c r="S82" s="369"/>
    </row>
    <row r="83" spans="1:19" x14ac:dyDescent="0.3">
      <c r="A83" s="374"/>
      <c r="B83" s="374"/>
      <c r="C83" s="374"/>
      <c r="D83" s="374"/>
      <c r="E83" s="374"/>
      <c r="F83" s="374"/>
      <c r="G83" s="374"/>
      <c r="H83" s="374" t="s">
        <v>263</v>
      </c>
      <c r="I83" s="129">
        <v>28</v>
      </c>
      <c r="J83" s="129">
        <f t="shared" si="4"/>
        <v>8.9171974522292992</v>
      </c>
      <c r="K83" s="129"/>
      <c r="L83" s="129"/>
      <c r="M83" s="129"/>
      <c r="N83" s="129"/>
      <c r="O83" s="129">
        <f t="shared" si="5"/>
        <v>6.6183639528078139E-2</v>
      </c>
      <c r="P83" s="129">
        <f>O83*(1+'Key Data'!F$3)</f>
        <v>8.2729549410097677E-2</v>
      </c>
      <c r="Q83" s="379"/>
      <c r="R83" s="379"/>
      <c r="S83" s="369"/>
    </row>
    <row r="84" spans="1:19" x14ac:dyDescent="0.3">
      <c r="A84" s="374"/>
      <c r="B84" s="374"/>
      <c r="C84" s="374"/>
      <c r="D84" s="374"/>
      <c r="E84" s="374"/>
      <c r="F84" s="374"/>
      <c r="G84" s="374"/>
      <c r="H84" s="374" t="s">
        <v>263</v>
      </c>
      <c r="I84" s="129">
        <v>29</v>
      </c>
      <c r="J84" s="129">
        <f t="shared" si="4"/>
        <v>9.2356687898089174</v>
      </c>
      <c r="K84" s="129"/>
      <c r="L84" s="129"/>
      <c r="M84" s="129"/>
      <c r="N84" s="129"/>
      <c r="O84" s="129">
        <f t="shared" si="5"/>
        <v>6.8860872127670267E-2</v>
      </c>
      <c r="P84" s="129">
        <f>O84*(1+'Key Data'!F$3)</f>
        <v>8.6076090159587837E-2</v>
      </c>
      <c r="Q84" s="379"/>
      <c r="R84" s="379"/>
      <c r="S84" s="369"/>
    </row>
    <row r="85" spans="1:19" x14ac:dyDescent="0.3">
      <c r="A85" s="374"/>
      <c r="B85" s="374"/>
      <c r="C85" s="374"/>
      <c r="D85" s="374"/>
      <c r="E85" s="374"/>
      <c r="F85" s="374"/>
      <c r="G85" s="374"/>
      <c r="H85" s="374" t="s">
        <v>263</v>
      </c>
      <c r="I85" s="129">
        <v>28.5</v>
      </c>
      <c r="J85" s="129">
        <f t="shared" si="4"/>
        <v>9.0764331210191074</v>
      </c>
      <c r="K85" s="129"/>
      <c r="L85" s="129"/>
      <c r="M85" s="129"/>
      <c r="N85" s="129"/>
      <c r="O85" s="129">
        <f t="shared" si="5"/>
        <v>6.753669573575527E-2</v>
      </c>
      <c r="P85" s="129">
        <f>O85*(1+'Key Data'!F$3)</f>
        <v>8.4420869669694087E-2</v>
      </c>
      <c r="Q85" s="379"/>
      <c r="R85" s="379"/>
      <c r="S85" s="369"/>
    </row>
    <row r="86" spans="1:19" x14ac:dyDescent="0.3">
      <c r="A86" s="374"/>
      <c r="B86" s="374"/>
      <c r="C86" s="374"/>
      <c r="D86" s="374"/>
      <c r="E86" s="374"/>
      <c r="F86" s="374"/>
      <c r="G86" s="374"/>
      <c r="H86" s="374" t="s">
        <v>263</v>
      </c>
      <c r="I86" s="129">
        <v>29.5</v>
      </c>
      <c r="J86" s="129">
        <f t="shared" si="4"/>
        <v>9.3949044585987256</v>
      </c>
      <c r="K86" s="129"/>
      <c r="L86" s="129"/>
      <c r="M86" s="129"/>
      <c r="N86" s="129"/>
      <c r="O86" s="129">
        <f t="shared" si="5"/>
        <v>7.0155743607976537E-2</v>
      </c>
      <c r="P86" s="129">
        <f>O86*(1+'Key Data'!F$3)</f>
        <v>8.7694679509970674E-2</v>
      </c>
      <c r="Q86" s="379"/>
      <c r="R86" s="379"/>
      <c r="S86" s="369"/>
    </row>
    <row r="87" spans="1:19" x14ac:dyDescent="0.3">
      <c r="A87" s="374"/>
      <c r="B87" s="374"/>
      <c r="C87" s="374"/>
      <c r="D87" s="374"/>
      <c r="E87" s="374"/>
      <c r="F87" s="374"/>
      <c r="G87" s="374"/>
      <c r="H87" s="374" t="s">
        <v>263</v>
      </c>
      <c r="I87" s="129">
        <v>25.5</v>
      </c>
      <c r="J87" s="129">
        <f t="shared" si="4"/>
        <v>8.1210191082802545</v>
      </c>
      <c r="K87" s="129"/>
      <c r="L87" s="129"/>
      <c r="M87" s="129"/>
      <c r="N87" s="129"/>
      <c r="O87" s="129">
        <f t="shared" si="5"/>
        <v>5.9007581804488222E-2</v>
      </c>
      <c r="P87" s="129">
        <f>O87*(1+'Key Data'!F$3)</f>
        <v>7.3759477255610273E-2</v>
      </c>
      <c r="Q87" s="379"/>
      <c r="R87" s="379"/>
      <c r="S87" s="369"/>
    </row>
    <row r="88" spans="1:19" x14ac:dyDescent="0.3">
      <c r="A88" s="374"/>
      <c r="B88" s="374"/>
      <c r="C88" s="374"/>
      <c r="D88" s="374"/>
      <c r="E88" s="374"/>
      <c r="F88" s="374"/>
      <c r="G88" s="374"/>
      <c r="H88" s="374" t="s">
        <v>263</v>
      </c>
      <c r="I88" s="129">
        <v>12</v>
      </c>
      <c r="J88" s="129">
        <f t="shared" si="4"/>
        <v>3.8216560509554141</v>
      </c>
      <c r="K88" s="129"/>
      <c r="L88" s="129"/>
      <c r="M88" s="129"/>
      <c r="N88" s="129"/>
      <c r="O88" s="129">
        <f t="shared" si="5"/>
        <v>1.668276246457303E-2</v>
      </c>
      <c r="P88" s="129">
        <f>O88*(1+'Key Data'!F$3)</f>
        <v>2.0853453080716289E-2</v>
      </c>
      <c r="Q88" s="379"/>
      <c r="R88" s="379"/>
      <c r="S88" s="369"/>
    </row>
    <row r="89" spans="1:19" x14ac:dyDescent="0.3">
      <c r="A89" s="374"/>
      <c r="B89" s="374"/>
      <c r="C89" s="374"/>
      <c r="D89" s="374"/>
      <c r="E89" s="374"/>
      <c r="F89" s="374"/>
      <c r="G89" s="374"/>
      <c r="H89" s="374" t="s">
        <v>263</v>
      </c>
      <c r="I89" s="129">
        <v>7.5</v>
      </c>
      <c r="J89" s="129">
        <f t="shared" si="4"/>
        <v>2.3885350318471334</v>
      </c>
      <c r="K89" s="129"/>
      <c r="L89" s="129"/>
      <c r="M89" s="129"/>
      <c r="N89" s="129"/>
      <c r="O89" s="129">
        <f t="shared" si="5"/>
        <v>7.1480699828073624E-3</v>
      </c>
      <c r="P89" s="129">
        <f>O89*(1+'Key Data'!F$3)</f>
        <v>8.9350874785092023E-3</v>
      </c>
      <c r="Q89" s="379"/>
      <c r="R89" s="379"/>
      <c r="S89" s="369"/>
    </row>
    <row r="90" spans="1:19" x14ac:dyDescent="0.3">
      <c r="A90" s="374"/>
      <c r="B90" s="374"/>
      <c r="C90" s="374"/>
      <c r="D90" s="374"/>
      <c r="E90" s="374"/>
      <c r="F90" s="374"/>
      <c r="G90" s="374"/>
      <c r="H90" s="374" t="s">
        <v>263</v>
      </c>
      <c r="I90" s="129">
        <v>21.5</v>
      </c>
      <c r="J90" s="129">
        <f t="shared" si="4"/>
        <v>6.8471337579617835</v>
      </c>
      <c r="K90" s="129"/>
      <c r="L90" s="129"/>
      <c r="M90" s="129"/>
      <c r="N90" s="129"/>
      <c r="O90" s="129">
        <f t="shared" si="5"/>
        <v>4.6370570764170942E-2</v>
      </c>
      <c r="P90" s="129">
        <f>O90*(1+'Key Data'!F$3)</f>
        <v>5.7963213455213679E-2</v>
      </c>
      <c r="Q90" s="379"/>
      <c r="R90" s="379"/>
      <c r="S90" s="369"/>
    </row>
    <row r="91" spans="1:19" x14ac:dyDescent="0.3">
      <c r="A91" s="374"/>
      <c r="B91" s="374"/>
      <c r="C91" s="374"/>
      <c r="D91" s="374"/>
      <c r="E91" s="374"/>
      <c r="F91" s="374"/>
      <c r="G91" s="374"/>
      <c r="H91" s="374" t="s">
        <v>263</v>
      </c>
      <c r="I91" s="129">
        <v>31</v>
      </c>
      <c r="J91" s="129">
        <f t="shared" si="4"/>
        <v>9.872611464968152</v>
      </c>
      <c r="K91" s="129"/>
      <c r="L91" s="129"/>
      <c r="M91" s="129"/>
      <c r="N91" s="129"/>
      <c r="O91" s="129">
        <f t="shared" si="5"/>
        <v>7.3861700758365859E-2</v>
      </c>
      <c r="P91" s="129">
        <f>O91*(1+'Key Data'!F$3)</f>
        <v>9.232712594795732E-2</v>
      </c>
      <c r="Q91" s="379"/>
      <c r="R91" s="379"/>
      <c r="S91" s="369"/>
    </row>
    <row r="92" spans="1:19" x14ac:dyDescent="0.3">
      <c r="A92" s="374"/>
      <c r="B92" s="374"/>
      <c r="C92" s="374"/>
      <c r="D92" s="374"/>
      <c r="E92" s="374"/>
      <c r="F92" s="374"/>
      <c r="G92" s="374"/>
      <c r="H92" s="374" t="s">
        <v>263</v>
      </c>
      <c r="I92" s="129">
        <v>22</v>
      </c>
      <c r="J92" s="129">
        <f t="shared" si="4"/>
        <v>7.0063694267515917</v>
      </c>
      <c r="K92" s="129"/>
      <c r="L92" s="129"/>
      <c r="M92" s="129"/>
      <c r="N92" s="129"/>
      <c r="O92" s="129">
        <f t="shared" si="5"/>
        <v>4.800625536190465E-2</v>
      </c>
      <c r="P92" s="129">
        <f>O92*(1+'Key Data'!F$3)</f>
        <v>6.000781920238081E-2</v>
      </c>
      <c r="Q92" s="379"/>
      <c r="R92" s="379"/>
      <c r="S92" s="369"/>
    </row>
    <row r="93" spans="1:19" x14ac:dyDescent="0.3">
      <c r="A93" s="374"/>
      <c r="B93" s="374"/>
      <c r="C93" s="374"/>
      <c r="D93" s="374"/>
      <c r="E93" s="374"/>
      <c r="F93" s="374"/>
      <c r="G93" s="374"/>
      <c r="H93" s="374" t="s">
        <v>263</v>
      </c>
      <c r="I93" s="129">
        <v>22</v>
      </c>
      <c r="J93" s="129">
        <f t="shared" si="4"/>
        <v>7.0063694267515917</v>
      </c>
      <c r="K93" s="129"/>
      <c r="L93" s="129"/>
      <c r="M93" s="129"/>
      <c r="N93" s="129"/>
      <c r="O93" s="129">
        <f t="shared" si="5"/>
        <v>4.800625536190465E-2</v>
      </c>
      <c r="P93" s="129">
        <f>O93*(1+'Key Data'!F$3)</f>
        <v>6.000781920238081E-2</v>
      </c>
      <c r="Q93" s="379"/>
      <c r="R93" s="379"/>
      <c r="S93" s="369"/>
    </row>
    <row r="94" spans="1:19" x14ac:dyDescent="0.3">
      <c r="A94" s="374"/>
      <c r="B94" s="374"/>
      <c r="C94" s="374"/>
      <c r="D94" s="374"/>
      <c r="E94" s="374"/>
      <c r="F94" s="374"/>
      <c r="G94" s="374"/>
      <c r="H94" s="374" t="s">
        <v>263</v>
      </c>
      <c r="I94" s="129">
        <v>23</v>
      </c>
      <c r="J94" s="129">
        <f t="shared" si="4"/>
        <v>7.3248407643312099</v>
      </c>
      <c r="K94" s="129"/>
      <c r="L94" s="129"/>
      <c r="M94" s="129"/>
      <c r="N94" s="129"/>
      <c r="O94" s="129">
        <f t="shared" si="5"/>
        <v>5.123911451649759E-2</v>
      </c>
      <c r="P94" s="129">
        <f>O94*(1+'Key Data'!F$3)</f>
        <v>6.4048893145621982E-2</v>
      </c>
      <c r="Q94" s="379"/>
      <c r="R94" s="379"/>
      <c r="S94" s="369"/>
    </row>
    <row r="95" spans="1:19" x14ac:dyDescent="0.3">
      <c r="A95" s="374"/>
      <c r="B95" s="374"/>
      <c r="C95" s="374"/>
      <c r="D95" s="374"/>
      <c r="E95" s="374"/>
      <c r="F95" s="374"/>
      <c r="G95" s="374"/>
      <c r="H95" s="374" t="s">
        <v>263</v>
      </c>
      <c r="I95" s="129">
        <v>20</v>
      </c>
      <c r="J95" s="129">
        <f t="shared" si="4"/>
        <v>6.3694267515923562</v>
      </c>
      <c r="K95" s="129"/>
      <c r="L95" s="129"/>
      <c r="M95" s="129"/>
      <c r="N95" s="129"/>
      <c r="O95" s="129">
        <f t="shared" si="5"/>
        <v>4.1414189155155698E-2</v>
      </c>
      <c r="P95" s="129">
        <f>O95*(1+'Key Data'!F$3)</f>
        <v>5.1767736443944626E-2</v>
      </c>
      <c r="Q95" s="379"/>
      <c r="R95" s="379"/>
      <c r="S95" s="369"/>
    </row>
    <row r="96" spans="1:19" x14ac:dyDescent="0.3">
      <c r="A96" s="374"/>
      <c r="B96" s="374"/>
      <c r="C96" s="374"/>
      <c r="D96" s="374"/>
      <c r="E96" s="374"/>
      <c r="F96" s="374"/>
      <c r="G96" s="374"/>
      <c r="H96" s="374" t="s">
        <v>263</v>
      </c>
      <c r="I96" s="129">
        <v>22</v>
      </c>
      <c r="J96" s="129">
        <f t="shared" si="4"/>
        <v>7.0063694267515917</v>
      </c>
      <c r="K96" s="129"/>
      <c r="L96" s="129"/>
      <c r="M96" s="129"/>
      <c r="N96" s="129"/>
      <c r="O96" s="129">
        <f t="shared" si="5"/>
        <v>4.800625536190465E-2</v>
      </c>
      <c r="P96" s="129">
        <f>O96*(1+'Key Data'!F$3)</f>
        <v>6.000781920238081E-2</v>
      </c>
      <c r="Q96" s="379"/>
      <c r="R96" s="379"/>
      <c r="S96" s="369"/>
    </row>
    <row r="97" spans="1:19" x14ac:dyDescent="0.3">
      <c r="A97" s="374"/>
      <c r="B97" s="374"/>
      <c r="C97" s="374"/>
      <c r="D97" s="374"/>
      <c r="E97" s="374"/>
      <c r="F97" s="374"/>
      <c r="G97" s="374"/>
      <c r="H97" s="374" t="s">
        <v>263</v>
      </c>
      <c r="I97" s="129">
        <v>25</v>
      </c>
      <c r="J97" s="129">
        <f t="shared" si="4"/>
        <v>7.9617834394904454</v>
      </c>
      <c r="K97" s="129"/>
      <c r="L97" s="129"/>
      <c r="M97" s="129"/>
      <c r="N97" s="129"/>
      <c r="O97" s="129">
        <f t="shared" si="5"/>
        <v>5.749634859184289E-2</v>
      </c>
      <c r="P97" s="129">
        <f>O97*(1+'Key Data'!F$3)</f>
        <v>7.1870435739803618E-2</v>
      </c>
      <c r="Q97" s="379"/>
      <c r="R97" s="379"/>
      <c r="S97" s="369"/>
    </row>
    <row r="98" spans="1:19" x14ac:dyDescent="0.3">
      <c r="A98" s="374"/>
      <c r="B98" s="374"/>
      <c r="C98" s="374"/>
      <c r="D98" s="374"/>
      <c r="E98" s="374"/>
      <c r="F98" s="374"/>
      <c r="G98" s="374"/>
      <c r="H98" s="374" t="s">
        <v>263</v>
      </c>
      <c r="I98" s="129">
        <v>14.5</v>
      </c>
      <c r="J98" s="129">
        <f t="shared" ref="J98:J129" si="6">I98/3.14</f>
        <v>4.6178343949044587</v>
      </c>
      <c r="K98" s="129"/>
      <c r="L98" s="129"/>
      <c r="M98" s="129"/>
      <c r="N98" s="129"/>
      <c r="O98" s="129">
        <f t="shared" ref="O98:O129" si="7">30.4*EXP(-5.07*EXP(-0.26*J98)+1.277)/1000</f>
        <v>2.3697280402321486E-2</v>
      </c>
      <c r="P98" s="129">
        <f>O98*(1+'Key Data'!F$3)</f>
        <v>2.9621600502901857E-2</v>
      </c>
      <c r="Q98" s="379"/>
      <c r="R98" s="379"/>
      <c r="S98" s="369"/>
    </row>
    <row r="99" spans="1:19" x14ac:dyDescent="0.3">
      <c r="A99" s="374"/>
      <c r="B99" s="374"/>
      <c r="C99" s="374"/>
      <c r="D99" s="374"/>
      <c r="E99" s="374"/>
      <c r="F99" s="374"/>
      <c r="G99" s="374"/>
      <c r="H99" s="374" t="s">
        <v>263</v>
      </c>
      <c r="I99" s="129">
        <v>17.5</v>
      </c>
      <c r="J99" s="129">
        <f t="shared" si="6"/>
        <v>5.5732484076433115</v>
      </c>
      <c r="K99" s="129"/>
      <c r="L99" s="129"/>
      <c r="M99" s="129"/>
      <c r="N99" s="129"/>
      <c r="O99" s="129">
        <f t="shared" si="7"/>
        <v>3.3149726237027465E-2</v>
      </c>
      <c r="P99" s="129">
        <f>O99*(1+'Key Data'!F$3)</f>
        <v>4.1437157796284332E-2</v>
      </c>
      <c r="Q99" s="379"/>
      <c r="R99" s="379"/>
      <c r="S99" s="369"/>
    </row>
    <row r="100" spans="1:19" x14ac:dyDescent="0.3">
      <c r="A100" s="374"/>
      <c r="B100" s="374"/>
      <c r="C100" s="374"/>
      <c r="D100" s="374"/>
      <c r="E100" s="374"/>
      <c r="F100" s="374"/>
      <c r="G100" s="374"/>
      <c r="H100" s="374" t="s">
        <v>263</v>
      </c>
      <c r="I100" s="129">
        <v>20</v>
      </c>
      <c r="J100" s="129">
        <f t="shared" si="6"/>
        <v>6.3694267515923562</v>
      </c>
      <c r="K100" s="129"/>
      <c r="L100" s="129"/>
      <c r="M100" s="129"/>
      <c r="N100" s="129"/>
      <c r="O100" s="129">
        <f t="shared" si="7"/>
        <v>4.1414189155155698E-2</v>
      </c>
      <c r="P100" s="129">
        <f>O100*(1+'Key Data'!F$3)</f>
        <v>5.1767736443944626E-2</v>
      </c>
      <c r="Q100" s="379"/>
      <c r="R100" s="379"/>
      <c r="S100" s="369"/>
    </row>
    <row r="101" spans="1:19" ht="15" customHeight="1" x14ac:dyDescent="0.3">
      <c r="A101" s="457">
        <v>5</v>
      </c>
      <c r="B101" s="457" t="s">
        <v>403</v>
      </c>
      <c r="C101" s="457" t="s">
        <v>425</v>
      </c>
      <c r="D101" s="457" t="s">
        <v>269</v>
      </c>
      <c r="E101" s="457">
        <v>13.387693000000001</v>
      </c>
      <c r="F101" s="457">
        <v>79.007180000000005</v>
      </c>
      <c r="G101" s="457">
        <v>2021</v>
      </c>
      <c r="H101" s="457" t="s">
        <v>263</v>
      </c>
      <c r="I101" s="201">
        <v>33.5</v>
      </c>
      <c r="J101" s="201">
        <f t="shared" si="6"/>
        <v>10.668789808917197</v>
      </c>
      <c r="K101" s="201"/>
      <c r="L101" s="201"/>
      <c r="M101" s="201"/>
      <c r="N101" s="201"/>
      <c r="O101" s="201">
        <f t="shared" si="7"/>
        <v>7.9438108670558588E-2</v>
      </c>
      <c r="P101" s="201">
        <f>O101*(1+'Key Data'!F$3)</f>
        <v>9.9297635838198228E-2</v>
      </c>
      <c r="Q101" s="472">
        <f>SUM(P101:P119)</f>
        <v>1.0125478923615543</v>
      </c>
      <c r="R101" s="472">
        <f>Q101*10000/900</f>
        <v>11.250532137350604</v>
      </c>
      <c r="S101" s="369"/>
    </row>
    <row r="102" spans="1:19" x14ac:dyDescent="0.3">
      <c r="A102" s="457"/>
      <c r="B102" s="457"/>
      <c r="C102" s="457"/>
      <c r="D102" s="457"/>
      <c r="E102" s="457"/>
      <c r="F102" s="457"/>
      <c r="G102" s="457"/>
      <c r="H102" s="457" t="s">
        <v>263</v>
      </c>
      <c r="I102" s="201">
        <v>3.5</v>
      </c>
      <c r="J102" s="201">
        <f t="shared" si="6"/>
        <v>1.1146496815286624</v>
      </c>
      <c r="K102" s="201"/>
      <c r="L102" s="201"/>
      <c r="M102" s="201"/>
      <c r="N102" s="201"/>
      <c r="O102" s="201">
        <f t="shared" si="7"/>
        <v>2.4522876936885108E-3</v>
      </c>
      <c r="P102" s="201">
        <f>O102*(1+'Key Data'!F$3)</f>
        <v>3.0653596171106383E-3</v>
      </c>
      <c r="Q102" s="472"/>
      <c r="R102" s="472"/>
      <c r="S102" s="369"/>
    </row>
    <row r="103" spans="1:19" x14ac:dyDescent="0.3">
      <c r="A103" s="457"/>
      <c r="B103" s="457"/>
      <c r="C103" s="457"/>
      <c r="D103" s="457"/>
      <c r="E103" s="457"/>
      <c r="F103" s="457"/>
      <c r="G103" s="457"/>
      <c r="H103" s="457" t="s">
        <v>263</v>
      </c>
      <c r="I103" s="201">
        <v>4</v>
      </c>
      <c r="J103" s="201">
        <f t="shared" si="6"/>
        <v>1.2738853503184713</v>
      </c>
      <c r="K103" s="201"/>
      <c r="L103" s="201"/>
      <c r="M103" s="201"/>
      <c r="N103" s="201"/>
      <c r="O103" s="201">
        <f t="shared" si="7"/>
        <v>2.8602461563405055E-3</v>
      </c>
      <c r="P103" s="201">
        <f>O103*(1+'Key Data'!F$3)</f>
        <v>3.5753076954256318E-3</v>
      </c>
      <c r="Q103" s="472"/>
      <c r="R103" s="472"/>
      <c r="S103" s="369"/>
    </row>
    <row r="104" spans="1:19" x14ac:dyDescent="0.3">
      <c r="A104" s="457"/>
      <c r="B104" s="457"/>
      <c r="C104" s="457"/>
      <c r="D104" s="457"/>
      <c r="E104" s="457"/>
      <c r="F104" s="457"/>
      <c r="G104" s="457"/>
      <c r="H104" s="457" t="s">
        <v>263</v>
      </c>
      <c r="I104" s="201">
        <v>4.5</v>
      </c>
      <c r="J104" s="201">
        <f t="shared" si="6"/>
        <v>1.4331210191082802</v>
      </c>
      <c r="K104" s="201"/>
      <c r="L104" s="201"/>
      <c r="M104" s="201"/>
      <c r="N104" s="201"/>
      <c r="O104" s="201">
        <f t="shared" si="7"/>
        <v>3.3153162922791198E-3</v>
      </c>
      <c r="P104" s="201">
        <f>O104*(1+'Key Data'!F$3)</f>
        <v>4.1441453653488997E-3</v>
      </c>
      <c r="Q104" s="472"/>
      <c r="R104" s="472"/>
      <c r="S104" s="369"/>
    </row>
    <row r="105" spans="1:19" x14ac:dyDescent="0.3">
      <c r="A105" s="457"/>
      <c r="B105" s="457"/>
      <c r="C105" s="457"/>
      <c r="D105" s="457"/>
      <c r="E105" s="457"/>
      <c r="F105" s="457"/>
      <c r="G105" s="457"/>
      <c r="H105" s="457" t="s">
        <v>263</v>
      </c>
      <c r="I105" s="201">
        <v>17</v>
      </c>
      <c r="J105" s="201">
        <f t="shared" si="6"/>
        <v>5.4140127388535033</v>
      </c>
      <c r="K105" s="201"/>
      <c r="L105" s="201"/>
      <c r="M105" s="201"/>
      <c r="N105" s="201"/>
      <c r="O105" s="201">
        <f t="shared" si="7"/>
        <v>3.152294203403376E-2</v>
      </c>
      <c r="P105" s="201">
        <f>O105*(1+'Key Data'!F$3)</f>
        <v>3.9403677542542204E-2</v>
      </c>
      <c r="Q105" s="472"/>
      <c r="R105" s="472"/>
      <c r="S105" s="369"/>
    </row>
    <row r="106" spans="1:19" x14ac:dyDescent="0.3">
      <c r="A106" s="457"/>
      <c r="B106" s="457"/>
      <c r="C106" s="457"/>
      <c r="D106" s="457"/>
      <c r="E106" s="457"/>
      <c r="F106" s="457"/>
      <c r="G106" s="457"/>
      <c r="H106" s="457" t="s">
        <v>263</v>
      </c>
      <c r="I106" s="201">
        <v>24</v>
      </c>
      <c r="J106" s="201">
        <f t="shared" si="6"/>
        <v>7.6433121019108281</v>
      </c>
      <c r="K106" s="201"/>
      <c r="L106" s="201"/>
      <c r="M106" s="201"/>
      <c r="N106" s="201"/>
      <c r="O106" s="201">
        <f t="shared" si="7"/>
        <v>5.4407175553130079E-2</v>
      </c>
      <c r="P106" s="201">
        <f>O106*(1+'Key Data'!F$3)</f>
        <v>6.8008969441412603E-2</v>
      </c>
      <c r="Q106" s="472"/>
      <c r="R106" s="472"/>
      <c r="S106" s="369"/>
    </row>
    <row r="107" spans="1:19" x14ac:dyDescent="0.3">
      <c r="A107" s="457"/>
      <c r="B107" s="457"/>
      <c r="C107" s="457"/>
      <c r="D107" s="457"/>
      <c r="E107" s="457"/>
      <c r="F107" s="457"/>
      <c r="G107" s="457"/>
      <c r="H107" s="457" t="s">
        <v>263</v>
      </c>
      <c r="I107" s="201">
        <v>51.5</v>
      </c>
      <c r="J107" s="201">
        <f t="shared" si="6"/>
        <v>16.401273885350317</v>
      </c>
      <c r="K107" s="201"/>
      <c r="L107" s="201"/>
      <c r="M107" s="201"/>
      <c r="N107" s="201"/>
      <c r="O107" s="201">
        <f t="shared" si="7"/>
        <v>0.10150945831821122</v>
      </c>
      <c r="P107" s="201">
        <f>O107*(1+'Key Data'!F$3)</f>
        <v>0.12688682289776401</v>
      </c>
      <c r="Q107" s="472"/>
      <c r="R107" s="472"/>
      <c r="S107" s="369"/>
    </row>
    <row r="108" spans="1:19" x14ac:dyDescent="0.3">
      <c r="A108" s="457"/>
      <c r="B108" s="457"/>
      <c r="C108" s="457"/>
      <c r="D108" s="457"/>
      <c r="E108" s="457"/>
      <c r="F108" s="457"/>
      <c r="G108" s="457"/>
      <c r="H108" s="457" t="s">
        <v>263</v>
      </c>
      <c r="I108" s="201">
        <f>SQRT(47*47+26.5*26.5)</f>
        <v>53.956000593075835</v>
      </c>
      <c r="J108" s="201">
        <f t="shared" si="6"/>
        <v>17.183439679323513</v>
      </c>
      <c r="K108" s="201"/>
      <c r="L108" s="201"/>
      <c r="M108" s="201"/>
      <c r="N108" s="201"/>
      <c r="O108" s="201">
        <f t="shared" si="7"/>
        <v>0.10284991047542986</v>
      </c>
      <c r="P108" s="201">
        <f>O108*(1+'Key Data'!F$3)</f>
        <v>0.12856238809428733</v>
      </c>
      <c r="Q108" s="472"/>
      <c r="R108" s="472"/>
      <c r="S108" s="369"/>
    </row>
    <row r="109" spans="1:19" x14ac:dyDescent="0.3">
      <c r="A109" s="457"/>
      <c r="B109" s="457"/>
      <c r="C109" s="457"/>
      <c r="D109" s="457"/>
      <c r="E109" s="457"/>
      <c r="F109" s="457"/>
      <c r="G109" s="457"/>
      <c r="H109" s="457" t="s">
        <v>263</v>
      </c>
      <c r="I109" s="201">
        <v>5</v>
      </c>
      <c r="J109" s="201">
        <f t="shared" si="6"/>
        <v>1.592356687898089</v>
      </c>
      <c r="K109" s="201"/>
      <c r="L109" s="201"/>
      <c r="M109" s="201"/>
      <c r="N109" s="201"/>
      <c r="O109" s="201">
        <f t="shared" si="7"/>
        <v>3.819847409337703E-3</v>
      </c>
      <c r="P109" s="201">
        <f>O109*(1+'Key Data'!F$3)</f>
        <v>4.7748092616721289E-3</v>
      </c>
      <c r="Q109" s="472"/>
      <c r="R109" s="472"/>
      <c r="S109" s="369"/>
    </row>
    <row r="110" spans="1:19" x14ac:dyDescent="0.3">
      <c r="A110" s="457"/>
      <c r="B110" s="457"/>
      <c r="C110" s="457"/>
      <c r="D110" s="457"/>
      <c r="E110" s="457"/>
      <c r="F110" s="457"/>
      <c r="G110" s="457"/>
      <c r="H110" s="457" t="s">
        <v>263</v>
      </c>
      <c r="I110" s="201">
        <f>SQRT(31.5*31.5+23*23)</f>
        <v>39.003204996512785</v>
      </c>
      <c r="J110" s="201">
        <f t="shared" si="6"/>
        <v>12.42140286513146</v>
      </c>
      <c r="K110" s="201"/>
      <c r="L110" s="201"/>
      <c r="M110" s="201"/>
      <c r="N110" s="201"/>
      <c r="O110" s="201">
        <f t="shared" si="7"/>
        <v>8.9192662507145221E-2</v>
      </c>
      <c r="P110" s="201">
        <f>O110*(1+'Key Data'!F$3)</f>
        <v>0.11149082813393152</v>
      </c>
      <c r="Q110" s="472"/>
      <c r="R110" s="472"/>
      <c r="S110" s="369"/>
    </row>
    <row r="111" spans="1:19" x14ac:dyDescent="0.3">
      <c r="A111" s="457"/>
      <c r="B111" s="457"/>
      <c r="C111" s="457"/>
      <c r="D111" s="457"/>
      <c r="E111" s="457"/>
      <c r="F111" s="457"/>
      <c r="G111" s="457"/>
      <c r="H111" s="457" t="s">
        <v>263</v>
      </c>
      <c r="I111" s="201">
        <v>38</v>
      </c>
      <c r="J111" s="201">
        <f t="shared" si="6"/>
        <v>12.101910828025478</v>
      </c>
      <c r="K111" s="201"/>
      <c r="L111" s="201"/>
      <c r="M111" s="201"/>
      <c r="N111" s="201"/>
      <c r="O111" s="201">
        <f t="shared" si="7"/>
        <v>8.7655984615502475E-2</v>
      </c>
      <c r="P111" s="201">
        <f>O111*(1+'Key Data'!F$3)</f>
        <v>0.1095699807693781</v>
      </c>
      <c r="Q111" s="472"/>
      <c r="R111" s="472"/>
      <c r="S111" s="369"/>
    </row>
    <row r="112" spans="1:19" x14ac:dyDescent="0.3">
      <c r="A112" s="457"/>
      <c r="B112" s="457"/>
      <c r="C112" s="457"/>
      <c r="D112" s="457"/>
      <c r="E112" s="457"/>
      <c r="F112" s="457"/>
      <c r="G112" s="457"/>
      <c r="H112" s="457" t="s">
        <v>263</v>
      </c>
      <c r="I112" s="201">
        <v>36</v>
      </c>
      <c r="J112" s="201">
        <f t="shared" si="6"/>
        <v>11.464968152866241</v>
      </c>
      <c r="K112" s="201"/>
      <c r="L112" s="201"/>
      <c r="M112" s="201"/>
      <c r="N112" s="201"/>
      <c r="O112" s="201">
        <f t="shared" si="7"/>
        <v>8.4280664533466707E-2</v>
      </c>
      <c r="P112" s="201">
        <f>O112*(1+'Key Data'!F$3)</f>
        <v>0.10535083066683339</v>
      </c>
      <c r="Q112" s="472"/>
      <c r="R112" s="472"/>
      <c r="S112" s="369"/>
    </row>
    <row r="113" spans="1:19" x14ac:dyDescent="0.3">
      <c r="A113" s="457"/>
      <c r="B113" s="457"/>
      <c r="C113" s="457"/>
      <c r="D113" s="457"/>
      <c r="E113" s="457"/>
      <c r="F113" s="457"/>
      <c r="G113" s="457"/>
      <c r="H113" s="457" t="s">
        <v>263</v>
      </c>
      <c r="I113" s="201">
        <v>33</v>
      </c>
      <c r="J113" s="201">
        <f t="shared" si="6"/>
        <v>10.509554140127388</v>
      </c>
      <c r="K113" s="201"/>
      <c r="L113" s="201"/>
      <c r="M113" s="201"/>
      <c r="N113" s="201"/>
      <c r="O113" s="201">
        <f t="shared" si="7"/>
        <v>7.8382538522569559E-2</v>
      </c>
      <c r="P113" s="201">
        <f>O113*(1+'Key Data'!F$3)</f>
        <v>9.7978173153211945E-2</v>
      </c>
      <c r="Q113" s="472"/>
      <c r="R113" s="472"/>
      <c r="S113" s="369"/>
    </row>
    <row r="114" spans="1:19" x14ac:dyDescent="0.3">
      <c r="A114" s="457"/>
      <c r="B114" s="457"/>
      <c r="C114" s="457"/>
      <c r="D114" s="457"/>
      <c r="E114" s="457"/>
      <c r="F114" s="457"/>
      <c r="G114" s="457"/>
      <c r="H114" s="457" t="s">
        <v>263</v>
      </c>
      <c r="I114" s="201">
        <v>4</v>
      </c>
      <c r="J114" s="201">
        <f t="shared" si="6"/>
        <v>1.2738853503184713</v>
      </c>
      <c r="K114" s="201"/>
      <c r="L114" s="201"/>
      <c r="M114" s="201"/>
      <c r="N114" s="201"/>
      <c r="O114" s="201">
        <f t="shared" si="7"/>
        <v>2.8602461563405055E-3</v>
      </c>
      <c r="P114" s="201">
        <f>O114*(1+'Key Data'!F$3)</f>
        <v>3.5753076954256318E-3</v>
      </c>
      <c r="Q114" s="472"/>
      <c r="R114" s="472"/>
      <c r="S114" s="369"/>
    </row>
    <row r="115" spans="1:19" x14ac:dyDescent="0.3">
      <c r="A115" s="457"/>
      <c r="B115" s="457"/>
      <c r="C115" s="457"/>
      <c r="D115" s="457"/>
      <c r="E115" s="457"/>
      <c r="F115" s="457"/>
      <c r="G115" s="457"/>
      <c r="H115" s="457" t="s">
        <v>263</v>
      </c>
      <c r="I115" s="201">
        <v>4</v>
      </c>
      <c r="J115" s="201">
        <f t="shared" si="6"/>
        <v>1.2738853503184713</v>
      </c>
      <c r="K115" s="201"/>
      <c r="L115" s="201"/>
      <c r="M115" s="201"/>
      <c r="N115" s="201"/>
      <c r="O115" s="201">
        <f t="shared" si="7"/>
        <v>2.8602461563405055E-3</v>
      </c>
      <c r="P115" s="201">
        <f>O115*(1+'Key Data'!F$3)</f>
        <v>3.5753076954256318E-3</v>
      </c>
      <c r="Q115" s="472"/>
      <c r="R115" s="472"/>
      <c r="S115" s="369"/>
    </row>
    <row r="116" spans="1:19" x14ac:dyDescent="0.3">
      <c r="A116" s="457"/>
      <c r="B116" s="457"/>
      <c r="C116" s="457"/>
      <c r="D116" s="457"/>
      <c r="E116" s="457"/>
      <c r="F116" s="457"/>
      <c r="G116" s="457"/>
      <c r="H116" s="457" t="s">
        <v>263</v>
      </c>
      <c r="I116" s="201">
        <v>31</v>
      </c>
      <c r="J116" s="201">
        <f t="shared" si="6"/>
        <v>9.872611464968152</v>
      </c>
      <c r="K116" s="201"/>
      <c r="L116" s="201"/>
      <c r="M116" s="201"/>
      <c r="N116" s="201"/>
      <c r="O116" s="201">
        <f t="shared" si="7"/>
        <v>7.3861700758365859E-2</v>
      </c>
      <c r="P116" s="201">
        <f>O116*(1+'Key Data'!F$3)</f>
        <v>9.232712594795732E-2</v>
      </c>
      <c r="Q116" s="472"/>
      <c r="R116" s="472"/>
      <c r="S116" s="369"/>
    </row>
    <row r="117" spans="1:19" x14ac:dyDescent="0.3">
      <c r="A117" s="457"/>
      <c r="B117" s="457"/>
      <c r="C117" s="457"/>
      <c r="D117" s="457"/>
      <c r="E117" s="457"/>
      <c r="F117" s="457"/>
      <c r="G117" s="457"/>
      <c r="H117" s="457" t="s">
        <v>263</v>
      </c>
      <c r="I117" s="201">
        <v>5</v>
      </c>
      <c r="J117" s="201">
        <f t="shared" si="6"/>
        <v>1.592356687898089</v>
      </c>
      <c r="K117" s="201"/>
      <c r="L117" s="201"/>
      <c r="M117" s="201"/>
      <c r="N117" s="201"/>
      <c r="O117" s="201">
        <f t="shared" si="7"/>
        <v>3.819847409337703E-3</v>
      </c>
      <c r="P117" s="201">
        <f>O117*(1+'Key Data'!F$3)</f>
        <v>4.7748092616721289E-3</v>
      </c>
      <c r="Q117" s="472"/>
      <c r="R117" s="472"/>
      <c r="S117" s="369"/>
    </row>
    <row r="118" spans="1:19" x14ac:dyDescent="0.3">
      <c r="A118" s="457"/>
      <c r="B118" s="457"/>
      <c r="C118" s="457"/>
      <c r="D118" s="457"/>
      <c r="E118" s="457"/>
      <c r="F118" s="457"/>
      <c r="G118" s="457"/>
      <c r="H118" s="457" t="s">
        <v>263</v>
      </c>
      <c r="I118" s="201">
        <v>3</v>
      </c>
      <c r="J118" s="201">
        <f t="shared" si="6"/>
        <v>0.95541401273885351</v>
      </c>
      <c r="K118" s="201"/>
      <c r="L118" s="201"/>
      <c r="M118" s="201"/>
      <c r="N118" s="201"/>
      <c r="O118" s="201">
        <f t="shared" si="7"/>
        <v>2.0888844708251823E-3</v>
      </c>
      <c r="P118" s="201">
        <f>O118*(1+'Key Data'!F$3)</f>
        <v>2.6111055885314777E-3</v>
      </c>
      <c r="Q118" s="472"/>
      <c r="R118" s="472"/>
      <c r="S118" s="369"/>
    </row>
    <row r="119" spans="1:19" x14ac:dyDescent="0.3">
      <c r="A119" s="457"/>
      <c r="B119" s="457"/>
      <c r="C119" s="457"/>
      <c r="D119" s="457"/>
      <c r="E119" s="457"/>
      <c r="F119" s="457"/>
      <c r="G119" s="457"/>
      <c r="H119" s="457" t="s">
        <v>263</v>
      </c>
      <c r="I119" s="201">
        <v>4</v>
      </c>
      <c r="J119" s="201">
        <f t="shared" si="6"/>
        <v>1.2738853503184713</v>
      </c>
      <c r="K119" s="201"/>
      <c r="L119" s="201"/>
      <c r="M119" s="201"/>
      <c r="N119" s="201"/>
      <c r="O119" s="201">
        <f t="shared" si="7"/>
        <v>2.8602461563405055E-3</v>
      </c>
      <c r="P119" s="201">
        <f>O119*(1+'Key Data'!F$3)</f>
        <v>3.5753076954256318E-3</v>
      </c>
      <c r="Q119" s="472"/>
      <c r="R119" s="472"/>
      <c r="S119" s="369"/>
    </row>
    <row r="120" spans="1:19" ht="15" customHeight="1" x14ac:dyDescent="0.3">
      <c r="A120" s="374">
        <v>6</v>
      </c>
      <c r="B120" s="374" t="s">
        <v>404</v>
      </c>
      <c r="C120" s="374" t="s">
        <v>273</v>
      </c>
      <c r="D120" s="374" t="s">
        <v>270</v>
      </c>
      <c r="E120" s="374">
        <v>14.210017000000001</v>
      </c>
      <c r="F120" s="374">
        <v>78.222284999999999</v>
      </c>
      <c r="G120" s="374">
        <v>2021</v>
      </c>
      <c r="H120" s="374" t="s">
        <v>263</v>
      </c>
      <c r="I120" s="129">
        <v>27.5</v>
      </c>
      <c r="J120" s="129">
        <f t="shared" si="6"/>
        <v>8.7579617834394909</v>
      </c>
      <c r="K120" s="129"/>
      <c r="L120" s="129"/>
      <c r="M120" s="129"/>
      <c r="N120" s="129"/>
      <c r="O120" s="129">
        <f t="shared" si="7"/>
        <v>6.4802231741112215E-2</v>
      </c>
      <c r="P120" s="129">
        <f>O120*(1+'Key Data'!F$3)</f>
        <v>8.1002789676390269E-2</v>
      </c>
      <c r="Q120" s="379">
        <f>SUM(P120:P141)</f>
        <v>2.2759885544222125</v>
      </c>
      <c r="R120" s="379">
        <f>Q120*10000/900</f>
        <v>25.288761715802362</v>
      </c>
      <c r="S120" s="369"/>
    </row>
    <row r="121" spans="1:19" x14ac:dyDescent="0.3">
      <c r="A121" s="374"/>
      <c r="B121" s="374"/>
      <c r="C121" s="374"/>
      <c r="D121" s="374"/>
      <c r="E121" s="374"/>
      <c r="F121" s="374"/>
      <c r="G121" s="374"/>
      <c r="H121" s="374" t="s">
        <v>263</v>
      </c>
      <c r="I121" s="129">
        <v>29.7</v>
      </c>
      <c r="J121" s="129">
        <f t="shared" si="6"/>
        <v>9.4585987261146496</v>
      </c>
      <c r="K121" s="129"/>
      <c r="L121" s="129"/>
      <c r="M121" s="129"/>
      <c r="N121" s="129"/>
      <c r="O121" s="129">
        <f t="shared" si="7"/>
        <v>7.0665410253286015E-2</v>
      </c>
      <c r="P121" s="129">
        <f>O121*(1+'Key Data'!F$3)</f>
        <v>8.8331762816607512E-2</v>
      </c>
      <c r="Q121" s="379"/>
      <c r="R121" s="379"/>
      <c r="S121" s="369"/>
    </row>
    <row r="122" spans="1:19" x14ac:dyDescent="0.3">
      <c r="A122" s="374"/>
      <c r="B122" s="374"/>
      <c r="C122" s="374"/>
      <c r="D122" s="374"/>
      <c r="E122" s="374"/>
      <c r="F122" s="374"/>
      <c r="G122" s="374"/>
      <c r="H122" s="374" t="s">
        <v>263</v>
      </c>
      <c r="I122" s="129">
        <v>31.4</v>
      </c>
      <c r="J122" s="129">
        <f t="shared" si="6"/>
        <v>10</v>
      </c>
      <c r="K122" s="129"/>
      <c r="L122" s="129"/>
      <c r="M122" s="129"/>
      <c r="N122" s="129"/>
      <c r="O122" s="129">
        <f t="shared" si="7"/>
        <v>7.4804314729443017E-2</v>
      </c>
      <c r="P122" s="129">
        <f>O122*(1+'Key Data'!F$3)</f>
        <v>9.3505393411803778E-2</v>
      </c>
      <c r="Q122" s="379"/>
      <c r="R122" s="379"/>
      <c r="S122" s="369"/>
    </row>
    <row r="123" spans="1:19" x14ac:dyDescent="0.3">
      <c r="A123" s="374"/>
      <c r="B123" s="374"/>
      <c r="C123" s="374"/>
      <c r="D123" s="374"/>
      <c r="E123" s="374"/>
      <c r="F123" s="374"/>
      <c r="G123" s="374"/>
      <c r="H123" s="374" t="s">
        <v>263</v>
      </c>
      <c r="I123" s="129">
        <v>38</v>
      </c>
      <c r="J123" s="129">
        <f t="shared" si="6"/>
        <v>12.101910828025478</v>
      </c>
      <c r="K123" s="129"/>
      <c r="L123" s="129"/>
      <c r="M123" s="129"/>
      <c r="N123" s="129"/>
      <c r="O123" s="129">
        <f t="shared" si="7"/>
        <v>8.7655984615502475E-2</v>
      </c>
      <c r="P123" s="129">
        <f>O123*(1+'Key Data'!F$3)</f>
        <v>0.1095699807693781</v>
      </c>
      <c r="Q123" s="379"/>
      <c r="R123" s="379"/>
      <c r="S123" s="369"/>
    </row>
    <row r="124" spans="1:19" x14ac:dyDescent="0.3">
      <c r="A124" s="374"/>
      <c r="B124" s="374"/>
      <c r="C124" s="374"/>
      <c r="D124" s="374"/>
      <c r="E124" s="374"/>
      <c r="F124" s="374"/>
      <c r="G124" s="374"/>
      <c r="H124" s="374" t="s">
        <v>263</v>
      </c>
      <c r="I124" s="129">
        <v>36</v>
      </c>
      <c r="J124" s="129">
        <f t="shared" si="6"/>
        <v>11.464968152866241</v>
      </c>
      <c r="K124" s="129"/>
      <c r="L124" s="129"/>
      <c r="M124" s="129"/>
      <c r="N124" s="129"/>
      <c r="O124" s="129">
        <f t="shared" si="7"/>
        <v>8.4280664533466707E-2</v>
      </c>
      <c r="P124" s="129">
        <f>O124*(1+'Key Data'!F$3)</f>
        <v>0.10535083066683339</v>
      </c>
      <c r="Q124" s="379"/>
      <c r="R124" s="379"/>
      <c r="S124" s="369"/>
    </row>
    <row r="125" spans="1:19" x14ac:dyDescent="0.3">
      <c r="A125" s="374"/>
      <c r="B125" s="374"/>
      <c r="C125" s="374"/>
      <c r="D125" s="374"/>
      <c r="E125" s="374"/>
      <c r="F125" s="374"/>
      <c r="G125" s="374"/>
      <c r="H125" s="374" t="s">
        <v>263</v>
      </c>
      <c r="I125" s="129">
        <v>33</v>
      </c>
      <c r="J125" s="129">
        <f t="shared" si="6"/>
        <v>10.509554140127388</v>
      </c>
      <c r="K125" s="129"/>
      <c r="L125" s="129"/>
      <c r="M125" s="129"/>
      <c r="N125" s="129"/>
      <c r="O125" s="129">
        <f t="shared" si="7"/>
        <v>7.8382538522569559E-2</v>
      </c>
      <c r="P125" s="203">
        <f>O125*(1+'Key Data'!F$3)</f>
        <v>9.7978173153211945E-2</v>
      </c>
      <c r="Q125" s="379"/>
      <c r="R125" s="379"/>
      <c r="S125" s="369"/>
    </row>
    <row r="126" spans="1:19" x14ac:dyDescent="0.3">
      <c r="A126" s="374"/>
      <c r="B126" s="374"/>
      <c r="C126" s="374"/>
      <c r="D126" s="374"/>
      <c r="E126" s="374"/>
      <c r="F126" s="374"/>
      <c r="G126" s="374"/>
      <c r="H126" s="374" t="s">
        <v>263</v>
      </c>
      <c r="I126" s="129">
        <v>35.200000000000003</v>
      </c>
      <c r="J126" s="129">
        <f t="shared" si="6"/>
        <v>11.210191082802549</v>
      </c>
      <c r="K126" s="129"/>
      <c r="L126" s="129"/>
      <c r="M126" s="129"/>
      <c r="N126" s="129"/>
      <c r="O126" s="129">
        <f t="shared" si="7"/>
        <v>8.2808596762553602E-2</v>
      </c>
      <c r="P126" s="203">
        <f>O126*(1+'Key Data'!F$3)</f>
        <v>0.103510745953192</v>
      </c>
      <c r="Q126" s="379"/>
      <c r="R126" s="379"/>
      <c r="S126" s="369"/>
    </row>
    <row r="127" spans="1:19" x14ac:dyDescent="0.3">
      <c r="A127" s="374"/>
      <c r="B127" s="374"/>
      <c r="C127" s="374"/>
      <c r="D127" s="374"/>
      <c r="E127" s="374"/>
      <c r="F127" s="374"/>
      <c r="G127" s="374"/>
      <c r="H127" s="374" t="s">
        <v>263</v>
      </c>
      <c r="I127" s="129">
        <v>35.799999999999997</v>
      </c>
      <c r="J127" s="129">
        <f t="shared" si="6"/>
        <v>11.401273885350317</v>
      </c>
      <c r="K127" s="129"/>
      <c r="L127" s="129"/>
      <c r="M127" s="129"/>
      <c r="N127" s="129"/>
      <c r="O127" s="129">
        <f t="shared" si="7"/>
        <v>8.3919343527986162E-2</v>
      </c>
      <c r="P127" s="203">
        <f>O127*(1+'Key Data'!F$3)</f>
        <v>0.1048991794099827</v>
      </c>
      <c r="Q127" s="379"/>
      <c r="R127" s="379"/>
      <c r="S127" s="369"/>
    </row>
    <row r="128" spans="1:19" x14ac:dyDescent="0.3">
      <c r="A128" s="374"/>
      <c r="B128" s="374"/>
      <c r="C128" s="374"/>
      <c r="D128" s="374"/>
      <c r="E128" s="374"/>
      <c r="F128" s="374"/>
      <c r="G128" s="374"/>
      <c r="H128" s="374" t="s">
        <v>263</v>
      </c>
      <c r="I128" s="129">
        <v>51</v>
      </c>
      <c r="J128" s="129">
        <f t="shared" si="6"/>
        <v>16.242038216560509</v>
      </c>
      <c r="K128" s="129"/>
      <c r="L128" s="129"/>
      <c r="M128" s="129"/>
      <c r="N128" s="129"/>
      <c r="O128" s="129">
        <f t="shared" si="7"/>
        <v>0.10120402272427799</v>
      </c>
      <c r="P128" s="203">
        <f>O128*(1+'Key Data'!F$3)</f>
        <v>0.1265050284053475</v>
      </c>
      <c r="Q128" s="379"/>
      <c r="R128" s="379"/>
      <c r="S128" s="369"/>
    </row>
    <row r="129" spans="1:19" x14ac:dyDescent="0.3">
      <c r="A129" s="374"/>
      <c r="B129" s="374"/>
      <c r="C129" s="374"/>
      <c r="D129" s="374"/>
      <c r="E129" s="374"/>
      <c r="F129" s="374"/>
      <c r="G129" s="374"/>
      <c r="H129" s="374" t="s">
        <v>263</v>
      </c>
      <c r="I129" s="129">
        <v>39</v>
      </c>
      <c r="J129" s="129">
        <f t="shared" si="6"/>
        <v>12.420382165605096</v>
      </c>
      <c r="K129" s="129"/>
      <c r="L129" s="129"/>
      <c r="M129" s="129"/>
      <c r="N129" s="129"/>
      <c r="O129" s="129">
        <f t="shared" si="7"/>
        <v>8.9187912740586753E-2</v>
      </c>
      <c r="P129" s="203">
        <f>O129*(1+'Key Data'!F$3)</f>
        <v>0.11148489092573344</v>
      </c>
      <c r="Q129" s="379"/>
      <c r="R129" s="379"/>
      <c r="S129" s="369"/>
    </row>
    <row r="130" spans="1:19" x14ac:dyDescent="0.3">
      <c r="A130" s="374"/>
      <c r="B130" s="374"/>
      <c r="C130" s="374"/>
      <c r="D130" s="374"/>
      <c r="E130" s="374"/>
      <c r="F130" s="374"/>
      <c r="G130" s="374"/>
      <c r="H130" s="374" t="s">
        <v>263</v>
      </c>
      <c r="I130" s="129">
        <v>49</v>
      </c>
      <c r="J130" s="129">
        <f t="shared" ref="J130:J161" si="8">I130/3.14</f>
        <v>15.605095541401273</v>
      </c>
      <c r="K130" s="129"/>
      <c r="L130" s="129"/>
      <c r="M130" s="129"/>
      <c r="N130" s="129"/>
      <c r="O130" s="129">
        <f t="shared" ref="O130:O161" si="9">30.4*EXP(-5.07*EXP(-0.26*J130)+1.277)/1000</f>
        <v>9.9858663261479449E-2</v>
      </c>
      <c r="P130" s="203">
        <f>O130*(1+'Key Data'!F$3)</f>
        <v>0.12482332907684932</v>
      </c>
      <c r="Q130" s="379"/>
      <c r="R130" s="379"/>
      <c r="S130" s="369"/>
    </row>
    <row r="131" spans="1:19" x14ac:dyDescent="0.3">
      <c r="A131" s="374"/>
      <c r="B131" s="374"/>
      <c r="C131" s="374"/>
      <c r="D131" s="374"/>
      <c r="E131" s="374"/>
      <c r="F131" s="374"/>
      <c r="G131" s="374"/>
      <c r="H131" s="374" t="s">
        <v>263</v>
      </c>
      <c r="I131" s="129">
        <v>41.5</v>
      </c>
      <c r="J131" s="129">
        <f t="shared" si="8"/>
        <v>13.216560509554139</v>
      </c>
      <c r="K131" s="129"/>
      <c r="L131" s="129"/>
      <c r="M131" s="129"/>
      <c r="N131" s="129"/>
      <c r="O131" s="129">
        <f t="shared" si="9"/>
        <v>9.2598502849227715E-2</v>
      </c>
      <c r="P131" s="203">
        <f>O131*(1+'Key Data'!F$3)</f>
        <v>0.11574812856153464</v>
      </c>
      <c r="Q131" s="379"/>
      <c r="R131" s="379"/>
      <c r="S131" s="369"/>
    </row>
    <row r="132" spans="1:19" x14ac:dyDescent="0.3">
      <c r="A132" s="374"/>
      <c r="B132" s="374"/>
      <c r="C132" s="374"/>
      <c r="D132" s="374"/>
      <c r="E132" s="374"/>
      <c r="F132" s="374"/>
      <c r="G132" s="374"/>
      <c r="H132" s="374" t="s">
        <v>263</v>
      </c>
      <c r="I132" s="129">
        <v>35.200000000000003</v>
      </c>
      <c r="J132" s="129">
        <f t="shared" si="8"/>
        <v>11.210191082802549</v>
      </c>
      <c r="K132" s="129"/>
      <c r="L132" s="129"/>
      <c r="M132" s="129"/>
      <c r="N132" s="129"/>
      <c r="O132" s="129">
        <f t="shared" si="9"/>
        <v>8.2808596762553602E-2</v>
      </c>
      <c r="P132" s="203">
        <f>O132*(1+'Key Data'!F$3)</f>
        <v>0.103510745953192</v>
      </c>
      <c r="Q132" s="379"/>
      <c r="R132" s="379"/>
      <c r="S132" s="369"/>
    </row>
    <row r="133" spans="1:19" x14ac:dyDescent="0.3">
      <c r="A133" s="374"/>
      <c r="B133" s="374"/>
      <c r="C133" s="374"/>
      <c r="D133" s="374"/>
      <c r="E133" s="374"/>
      <c r="F133" s="374"/>
      <c r="G133" s="374"/>
      <c r="H133" s="374" t="s">
        <v>263</v>
      </c>
      <c r="I133" s="129">
        <v>29</v>
      </c>
      <c r="J133" s="129">
        <f t="shared" si="8"/>
        <v>9.2356687898089174</v>
      </c>
      <c r="K133" s="129"/>
      <c r="L133" s="129"/>
      <c r="M133" s="129"/>
      <c r="N133" s="129"/>
      <c r="O133" s="129">
        <f t="shared" si="9"/>
        <v>6.8860872127670267E-2</v>
      </c>
      <c r="P133" s="203">
        <f>O133*(1+'Key Data'!F$3)</f>
        <v>8.6076090159587837E-2</v>
      </c>
      <c r="Q133" s="379"/>
      <c r="R133" s="379"/>
      <c r="S133" s="369"/>
    </row>
    <row r="134" spans="1:19" x14ac:dyDescent="0.3">
      <c r="A134" s="374"/>
      <c r="B134" s="374"/>
      <c r="C134" s="374"/>
      <c r="D134" s="374"/>
      <c r="E134" s="374"/>
      <c r="F134" s="374"/>
      <c r="G134" s="374"/>
      <c r="H134" s="374" t="s">
        <v>263</v>
      </c>
      <c r="I134" s="129">
        <v>43.5</v>
      </c>
      <c r="J134" s="129">
        <f t="shared" si="8"/>
        <v>13.853503184713375</v>
      </c>
      <c r="K134" s="129"/>
      <c r="L134" s="129"/>
      <c r="M134" s="129"/>
      <c r="N134" s="129"/>
      <c r="O134" s="129">
        <f t="shared" si="9"/>
        <v>9.4933418908849487E-2</v>
      </c>
      <c r="P134" s="203">
        <f>O134*(1+'Key Data'!F$3)</f>
        <v>0.11866677363606186</v>
      </c>
      <c r="Q134" s="379"/>
      <c r="R134" s="379"/>
      <c r="S134" s="369"/>
    </row>
    <row r="135" spans="1:19" x14ac:dyDescent="0.3">
      <c r="A135" s="374"/>
      <c r="B135" s="374"/>
      <c r="C135" s="374"/>
      <c r="D135" s="374"/>
      <c r="E135" s="374"/>
      <c r="F135" s="374"/>
      <c r="G135" s="374"/>
      <c r="H135" s="374" t="s">
        <v>263</v>
      </c>
      <c r="I135" s="129">
        <v>37.5</v>
      </c>
      <c r="J135" s="129">
        <f t="shared" si="8"/>
        <v>11.942675159235668</v>
      </c>
      <c r="K135" s="129"/>
      <c r="L135" s="129"/>
      <c r="M135" s="129"/>
      <c r="N135" s="129"/>
      <c r="O135" s="129">
        <f t="shared" si="9"/>
        <v>8.6851868889739878E-2</v>
      </c>
      <c r="P135" s="203">
        <f>O135*(1+'Key Data'!F$3)</f>
        <v>0.10856483611217485</v>
      </c>
      <c r="Q135" s="379"/>
      <c r="R135" s="379"/>
      <c r="S135" s="369"/>
    </row>
    <row r="136" spans="1:19" x14ac:dyDescent="0.3">
      <c r="A136" s="374"/>
      <c r="B136" s="374"/>
      <c r="C136" s="374"/>
      <c r="D136" s="374"/>
      <c r="E136" s="374"/>
      <c r="F136" s="374"/>
      <c r="G136" s="374"/>
      <c r="H136" s="374" t="s">
        <v>263</v>
      </c>
      <c r="I136" s="129">
        <v>43</v>
      </c>
      <c r="J136" s="129">
        <f t="shared" si="8"/>
        <v>13.694267515923567</v>
      </c>
      <c r="K136" s="129"/>
      <c r="L136" s="129"/>
      <c r="M136" s="129"/>
      <c r="N136" s="129"/>
      <c r="O136" s="129">
        <f t="shared" si="9"/>
        <v>9.4380191787958062E-2</v>
      </c>
      <c r="P136" s="203">
        <f>O136*(1+'Key Data'!F$3)</f>
        <v>0.11797523973494758</v>
      </c>
      <c r="Q136" s="379"/>
      <c r="R136" s="379"/>
      <c r="S136" s="369"/>
    </row>
    <row r="137" spans="1:19" x14ac:dyDescent="0.3">
      <c r="A137" s="374"/>
      <c r="B137" s="374"/>
      <c r="C137" s="374"/>
      <c r="D137" s="374"/>
      <c r="E137" s="374"/>
      <c r="F137" s="374"/>
      <c r="G137" s="374"/>
      <c r="H137" s="374" t="s">
        <v>263</v>
      </c>
      <c r="I137" s="129">
        <v>32</v>
      </c>
      <c r="J137" s="129">
        <f t="shared" si="8"/>
        <v>10.19108280254777</v>
      </c>
      <c r="K137" s="129"/>
      <c r="L137" s="129"/>
      <c r="M137" s="129"/>
      <c r="N137" s="129"/>
      <c r="O137" s="129">
        <f t="shared" si="9"/>
        <v>7.6182125605509077E-2</v>
      </c>
      <c r="P137" s="203">
        <f>O137*(1+'Key Data'!F$3)</f>
        <v>9.5227657006886346E-2</v>
      </c>
      <c r="Q137" s="379"/>
      <c r="R137" s="379"/>
      <c r="S137" s="369"/>
    </row>
    <row r="138" spans="1:19" x14ac:dyDescent="0.3">
      <c r="A138" s="374"/>
      <c r="B138" s="374"/>
      <c r="C138" s="374"/>
      <c r="D138" s="374"/>
      <c r="E138" s="374"/>
      <c r="F138" s="374"/>
      <c r="G138" s="374"/>
      <c r="H138" s="374" t="s">
        <v>263</v>
      </c>
      <c r="I138" s="129">
        <v>35</v>
      </c>
      <c r="J138" s="129">
        <f t="shared" si="8"/>
        <v>11.146496815286623</v>
      </c>
      <c r="K138" s="129"/>
      <c r="L138" s="129"/>
      <c r="M138" s="129"/>
      <c r="N138" s="129"/>
      <c r="O138" s="129">
        <f t="shared" si="9"/>
        <v>8.2429329470591506E-2</v>
      </c>
      <c r="P138" s="203">
        <f>O138*(1+'Key Data'!F$3)</f>
        <v>0.10303666183823938</v>
      </c>
      <c r="Q138" s="379"/>
      <c r="R138" s="379"/>
      <c r="S138" s="369"/>
    </row>
    <row r="139" spans="1:19" x14ac:dyDescent="0.3">
      <c r="A139" s="374"/>
      <c r="B139" s="374"/>
      <c r="C139" s="374"/>
      <c r="D139" s="374"/>
      <c r="E139" s="374"/>
      <c r="F139" s="374"/>
      <c r="G139" s="374"/>
      <c r="H139" s="374" t="s">
        <v>263</v>
      </c>
      <c r="I139" s="129">
        <v>23.6</v>
      </c>
      <c r="J139" s="129">
        <f t="shared" si="8"/>
        <v>7.515923566878981</v>
      </c>
      <c r="K139" s="129"/>
      <c r="L139" s="129"/>
      <c r="M139" s="129"/>
      <c r="N139" s="129"/>
      <c r="O139" s="129">
        <f t="shared" si="9"/>
        <v>5.3148681012470972E-2</v>
      </c>
      <c r="P139" s="203">
        <f>O139*(1+'Key Data'!F$3)</f>
        <v>6.6435851265588708E-2</v>
      </c>
      <c r="Q139" s="379"/>
      <c r="R139" s="379"/>
      <c r="S139" s="369"/>
    </row>
    <row r="140" spans="1:19" x14ac:dyDescent="0.3">
      <c r="A140" s="374"/>
      <c r="B140" s="374"/>
      <c r="C140" s="374"/>
      <c r="D140" s="374"/>
      <c r="E140" s="374"/>
      <c r="F140" s="374"/>
      <c r="G140" s="374"/>
      <c r="H140" s="374" t="s">
        <v>263</v>
      </c>
      <c r="I140" s="129">
        <v>41.2</v>
      </c>
      <c r="J140" s="129">
        <f t="shared" si="8"/>
        <v>13.121019108280255</v>
      </c>
      <c r="K140" s="129"/>
      <c r="L140" s="129"/>
      <c r="M140" s="129"/>
      <c r="N140" s="129"/>
      <c r="O140" s="129">
        <f t="shared" si="9"/>
        <v>9.2219255408552123E-2</v>
      </c>
      <c r="P140" s="203">
        <f>O140*(1+'Key Data'!F$3)</f>
        <v>0.11527406926069016</v>
      </c>
      <c r="Q140" s="379"/>
      <c r="R140" s="379"/>
      <c r="S140" s="369"/>
    </row>
    <row r="141" spans="1:19" x14ac:dyDescent="0.3">
      <c r="A141" s="374"/>
      <c r="B141" s="374"/>
      <c r="C141" s="374"/>
      <c r="D141" s="374"/>
      <c r="E141" s="374"/>
      <c r="F141" s="374"/>
      <c r="G141" s="374"/>
      <c r="H141" s="374" t="s">
        <v>263</v>
      </c>
      <c r="I141" s="129">
        <v>33.200000000000003</v>
      </c>
      <c r="J141" s="129">
        <f t="shared" si="8"/>
        <v>10.573248407643312</v>
      </c>
      <c r="K141" s="129"/>
      <c r="L141" s="129"/>
      <c r="M141" s="129"/>
      <c r="N141" s="129"/>
      <c r="O141" s="129">
        <f t="shared" si="9"/>
        <v>7.8808317302383107E-2</v>
      </c>
      <c r="P141" s="203">
        <f>O141*(1+'Key Data'!F$3)</f>
        <v>9.8510396627978891E-2</v>
      </c>
      <c r="Q141" s="379"/>
      <c r="R141" s="379"/>
      <c r="S141" s="369"/>
    </row>
    <row r="142" spans="1:19" ht="15" customHeight="1" x14ac:dyDescent="0.3">
      <c r="A142" s="457">
        <v>7</v>
      </c>
      <c r="B142" s="457" t="s">
        <v>405</v>
      </c>
      <c r="C142" s="457" t="s">
        <v>274</v>
      </c>
      <c r="D142" s="457" t="s">
        <v>270</v>
      </c>
      <c r="E142" s="457">
        <v>14.209857</v>
      </c>
      <c r="F142" s="457">
        <v>78.224018000000001</v>
      </c>
      <c r="G142" s="457">
        <v>2021</v>
      </c>
      <c r="H142" s="457" t="s">
        <v>263</v>
      </c>
      <c r="I142" s="201">
        <v>32.5</v>
      </c>
      <c r="J142" s="201">
        <f t="shared" si="8"/>
        <v>10.350318471337578</v>
      </c>
      <c r="K142" s="201"/>
      <c r="L142" s="201"/>
      <c r="M142" s="201"/>
      <c r="N142" s="201"/>
      <c r="O142" s="201">
        <f t="shared" si="9"/>
        <v>7.7297274597536658E-2</v>
      </c>
      <c r="P142" s="202">
        <f>O142*(1+'Key Data'!F$3)</f>
        <v>9.6621593246920823E-2</v>
      </c>
      <c r="Q142" s="472">
        <f>SUM(P142:P172)</f>
        <v>3.3901184700505445</v>
      </c>
      <c r="R142" s="472">
        <f>Q142*10000/900</f>
        <v>37.667983000561605</v>
      </c>
      <c r="S142" s="369"/>
    </row>
    <row r="143" spans="1:19" x14ac:dyDescent="0.3">
      <c r="A143" s="457"/>
      <c r="B143" s="457"/>
      <c r="C143" s="457"/>
      <c r="D143" s="457"/>
      <c r="E143" s="457"/>
      <c r="F143" s="457"/>
      <c r="G143" s="457"/>
      <c r="H143" s="457" t="s">
        <v>263</v>
      </c>
      <c r="I143" s="201">
        <v>34.700000000000003</v>
      </c>
      <c r="J143" s="201">
        <f t="shared" si="8"/>
        <v>11.050955414012739</v>
      </c>
      <c r="K143" s="201"/>
      <c r="L143" s="201"/>
      <c r="M143" s="201"/>
      <c r="N143" s="201"/>
      <c r="O143" s="201">
        <f t="shared" si="9"/>
        <v>8.1851885077522932E-2</v>
      </c>
      <c r="P143" s="202">
        <f>O143*(1+'Key Data'!F$3)</f>
        <v>0.10231485634690367</v>
      </c>
      <c r="Q143" s="472"/>
      <c r="R143" s="472"/>
      <c r="S143" s="369"/>
    </row>
    <row r="144" spans="1:19" x14ac:dyDescent="0.3">
      <c r="A144" s="457"/>
      <c r="B144" s="457"/>
      <c r="C144" s="457"/>
      <c r="D144" s="457"/>
      <c r="E144" s="457"/>
      <c r="F144" s="457"/>
      <c r="G144" s="457"/>
      <c r="H144" s="457" t="s">
        <v>263</v>
      </c>
      <c r="I144" s="201">
        <v>44.5</v>
      </c>
      <c r="J144" s="201">
        <f t="shared" si="8"/>
        <v>14.171974522292993</v>
      </c>
      <c r="K144" s="201"/>
      <c r="L144" s="201"/>
      <c r="M144" s="201"/>
      <c r="N144" s="201"/>
      <c r="O144" s="201">
        <f t="shared" si="9"/>
        <v>9.5982267081716616E-2</v>
      </c>
      <c r="P144" s="202">
        <f>O144*(1+'Key Data'!F$3)</f>
        <v>0.11997783385214578</v>
      </c>
      <c r="Q144" s="472"/>
      <c r="R144" s="472"/>
      <c r="S144" s="369"/>
    </row>
    <row r="145" spans="1:19" x14ac:dyDescent="0.3">
      <c r="A145" s="457"/>
      <c r="B145" s="457"/>
      <c r="C145" s="457"/>
      <c r="D145" s="457"/>
      <c r="E145" s="457"/>
      <c r="F145" s="457"/>
      <c r="G145" s="457"/>
      <c r="H145" s="457" t="s">
        <v>263</v>
      </c>
      <c r="I145" s="201">
        <v>35.700000000000003</v>
      </c>
      <c r="J145" s="201">
        <f t="shared" si="8"/>
        <v>11.369426751592357</v>
      </c>
      <c r="K145" s="201"/>
      <c r="L145" s="201"/>
      <c r="M145" s="201"/>
      <c r="N145" s="201"/>
      <c r="O145" s="201">
        <f t="shared" si="9"/>
        <v>8.3737017732697774E-2</v>
      </c>
      <c r="P145" s="202">
        <f>O145*(1+'Key Data'!F$3)</f>
        <v>0.10467127216587221</v>
      </c>
      <c r="Q145" s="472"/>
      <c r="R145" s="472"/>
      <c r="S145" s="369"/>
    </row>
    <row r="146" spans="1:19" x14ac:dyDescent="0.3">
      <c r="A146" s="457"/>
      <c r="B146" s="457"/>
      <c r="C146" s="457"/>
      <c r="D146" s="457"/>
      <c r="E146" s="457"/>
      <c r="F146" s="457"/>
      <c r="G146" s="457"/>
      <c r="H146" s="457" t="s">
        <v>263</v>
      </c>
      <c r="I146" s="201">
        <v>40.700000000000003</v>
      </c>
      <c r="J146" s="201">
        <f t="shared" si="8"/>
        <v>12.961783439490446</v>
      </c>
      <c r="K146" s="201"/>
      <c r="L146" s="201"/>
      <c r="M146" s="201"/>
      <c r="N146" s="201"/>
      <c r="O146" s="201">
        <f t="shared" si="9"/>
        <v>9.1569500491669301E-2</v>
      </c>
      <c r="P146" s="202">
        <f>O146*(1+'Key Data'!F$3)</f>
        <v>0.11446187561458662</v>
      </c>
      <c r="Q146" s="472"/>
      <c r="R146" s="472"/>
      <c r="S146" s="369"/>
    </row>
    <row r="147" spans="1:19" x14ac:dyDescent="0.3">
      <c r="A147" s="457"/>
      <c r="B147" s="457"/>
      <c r="C147" s="457"/>
      <c r="D147" s="457"/>
      <c r="E147" s="457"/>
      <c r="F147" s="457"/>
      <c r="G147" s="457"/>
      <c r="H147" s="457" t="s">
        <v>263</v>
      </c>
      <c r="I147" s="201">
        <v>44.5</v>
      </c>
      <c r="J147" s="201">
        <f t="shared" si="8"/>
        <v>14.171974522292993</v>
      </c>
      <c r="K147" s="201"/>
      <c r="L147" s="201"/>
      <c r="M147" s="201"/>
      <c r="N147" s="201"/>
      <c r="O147" s="201">
        <f t="shared" si="9"/>
        <v>9.5982267081716616E-2</v>
      </c>
      <c r="P147" s="202">
        <f>O147*(1+'Key Data'!F$3)</f>
        <v>0.11997783385214578</v>
      </c>
      <c r="Q147" s="472"/>
      <c r="R147" s="472"/>
      <c r="S147" s="369"/>
    </row>
    <row r="148" spans="1:19" x14ac:dyDescent="0.3">
      <c r="A148" s="457"/>
      <c r="B148" s="457"/>
      <c r="C148" s="457"/>
      <c r="D148" s="457"/>
      <c r="E148" s="457"/>
      <c r="F148" s="457"/>
      <c r="G148" s="457"/>
      <c r="H148" s="457" t="s">
        <v>263</v>
      </c>
      <c r="I148" s="201">
        <v>46.2</v>
      </c>
      <c r="J148" s="201">
        <f t="shared" si="8"/>
        <v>14.713375796178344</v>
      </c>
      <c r="K148" s="201"/>
      <c r="L148" s="201"/>
      <c r="M148" s="201"/>
      <c r="N148" s="201"/>
      <c r="O148" s="201">
        <f t="shared" si="9"/>
        <v>9.7599851445673347E-2</v>
      </c>
      <c r="P148" s="202">
        <f>O148*(1+'Key Data'!F$3)</f>
        <v>0.12199981430709168</v>
      </c>
      <c r="Q148" s="472"/>
      <c r="R148" s="472"/>
      <c r="S148" s="369"/>
    </row>
    <row r="149" spans="1:19" x14ac:dyDescent="0.3">
      <c r="A149" s="457"/>
      <c r="B149" s="457"/>
      <c r="C149" s="457"/>
      <c r="D149" s="457"/>
      <c r="E149" s="457"/>
      <c r="F149" s="457"/>
      <c r="G149" s="457"/>
      <c r="H149" s="457" t="s">
        <v>263</v>
      </c>
      <c r="I149" s="201">
        <v>43.5</v>
      </c>
      <c r="J149" s="201">
        <f t="shared" si="8"/>
        <v>13.853503184713375</v>
      </c>
      <c r="K149" s="201"/>
      <c r="L149" s="201"/>
      <c r="M149" s="201"/>
      <c r="N149" s="201"/>
      <c r="O149" s="201">
        <f t="shared" si="9"/>
        <v>9.4933418908849487E-2</v>
      </c>
      <c r="P149" s="202">
        <f>O149*(1+'Key Data'!F$3)</f>
        <v>0.11866677363606186</v>
      </c>
      <c r="Q149" s="472"/>
      <c r="R149" s="472"/>
      <c r="S149" s="369"/>
    </row>
    <row r="150" spans="1:19" x14ac:dyDescent="0.3">
      <c r="A150" s="457"/>
      <c r="B150" s="457"/>
      <c r="C150" s="457"/>
      <c r="D150" s="457"/>
      <c r="E150" s="457"/>
      <c r="F150" s="457"/>
      <c r="G150" s="457"/>
      <c r="H150" s="457" t="s">
        <v>263</v>
      </c>
      <c r="I150" s="201">
        <v>25.5</v>
      </c>
      <c r="J150" s="201">
        <f t="shared" si="8"/>
        <v>8.1210191082802545</v>
      </c>
      <c r="K150" s="201"/>
      <c r="L150" s="201"/>
      <c r="M150" s="201"/>
      <c r="N150" s="201"/>
      <c r="O150" s="201">
        <f t="shared" si="9"/>
        <v>5.9007581804488222E-2</v>
      </c>
      <c r="P150" s="202">
        <f>O150*(1+'Key Data'!F$3)</f>
        <v>7.3759477255610273E-2</v>
      </c>
      <c r="Q150" s="472"/>
      <c r="R150" s="472"/>
      <c r="S150" s="369"/>
    </row>
    <row r="151" spans="1:19" x14ac:dyDescent="0.3">
      <c r="A151" s="457"/>
      <c r="B151" s="457"/>
      <c r="C151" s="457"/>
      <c r="D151" s="457"/>
      <c r="E151" s="457"/>
      <c r="F151" s="457"/>
      <c r="G151" s="457"/>
      <c r="H151" s="457" t="s">
        <v>263</v>
      </c>
      <c r="I151" s="201">
        <v>40.5</v>
      </c>
      <c r="J151" s="201">
        <f t="shared" si="8"/>
        <v>12.898089171974522</v>
      </c>
      <c r="K151" s="201"/>
      <c r="L151" s="201"/>
      <c r="M151" s="201"/>
      <c r="N151" s="201"/>
      <c r="O151" s="201">
        <f t="shared" si="9"/>
        <v>9.1303304541138816E-2</v>
      </c>
      <c r="P151" s="202">
        <f>O151*(1+'Key Data'!F$3)</f>
        <v>0.11412913067642352</v>
      </c>
      <c r="Q151" s="472"/>
      <c r="R151" s="472"/>
      <c r="S151" s="369"/>
    </row>
    <row r="152" spans="1:19" x14ac:dyDescent="0.3">
      <c r="A152" s="457"/>
      <c r="B152" s="457"/>
      <c r="C152" s="457"/>
      <c r="D152" s="457"/>
      <c r="E152" s="457"/>
      <c r="F152" s="457"/>
      <c r="G152" s="457"/>
      <c r="H152" s="457" t="s">
        <v>263</v>
      </c>
      <c r="I152" s="201">
        <v>41.8</v>
      </c>
      <c r="J152" s="201">
        <f t="shared" si="8"/>
        <v>13.312101910828025</v>
      </c>
      <c r="K152" s="201"/>
      <c r="L152" s="201"/>
      <c r="M152" s="201"/>
      <c r="N152" s="201"/>
      <c r="O152" s="201">
        <f t="shared" si="9"/>
        <v>9.2969948199144808E-2</v>
      </c>
      <c r="P152" s="202">
        <f>O152*(1+'Key Data'!F$3)</f>
        <v>0.11621243524893102</v>
      </c>
      <c r="Q152" s="472"/>
      <c r="R152" s="472"/>
      <c r="S152" s="369"/>
    </row>
    <row r="153" spans="1:19" x14ac:dyDescent="0.3">
      <c r="A153" s="457"/>
      <c r="B153" s="457"/>
      <c r="C153" s="457"/>
      <c r="D153" s="457"/>
      <c r="E153" s="457"/>
      <c r="F153" s="457"/>
      <c r="G153" s="457"/>
      <c r="H153" s="457" t="s">
        <v>263</v>
      </c>
      <c r="I153" s="201">
        <v>47.5</v>
      </c>
      <c r="J153" s="201">
        <f t="shared" si="8"/>
        <v>15.127388535031846</v>
      </c>
      <c r="K153" s="201"/>
      <c r="L153" s="201"/>
      <c r="M153" s="201"/>
      <c r="N153" s="201"/>
      <c r="O153" s="201">
        <f t="shared" si="9"/>
        <v>9.8707362361024759E-2</v>
      </c>
      <c r="P153" s="202">
        <f>O153*(1+'Key Data'!F$3)</f>
        <v>0.12338420295128094</v>
      </c>
      <c r="Q153" s="472"/>
      <c r="R153" s="472"/>
      <c r="S153" s="369"/>
    </row>
    <row r="154" spans="1:19" x14ac:dyDescent="0.3">
      <c r="A154" s="457"/>
      <c r="B154" s="457"/>
      <c r="C154" s="457"/>
      <c r="D154" s="457"/>
      <c r="E154" s="457"/>
      <c r="F154" s="457"/>
      <c r="G154" s="457"/>
      <c r="H154" s="457" t="s">
        <v>263</v>
      </c>
      <c r="I154" s="201">
        <v>46.7</v>
      </c>
      <c r="J154" s="201">
        <f t="shared" si="8"/>
        <v>14.872611464968154</v>
      </c>
      <c r="K154" s="201"/>
      <c r="L154" s="201"/>
      <c r="M154" s="201"/>
      <c r="N154" s="201"/>
      <c r="O154" s="201">
        <f t="shared" si="9"/>
        <v>9.8038485036298917E-2</v>
      </c>
      <c r="P154" s="202">
        <f>O154*(1+'Key Data'!F$3)</f>
        <v>0.12254810629537365</v>
      </c>
      <c r="Q154" s="472"/>
      <c r="R154" s="472"/>
      <c r="S154" s="369"/>
    </row>
    <row r="155" spans="1:19" x14ac:dyDescent="0.3">
      <c r="A155" s="457"/>
      <c r="B155" s="457"/>
      <c r="C155" s="457"/>
      <c r="D155" s="457"/>
      <c r="E155" s="457"/>
      <c r="F155" s="457"/>
      <c r="G155" s="457"/>
      <c r="H155" s="457" t="s">
        <v>263</v>
      </c>
      <c r="I155" s="201">
        <v>44</v>
      </c>
      <c r="J155" s="201">
        <f t="shared" si="8"/>
        <v>14.012738853503183</v>
      </c>
      <c r="K155" s="201"/>
      <c r="L155" s="201"/>
      <c r="M155" s="201"/>
      <c r="N155" s="201"/>
      <c r="O155" s="201">
        <f t="shared" si="9"/>
        <v>9.5467257374744111E-2</v>
      </c>
      <c r="P155" s="202">
        <f>O155*(1+'Key Data'!F$3)</f>
        <v>0.11933407171843013</v>
      </c>
      <c r="Q155" s="472"/>
      <c r="R155" s="472"/>
      <c r="S155" s="369"/>
    </row>
    <row r="156" spans="1:19" x14ac:dyDescent="0.3">
      <c r="A156" s="457"/>
      <c r="B156" s="457"/>
      <c r="C156" s="457"/>
      <c r="D156" s="457"/>
      <c r="E156" s="457"/>
      <c r="F156" s="457"/>
      <c r="G156" s="457"/>
      <c r="H156" s="457" t="s">
        <v>263</v>
      </c>
      <c r="I156" s="201">
        <f>SQRT(33*33+25.5*25.5)</f>
        <v>41.704316323373533</v>
      </c>
      <c r="J156" s="201">
        <f t="shared" si="8"/>
        <v>13.281629402348258</v>
      </c>
      <c r="K156" s="201"/>
      <c r="L156" s="201"/>
      <c r="M156" s="201"/>
      <c r="N156" s="201"/>
      <c r="O156" s="201">
        <f t="shared" si="9"/>
        <v>9.2852317156304598E-2</v>
      </c>
      <c r="P156" s="202">
        <f>O156*(1+'Key Data'!F$3)</f>
        <v>0.11606539644538075</v>
      </c>
      <c r="Q156" s="472"/>
      <c r="R156" s="472"/>
      <c r="S156" s="369"/>
    </row>
    <row r="157" spans="1:19" x14ac:dyDescent="0.3">
      <c r="A157" s="457"/>
      <c r="B157" s="457"/>
      <c r="C157" s="457"/>
      <c r="D157" s="457"/>
      <c r="E157" s="457"/>
      <c r="F157" s="457"/>
      <c r="G157" s="457"/>
      <c r="H157" s="457" t="s">
        <v>263</v>
      </c>
      <c r="I157" s="201">
        <v>46.1</v>
      </c>
      <c r="J157" s="201">
        <f t="shared" si="8"/>
        <v>14.681528662420382</v>
      </c>
      <c r="K157" s="201"/>
      <c r="L157" s="201"/>
      <c r="M157" s="201"/>
      <c r="N157" s="201"/>
      <c r="O157" s="201">
        <f t="shared" si="9"/>
        <v>9.7510167105032297E-2</v>
      </c>
      <c r="P157" s="202">
        <f>O157*(1+'Key Data'!F$3)</f>
        <v>0.12188770888129037</v>
      </c>
      <c r="Q157" s="472"/>
      <c r="R157" s="472"/>
      <c r="S157" s="369"/>
    </row>
    <row r="158" spans="1:19" x14ac:dyDescent="0.3">
      <c r="A158" s="457"/>
      <c r="B158" s="457"/>
      <c r="C158" s="457"/>
      <c r="D158" s="457"/>
      <c r="E158" s="457"/>
      <c r="F158" s="457"/>
      <c r="G158" s="457"/>
      <c r="H158" s="457" t="s">
        <v>263</v>
      </c>
      <c r="I158" s="201">
        <v>22.5</v>
      </c>
      <c r="J158" s="201">
        <f t="shared" si="8"/>
        <v>7.1656050955414008</v>
      </c>
      <c r="K158" s="201"/>
      <c r="L158" s="201"/>
      <c r="M158" s="201"/>
      <c r="N158" s="201"/>
      <c r="O158" s="201">
        <f t="shared" si="9"/>
        <v>4.9629812539313464E-2</v>
      </c>
      <c r="P158" s="202">
        <f>O158*(1+'Key Data'!F$3)</f>
        <v>6.2037265674141834E-2</v>
      </c>
      <c r="Q158" s="472"/>
      <c r="R158" s="472"/>
      <c r="S158" s="369"/>
    </row>
    <row r="159" spans="1:19" x14ac:dyDescent="0.3">
      <c r="A159" s="457"/>
      <c r="B159" s="457"/>
      <c r="C159" s="457"/>
      <c r="D159" s="457"/>
      <c r="E159" s="457"/>
      <c r="F159" s="457"/>
      <c r="G159" s="457"/>
      <c r="H159" s="457" t="s">
        <v>263</v>
      </c>
      <c r="I159" s="201">
        <v>41.2</v>
      </c>
      <c r="J159" s="201">
        <f t="shared" si="8"/>
        <v>13.121019108280255</v>
      </c>
      <c r="K159" s="201"/>
      <c r="L159" s="201"/>
      <c r="M159" s="201"/>
      <c r="N159" s="201"/>
      <c r="O159" s="201">
        <f t="shared" si="9"/>
        <v>9.2219255408552123E-2</v>
      </c>
      <c r="P159" s="202">
        <f>O159*(1+'Key Data'!F$3)</f>
        <v>0.11527406926069016</v>
      </c>
      <c r="Q159" s="472"/>
      <c r="R159" s="472"/>
      <c r="S159" s="369"/>
    </row>
    <row r="160" spans="1:19" x14ac:dyDescent="0.3">
      <c r="A160" s="457"/>
      <c r="B160" s="457"/>
      <c r="C160" s="457"/>
      <c r="D160" s="457"/>
      <c r="E160" s="457"/>
      <c r="F160" s="457"/>
      <c r="G160" s="457"/>
      <c r="H160" s="457" t="s">
        <v>263</v>
      </c>
      <c r="I160" s="201">
        <v>45.5</v>
      </c>
      <c r="J160" s="201">
        <f t="shared" si="8"/>
        <v>14.490445859872612</v>
      </c>
      <c r="K160" s="201"/>
      <c r="L160" s="201"/>
      <c r="M160" s="201"/>
      <c r="N160" s="201"/>
      <c r="O160" s="201">
        <f t="shared" si="9"/>
        <v>9.6958006569531699E-2</v>
      </c>
      <c r="P160" s="202">
        <f>O160*(1+'Key Data'!F$3)</f>
        <v>0.12119750821191462</v>
      </c>
      <c r="Q160" s="472"/>
      <c r="R160" s="472"/>
      <c r="S160" s="369"/>
    </row>
    <row r="161" spans="1:19" x14ac:dyDescent="0.3">
      <c r="A161" s="457"/>
      <c r="B161" s="457"/>
      <c r="C161" s="457"/>
      <c r="D161" s="457"/>
      <c r="E161" s="457"/>
      <c r="F161" s="457"/>
      <c r="G161" s="457"/>
      <c r="H161" s="457" t="s">
        <v>263</v>
      </c>
      <c r="I161" s="201">
        <v>34</v>
      </c>
      <c r="J161" s="201">
        <f t="shared" si="8"/>
        <v>10.828025477707007</v>
      </c>
      <c r="K161" s="201"/>
      <c r="L161" s="201"/>
      <c r="M161" s="201"/>
      <c r="N161" s="201"/>
      <c r="O161" s="201">
        <f t="shared" si="9"/>
        <v>8.0464228929838302E-2</v>
      </c>
      <c r="P161" s="202">
        <f>O161*(1+'Key Data'!F$3)</f>
        <v>0.10058028616229787</v>
      </c>
      <c r="Q161" s="472"/>
      <c r="R161" s="472"/>
      <c r="S161" s="369"/>
    </row>
    <row r="162" spans="1:19" x14ac:dyDescent="0.3">
      <c r="A162" s="457"/>
      <c r="B162" s="457"/>
      <c r="C162" s="457"/>
      <c r="D162" s="457"/>
      <c r="E162" s="457"/>
      <c r="F162" s="457"/>
      <c r="G162" s="457"/>
      <c r="H162" s="457" t="s">
        <v>263</v>
      </c>
      <c r="I162" s="201">
        <v>41.4</v>
      </c>
      <c r="J162" s="201">
        <f t="shared" ref="J162:J172" si="10">I162/3.14</f>
        <v>13.184713375796177</v>
      </c>
      <c r="K162" s="201"/>
      <c r="L162" s="201"/>
      <c r="M162" s="201"/>
      <c r="N162" s="201"/>
      <c r="O162" s="201">
        <f t="shared" ref="O162:O172" si="11">30.4*EXP(-5.07*EXP(-0.26*J162)+1.277)/1000</f>
        <v>9.2472960077634364E-2</v>
      </c>
      <c r="P162" s="202">
        <f>O162*(1+'Key Data'!F$3)</f>
        <v>0.11559120009704296</v>
      </c>
      <c r="Q162" s="472"/>
      <c r="R162" s="472"/>
      <c r="S162" s="369"/>
    </row>
    <row r="163" spans="1:19" x14ac:dyDescent="0.3">
      <c r="A163" s="457"/>
      <c r="B163" s="457"/>
      <c r="C163" s="457"/>
      <c r="D163" s="457"/>
      <c r="E163" s="457"/>
      <c r="F163" s="457"/>
      <c r="G163" s="457"/>
      <c r="H163" s="457" t="s">
        <v>263</v>
      </c>
      <c r="I163" s="201">
        <v>40</v>
      </c>
      <c r="J163" s="201">
        <f t="shared" si="10"/>
        <v>12.738853503184712</v>
      </c>
      <c r="K163" s="201"/>
      <c r="L163" s="201"/>
      <c r="M163" s="201"/>
      <c r="N163" s="201"/>
      <c r="O163" s="201">
        <f t="shared" si="11"/>
        <v>9.06217581379134E-2</v>
      </c>
      <c r="P163" s="202">
        <f>O163*(1+'Key Data'!F$3)</f>
        <v>0.11327719767239175</v>
      </c>
      <c r="Q163" s="472"/>
      <c r="R163" s="472"/>
      <c r="S163" s="369"/>
    </row>
    <row r="164" spans="1:19" x14ac:dyDescent="0.3">
      <c r="A164" s="457"/>
      <c r="B164" s="457"/>
      <c r="C164" s="457"/>
      <c r="D164" s="457"/>
      <c r="E164" s="457"/>
      <c r="F164" s="457"/>
      <c r="G164" s="457"/>
      <c r="H164" s="457" t="s">
        <v>263</v>
      </c>
      <c r="I164" s="201">
        <v>38</v>
      </c>
      <c r="J164" s="201">
        <f t="shared" si="10"/>
        <v>12.101910828025478</v>
      </c>
      <c r="K164" s="201"/>
      <c r="L164" s="201"/>
      <c r="M164" s="201"/>
      <c r="N164" s="201"/>
      <c r="O164" s="201">
        <f t="shared" si="11"/>
        <v>8.7655984615502475E-2</v>
      </c>
      <c r="P164" s="202">
        <f>O164*(1+'Key Data'!F$3)</f>
        <v>0.1095699807693781</v>
      </c>
      <c r="Q164" s="472"/>
      <c r="R164" s="472"/>
      <c r="S164" s="369"/>
    </row>
    <row r="165" spans="1:19" x14ac:dyDescent="0.3">
      <c r="A165" s="457"/>
      <c r="B165" s="457"/>
      <c r="C165" s="457"/>
      <c r="D165" s="457"/>
      <c r="E165" s="457"/>
      <c r="F165" s="457"/>
      <c r="G165" s="457"/>
      <c r="H165" s="457" t="s">
        <v>263</v>
      </c>
      <c r="I165" s="201">
        <v>38</v>
      </c>
      <c r="J165" s="201">
        <f t="shared" si="10"/>
        <v>12.101910828025478</v>
      </c>
      <c r="K165" s="201"/>
      <c r="L165" s="201"/>
      <c r="M165" s="201"/>
      <c r="N165" s="201"/>
      <c r="O165" s="201">
        <f t="shared" si="11"/>
        <v>8.7655984615502475E-2</v>
      </c>
      <c r="P165" s="202">
        <f>O165*(1+'Key Data'!F$3)</f>
        <v>0.1095699807693781</v>
      </c>
      <c r="Q165" s="472"/>
      <c r="R165" s="472"/>
      <c r="S165" s="369"/>
    </row>
    <row r="166" spans="1:19" x14ac:dyDescent="0.3">
      <c r="A166" s="457"/>
      <c r="B166" s="457"/>
      <c r="C166" s="457"/>
      <c r="D166" s="457"/>
      <c r="E166" s="457"/>
      <c r="F166" s="457"/>
      <c r="G166" s="457"/>
      <c r="H166" s="457" t="s">
        <v>263</v>
      </c>
      <c r="I166" s="201">
        <v>38.5</v>
      </c>
      <c r="J166" s="201">
        <f t="shared" si="10"/>
        <v>12.261146496815286</v>
      </c>
      <c r="K166" s="201"/>
      <c r="L166" s="201"/>
      <c r="M166" s="201"/>
      <c r="N166" s="201"/>
      <c r="O166" s="201">
        <f t="shared" si="11"/>
        <v>8.8434485897848497E-2</v>
      </c>
      <c r="P166" s="202">
        <f>O166*(1+'Key Data'!F$3)</f>
        <v>0.11054310737231063</v>
      </c>
      <c r="Q166" s="472"/>
      <c r="R166" s="472"/>
      <c r="S166" s="369"/>
    </row>
    <row r="167" spans="1:19" x14ac:dyDescent="0.3">
      <c r="A167" s="457"/>
      <c r="B167" s="457"/>
      <c r="C167" s="457"/>
      <c r="D167" s="457"/>
      <c r="E167" s="457"/>
      <c r="F167" s="457"/>
      <c r="G167" s="457"/>
      <c r="H167" s="457" t="s">
        <v>263</v>
      </c>
      <c r="I167" s="201">
        <v>48.3</v>
      </c>
      <c r="J167" s="201">
        <f t="shared" si="10"/>
        <v>15.38216560509554</v>
      </c>
      <c r="K167" s="201"/>
      <c r="L167" s="201"/>
      <c r="M167" s="201"/>
      <c r="N167" s="201"/>
      <c r="O167" s="201">
        <f t="shared" si="11"/>
        <v>9.9337501038918863E-2</v>
      </c>
      <c r="P167" s="202">
        <f>O167*(1+'Key Data'!F$3)</f>
        <v>0.12417187629864858</v>
      </c>
      <c r="Q167" s="472"/>
      <c r="R167" s="472"/>
      <c r="S167" s="369"/>
    </row>
    <row r="168" spans="1:19" x14ac:dyDescent="0.3">
      <c r="A168" s="457"/>
      <c r="B168" s="457"/>
      <c r="C168" s="457"/>
      <c r="D168" s="457"/>
      <c r="E168" s="457"/>
      <c r="F168" s="457"/>
      <c r="G168" s="457"/>
      <c r="H168" s="457" t="s">
        <v>263</v>
      </c>
      <c r="I168" s="201">
        <v>28.5</v>
      </c>
      <c r="J168" s="201">
        <f t="shared" si="10"/>
        <v>9.0764331210191074</v>
      </c>
      <c r="K168" s="201"/>
      <c r="L168" s="201"/>
      <c r="M168" s="201"/>
      <c r="N168" s="201"/>
      <c r="O168" s="201">
        <f t="shared" si="11"/>
        <v>6.753669573575527E-2</v>
      </c>
      <c r="P168" s="202">
        <f>O168*(1+'Key Data'!F$3)</f>
        <v>8.4420869669694087E-2</v>
      </c>
      <c r="Q168" s="472"/>
      <c r="R168" s="472"/>
      <c r="S168" s="369"/>
    </row>
    <row r="169" spans="1:19" x14ac:dyDescent="0.3">
      <c r="A169" s="457"/>
      <c r="B169" s="457"/>
      <c r="C169" s="457"/>
      <c r="D169" s="457"/>
      <c r="E169" s="457"/>
      <c r="F169" s="457"/>
      <c r="G169" s="457"/>
      <c r="H169" s="457" t="s">
        <v>263</v>
      </c>
      <c r="I169" s="201">
        <v>35</v>
      </c>
      <c r="J169" s="201">
        <f t="shared" si="10"/>
        <v>11.146496815286623</v>
      </c>
      <c r="K169" s="201"/>
      <c r="L169" s="201"/>
      <c r="M169" s="201"/>
      <c r="N169" s="201"/>
      <c r="O169" s="201">
        <f t="shared" si="11"/>
        <v>8.2429329470591506E-2</v>
      </c>
      <c r="P169" s="202">
        <f>O169*(1+'Key Data'!F$3)</f>
        <v>0.10303666183823938</v>
      </c>
      <c r="Q169" s="472"/>
      <c r="R169" s="472"/>
      <c r="S169" s="369"/>
    </row>
    <row r="170" spans="1:19" x14ac:dyDescent="0.3">
      <c r="A170" s="457"/>
      <c r="B170" s="457"/>
      <c r="C170" s="457"/>
      <c r="D170" s="457"/>
      <c r="E170" s="457"/>
      <c r="F170" s="457"/>
      <c r="G170" s="457"/>
      <c r="H170" s="457" t="s">
        <v>263</v>
      </c>
      <c r="I170" s="201">
        <v>38.799999999999997</v>
      </c>
      <c r="J170" s="201">
        <f t="shared" si="10"/>
        <v>12.35668789808917</v>
      </c>
      <c r="K170" s="201"/>
      <c r="L170" s="201"/>
      <c r="M170" s="201"/>
      <c r="N170" s="201"/>
      <c r="O170" s="201">
        <f t="shared" si="11"/>
        <v>8.8889515868362537E-2</v>
      </c>
      <c r="P170" s="202">
        <f>O170*(1+'Key Data'!F$3)</f>
        <v>0.11111189483545317</v>
      </c>
      <c r="Q170" s="472"/>
      <c r="R170" s="472"/>
      <c r="S170" s="369"/>
    </row>
    <row r="171" spans="1:19" x14ac:dyDescent="0.3">
      <c r="A171" s="457"/>
      <c r="B171" s="457"/>
      <c r="C171" s="457"/>
      <c r="D171" s="457"/>
      <c r="E171" s="457"/>
      <c r="F171" s="457"/>
      <c r="G171" s="457"/>
      <c r="H171" s="457" t="s">
        <v>263</v>
      </c>
      <c r="I171" s="201">
        <v>32.5</v>
      </c>
      <c r="J171" s="201">
        <f t="shared" si="10"/>
        <v>10.350318471337578</v>
      </c>
      <c r="K171" s="201"/>
      <c r="L171" s="201"/>
      <c r="M171" s="201"/>
      <c r="N171" s="201"/>
      <c r="O171" s="201">
        <f t="shared" si="11"/>
        <v>7.7297274597536658E-2</v>
      </c>
      <c r="P171" s="202">
        <f>O171*(1+'Key Data'!F$3)</f>
        <v>9.6621593246920823E-2</v>
      </c>
      <c r="Q171" s="472"/>
      <c r="R171" s="472"/>
      <c r="S171" s="369"/>
    </row>
    <row r="172" spans="1:19" x14ac:dyDescent="0.3">
      <c r="A172" s="457"/>
      <c r="B172" s="457"/>
      <c r="C172" s="457"/>
      <c r="D172" s="457"/>
      <c r="E172" s="457"/>
      <c r="F172" s="457"/>
      <c r="G172" s="457"/>
      <c r="H172" s="457" t="s">
        <v>263</v>
      </c>
      <c r="I172" s="201">
        <v>36.799999999999997</v>
      </c>
      <c r="J172" s="201">
        <f t="shared" si="10"/>
        <v>11.719745222929935</v>
      </c>
      <c r="K172" s="201"/>
      <c r="L172" s="201"/>
      <c r="M172" s="201"/>
      <c r="N172" s="201"/>
      <c r="O172" s="201">
        <f t="shared" si="11"/>
        <v>8.5682076542074298E-2</v>
      </c>
      <c r="P172" s="202">
        <f>O172*(1+'Key Data'!F$3)</f>
        <v>0.10710259567759287</v>
      </c>
      <c r="Q172" s="472"/>
      <c r="R172" s="472"/>
      <c r="S172" s="369"/>
    </row>
  </sheetData>
  <autoFilter ref="H1:H172" xr:uid="{FA5DB49C-9EE2-455F-BD2E-2E7100D5E0C8}"/>
  <mergeCells count="67">
    <mergeCell ref="Q17:Q41"/>
    <mergeCell ref="R17:R41"/>
    <mergeCell ref="Q42:Q66"/>
    <mergeCell ref="R42:R66"/>
    <mergeCell ref="A2:A16"/>
    <mergeCell ref="B2:B16"/>
    <mergeCell ref="G2:G16"/>
    <mergeCell ref="H2:H16"/>
    <mergeCell ref="A17:A41"/>
    <mergeCell ref="B17:B41"/>
    <mergeCell ref="G17:G41"/>
    <mergeCell ref="H17:H41"/>
    <mergeCell ref="C2:C16"/>
    <mergeCell ref="D2:D16"/>
    <mergeCell ref="C17:C41"/>
    <mergeCell ref="D17:D41"/>
    <mergeCell ref="G42:G66"/>
    <mergeCell ref="F67:F100"/>
    <mergeCell ref="A67:A100"/>
    <mergeCell ref="B67:B100"/>
    <mergeCell ref="C67:C100"/>
    <mergeCell ref="D67:D100"/>
    <mergeCell ref="E67:E100"/>
    <mergeCell ref="G67:G100"/>
    <mergeCell ref="F42:F66"/>
    <mergeCell ref="A42:A66"/>
    <mergeCell ref="B42:B66"/>
    <mergeCell ref="C42:C66"/>
    <mergeCell ref="D42:D66"/>
    <mergeCell ref="E42:E66"/>
    <mergeCell ref="G101:G119"/>
    <mergeCell ref="D120:D141"/>
    <mergeCell ref="E120:E141"/>
    <mergeCell ref="F120:F141"/>
    <mergeCell ref="D101:D119"/>
    <mergeCell ref="F101:F119"/>
    <mergeCell ref="E101:E119"/>
    <mergeCell ref="G120:G141"/>
    <mergeCell ref="A101:A119"/>
    <mergeCell ref="B101:B119"/>
    <mergeCell ref="C101:C119"/>
    <mergeCell ref="A120:A141"/>
    <mergeCell ref="B120:B141"/>
    <mergeCell ref="C120:C141"/>
    <mergeCell ref="G142:G172"/>
    <mergeCell ref="D142:D172"/>
    <mergeCell ref="E142:E172"/>
    <mergeCell ref="F142:F172"/>
    <mergeCell ref="A142:A172"/>
    <mergeCell ref="B142:B172"/>
    <mergeCell ref="C142:C172"/>
    <mergeCell ref="S2:S172"/>
    <mergeCell ref="H42:H66"/>
    <mergeCell ref="H67:H100"/>
    <mergeCell ref="H101:H119"/>
    <mergeCell ref="H120:H141"/>
    <mergeCell ref="H142:H172"/>
    <mergeCell ref="Q142:Q172"/>
    <mergeCell ref="R142:R172"/>
    <mergeCell ref="Q67:Q100"/>
    <mergeCell ref="R67:R100"/>
    <mergeCell ref="Q101:Q119"/>
    <mergeCell ref="R101:R119"/>
    <mergeCell ref="Q120:Q141"/>
    <mergeCell ref="R120:R141"/>
    <mergeCell ref="Q2:Q16"/>
    <mergeCell ref="R2:R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1692-94E2-40B6-B680-671526F2F861}">
  <dimension ref="A1:S86"/>
  <sheetViews>
    <sheetView zoomScale="48" workbookViewId="0">
      <pane ySplit="1" topLeftCell="A83" activePane="bottomLeft" state="frozen"/>
      <selection pane="bottomLeft" activeCell="S2" sqref="S2:S86"/>
    </sheetView>
  </sheetViews>
  <sheetFormatPr defaultColWidth="9.109375" defaultRowHeight="14.4" x14ac:dyDescent="0.3"/>
  <cols>
    <col min="1" max="1" width="9.109375" style="207"/>
    <col min="2" max="2" width="12" style="207" customWidth="1"/>
    <col min="3" max="4" width="9.109375" style="207"/>
    <col min="5" max="6" width="10.5546875" style="207" bestFit="1" customWidth="1"/>
    <col min="7" max="7" width="10.44140625" style="207" customWidth="1"/>
    <col min="8" max="8" width="11.33203125" style="207" customWidth="1"/>
    <col min="9" max="13" width="9.109375" style="74"/>
    <col min="14" max="14" width="9.109375" style="66"/>
    <col min="15" max="15" width="11.88671875" style="76" customWidth="1"/>
    <col min="16" max="16" width="11.6640625" style="76" customWidth="1"/>
    <col min="17" max="17" width="14.44140625" style="166" customWidth="1"/>
    <col min="18" max="18" width="11.5546875" style="166" bestFit="1" customWidth="1"/>
    <col min="19" max="19" width="11.5546875" style="76" bestFit="1" customWidth="1"/>
    <col min="20" max="20" width="11.5546875" style="66" bestFit="1" customWidth="1"/>
    <col min="21" max="16384" width="9.109375" style="66"/>
  </cols>
  <sheetData>
    <row r="1" spans="1:19" s="164" customFormat="1" ht="57.6" x14ac:dyDescent="0.3">
      <c r="A1" s="157" t="s">
        <v>254</v>
      </c>
      <c r="B1" s="157" t="s">
        <v>255</v>
      </c>
      <c r="C1" s="157" t="s">
        <v>256</v>
      </c>
      <c r="D1" s="157" t="s">
        <v>369</v>
      </c>
      <c r="E1" s="157" t="s">
        <v>249</v>
      </c>
      <c r="F1" s="157" t="s">
        <v>250</v>
      </c>
      <c r="G1" s="157" t="s">
        <v>253</v>
      </c>
      <c r="H1" s="157" t="s">
        <v>2</v>
      </c>
      <c r="I1" s="158" t="s">
        <v>257</v>
      </c>
      <c r="J1" s="158" t="s">
        <v>258</v>
      </c>
      <c r="K1" s="158" t="s">
        <v>251</v>
      </c>
      <c r="L1" s="158" t="s">
        <v>252</v>
      </c>
      <c r="M1" s="158" t="s">
        <v>259</v>
      </c>
      <c r="N1" s="158" t="s">
        <v>545</v>
      </c>
      <c r="O1" s="159" t="s">
        <v>364</v>
      </c>
      <c r="P1" s="159" t="s">
        <v>363</v>
      </c>
      <c r="Q1" s="159" t="s">
        <v>546</v>
      </c>
      <c r="R1" s="159" t="s">
        <v>370</v>
      </c>
      <c r="S1" s="159" t="s">
        <v>361</v>
      </c>
    </row>
    <row r="2" spans="1:19" x14ac:dyDescent="0.3">
      <c r="A2" s="476">
        <v>1</v>
      </c>
      <c r="B2" s="476" t="s">
        <v>278</v>
      </c>
      <c r="C2" s="367" t="s">
        <v>279</v>
      </c>
      <c r="D2" s="367" t="s">
        <v>280</v>
      </c>
      <c r="E2" s="209">
        <v>14.9414341</v>
      </c>
      <c r="F2" s="209">
        <v>75.008781799999994</v>
      </c>
      <c r="G2" s="367">
        <v>2020</v>
      </c>
      <c r="H2" s="367" t="s">
        <v>263</v>
      </c>
      <c r="I2" s="126">
        <v>49.4</v>
      </c>
      <c r="J2" s="126">
        <f t="shared" ref="J2:J33" si="0">I2/3.14</f>
        <v>15.732484076433121</v>
      </c>
      <c r="K2" s="95"/>
      <c r="L2" s="95"/>
      <c r="M2" s="95"/>
      <c r="N2" s="95"/>
      <c r="O2" s="131">
        <f t="shared" ref="O2:O33" si="1">30.4*EXP(-5.07*EXP(-0.26*J2)+1.277)/1000</f>
        <v>0.10014433797164667</v>
      </c>
      <c r="P2" s="131">
        <f>O2*(1+'Key Data'!F$3)</f>
        <v>0.12518042246455832</v>
      </c>
      <c r="Q2" s="366">
        <f>SUM(P2:P16)</f>
        <v>1.8059554499440149</v>
      </c>
      <c r="R2" s="366">
        <f>Q2*10000/900</f>
        <v>20.06617166604461</v>
      </c>
      <c r="S2" s="368">
        <f>AVERAGE(R2:R86)</f>
        <v>21.67681988064102</v>
      </c>
    </row>
    <row r="3" spans="1:19" x14ac:dyDescent="0.3">
      <c r="A3" s="477"/>
      <c r="B3" s="477"/>
      <c r="C3" s="367"/>
      <c r="D3" s="367"/>
      <c r="E3" s="209">
        <v>14.9417162</v>
      </c>
      <c r="F3" s="209">
        <v>75.008780799999997</v>
      </c>
      <c r="G3" s="367"/>
      <c r="H3" s="367"/>
      <c r="I3" s="126">
        <v>56.4</v>
      </c>
      <c r="J3" s="126">
        <f t="shared" si="0"/>
        <v>17.961783439490446</v>
      </c>
      <c r="K3" s="95"/>
      <c r="L3" s="95"/>
      <c r="M3" s="95"/>
      <c r="N3" s="95"/>
      <c r="O3" s="131">
        <f t="shared" si="1"/>
        <v>0.10395189337254802</v>
      </c>
      <c r="P3" s="131">
        <f>O3*(1+'Key Data'!F$3)</f>
        <v>0.12993986671568503</v>
      </c>
      <c r="Q3" s="366"/>
      <c r="R3" s="366"/>
      <c r="S3" s="369"/>
    </row>
    <row r="4" spans="1:19" x14ac:dyDescent="0.3">
      <c r="A4" s="477"/>
      <c r="B4" s="477"/>
      <c r="C4" s="367"/>
      <c r="D4" s="367"/>
      <c r="E4" s="209">
        <v>14.941722</v>
      </c>
      <c r="F4" s="209">
        <v>75.009046600000005</v>
      </c>
      <c r="G4" s="367"/>
      <c r="H4" s="367"/>
      <c r="I4" s="126">
        <v>48.6</v>
      </c>
      <c r="J4" s="126">
        <f t="shared" si="0"/>
        <v>15.477707006369426</v>
      </c>
      <c r="K4" s="95"/>
      <c r="L4" s="95"/>
      <c r="M4" s="95"/>
      <c r="N4" s="95"/>
      <c r="O4" s="131">
        <f t="shared" si="1"/>
        <v>9.9564224799976786E-2</v>
      </c>
      <c r="P4" s="131">
        <f>O4*(1+'Key Data'!F$3)</f>
        <v>0.12445528099997098</v>
      </c>
      <c r="Q4" s="366"/>
      <c r="R4" s="366"/>
      <c r="S4" s="369"/>
    </row>
    <row r="5" spans="1:19" x14ac:dyDescent="0.3">
      <c r="A5" s="477"/>
      <c r="B5" s="477"/>
      <c r="C5" s="367"/>
      <c r="D5" s="367"/>
      <c r="E5" s="209">
        <v>14.9415014</v>
      </c>
      <c r="F5" s="209">
        <v>75.009052699999998</v>
      </c>
      <c r="G5" s="367"/>
      <c r="H5" s="367"/>
      <c r="I5" s="126">
        <v>35.799999999999997</v>
      </c>
      <c r="J5" s="126">
        <f t="shared" si="0"/>
        <v>11.401273885350317</v>
      </c>
      <c r="K5" s="95"/>
      <c r="L5" s="95"/>
      <c r="M5" s="95"/>
      <c r="N5" s="95"/>
      <c r="O5" s="131">
        <f t="shared" si="1"/>
        <v>8.3919343527986162E-2</v>
      </c>
      <c r="P5" s="131">
        <f>O5*(1+'Key Data'!F$3)</f>
        <v>0.1048991794099827</v>
      </c>
      <c r="Q5" s="366"/>
      <c r="R5" s="366"/>
      <c r="S5" s="369"/>
    </row>
    <row r="6" spans="1:19" x14ac:dyDescent="0.3">
      <c r="A6" s="477"/>
      <c r="B6" s="477"/>
      <c r="C6" s="367"/>
      <c r="D6" s="367"/>
      <c r="E6" s="209">
        <v>14.7415442</v>
      </c>
      <c r="F6" s="209">
        <v>75.009818899999999</v>
      </c>
      <c r="G6" s="367"/>
      <c r="H6" s="367"/>
      <c r="I6" s="126">
        <v>53</v>
      </c>
      <c r="J6" s="126">
        <f t="shared" si="0"/>
        <v>16.878980891719745</v>
      </c>
      <c r="K6" s="95"/>
      <c r="L6" s="95"/>
      <c r="M6" s="95"/>
      <c r="N6" s="95"/>
      <c r="O6" s="131">
        <f>30.4*EXP(-5.07*EXP(-0.26*J6)+1.277)/1000</f>
        <v>0.10235823199607594</v>
      </c>
      <c r="P6" s="131">
        <f>O6*(1+'Key Data'!F$3)</f>
        <v>0.12794778999509493</v>
      </c>
      <c r="Q6" s="366"/>
      <c r="R6" s="366"/>
      <c r="S6" s="369"/>
    </row>
    <row r="7" spans="1:19" x14ac:dyDescent="0.3">
      <c r="A7" s="477"/>
      <c r="B7" s="477"/>
      <c r="C7" s="367"/>
      <c r="D7" s="367"/>
      <c r="E7" s="108"/>
      <c r="F7" s="108"/>
      <c r="G7" s="367"/>
      <c r="H7" s="367"/>
      <c r="I7" s="126">
        <v>48.5</v>
      </c>
      <c r="J7" s="126">
        <f t="shared" si="0"/>
        <v>15.445859872611464</v>
      </c>
      <c r="K7" s="95"/>
      <c r="L7" s="95"/>
      <c r="M7" s="95"/>
      <c r="N7" s="95"/>
      <c r="O7" s="131">
        <f t="shared" si="1"/>
        <v>9.9489217920523426E-2</v>
      </c>
      <c r="P7" s="131">
        <f>O7*(1+'Key Data'!F$3)</f>
        <v>0.12436152240065429</v>
      </c>
      <c r="Q7" s="366"/>
      <c r="R7" s="366"/>
      <c r="S7" s="369"/>
    </row>
    <row r="8" spans="1:19" x14ac:dyDescent="0.3">
      <c r="A8" s="477"/>
      <c r="B8" s="477"/>
      <c r="C8" s="367"/>
      <c r="D8" s="367"/>
      <c r="E8" s="108"/>
      <c r="F8" s="108"/>
      <c r="G8" s="367"/>
      <c r="H8" s="367"/>
      <c r="I8" s="126">
        <v>52</v>
      </c>
      <c r="J8" s="126">
        <f t="shared" si="0"/>
        <v>16.560509554140125</v>
      </c>
      <c r="K8" s="95"/>
      <c r="L8" s="95"/>
      <c r="M8" s="95"/>
      <c r="N8" s="95"/>
      <c r="O8" s="131">
        <f t="shared" si="1"/>
        <v>0.10180337313799037</v>
      </c>
      <c r="P8" s="131">
        <f>O8*(1+'Key Data'!F$3)</f>
        <v>0.12725421642248796</v>
      </c>
      <c r="Q8" s="366"/>
      <c r="R8" s="366"/>
      <c r="S8" s="369"/>
    </row>
    <row r="9" spans="1:19" x14ac:dyDescent="0.3">
      <c r="A9" s="477"/>
      <c r="B9" s="477"/>
      <c r="C9" s="367"/>
      <c r="D9" s="367"/>
      <c r="E9" s="108"/>
      <c r="F9" s="108"/>
      <c r="G9" s="367"/>
      <c r="H9" s="367"/>
      <c r="I9" s="126">
        <v>50</v>
      </c>
      <c r="J9" s="126">
        <f t="shared" si="0"/>
        <v>15.923566878980891</v>
      </c>
      <c r="K9" s="95"/>
      <c r="L9" s="95"/>
      <c r="M9" s="95"/>
      <c r="N9" s="95"/>
      <c r="O9" s="131">
        <f t="shared" si="1"/>
        <v>0.10055692997803489</v>
      </c>
      <c r="P9" s="131">
        <f>O9*(1+'Key Data'!F$3)</f>
        <v>0.12569616247254362</v>
      </c>
      <c r="Q9" s="366"/>
      <c r="R9" s="366"/>
      <c r="S9" s="369"/>
    </row>
    <row r="10" spans="1:19" x14ac:dyDescent="0.3">
      <c r="A10" s="477"/>
      <c r="B10" s="477"/>
      <c r="C10" s="367"/>
      <c r="D10" s="367"/>
      <c r="E10" s="108"/>
      <c r="F10" s="108"/>
      <c r="G10" s="367"/>
      <c r="H10" s="367"/>
      <c r="I10" s="126">
        <v>48</v>
      </c>
      <c r="J10" s="126">
        <f t="shared" si="0"/>
        <v>15.286624203821656</v>
      </c>
      <c r="K10" s="95"/>
      <c r="L10" s="95"/>
      <c r="M10" s="95"/>
      <c r="N10" s="95"/>
      <c r="O10" s="131">
        <f t="shared" si="1"/>
        <v>9.9105610669934466E-2</v>
      </c>
      <c r="P10" s="131">
        <f>O10*(1+'Key Data'!F$3)</f>
        <v>0.12388201333741808</v>
      </c>
      <c r="Q10" s="366"/>
      <c r="R10" s="366"/>
      <c r="S10" s="369"/>
    </row>
    <row r="11" spans="1:19" x14ac:dyDescent="0.3">
      <c r="A11" s="477"/>
      <c r="B11" s="477"/>
      <c r="C11" s="367"/>
      <c r="D11" s="367"/>
      <c r="E11" s="108"/>
      <c r="F11" s="108"/>
      <c r="G11" s="367"/>
      <c r="H11" s="367"/>
      <c r="I11" s="126">
        <v>22</v>
      </c>
      <c r="J11" s="126">
        <f t="shared" si="0"/>
        <v>7.0063694267515917</v>
      </c>
      <c r="K11" s="95"/>
      <c r="L11" s="95"/>
      <c r="M11" s="95"/>
      <c r="N11" s="95"/>
      <c r="O11" s="131">
        <f t="shared" si="1"/>
        <v>4.800625536190465E-2</v>
      </c>
      <c r="P11" s="131">
        <f>O11*(1+'Key Data'!F$3)</f>
        <v>6.000781920238081E-2</v>
      </c>
      <c r="Q11" s="366"/>
      <c r="R11" s="366"/>
      <c r="S11" s="369"/>
    </row>
    <row r="12" spans="1:19" x14ac:dyDescent="0.3">
      <c r="A12" s="477"/>
      <c r="B12" s="477"/>
      <c r="C12" s="367"/>
      <c r="D12" s="367"/>
      <c r="E12" s="108"/>
      <c r="F12" s="108"/>
      <c r="G12" s="367"/>
      <c r="H12" s="367"/>
      <c r="I12" s="126">
        <v>46</v>
      </c>
      <c r="J12" s="126">
        <f t="shared" si="0"/>
        <v>14.64968152866242</v>
      </c>
      <c r="K12" s="95"/>
      <c r="L12" s="95"/>
      <c r="M12" s="95"/>
      <c r="N12" s="95"/>
      <c r="O12" s="131">
        <f t="shared" si="1"/>
        <v>9.7419820513451161E-2</v>
      </c>
      <c r="P12" s="131">
        <f>O12*(1+'Key Data'!F$3)</f>
        <v>0.12177477564181395</v>
      </c>
      <c r="Q12" s="366"/>
      <c r="R12" s="366"/>
      <c r="S12" s="369"/>
    </row>
    <row r="13" spans="1:19" x14ac:dyDescent="0.3">
      <c r="A13" s="477"/>
      <c r="B13" s="477"/>
      <c r="C13" s="367"/>
      <c r="D13" s="367"/>
      <c r="E13" s="108"/>
      <c r="F13" s="108"/>
      <c r="G13" s="367"/>
      <c r="H13" s="367"/>
      <c r="I13" s="126">
        <v>46.2</v>
      </c>
      <c r="J13" s="126">
        <f t="shared" si="0"/>
        <v>14.713375796178344</v>
      </c>
      <c r="K13" s="95"/>
      <c r="L13" s="95"/>
      <c r="M13" s="95"/>
      <c r="N13" s="95"/>
      <c r="O13" s="131">
        <f t="shared" si="1"/>
        <v>9.7599851445673347E-2</v>
      </c>
      <c r="P13" s="131">
        <f>O13*(1+'Key Data'!F$3)</f>
        <v>0.12199981430709168</v>
      </c>
      <c r="Q13" s="366"/>
      <c r="R13" s="366"/>
      <c r="S13" s="369"/>
    </row>
    <row r="14" spans="1:19" x14ac:dyDescent="0.3">
      <c r="A14" s="477"/>
      <c r="B14" s="477"/>
      <c r="C14" s="367"/>
      <c r="D14" s="367"/>
      <c r="E14" s="108"/>
      <c r="F14" s="108"/>
      <c r="G14" s="367"/>
      <c r="H14" s="367"/>
      <c r="I14" s="126">
        <v>62.8</v>
      </c>
      <c r="J14" s="126">
        <f t="shared" si="0"/>
        <v>20</v>
      </c>
      <c r="K14" s="95"/>
      <c r="L14" s="95"/>
      <c r="M14" s="95"/>
      <c r="N14" s="95"/>
      <c r="O14" s="131">
        <f t="shared" si="1"/>
        <v>0.10600366052800984</v>
      </c>
      <c r="P14" s="131">
        <f>O14*(1+'Key Data'!F$3)</f>
        <v>0.13250457566001231</v>
      </c>
      <c r="Q14" s="366"/>
      <c r="R14" s="366"/>
      <c r="S14" s="369"/>
    </row>
    <row r="15" spans="1:19" x14ac:dyDescent="0.3">
      <c r="A15" s="477"/>
      <c r="B15" s="477"/>
      <c r="C15" s="367"/>
      <c r="D15" s="367"/>
      <c r="E15" s="108"/>
      <c r="F15" s="108"/>
      <c r="G15" s="367"/>
      <c r="H15" s="367"/>
      <c r="I15" s="126">
        <v>57.6</v>
      </c>
      <c r="J15" s="126">
        <f t="shared" si="0"/>
        <v>18.343949044585987</v>
      </c>
      <c r="K15" s="95"/>
      <c r="L15" s="95"/>
      <c r="M15" s="95"/>
      <c r="N15" s="95"/>
      <c r="O15" s="131">
        <f t="shared" si="1"/>
        <v>0.10442012518246455</v>
      </c>
      <c r="P15" s="131">
        <f>O15*(1+'Key Data'!F$3)</f>
        <v>0.13052515647808069</v>
      </c>
      <c r="Q15" s="366"/>
      <c r="R15" s="366"/>
      <c r="S15" s="369"/>
    </row>
    <row r="16" spans="1:19" x14ac:dyDescent="0.3">
      <c r="A16" s="478"/>
      <c r="B16" s="478"/>
      <c r="C16" s="367"/>
      <c r="D16" s="367"/>
      <c r="E16" s="108"/>
      <c r="F16" s="108"/>
      <c r="G16" s="367"/>
      <c r="H16" s="367"/>
      <c r="I16" s="126">
        <v>49.8</v>
      </c>
      <c r="J16" s="126">
        <f t="shared" si="0"/>
        <v>15.859872611464967</v>
      </c>
      <c r="K16" s="95"/>
      <c r="L16" s="95"/>
      <c r="M16" s="95"/>
      <c r="N16" s="95"/>
      <c r="O16" s="131">
        <f t="shared" si="1"/>
        <v>0.10042148354899162</v>
      </c>
      <c r="P16" s="131">
        <f>O16*(1+'Key Data'!F$3)</f>
        <v>0.12552685443623954</v>
      </c>
      <c r="Q16" s="366"/>
      <c r="R16" s="366"/>
      <c r="S16" s="369"/>
    </row>
    <row r="17" spans="1:19" x14ac:dyDescent="0.3">
      <c r="A17" s="374">
        <v>2</v>
      </c>
      <c r="B17" s="374" t="s">
        <v>281</v>
      </c>
      <c r="C17" s="374" t="s">
        <v>282</v>
      </c>
      <c r="D17" s="374" t="s">
        <v>283</v>
      </c>
      <c r="E17" s="113">
        <v>14.859874400000001</v>
      </c>
      <c r="F17" s="113">
        <v>75.099269399999997</v>
      </c>
      <c r="G17" s="374">
        <v>2020</v>
      </c>
      <c r="H17" s="374" t="s">
        <v>263</v>
      </c>
      <c r="I17" s="128">
        <v>42</v>
      </c>
      <c r="J17" s="128">
        <f t="shared" si="0"/>
        <v>13.375796178343949</v>
      </c>
      <c r="K17" s="192"/>
      <c r="L17" s="192"/>
      <c r="M17" s="192"/>
      <c r="N17" s="192"/>
      <c r="O17" s="138">
        <f t="shared" si="1"/>
        <v>9.321330534113309E-2</v>
      </c>
      <c r="P17" s="138">
        <f>O17*(1+'Key Data'!F$3)</f>
        <v>0.11651663167641636</v>
      </c>
      <c r="Q17" s="379">
        <f>SUM(P17:P32)</f>
        <v>1.6539576359416737</v>
      </c>
      <c r="R17" s="379">
        <f>Q17*10000/900</f>
        <v>18.377307066018595</v>
      </c>
      <c r="S17" s="369"/>
    </row>
    <row r="18" spans="1:19" x14ac:dyDescent="0.3">
      <c r="A18" s="374"/>
      <c r="B18" s="374"/>
      <c r="C18" s="374"/>
      <c r="D18" s="374"/>
      <c r="E18" s="113">
        <v>14.859911</v>
      </c>
      <c r="F18" s="113">
        <v>75.099424299999995</v>
      </c>
      <c r="G18" s="374"/>
      <c r="H18" s="374"/>
      <c r="I18" s="128">
        <v>23.6</v>
      </c>
      <c r="J18" s="128">
        <f t="shared" si="0"/>
        <v>7.515923566878981</v>
      </c>
      <c r="K18" s="192"/>
      <c r="L18" s="192"/>
      <c r="M18" s="192"/>
      <c r="N18" s="192"/>
      <c r="O18" s="138">
        <f t="shared" si="1"/>
        <v>5.3148681012470972E-2</v>
      </c>
      <c r="P18" s="138">
        <f>O18*(1+'Key Data'!F$3)</f>
        <v>6.6435851265588708E-2</v>
      </c>
      <c r="Q18" s="379"/>
      <c r="R18" s="379"/>
      <c r="S18" s="369"/>
    </row>
    <row r="19" spans="1:19" x14ac:dyDescent="0.3">
      <c r="A19" s="374"/>
      <c r="B19" s="374"/>
      <c r="C19" s="374"/>
      <c r="D19" s="374"/>
      <c r="E19" s="113">
        <v>14.859675299999999</v>
      </c>
      <c r="F19" s="113">
        <v>75.099459199999998</v>
      </c>
      <c r="G19" s="374"/>
      <c r="H19" s="374"/>
      <c r="I19" s="128">
        <v>47.6</v>
      </c>
      <c r="J19" s="128">
        <f t="shared" si="0"/>
        <v>15.159235668789808</v>
      </c>
      <c r="K19" s="192"/>
      <c r="L19" s="192"/>
      <c r="M19" s="192"/>
      <c r="N19" s="192"/>
      <c r="O19" s="138">
        <f t="shared" si="1"/>
        <v>9.8788206668765907E-2</v>
      </c>
      <c r="P19" s="138">
        <f>O19*(1+'Key Data'!F$3)</f>
        <v>0.12348525833595739</v>
      </c>
      <c r="Q19" s="379"/>
      <c r="R19" s="379"/>
      <c r="S19" s="369"/>
    </row>
    <row r="20" spans="1:19" x14ac:dyDescent="0.3">
      <c r="A20" s="374"/>
      <c r="B20" s="374"/>
      <c r="C20" s="374"/>
      <c r="D20" s="374"/>
      <c r="E20" s="113">
        <v>14.859629399999999</v>
      </c>
      <c r="F20" s="113">
        <v>75.099328499999999</v>
      </c>
      <c r="G20" s="374"/>
      <c r="H20" s="374"/>
      <c r="I20" s="128">
        <v>29.2</v>
      </c>
      <c r="J20" s="128">
        <f t="shared" si="0"/>
        <v>9.2993630573248396</v>
      </c>
      <c r="K20" s="192"/>
      <c r="L20" s="192"/>
      <c r="M20" s="192"/>
      <c r="N20" s="192"/>
      <c r="O20" s="138">
        <f t="shared" si="1"/>
        <v>6.9382357783613777E-2</v>
      </c>
      <c r="P20" s="138">
        <f>O20*(1+'Key Data'!F$3)</f>
        <v>8.6727947229517224E-2</v>
      </c>
      <c r="Q20" s="379"/>
      <c r="R20" s="379"/>
      <c r="S20" s="369"/>
    </row>
    <row r="21" spans="1:19" x14ac:dyDescent="0.3">
      <c r="A21" s="374"/>
      <c r="B21" s="374"/>
      <c r="C21" s="374"/>
      <c r="D21" s="374"/>
      <c r="E21" s="113">
        <v>14.8598021</v>
      </c>
      <c r="F21" s="113">
        <v>75.099673699999997</v>
      </c>
      <c r="G21" s="374"/>
      <c r="H21" s="374"/>
      <c r="I21" s="128">
        <v>46.4</v>
      </c>
      <c r="J21" s="128">
        <f t="shared" si="0"/>
        <v>14.777070063694266</v>
      </c>
      <c r="K21" s="192"/>
      <c r="L21" s="192"/>
      <c r="M21" s="192"/>
      <c r="N21" s="192"/>
      <c r="O21" s="138">
        <f t="shared" si="1"/>
        <v>9.7777250065736107E-2</v>
      </c>
      <c r="P21" s="138">
        <f>O21*(1+'Key Data'!F$3)</f>
        <v>0.12222156258217014</v>
      </c>
      <c r="Q21" s="379"/>
      <c r="R21" s="379"/>
      <c r="S21" s="369"/>
    </row>
    <row r="22" spans="1:19" x14ac:dyDescent="0.3">
      <c r="A22" s="374"/>
      <c r="B22" s="374"/>
      <c r="C22" s="374"/>
      <c r="D22" s="374"/>
      <c r="E22" s="113"/>
      <c r="F22" s="113"/>
      <c r="G22" s="374"/>
      <c r="H22" s="374"/>
      <c r="I22" s="128">
        <v>30</v>
      </c>
      <c r="J22" s="128">
        <f t="shared" si="0"/>
        <v>9.5541401273885338</v>
      </c>
      <c r="K22" s="192"/>
      <c r="L22" s="192"/>
      <c r="M22" s="192"/>
      <c r="N22" s="192"/>
      <c r="O22" s="138">
        <f t="shared" si="1"/>
        <v>7.1420982321553222E-2</v>
      </c>
      <c r="P22" s="138">
        <f>O22*(1+'Key Data'!F$3)</f>
        <v>8.9276227901941535E-2</v>
      </c>
      <c r="Q22" s="379"/>
      <c r="R22" s="379"/>
      <c r="S22" s="369"/>
    </row>
    <row r="23" spans="1:19" x14ac:dyDescent="0.3">
      <c r="A23" s="374"/>
      <c r="B23" s="374"/>
      <c r="C23" s="374"/>
      <c r="D23" s="374"/>
      <c r="E23" s="113"/>
      <c r="F23" s="113"/>
      <c r="G23" s="374"/>
      <c r="H23" s="374"/>
      <c r="I23" s="128">
        <v>34.6</v>
      </c>
      <c r="J23" s="128">
        <f t="shared" si="0"/>
        <v>11.019108280254777</v>
      </c>
      <c r="K23" s="192"/>
      <c r="L23" s="192"/>
      <c r="M23" s="192"/>
      <c r="N23" s="192"/>
      <c r="O23" s="138">
        <f t="shared" si="1"/>
        <v>8.16571131050743E-2</v>
      </c>
      <c r="P23" s="138">
        <f>O23*(1+'Key Data'!F$3)</f>
        <v>0.10207139138134287</v>
      </c>
      <c r="Q23" s="379"/>
      <c r="R23" s="379"/>
      <c r="S23" s="369"/>
    </row>
    <row r="24" spans="1:19" x14ac:dyDescent="0.3">
      <c r="A24" s="374"/>
      <c r="B24" s="374"/>
      <c r="C24" s="374"/>
      <c r="D24" s="374"/>
      <c r="E24" s="113"/>
      <c r="F24" s="113"/>
      <c r="G24" s="374"/>
      <c r="H24" s="374"/>
      <c r="I24" s="128">
        <v>35.5</v>
      </c>
      <c r="J24" s="128">
        <f t="shared" si="0"/>
        <v>11.305732484076433</v>
      </c>
      <c r="K24" s="192"/>
      <c r="L24" s="192"/>
      <c r="M24" s="192"/>
      <c r="N24" s="192"/>
      <c r="O24" s="138">
        <f t="shared" si="1"/>
        <v>8.336901799661528E-2</v>
      </c>
      <c r="P24" s="138">
        <f>O24*(1+'Key Data'!F$3)</f>
        <v>0.1042112724957691</v>
      </c>
      <c r="Q24" s="379"/>
      <c r="R24" s="379"/>
      <c r="S24" s="369"/>
    </row>
    <row r="25" spans="1:19" x14ac:dyDescent="0.3">
      <c r="A25" s="374"/>
      <c r="B25" s="374"/>
      <c r="C25" s="374"/>
      <c r="D25" s="374"/>
      <c r="E25" s="113"/>
      <c r="F25" s="113"/>
      <c r="G25" s="374"/>
      <c r="H25" s="374"/>
      <c r="I25" s="128">
        <v>32.799999999999997</v>
      </c>
      <c r="J25" s="128">
        <f t="shared" si="0"/>
        <v>10.445859872611464</v>
      </c>
      <c r="K25" s="192"/>
      <c r="L25" s="192"/>
      <c r="M25" s="192"/>
      <c r="N25" s="192"/>
      <c r="O25" s="138">
        <f t="shared" si="1"/>
        <v>7.79520081496239E-2</v>
      </c>
      <c r="P25" s="138">
        <f>O25*(1+'Key Data'!F$3)</f>
        <v>9.7440010187029871E-2</v>
      </c>
      <c r="Q25" s="379"/>
      <c r="R25" s="379"/>
      <c r="S25" s="369"/>
    </row>
    <row r="26" spans="1:19" x14ac:dyDescent="0.3">
      <c r="A26" s="374"/>
      <c r="B26" s="374"/>
      <c r="C26" s="374"/>
      <c r="D26" s="374"/>
      <c r="E26" s="113"/>
      <c r="F26" s="113"/>
      <c r="G26" s="374"/>
      <c r="H26" s="374"/>
      <c r="I26" s="128">
        <v>34.200000000000003</v>
      </c>
      <c r="J26" s="128">
        <f t="shared" si="0"/>
        <v>10.891719745222931</v>
      </c>
      <c r="K26" s="192"/>
      <c r="L26" s="192"/>
      <c r="M26" s="192"/>
      <c r="N26" s="192"/>
      <c r="O26" s="138">
        <f t="shared" si="1"/>
        <v>8.0866494894979851E-2</v>
      </c>
      <c r="P26" s="138">
        <f>O26*(1+'Key Data'!F$3)</f>
        <v>0.10108311861872482</v>
      </c>
      <c r="Q26" s="379"/>
      <c r="R26" s="379"/>
      <c r="S26" s="369"/>
    </row>
    <row r="27" spans="1:19" x14ac:dyDescent="0.3">
      <c r="A27" s="374"/>
      <c r="B27" s="374"/>
      <c r="C27" s="374"/>
      <c r="D27" s="374"/>
      <c r="E27" s="113"/>
      <c r="F27" s="113"/>
      <c r="G27" s="374"/>
      <c r="H27" s="374"/>
      <c r="I27" s="128">
        <v>29</v>
      </c>
      <c r="J27" s="128">
        <f t="shared" si="0"/>
        <v>9.2356687898089174</v>
      </c>
      <c r="K27" s="192"/>
      <c r="L27" s="192"/>
      <c r="M27" s="192"/>
      <c r="N27" s="192"/>
      <c r="O27" s="138">
        <f t="shared" si="1"/>
        <v>6.8860872127670267E-2</v>
      </c>
      <c r="P27" s="138">
        <f>O27*(1+'Key Data'!F$3)</f>
        <v>8.6076090159587837E-2</v>
      </c>
      <c r="Q27" s="379"/>
      <c r="R27" s="379"/>
      <c r="S27" s="369"/>
    </row>
    <row r="28" spans="1:19" x14ac:dyDescent="0.3">
      <c r="A28" s="374"/>
      <c r="B28" s="374"/>
      <c r="C28" s="374"/>
      <c r="D28" s="374"/>
      <c r="E28" s="113"/>
      <c r="F28" s="113"/>
      <c r="G28" s="374"/>
      <c r="H28" s="374"/>
      <c r="I28" s="128">
        <v>45.2</v>
      </c>
      <c r="J28" s="128">
        <f t="shared" si="0"/>
        <v>14.394904458598726</v>
      </c>
      <c r="K28" s="192"/>
      <c r="L28" s="192"/>
      <c r="M28" s="192"/>
      <c r="N28" s="192"/>
      <c r="O28" s="138">
        <f t="shared" si="1"/>
        <v>9.6672700685024565E-2</v>
      </c>
      <c r="P28" s="138">
        <f>O28*(1+'Key Data'!F$3)</f>
        <v>0.1208408758562807</v>
      </c>
      <c r="Q28" s="379"/>
      <c r="R28" s="379"/>
      <c r="S28" s="369"/>
    </row>
    <row r="29" spans="1:19" x14ac:dyDescent="0.3">
      <c r="A29" s="374"/>
      <c r="B29" s="374"/>
      <c r="C29" s="374"/>
      <c r="D29" s="374"/>
      <c r="E29" s="113"/>
      <c r="F29" s="113"/>
      <c r="G29" s="374"/>
      <c r="H29" s="374"/>
      <c r="I29" s="128">
        <v>36.5</v>
      </c>
      <c r="J29" s="128">
        <f t="shared" si="0"/>
        <v>11.624203821656051</v>
      </c>
      <c r="K29" s="192"/>
      <c r="L29" s="192"/>
      <c r="M29" s="192"/>
      <c r="N29" s="192"/>
      <c r="O29" s="138">
        <f t="shared" si="1"/>
        <v>8.5164707673907769E-2</v>
      </c>
      <c r="P29" s="138">
        <f>O29*(1+'Key Data'!F$3)</f>
        <v>0.10645588459238471</v>
      </c>
      <c r="Q29" s="379"/>
      <c r="R29" s="379"/>
      <c r="S29" s="369"/>
    </row>
    <row r="30" spans="1:19" x14ac:dyDescent="0.3">
      <c r="A30" s="374"/>
      <c r="B30" s="374"/>
      <c r="C30" s="374"/>
      <c r="D30" s="374"/>
      <c r="E30" s="113"/>
      <c r="F30" s="113"/>
      <c r="G30" s="374"/>
      <c r="H30" s="374"/>
      <c r="I30" s="128">
        <f>SQRT(33.6^2+34.6^2)</f>
        <v>48.229866265624246</v>
      </c>
      <c r="J30" s="128">
        <f t="shared" si="0"/>
        <v>15.359830020899441</v>
      </c>
      <c r="K30" s="192"/>
      <c r="L30" s="192"/>
      <c r="M30" s="192"/>
      <c r="N30" s="192"/>
      <c r="O30" s="138">
        <f t="shared" si="1"/>
        <v>9.9283756458546785E-2</v>
      </c>
      <c r="P30" s="138">
        <f>O30*(1+'Key Data'!F$3)</f>
        <v>0.12410469557318349</v>
      </c>
      <c r="Q30" s="379"/>
      <c r="R30" s="379"/>
      <c r="S30" s="369"/>
    </row>
    <row r="31" spans="1:19" x14ac:dyDescent="0.3">
      <c r="A31" s="374"/>
      <c r="B31" s="374"/>
      <c r="C31" s="374"/>
      <c r="D31" s="374"/>
      <c r="E31" s="113"/>
      <c r="F31" s="113"/>
      <c r="G31" s="374"/>
      <c r="H31" s="374"/>
      <c r="I31" s="128">
        <v>30.2</v>
      </c>
      <c r="J31" s="128">
        <f t="shared" si="0"/>
        <v>9.6178343949044578</v>
      </c>
      <c r="K31" s="192"/>
      <c r="L31" s="192"/>
      <c r="M31" s="192"/>
      <c r="N31" s="192"/>
      <c r="O31" s="138">
        <f t="shared" si="1"/>
        <v>7.1918724715646948E-2</v>
      </c>
      <c r="P31" s="138">
        <f>O31*(1+'Key Data'!F$3)</f>
        <v>8.9898405894558692E-2</v>
      </c>
      <c r="Q31" s="379"/>
      <c r="R31" s="379"/>
      <c r="S31" s="369"/>
    </row>
    <row r="32" spans="1:19" x14ac:dyDescent="0.3">
      <c r="A32" s="420"/>
      <c r="B32" s="420"/>
      <c r="C32" s="374"/>
      <c r="D32" s="374"/>
      <c r="E32" s="113"/>
      <c r="F32" s="113"/>
      <c r="G32" s="374"/>
      <c r="H32" s="374"/>
      <c r="I32" s="128">
        <v>42.4</v>
      </c>
      <c r="J32" s="128">
        <f t="shared" si="0"/>
        <v>13.503184713375795</v>
      </c>
      <c r="K32" s="192"/>
      <c r="L32" s="192"/>
      <c r="M32" s="192"/>
      <c r="N32" s="192"/>
      <c r="O32" s="138">
        <f t="shared" si="1"/>
        <v>9.3689929752976256E-2</v>
      </c>
      <c r="P32" s="138">
        <f>O32*(1+'Key Data'!F$3)</f>
        <v>0.11711241219122032</v>
      </c>
      <c r="Q32" s="379"/>
      <c r="R32" s="379"/>
      <c r="S32" s="369"/>
    </row>
    <row r="33" spans="1:19" ht="15" customHeight="1" x14ac:dyDescent="0.3">
      <c r="A33" s="367">
        <v>3</v>
      </c>
      <c r="B33" s="367" t="s">
        <v>400</v>
      </c>
      <c r="C33" s="367" t="s">
        <v>427</v>
      </c>
      <c r="D33" s="367" t="s">
        <v>269</v>
      </c>
      <c r="E33" s="367">
        <v>13.391932000000001</v>
      </c>
      <c r="F33" s="367">
        <v>79.000297000000003</v>
      </c>
      <c r="G33" s="367">
        <v>2020</v>
      </c>
      <c r="H33" s="367" t="s">
        <v>263</v>
      </c>
      <c r="I33" s="131">
        <v>38.5</v>
      </c>
      <c r="J33" s="131">
        <f t="shared" si="0"/>
        <v>12.261146496815286</v>
      </c>
      <c r="K33" s="96"/>
      <c r="L33" s="96"/>
      <c r="M33" s="96"/>
      <c r="N33" s="96"/>
      <c r="O33" s="131">
        <f t="shared" si="1"/>
        <v>8.8434485897848497E-2</v>
      </c>
      <c r="P33" s="131">
        <f>O33*(1+'Key Data'!F$3)</f>
        <v>0.11054310737231063</v>
      </c>
      <c r="Q33" s="366">
        <f>SUM(P33:P57)</f>
        <v>1.8122392774999447</v>
      </c>
      <c r="R33" s="366">
        <f>Q33*10000/900</f>
        <v>20.135991972221607</v>
      </c>
      <c r="S33" s="369"/>
    </row>
    <row r="34" spans="1:19" x14ac:dyDescent="0.3">
      <c r="A34" s="367"/>
      <c r="B34" s="367"/>
      <c r="C34" s="367"/>
      <c r="D34" s="367"/>
      <c r="E34" s="367"/>
      <c r="F34" s="367"/>
      <c r="G34" s="367"/>
      <c r="H34" s="367" t="s">
        <v>263</v>
      </c>
      <c r="I34" s="131">
        <v>38</v>
      </c>
      <c r="J34" s="131">
        <f t="shared" ref="J34:J65" si="2">I34/3.14</f>
        <v>12.101910828025478</v>
      </c>
      <c r="K34" s="96"/>
      <c r="L34" s="96"/>
      <c r="M34" s="96"/>
      <c r="N34" s="96"/>
      <c r="O34" s="131">
        <f t="shared" ref="O34:O65" si="3">30.4*EXP(-5.07*EXP(-0.26*J34)+1.277)/1000</f>
        <v>8.7655984615502475E-2</v>
      </c>
      <c r="P34" s="131">
        <f>O34*(1+'Key Data'!F$3)</f>
        <v>0.1095699807693781</v>
      </c>
      <c r="Q34" s="366"/>
      <c r="R34" s="366"/>
      <c r="S34" s="369"/>
    </row>
    <row r="35" spans="1:19" x14ac:dyDescent="0.3">
      <c r="A35" s="367"/>
      <c r="B35" s="367"/>
      <c r="C35" s="367"/>
      <c r="D35" s="367"/>
      <c r="E35" s="367"/>
      <c r="F35" s="367"/>
      <c r="G35" s="367"/>
      <c r="H35" s="367" t="s">
        <v>263</v>
      </c>
      <c r="I35" s="131">
        <v>35</v>
      </c>
      <c r="J35" s="131">
        <f t="shared" si="2"/>
        <v>11.146496815286623</v>
      </c>
      <c r="K35" s="96"/>
      <c r="L35" s="96"/>
      <c r="M35" s="96"/>
      <c r="N35" s="96"/>
      <c r="O35" s="131">
        <f t="shared" si="3"/>
        <v>8.2429329470591506E-2</v>
      </c>
      <c r="P35" s="131">
        <f>O35*(1+'Key Data'!F$3)</f>
        <v>0.10303666183823938</v>
      </c>
      <c r="Q35" s="366"/>
      <c r="R35" s="366"/>
      <c r="S35" s="369"/>
    </row>
    <row r="36" spans="1:19" x14ac:dyDescent="0.3">
      <c r="A36" s="367"/>
      <c r="B36" s="367"/>
      <c r="C36" s="367"/>
      <c r="D36" s="367"/>
      <c r="E36" s="367"/>
      <c r="F36" s="367"/>
      <c r="G36" s="367"/>
      <c r="H36" s="367" t="s">
        <v>263</v>
      </c>
      <c r="I36" s="131">
        <v>13.5</v>
      </c>
      <c r="J36" s="131">
        <f t="shared" si="2"/>
        <v>4.2993630573248405</v>
      </c>
      <c r="K36" s="96"/>
      <c r="L36" s="96"/>
      <c r="M36" s="96"/>
      <c r="N36" s="96"/>
      <c r="O36" s="131">
        <f t="shared" si="3"/>
        <v>2.0772245409667666E-2</v>
      </c>
      <c r="P36" s="131">
        <f>O36*(1+'Key Data'!F$3)</f>
        <v>2.5965306762084583E-2</v>
      </c>
      <c r="Q36" s="366"/>
      <c r="R36" s="366"/>
      <c r="S36" s="369"/>
    </row>
    <row r="37" spans="1:19" x14ac:dyDescent="0.3">
      <c r="A37" s="367"/>
      <c r="B37" s="367"/>
      <c r="C37" s="367"/>
      <c r="D37" s="367"/>
      <c r="E37" s="367"/>
      <c r="F37" s="367"/>
      <c r="G37" s="367"/>
      <c r="H37" s="367" t="s">
        <v>263</v>
      </c>
      <c r="I37" s="131">
        <v>25.5</v>
      </c>
      <c r="J37" s="131">
        <f t="shared" si="2"/>
        <v>8.1210191082802545</v>
      </c>
      <c r="K37" s="96"/>
      <c r="L37" s="96"/>
      <c r="M37" s="96"/>
      <c r="N37" s="96"/>
      <c r="O37" s="131">
        <f t="shared" si="3"/>
        <v>5.9007581804488222E-2</v>
      </c>
      <c r="P37" s="131">
        <f>O37*(1+'Key Data'!F$3)</f>
        <v>7.3759477255610273E-2</v>
      </c>
      <c r="Q37" s="366"/>
      <c r="R37" s="366"/>
      <c r="S37" s="369"/>
    </row>
    <row r="38" spans="1:19" x14ac:dyDescent="0.3">
      <c r="A38" s="367"/>
      <c r="B38" s="367"/>
      <c r="C38" s="367"/>
      <c r="D38" s="367"/>
      <c r="E38" s="367"/>
      <c r="F38" s="367"/>
      <c r="G38" s="367"/>
      <c r="H38" s="367" t="s">
        <v>263</v>
      </c>
      <c r="I38" s="131">
        <v>34.5</v>
      </c>
      <c r="J38" s="131">
        <f t="shared" si="2"/>
        <v>10.987261146496815</v>
      </c>
      <c r="K38" s="96"/>
      <c r="L38" s="96"/>
      <c r="M38" s="96"/>
      <c r="N38" s="96"/>
      <c r="O38" s="131">
        <f t="shared" si="3"/>
        <v>8.1461190941682818E-2</v>
      </c>
      <c r="P38" s="131">
        <f>O38*(1+'Key Data'!F$3)</f>
        <v>0.10182648867710352</v>
      </c>
      <c r="Q38" s="366"/>
      <c r="R38" s="366"/>
      <c r="S38" s="369"/>
    </row>
    <row r="39" spans="1:19" x14ac:dyDescent="0.3">
      <c r="A39" s="367"/>
      <c r="B39" s="367"/>
      <c r="C39" s="367"/>
      <c r="D39" s="367"/>
      <c r="E39" s="367"/>
      <c r="F39" s="367"/>
      <c r="G39" s="367"/>
      <c r="H39" s="367" t="s">
        <v>263</v>
      </c>
      <c r="I39" s="131">
        <v>34</v>
      </c>
      <c r="J39" s="131">
        <f t="shared" si="2"/>
        <v>10.828025477707007</v>
      </c>
      <c r="K39" s="96"/>
      <c r="L39" s="96"/>
      <c r="M39" s="96"/>
      <c r="N39" s="96"/>
      <c r="O39" s="131">
        <f t="shared" si="3"/>
        <v>8.0464228929838302E-2</v>
      </c>
      <c r="P39" s="131">
        <f>O39*(1+'Key Data'!F$3)</f>
        <v>0.10058028616229787</v>
      </c>
      <c r="Q39" s="366"/>
      <c r="R39" s="366"/>
      <c r="S39" s="369"/>
    </row>
    <row r="40" spans="1:19" x14ac:dyDescent="0.3">
      <c r="A40" s="367"/>
      <c r="B40" s="367"/>
      <c r="C40" s="367"/>
      <c r="D40" s="367"/>
      <c r="E40" s="367"/>
      <c r="F40" s="367"/>
      <c r="G40" s="367"/>
      <c r="H40" s="367" t="s">
        <v>263</v>
      </c>
      <c r="I40" s="131">
        <v>23</v>
      </c>
      <c r="J40" s="131">
        <f t="shared" si="2"/>
        <v>7.3248407643312099</v>
      </c>
      <c r="K40" s="96"/>
      <c r="L40" s="96"/>
      <c r="M40" s="96"/>
      <c r="N40" s="96"/>
      <c r="O40" s="131">
        <f t="shared" si="3"/>
        <v>5.123911451649759E-2</v>
      </c>
      <c r="P40" s="131">
        <f>O40*(1+'Key Data'!F$3)</f>
        <v>6.4048893145621982E-2</v>
      </c>
      <c r="Q40" s="366"/>
      <c r="R40" s="366"/>
      <c r="S40" s="369"/>
    </row>
    <row r="41" spans="1:19" x14ac:dyDescent="0.3">
      <c r="A41" s="367"/>
      <c r="B41" s="367"/>
      <c r="C41" s="367"/>
      <c r="D41" s="367"/>
      <c r="E41" s="367"/>
      <c r="F41" s="367"/>
      <c r="G41" s="367"/>
      <c r="H41" s="367" t="s">
        <v>263</v>
      </c>
      <c r="I41" s="131">
        <v>27</v>
      </c>
      <c r="J41" s="131">
        <f t="shared" si="2"/>
        <v>8.598726114649681</v>
      </c>
      <c r="K41" s="96"/>
      <c r="L41" s="96"/>
      <c r="M41" s="96"/>
      <c r="N41" s="96"/>
      <c r="O41" s="131">
        <f t="shared" si="3"/>
        <v>6.3393109582195781E-2</v>
      </c>
      <c r="P41" s="131">
        <f>O41*(1+'Key Data'!F$3)</f>
        <v>7.9241386977744729E-2</v>
      </c>
      <c r="Q41" s="366"/>
      <c r="R41" s="366"/>
      <c r="S41" s="369"/>
    </row>
    <row r="42" spans="1:19" x14ac:dyDescent="0.3">
      <c r="A42" s="367"/>
      <c r="B42" s="367"/>
      <c r="C42" s="367"/>
      <c r="D42" s="367"/>
      <c r="E42" s="367"/>
      <c r="F42" s="367"/>
      <c r="G42" s="367"/>
      <c r="H42" s="367" t="s">
        <v>263</v>
      </c>
      <c r="I42" s="131">
        <v>24</v>
      </c>
      <c r="J42" s="131">
        <f t="shared" si="2"/>
        <v>7.6433121019108281</v>
      </c>
      <c r="K42" s="96"/>
      <c r="L42" s="96"/>
      <c r="M42" s="96"/>
      <c r="N42" s="96"/>
      <c r="O42" s="131">
        <f t="shared" si="3"/>
        <v>5.4407175553130079E-2</v>
      </c>
      <c r="P42" s="131">
        <f>O42*(1+'Key Data'!F$3)</f>
        <v>6.8008969441412603E-2</v>
      </c>
      <c r="Q42" s="366"/>
      <c r="R42" s="366"/>
      <c r="S42" s="369"/>
    </row>
    <row r="43" spans="1:19" x14ac:dyDescent="0.3">
      <c r="A43" s="367"/>
      <c r="B43" s="367"/>
      <c r="C43" s="367"/>
      <c r="D43" s="367"/>
      <c r="E43" s="367"/>
      <c r="F43" s="367"/>
      <c r="G43" s="367"/>
      <c r="H43" s="367" t="s">
        <v>263</v>
      </c>
      <c r="I43" s="131">
        <v>27</v>
      </c>
      <c r="J43" s="131">
        <f t="shared" si="2"/>
        <v>8.598726114649681</v>
      </c>
      <c r="K43" s="96"/>
      <c r="L43" s="96"/>
      <c r="M43" s="96"/>
      <c r="N43" s="96"/>
      <c r="O43" s="131">
        <f t="shared" si="3"/>
        <v>6.3393109582195781E-2</v>
      </c>
      <c r="P43" s="131">
        <f>O43*(1+'Key Data'!F$3)</f>
        <v>7.9241386977744729E-2</v>
      </c>
      <c r="Q43" s="366"/>
      <c r="R43" s="366"/>
      <c r="S43" s="369"/>
    </row>
    <row r="44" spans="1:19" x14ac:dyDescent="0.3">
      <c r="A44" s="367"/>
      <c r="B44" s="367"/>
      <c r="C44" s="367"/>
      <c r="D44" s="367"/>
      <c r="E44" s="367"/>
      <c r="F44" s="367"/>
      <c r="G44" s="367"/>
      <c r="H44" s="367" t="s">
        <v>263</v>
      </c>
      <c r="I44" s="131">
        <v>31</v>
      </c>
      <c r="J44" s="131">
        <f t="shared" si="2"/>
        <v>9.872611464968152</v>
      </c>
      <c r="K44" s="96"/>
      <c r="L44" s="96"/>
      <c r="M44" s="96"/>
      <c r="N44" s="96"/>
      <c r="O44" s="131">
        <f t="shared" si="3"/>
        <v>7.3861700758365859E-2</v>
      </c>
      <c r="P44" s="131">
        <f>O44*(1+'Key Data'!F$3)</f>
        <v>9.232712594795732E-2</v>
      </c>
      <c r="Q44" s="366"/>
      <c r="R44" s="366"/>
      <c r="S44" s="369"/>
    </row>
    <row r="45" spans="1:19" x14ac:dyDescent="0.3">
      <c r="A45" s="367"/>
      <c r="B45" s="367"/>
      <c r="C45" s="367"/>
      <c r="D45" s="367"/>
      <c r="E45" s="367"/>
      <c r="F45" s="367"/>
      <c r="G45" s="367"/>
      <c r="H45" s="367" t="s">
        <v>263</v>
      </c>
      <c r="I45" s="131">
        <v>17.5</v>
      </c>
      <c r="J45" s="131">
        <f t="shared" si="2"/>
        <v>5.5732484076433115</v>
      </c>
      <c r="K45" s="96"/>
      <c r="L45" s="96"/>
      <c r="M45" s="96"/>
      <c r="N45" s="96"/>
      <c r="O45" s="131">
        <f t="shared" si="3"/>
        <v>3.3149726237027465E-2</v>
      </c>
      <c r="P45" s="131">
        <f>O45*(1+'Key Data'!F$3)</f>
        <v>4.1437157796284332E-2</v>
      </c>
      <c r="Q45" s="366"/>
      <c r="R45" s="366"/>
      <c r="S45" s="369"/>
    </row>
    <row r="46" spans="1:19" x14ac:dyDescent="0.3">
      <c r="A46" s="367"/>
      <c r="B46" s="367"/>
      <c r="C46" s="367"/>
      <c r="D46" s="367"/>
      <c r="E46" s="367"/>
      <c r="F46" s="367"/>
      <c r="G46" s="367"/>
      <c r="H46" s="367" t="s">
        <v>263</v>
      </c>
      <c r="I46" s="131">
        <v>22</v>
      </c>
      <c r="J46" s="131">
        <f t="shared" si="2"/>
        <v>7.0063694267515917</v>
      </c>
      <c r="K46" s="96"/>
      <c r="L46" s="96"/>
      <c r="M46" s="96"/>
      <c r="N46" s="96"/>
      <c r="O46" s="131">
        <f t="shared" si="3"/>
        <v>4.800625536190465E-2</v>
      </c>
      <c r="P46" s="131">
        <f>O46*(1+'Key Data'!F$3)</f>
        <v>6.000781920238081E-2</v>
      </c>
      <c r="Q46" s="366"/>
      <c r="R46" s="366"/>
      <c r="S46" s="369"/>
    </row>
    <row r="47" spans="1:19" x14ac:dyDescent="0.3">
      <c r="A47" s="367"/>
      <c r="B47" s="367"/>
      <c r="C47" s="367"/>
      <c r="D47" s="367"/>
      <c r="E47" s="367"/>
      <c r="F47" s="367"/>
      <c r="G47" s="367"/>
      <c r="H47" s="367" t="s">
        <v>263</v>
      </c>
      <c r="I47" s="131">
        <v>18.5</v>
      </c>
      <c r="J47" s="131">
        <f t="shared" si="2"/>
        <v>5.8917197452229297</v>
      </c>
      <c r="K47" s="96"/>
      <c r="L47" s="96"/>
      <c r="M47" s="96"/>
      <c r="N47" s="96"/>
      <c r="O47" s="131">
        <f t="shared" si="3"/>
        <v>3.6438749424509191E-2</v>
      </c>
      <c r="P47" s="131">
        <f>O47*(1+'Key Data'!F$3)</f>
        <v>4.5548436780636491E-2</v>
      </c>
      <c r="Q47" s="366"/>
      <c r="R47" s="366"/>
      <c r="S47" s="369"/>
    </row>
    <row r="48" spans="1:19" x14ac:dyDescent="0.3">
      <c r="A48" s="367"/>
      <c r="B48" s="367"/>
      <c r="C48" s="367"/>
      <c r="D48" s="367"/>
      <c r="E48" s="367"/>
      <c r="F48" s="367"/>
      <c r="G48" s="367"/>
      <c r="H48" s="367" t="s">
        <v>263</v>
      </c>
      <c r="I48" s="131">
        <v>40</v>
      </c>
      <c r="J48" s="131">
        <f t="shared" si="2"/>
        <v>12.738853503184712</v>
      </c>
      <c r="K48" s="96"/>
      <c r="L48" s="96"/>
      <c r="M48" s="96"/>
      <c r="N48" s="96"/>
      <c r="O48" s="131">
        <f t="shared" si="3"/>
        <v>9.06217581379134E-2</v>
      </c>
      <c r="P48" s="131">
        <f>O48*(1+'Key Data'!F$3)</f>
        <v>0.11327719767239175</v>
      </c>
      <c r="Q48" s="366"/>
      <c r="R48" s="366"/>
      <c r="S48" s="369"/>
    </row>
    <row r="49" spans="1:19" x14ac:dyDescent="0.3">
      <c r="A49" s="367"/>
      <c r="B49" s="367"/>
      <c r="C49" s="367"/>
      <c r="D49" s="367"/>
      <c r="E49" s="367"/>
      <c r="F49" s="367"/>
      <c r="G49" s="367"/>
      <c r="H49" s="367" t="s">
        <v>263</v>
      </c>
      <c r="I49" s="131">
        <v>24</v>
      </c>
      <c r="J49" s="131">
        <f t="shared" si="2"/>
        <v>7.6433121019108281</v>
      </c>
      <c r="K49" s="96"/>
      <c r="L49" s="96"/>
      <c r="M49" s="96"/>
      <c r="N49" s="96"/>
      <c r="O49" s="131">
        <f t="shared" si="3"/>
        <v>5.4407175553130079E-2</v>
      </c>
      <c r="P49" s="131">
        <f>O49*(1+'Key Data'!F$3)</f>
        <v>6.8008969441412603E-2</v>
      </c>
      <c r="Q49" s="366"/>
      <c r="R49" s="366"/>
      <c r="S49" s="369"/>
    </row>
    <row r="50" spans="1:19" x14ac:dyDescent="0.3">
      <c r="A50" s="367"/>
      <c r="B50" s="367"/>
      <c r="C50" s="367"/>
      <c r="D50" s="367"/>
      <c r="E50" s="367"/>
      <c r="F50" s="367"/>
      <c r="G50" s="367"/>
      <c r="H50" s="367" t="s">
        <v>263</v>
      </c>
      <c r="I50" s="131">
        <v>34</v>
      </c>
      <c r="J50" s="131">
        <f t="shared" si="2"/>
        <v>10.828025477707007</v>
      </c>
      <c r="K50" s="96"/>
      <c r="L50" s="96"/>
      <c r="M50" s="96"/>
      <c r="N50" s="96"/>
      <c r="O50" s="131">
        <f t="shared" si="3"/>
        <v>8.0464228929838302E-2</v>
      </c>
      <c r="P50" s="131">
        <f>O50*(1+'Key Data'!F$3)</f>
        <v>0.10058028616229787</v>
      </c>
      <c r="Q50" s="366"/>
      <c r="R50" s="366"/>
      <c r="S50" s="369"/>
    </row>
    <row r="51" spans="1:19" x14ac:dyDescent="0.3">
      <c r="A51" s="367"/>
      <c r="B51" s="367"/>
      <c r="C51" s="367"/>
      <c r="D51" s="367"/>
      <c r="E51" s="367"/>
      <c r="F51" s="367"/>
      <c r="G51" s="367"/>
      <c r="H51" s="367" t="s">
        <v>263</v>
      </c>
      <c r="I51" s="131">
        <v>17.5</v>
      </c>
      <c r="J51" s="131">
        <f t="shared" si="2"/>
        <v>5.5732484076433115</v>
      </c>
      <c r="K51" s="96"/>
      <c r="L51" s="96"/>
      <c r="M51" s="96"/>
      <c r="N51" s="96"/>
      <c r="O51" s="131">
        <f t="shared" si="3"/>
        <v>3.3149726237027465E-2</v>
      </c>
      <c r="P51" s="131">
        <f>O51*(1+'Key Data'!F$3)</f>
        <v>4.1437157796284332E-2</v>
      </c>
      <c r="Q51" s="366"/>
      <c r="R51" s="366"/>
      <c r="S51" s="369"/>
    </row>
    <row r="52" spans="1:19" x14ac:dyDescent="0.3">
      <c r="A52" s="367"/>
      <c r="B52" s="367"/>
      <c r="C52" s="367"/>
      <c r="D52" s="367"/>
      <c r="E52" s="367"/>
      <c r="F52" s="367"/>
      <c r="G52" s="367"/>
      <c r="H52" s="367" t="s">
        <v>263</v>
      </c>
      <c r="I52" s="131">
        <v>22.5</v>
      </c>
      <c r="J52" s="131">
        <f t="shared" si="2"/>
        <v>7.1656050955414008</v>
      </c>
      <c r="K52" s="96"/>
      <c r="L52" s="96"/>
      <c r="M52" s="96"/>
      <c r="N52" s="96"/>
      <c r="O52" s="131">
        <f t="shared" si="3"/>
        <v>4.9629812539313464E-2</v>
      </c>
      <c r="P52" s="131">
        <f>O52*(1+'Key Data'!F$3)</f>
        <v>6.2037265674141834E-2</v>
      </c>
      <c r="Q52" s="366"/>
      <c r="R52" s="366"/>
      <c r="S52" s="369"/>
    </row>
    <row r="53" spans="1:19" x14ac:dyDescent="0.3">
      <c r="A53" s="367"/>
      <c r="B53" s="367"/>
      <c r="C53" s="367"/>
      <c r="D53" s="367"/>
      <c r="E53" s="367"/>
      <c r="F53" s="367"/>
      <c r="G53" s="367"/>
      <c r="H53" s="367" t="s">
        <v>263</v>
      </c>
      <c r="I53" s="131">
        <v>38.5</v>
      </c>
      <c r="J53" s="131">
        <f t="shared" si="2"/>
        <v>12.261146496815286</v>
      </c>
      <c r="K53" s="96"/>
      <c r="L53" s="96"/>
      <c r="M53" s="96"/>
      <c r="N53" s="96"/>
      <c r="O53" s="131">
        <f t="shared" si="3"/>
        <v>8.8434485897848497E-2</v>
      </c>
      <c r="P53" s="131">
        <f>O53*(1+'Key Data'!F$3)</f>
        <v>0.11054310737231063</v>
      </c>
      <c r="Q53" s="366"/>
      <c r="R53" s="366"/>
      <c r="S53" s="369"/>
    </row>
    <row r="54" spans="1:19" x14ac:dyDescent="0.3">
      <c r="A54" s="367"/>
      <c r="B54" s="367"/>
      <c r="C54" s="367"/>
      <c r="D54" s="367"/>
      <c r="E54" s="367"/>
      <c r="F54" s="367"/>
      <c r="G54" s="367"/>
      <c r="H54" s="367" t="s">
        <v>263</v>
      </c>
      <c r="I54" s="131">
        <v>34</v>
      </c>
      <c r="J54" s="131">
        <f t="shared" si="2"/>
        <v>10.828025477707007</v>
      </c>
      <c r="K54" s="96"/>
      <c r="L54" s="96"/>
      <c r="M54" s="96"/>
      <c r="N54" s="96"/>
      <c r="O54" s="131">
        <f t="shared" si="3"/>
        <v>8.0464228929838302E-2</v>
      </c>
      <c r="P54" s="131">
        <f>O54*(1+'Key Data'!F$3)</f>
        <v>0.10058028616229787</v>
      </c>
      <c r="Q54" s="366"/>
      <c r="R54" s="366"/>
      <c r="S54" s="369"/>
    </row>
    <row r="55" spans="1:19" x14ac:dyDescent="0.3">
      <c r="A55" s="367"/>
      <c r="B55" s="367"/>
      <c r="C55" s="367"/>
      <c r="D55" s="367"/>
      <c r="E55" s="367"/>
      <c r="F55" s="367"/>
      <c r="G55" s="367"/>
      <c r="H55" s="367" t="s">
        <v>263</v>
      </c>
      <c r="I55" s="131">
        <v>19.5</v>
      </c>
      <c r="J55" s="131">
        <f t="shared" si="2"/>
        <v>6.2101910828025479</v>
      </c>
      <c r="K55" s="96"/>
      <c r="L55" s="96"/>
      <c r="M55" s="96"/>
      <c r="N55" s="96"/>
      <c r="O55" s="131">
        <f t="shared" si="3"/>
        <v>3.9754124421972549E-2</v>
      </c>
      <c r="P55" s="131">
        <f>O55*(1+'Key Data'!F$3)</f>
        <v>4.9692655527465684E-2</v>
      </c>
      <c r="Q55" s="366"/>
      <c r="R55" s="366"/>
      <c r="S55" s="369"/>
    </row>
    <row r="56" spans="1:19" x14ac:dyDescent="0.3">
      <c r="A56" s="367"/>
      <c r="B56" s="367"/>
      <c r="C56" s="367"/>
      <c r="D56" s="367"/>
      <c r="E56" s="367"/>
      <c r="F56" s="367"/>
      <c r="G56" s="367"/>
      <c r="H56" s="367" t="s">
        <v>263</v>
      </c>
      <c r="I56" s="131">
        <v>5.5</v>
      </c>
      <c r="J56" s="131">
        <f t="shared" si="2"/>
        <v>1.7515923566878979</v>
      </c>
      <c r="K56" s="96"/>
      <c r="L56" s="96"/>
      <c r="M56" s="96"/>
      <c r="N56" s="96"/>
      <c r="O56" s="131">
        <f t="shared" si="3"/>
        <v>4.3759466338137935E-3</v>
      </c>
      <c r="P56" s="131">
        <f>O56*(1+'Key Data'!F$3)</f>
        <v>5.4699332922672414E-3</v>
      </c>
      <c r="Q56" s="366"/>
      <c r="R56" s="366"/>
      <c r="S56" s="369"/>
    </row>
    <row r="57" spans="1:19" x14ac:dyDescent="0.3">
      <c r="A57" s="367"/>
      <c r="B57" s="367"/>
      <c r="C57" s="367"/>
      <c r="D57" s="367"/>
      <c r="E57" s="367"/>
      <c r="F57" s="367"/>
      <c r="G57" s="367"/>
      <c r="H57" s="367" t="s">
        <v>263</v>
      </c>
      <c r="I57" s="131">
        <v>5.5</v>
      </c>
      <c r="J57" s="131">
        <f t="shared" si="2"/>
        <v>1.7515923566878979</v>
      </c>
      <c r="K57" s="96"/>
      <c r="L57" s="96"/>
      <c r="M57" s="96"/>
      <c r="N57" s="96"/>
      <c r="O57" s="131">
        <f t="shared" si="3"/>
        <v>4.3759466338137935E-3</v>
      </c>
      <c r="P57" s="131">
        <f>O57*(1+'Key Data'!F$3)</f>
        <v>5.4699332922672414E-3</v>
      </c>
      <c r="Q57" s="366"/>
      <c r="R57" s="366"/>
      <c r="S57" s="369"/>
    </row>
    <row r="58" spans="1:19" x14ac:dyDescent="0.3">
      <c r="A58" s="479">
        <v>4</v>
      </c>
      <c r="B58" s="374" t="s">
        <v>450</v>
      </c>
      <c r="C58" s="374" t="s">
        <v>451</v>
      </c>
      <c r="D58" s="374" t="s">
        <v>441</v>
      </c>
      <c r="E58" s="374">
        <v>24.773755000000001</v>
      </c>
      <c r="F58" s="374">
        <v>86.773488299999997</v>
      </c>
      <c r="G58" s="374">
        <v>2020</v>
      </c>
      <c r="H58" s="374" t="s">
        <v>263</v>
      </c>
      <c r="I58" s="138">
        <v>30.5</v>
      </c>
      <c r="J58" s="138">
        <f t="shared" si="2"/>
        <v>9.7133757961783438</v>
      </c>
      <c r="K58" s="114"/>
      <c r="L58" s="114"/>
      <c r="M58" s="114"/>
      <c r="N58" s="114"/>
      <c r="O58" s="138">
        <f t="shared" si="3"/>
        <v>7.2656351736949829E-2</v>
      </c>
      <c r="P58" s="138">
        <f>O58*(1+'Key Data'!F$3)</f>
        <v>9.0820439671187289E-2</v>
      </c>
      <c r="Q58" s="379">
        <f>SUM(P58:P86)</f>
        <v>2.5315027936451333</v>
      </c>
      <c r="R58" s="379">
        <f>Q58*10000/900</f>
        <v>28.127808818279259</v>
      </c>
      <c r="S58" s="369"/>
    </row>
    <row r="59" spans="1:19" x14ac:dyDescent="0.3">
      <c r="A59" s="480"/>
      <c r="B59" s="374"/>
      <c r="C59" s="374"/>
      <c r="D59" s="374"/>
      <c r="E59" s="374"/>
      <c r="F59" s="374"/>
      <c r="G59" s="374"/>
      <c r="H59" s="374" t="s">
        <v>263</v>
      </c>
      <c r="I59" s="138">
        <v>28.5</v>
      </c>
      <c r="J59" s="138">
        <f t="shared" si="2"/>
        <v>9.0764331210191074</v>
      </c>
      <c r="K59" s="114"/>
      <c r="L59" s="114"/>
      <c r="M59" s="114"/>
      <c r="N59" s="114"/>
      <c r="O59" s="138">
        <f t="shared" si="3"/>
        <v>6.753669573575527E-2</v>
      </c>
      <c r="P59" s="138">
        <f>O59*(1+'Key Data'!F$3)</f>
        <v>8.4420869669694087E-2</v>
      </c>
      <c r="Q59" s="379"/>
      <c r="R59" s="379"/>
      <c r="S59" s="369"/>
    </row>
    <row r="60" spans="1:19" x14ac:dyDescent="0.3">
      <c r="A60" s="480"/>
      <c r="B60" s="374"/>
      <c r="C60" s="374"/>
      <c r="D60" s="374"/>
      <c r="E60" s="374"/>
      <c r="F60" s="374"/>
      <c r="G60" s="374"/>
      <c r="H60" s="374" t="s">
        <v>263</v>
      </c>
      <c r="I60" s="138">
        <v>21.4</v>
      </c>
      <c r="J60" s="138">
        <f t="shared" si="2"/>
        <v>6.8152866242038206</v>
      </c>
      <c r="K60" s="114"/>
      <c r="L60" s="114"/>
      <c r="M60" s="114"/>
      <c r="N60" s="114"/>
      <c r="O60" s="138">
        <f t="shared" si="3"/>
        <v>4.6042176045791403E-2</v>
      </c>
      <c r="P60" s="138">
        <f>O60*(1+'Key Data'!F$3)</f>
        <v>5.7552720057239257E-2</v>
      </c>
      <c r="Q60" s="379"/>
      <c r="R60" s="379"/>
      <c r="S60" s="369"/>
    </row>
    <row r="61" spans="1:19" x14ac:dyDescent="0.3">
      <c r="A61" s="480"/>
      <c r="B61" s="374"/>
      <c r="C61" s="374"/>
      <c r="D61" s="374"/>
      <c r="E61" s="374"/>
      <c r="F61" s="374"/>
      <c r="G61" s="374"/>
      <c r="H61" s="374" t="s">
        <v>263</v>
      </c>
      <c r="I61" s="138">
        <v>26.9</v>
      </c>
      <c r="J61" s="138">
        <f t="shared" si="2"/>
        <v>8.566878980891719</v>
      </c>
      <c r="K61" s="114"/>
      <c r="L61" s="114"/>
      <c r="M61" s="114"/>
      <c r="N61" s="114"/>
      <c r="O61" s="138">
        <f t="shared" si="3"/>
        <v>6.3108023510127093E-2</v>
      </c>
      <c r="P61" s="138">
        <f>O61*(1+'Key Data'!F$3)</f>
        <v>7.8885029387658873E-2</v>
      </c>
      <c r="Q61" s="379"/>
      <c r="R61" s="379"/>
      <c r="S61" s="369"/>
    </row>
    <row r="62" spans="1:19" x14ac:dyDescent="0.3">
      <c r="A62" s="480"/>
      <c r="B62" s="374"/>
      <c r="C62" s="374"/>
      <c r="D62" s="374"/>
      <c r="E62" s="374"/>
      <c r="F62" s="374"/>
      <c r="G62" s="374"/>
      <c r="H62" s="374" t="s">
        <v>263</v>
      </c>
      <c r="I62" s="138">
        <v>27.1</v>
      </c>
      <c r="J62" s="138">
        <f t="shared" si="2"/>
        <v>8.630573248407643</v>
      </c>
      <c r="K62" s="114"/>
      <c r="L62" s="114"/>
      <c r="M62" s="114"/>
      <c r="N62" s="114"/>
      <c r="O62" s="138">
        <f t="shared" si="3"/>
        <v>6.3677116769887354E-2</v>
      </c>
      <c r="P62" s="138">
        <f>O62*(1+'Key Data'!F$3)</f>
        <v>7.9596395962359193E-2</v>
      </c>
      <c r="Q62" s="379"/>
      <c r="R62" s="379"/>
      <c r="S62" s="369"/>
    </row>
    <row r="63" spans="1:19" x14ac:dyDescent="0.3">
      <c r="A63" s="480"/>
      <c r="B63" s="374"/>
      <c r="C63" s="374"/>
      <c r="D63" s="374"/>
      <c r="E63" s="374"/>
      <c r="F63" s="374"/>
      <c r="G63" s="374"/>
      <c r="H63" s="374" t="s">
        <v>263</v>
      </c>
      <c r="I63" s="138">
        <v>20</v>
      </c>
      <c r="J63" s="138">
        <f t="shared" si="2"/>
        <v>6.3694267515923562</v>
      </c>
      <c r="K63" s="114"/>
      <c r="L63" s="114"/>
      <c r="M63" s="114"/>
      <c r="N63" s="114"/>
      <c r="O63" s="138">
        <f t="shared" si="3"/>
        <v>4.1414189155155698E-2</v>
      </c>
      <c r="P63" s="138">
        <f>O63*(1+'Key Data'!F$3)</f>
        <v>5.1767736443944626E-2</v>
      </c>
      <c r="Q63" s="379"/>
      <c r="R63" s="379"/>
      <c r="S63" s="369"/>
    </row>
    <row r="64" spans="1:19" x14ac:dyDescent="0.3">
      <c r="A64" s="480"/>
      <c r="B64" s="374"/>
      <c r="C64" s="374"/>
      <c r="D64" s="374"/>
      <c r="E64" s="374"/>
      <c r="F64" s="374"/>
      <c r="G64" s="374"/>
      <c r="H64" s="374" t="s">
        <v>263</v>
      </c>
      <c r="I64" s="138">
        <v>23.9</v>
      </c>
      <c r="J64" s="138">
        <f t="shared" si="2"/>
        <v>7.6114649681528652</v>
      </c>
      <c r="K64" s="114"/>
      <c r="L64" s="114"/>
      <c r="M64" s="114"/>
      <c r="N64" s="114"/>
      <c r="O64" s="138">
        <f t="shared" si="3"/>
        <v>5.4093705221020826E-2</v>
      </c>
      <c r="P64" s="138">
        <f>O64*(1+'Key Data'!F$3)</f>
        <v>6.7617131526276034E-2</v>
      </c>
      <c r="Q64" s="379"/>
      <c r="R64" s="379"/>
      <c r="S64" s="369"/>
    </row>
    <row r="65" spans="1:19" x14ac:dyDescent="0.3">
      <c r="A65" s="480"/>
      <c r="B65" s="374"/>
      <c r="C65" s="374"/>
      <c r="D65" s="374"/>
      <c r="E65" s="374"/>
      <c r="F65" s="374"/>
      <c r="G65" s="374"/>
      <c r="H65" s="374" t="s">
        <v>263</v>
      </c>
      <c r="I65" s="138">
        <v>31.5</v>
      </c>
      <c r="J65" s="138">
        <f t="shared" si="2"/>
        <v>10.031847133757962</v>
      </c>
      <c r="K65" s="114"/>
      <c r="L65" s="114"/>
      <c r="M65" s="114"/>
      <c r="N65" s="114"/>
      <c r="O65" s="138">
        <f t="shared" si="3"/>
        <v>7.5036957906877172E-2</v>
      </c>
      <c r="P65" s="138">
        <f>O65*(1+'Key Data'!F$3)</f>
        <v>9.3796197383596458E-2</v>
      </c>
      <c r="Q65" s="379"/>
      <c r="R65" s="379"/>
      <c r="S65" s="369"/>
    </row>
    <row r="66" spans="1:19" x14ac:dyDescent="0.3">
      <c r="A66" s="480"/>
      <c r="B66" s="374"/>
      <c r="C66" s="374"/>
      <c r="D66" s="374"/>
      <c r="E66" s="374"/>
      <c r="F66" s="374"/>
      <c r="G66" s="374"/>
      <c r="H66" s="374" t="s">
        <v>263</v>
      </c>
      <c r="I66" s="138">
        <v>28.6</v>
      </c>
      <c r="J66" s="138">
        <f t="shared" ref="J66:J86" si="4">I66/3.14</f>
        <v>9.1082802547770694</v>
      </c>
      <c r="K66" s="114"/>
      <c r="L66" s="114"/>
      <c r="M66" s="114"/>
      <c r="N66" s="114"/>
      <c r="O66" s="138">
        <f t="shared" ref="O66:O86" si="5">30.4*EXP(-5.07*EXP(-0.26*J66)+1.277)/1000</f>
        <v>6.7803856450440403E-2</v>
      </c>
      <c r="P66" s="138">
        <f>O66*(1+'Key Data'!F$3)</f>
        <v>8.4754820563050504E-2</v>
      </c>
      <c r="Q66" s="379"/>
      <c r="R66" s="379"/>
      <c r="S66" s="369"/>
    </row>
    <row r="67" spans="1:19" x14ac:dyDescent="0.3">
      <c r="A67" s="480"/>
      <c r="B67" s="374"/>
      <c r="C67" s="374"/>
      <c r="D67" s="374"/>
      <c r="E67" s="374"/>
      <c r="F67" s="374"/>
      <c r="G67" s="374"/>
      <c r="H67" s="374" t="s">
        <v>263</v>
      </c>
      <c r="I67" s="138">
        <v>28.3</v>
      </c>
      <c r="J67" s="138">
        <f t="shared" si="4"/>
        <v>9.0127388535031852</v>
      </c>
      <c r="K67" s="114"/>
      <c r="L67" s="114"/>
      <c r="M67" s="114"/>
      <c r="N67" s="114"/>
      <c r="O67" s="138">
        <f t="shared" si="5"/>
        <v>6.6998911622821622E-2</v>
      </c>
      <c r="P67" s="138">
        <f>O67*(1+'Key Data'!F$3)</f>
        <v>8.3748639528527027E-2</v>
      </c>
      <c r="Q67" s="379"/>
      <c r="R67" s="379"/>
      <c r="S67" s="369"/>
    </row>
    <row r="68" spans="1:19" x14ac:dyDescent="0.3">
      <c r="A68" s="480"/>
      <c r="B68" s="374"/>
      <c r="C68" s="374"/>
      <c r="D68" s="374"/>
      <c r="E68" s="374"/>
      <c r="F68" s="374"/>
      <c r="G68" s="374"/>
      <c r="H68" s="374" t="s">
        <v>263</v>
      </c>
      <c r="I68" s="138">
        <v>35.1</v>
      </c>
      <c r="J68" s="138">
        <f t="shared" si="4"/>
        <v>11.178343949044587</v>
      </c>
      <c r="K68" s="114"/>
      <c r="L68" s="114"/>
      <c r="M68" s="114"/>
      <c r="N68" s="114"/>
      <c r="O68" s="138">
        <f t="shared" si="5"/>
        <v>8.2619530591144019E-2</v>
      </c>
      <c r="P68" s="138">
        <f>O68*(1+'Key Data'!F$3)</f>
        <v>0.10327441323893002</v>
      </c>
      <c r="Q68" s="379"/>
      <c r="R68" s="379"/>
      <c r="S68" s="369"/>
    </row>
    <row r="69" spans="1:19" x14ac:dyDescent="0.3">
      <c r="A69" s="480"/>
      <c r="B69" s="374"/>
      <c r="C69" s="374"/>
      <c r="D69" s="374"/>
      <c r="E69" s="374"/>
      <c r="F69" s="374"/>
      <c r="G69" s="374"/>
      <c r="H69" s="374" t="s">
        <v>263</v>
      </c>
      <c r="I69" s="138">
        <v>36.700000000000003</v>
      </c>
      <c r="J69" s="138">
        <f t="shared" si="4"/>
        <v>11.687898089171975</v>
      </c>
      <c r="K69" s="114"/>
      <c r="L69" s="114"/>
      <c r="M69" s="114"/>
      <c r="N69" s="114"/>
      <c r="O69" s="138">
        <f t="shared" si="5"/>
        <v>8.5510699417742558E-2</v>
      </c>
      <c r="P69" s="138">
        <f>O69*(1+'Key Data'!F$3)</f>
        <v>0.1068883742721782</v>
      </c>
      <c r="Q69" s="379"/>
      <c r="R69" s="379"/>
      <c r="S69" s="369"/>
    </row>
    <row r="70" spans="1:19" x14ac:dyDescent="0.3">
      <c r="A70" s="480"/>
      <c r="B70" s="374"/>
      <c r="C70" s="374"/>
      <c r="D70" s="374"/>
      <c r="E70" s="374"/>
      <c r="F70" s="374"/>
      <c r="G70" s="374"/>
      <c r="H70" s="374" t="s">
        <v>263</v>
      </c>
      <c r="I70" s="138">
        <v>23.6</v>
      </c>
      <c r="J70" s="138">
        <f t="shared" si="4"/>
        <v>7.515923566878981</v>
      </c>
      <c r="K70" s="114"/>
      <c r="L70" s="114"/>
      <c r="M70" s="114"/>
      <c r="N70" s="114"/>
      <c r="O70" s="138">
        <f t="shared" si="5"/>
        <v>5.3148681012470972E-2</v>
      </c>
      <c r="P70" s="138">
        <f>O70*(1+'Key Data'!F$3)</f>
        <v>6.6435851265588708E-2</v>
      </c>
      <c r="Q70" s="379"/>
      <c r="R70" s="379"/>
      <c r="S70" s="369"/>
    </row>
    <row r="71" spans="1:19" x14ac:dyDescent="0.3">
      <c r="A71" s="480"/>
      <c r="B71" s="374"/>
      <c r="C71" s="374"/>
      <c r="D71" s="374"/>
      <c r="E71" s="374"/>
      <c r="F71" s="374"/>
      <c r="G71" s="374"/>
      <c r="H71" s="374" t="s">
        <v>263</v>
      </c>
      <c r="I71" s="138">
        <v>30</v>
      </c>
      <c r="J71" s="138">
        <f t="shared" si="4"/>
        <v>9.5541401273885338</v>
      </c>
      <c r="K71" s="114"/>
      <c r="L71" s="114"/>
      <c r="M71" s="114"/>
      <c r="N71" s="114"/>
      <c r="O71" s="138">
        <f t="shared" si="5"/>
        <v>7.1420982321553222E-2</v>
      </c>
      <c r="P71" s="138">
        <f>O71*(1+'Key Data'!F$3)</f>
        <v>8.9276227901941535E-2</v>
      </c>
      <c r="Q71" s="379"/>
      <c r="R71" s="379"/>
      <c r="S71" s="369"/>
    </row>
    <row r="72" spans="1:19" x14ac:dyDescent="0.3">
      <c r="A72" s="480"/>
      <c r="B72" s="374"/>
      <c r="C72" s="374"/>
      <c r="D72" s="374"/>
      <c r="E72" s="374"/>
      <c r="F72" s="374"/>
      <c r="G72" s="374"/>
      <c r="H72" s="374" t="s">
        <v>263</v>
      </c>
      <c r="I72" s="138">
        <v>32.799999999999997</v>
      </c>
      <c r="J72" s="138">
        <f t="shared" si="4"/>
        <v>10.445859872611464</v>
      </c>
      <c r="K72" s="114"/>
      <c r="L72" s="114"/>
      <c r="M72" s="114"/>
      <c r="N72" s="114"/>
      <c r="O72" s="138">
        <f t="shared" si="5"/>
        <v>7.79520081496239E-2</v>
      </c>
      <c r="P72" s="138">
        <f>O72*(1+'Key Data'!F$3)</f>
        <v>9.7440010187029871E-2</v>
      </c>
      <c r="Q72" s="379"/>
      <c r="R72" s="379"/>
      <c r="S72" s="369"/>
    </row>
    <row r="73" spans="1:19" x14ac:dyDescent="0.3">
      <c r="A73" s="480"/>
      <c r="B73" s="374"/>
      <c r="C73" s="374"/>
      <c r="D73" s="374"/>
      <c r="E73" s="374"/>
      <c r="F73" s="374"/>
      <c r="G73" s="374"/>
      <c r="H73" s="374" t="s">
        <v>263</v>
      </c>
      <c r="I73" s="138">
        <v>29</v>
      </c>
      <c r="J73" s="138">
        <f t="shared" si="4"/>
        <v>9.2356687898089174</v>
      </c>
      <c r="K73" s="114"/>
      <c r="L73" s="114"/>
      <c r="M73" s="114"/>
      <c r="N73" s="114"/>
      <c r="O73" s="138">
        <f t="shared" si="5"/>
        <v>6.8860872127670267E-2</v>
      </c>
      <c r="P73" s="138">
        <f>O73*(1+'Key Data'!F$3)</f>
        <v>8.6076090159587837E-2</v>
      </c>
      <c r="Q73" s="379"/>
      <c r="R73" s="379"/>
      <c r="S73" s="369"/>
    </row>
    <row r="74" spans="1:19" x14ac:dyDescent="0.3">
      <c r="A74" s="480"/>
      <c r="B74" s="374"/>
      <c r="C74" s="374"/>
      <c r="D74" s="374"/>
      <c r="E74" s="374"/>
      <c r="F74" s="374"/>
      <c r="G74" s="374"/>
      <c r="H74" s="374" t="s">
        <v>263</v>
      </c>
      <c r="I74" s="138">
        <v>35.799999999999997</v>
      </c>
      <c r="J74" s="138">
        <f t="shared" si="4"/>
        <v>11.401273885350317</v>
      </c>
      <c r="K74" s="114"/>
      <c r="L74" s="114"/>
      <c r="M74" s="114"/>
      <c r="N74" s="114"/>
      <c r="O74" s="138">
        <f t="shared" si="5"/>
        <v>8.3919343527986162E-2</v>
      </c>
      <c r="P74" s="138">
        <f>O74*(1+'Key Data'!F$3)</f>
        <v>0.1048991794099827</v>
      </c>
      <c r="Q74" s="379"/>
      <c r="R74" s="379"/>
      <c r="S74" s="369"/>
    </row>
    <row r="75" spans="1:19" x14ac:dyDescent="0.3">
      <c r="A75" s="480"/>
      <c r="B75" s="374"/>
      <c r="C75" s="374"/>
      <c r="D75" s="374"/>
      <c r="E75" s="374"/>
      <c r="F75" s="374"/>
      <c r="G75" s="374"/>
      <c r="H75" s="374" t="s">
        <v>263</v>
      </c>
      <c r="I75" s="138">
        <v>50</v>
      </c>
      <c r="J75" s="138">
        <f t="shared" si="4"/>
        <v>15.923566878980891</v>
      </c>
      <c r="K75" s="114"/>
      <c r="L75" s="114"/>
      <c r="M75" s="114"/>
      <c r="N75" s="114"/>
      <c r="O75" s="138">
        <f t="shared" si="5"/>
        <v>0.10055692997803489</v>
      </c>
      <c r="P75" s="138">
        <f>O75*(1+'Key Data'!F$3)</f>
        <v>0.12569616247254362</v>
      </c>
      <c r="Q75" s="379"/>
      <c r="R75" s="379"/>
      <c r="S75" s="369"/>
    </row>
    <row r="76" spans="1:19" x14ac:dyDescent="0.3">
      <c r="A76" s="480"/>
      <c r="B76" s="374"/>
      <c r="C76" s="374"/>
      <c r="D76" s="374"/>
      <c r="E76" s="374"/>
      <c r="F76" s="374"/>
      <c r="G76" s="374"/>
      <c r="H76" s="374" t="s">
        <v>263</v>
      </c>
      <c r="I76" s="138">
        <v>49.8</v>
      </c>
      <c r="J76" s="138">
        <f t="shared" si="4"/>
        <v>15.859872611464967</v>
      </c>
      <c r="K76" s="114"/>
      <c r="L76" s="114"/>
      <c r="M76" s="114"/>
      <c r="N76" s="114"/>
      <c r="O76" s="138">
        <f t="shared" si="5"/>
        <v>0.10042148354899162</v>
      </c>
      <c r="P76" s="138">
        <f>O76*(1+'Key Data'!F$3)</f>
        <v>0.12552685443623954</v>
      </c>
      <c r="Q76" s="379"/>
      <c r="R76" s="379"/>
      <c r="S76" s="369"/>
    </row>
    <row r="77" spans="1:19" x14ac:dyDescent="0.3">
      <c r="A77" s="480"/>
      <c r="B77" s="374"/>
      <c r="C77" s="374"/>
      <c r="D77" s="374"/>
      <c r="E77" s="374"/>
      <c r="F77" s="374"/>
      <c r="G77" s="374"/>
      <c r="H77" s="374" t="s">
        <v>263</v>
      </c>
      <c r="I77" s="138">
        <v>36.5</v>
      </c>
      <c r="J77" s="138">
        <f t="shared" si="4"/>
        <v>11.624203821656051</v>
      </c>
      <c r="K77" s="114"/>
      <c r="L77" s="114"/>
      <c r="M77" s="114"/>
      <c r="N77" s="114"/>
      <c r="O77" s="138">
        <f t="shared" si="5"/>
        <v>8.5164707673907769E-2</v>
      </c>
      <c r="P77" s="138">
        <f>O77*(1+'Key Data'!F$3)</f>
        <v>0.10645588459238471</v>
      </c>
      <c r="Q77" s="379"/>
      <c r="R77" s="379"/>
      <c r="S77" s="369"/>
    </row>
    <row r="78" spans="1:19" x14ac:dyDescent="0.3">
      <c r="A78" s="480"/>
      <c r="B78" s="374"/>
      <c r="C78" s="374"/>
      <c r="D78" s="374"/>
      <c r="E78" s="374"/>
      <c r="F78" s="374"/>
      <c r="G78" s="374"/>
      <c r="H78" s="374" t="s">
        <v>263</v>
      </c>
      <c r="I78" s="138">
        <v>34.5</v>
      </c>
      <c r="J78" s="138">
        <f t="shared" si="4"/>
        <v>10.987261146496815</v>
      </c>
      <c r="K78" s="114"/>
      <c r="L78" s="114"/>
      <c r="M78" s="114"/>
      <c r="N78" s="114"/>
      <c r="O78" s="138">
        <f t="shared" si="5"/>
        <v>8.1461190941682818E-2</v>
      </c>
      <c r="P78" s="138">
        <f>O78*(1+'Key Data'!F$3)</f>
        <v>0.10182648867710352</v>
      </c>
      <c r="Q78" s="379"/>
      <c r="R78" s="379"/>
      <c r="S78" s="369"/>
    </row>
    <row r="79" spans="1:19" x14ac:dyDescent="0.3">
      <c r="A79" s="480"/>
      <c r="B79" s="374"/>
      <c r="C79" s="374"/>
      <c r="D79" s="374"/>
      <c r="E79" s="374"/>
      <c r="F79" s="374"/>
      <c r="G79" s="374"/>
      <c r="H79" s="374" t="s">
        <v>263</v>
      </c>
      <c r="I79" s="138">
        <v>23</v>
      </c>
      <c r="J79" s="138">
        <f t="shared" si="4"/>
        <v>7.3248407643312099</v>
      </c>
      <c r="K79" s="114"/>
      <c r="L79" s="114"/>
      <c r="M79" s="114"/>
      <c r="N79" s="114"/>
      <c r="O79" s="138">
        <f t="shared" si="5"/>
        <v>5.123911451649759E-2</v>
      </c>
      <c r="P79" s="138">
        <f>O79*(1+'Key Data'!F$3)</f>
        <v>6.4048893145621982E-2</v>
      </c>
      <c r="Q79" s="379"/>
      <c r="R79" s="379"/>
      <c r="S79" s="369"/>
    </row>
    <row r="80" spans="1:19" x14ac:dyDescent="0.3">
      <c r="A80" s="480"/>
      <c r="B80" s="374"/>
      <c r="C80" s="374"/>
      <c r="D80" s="374"/>
      <c r="E80" s="374"/>
      <c r="F80" s="374"/>
      <c r="G80" s="374"/>
      <c r="H80" s="374" t="s">
        <v>263</v>
      </c>
      <c r="I80" s="138">
        <v>24</v>
      </c>
      <c r="J80" s="138">
        <f t="shared" si="4"/>
        <v>7.6433121019108281</v>
      </c>
      <c r="K80" s="114"/>
      <c r="L80" s="114"/>
      <c r="M80" s="114"/>
      <c r="N80" s="114"/>
      <c r="O80" s="138">
        <f t="shared" si="5"/>
        <v>5.4407175553130079E-2</v>
      </c>
      <c r="P80" s="138">
        <f>O80*(1+'Key Data'!F$3)</f>
        <v>6.8008969441412603E-2</v>
      </c>
      <c r="Q80" s="379"/>
      <c r="R80" s="379"/>
      <c r="S80" s="369"/>
    </row>
    <row r="81" spans="1:19" x14ac:dyDescent="0.3">
      <c r="A81" s="480"/>
      <c r="B81" s="374"/>
      <c r="C81" s="374"/>
      <c r="D81" s="374"/>
      <c r="E81" s="374"/>
      <c r="F81" s="374"/>
      <c r="G81" s="374"/>
      <c r="H81" s="374" t="s">
        <v>263</v>
      </c>
      <c r="I81" s="138">
        <v>18.5</v>
      </c>
      <c r="J81" s="138">
        <f t="shared" si="4"/>
        <v>5.8917197452229297</v>
      </c>
      <c r="K81" s="114"/>
      <c r="L81" s="114"/>
      <c r="M81" s="114"/>
      <c r="N81" s="114"/>
      <c r="O81" s="138">
        <f t="shared" si="5"/>
        <v>3.6438749424509191E-2</v>
      </c>
      <c r="P81" s="138">
        <f>O81*(1+'Key Data'!F$3)</f>
        <v>4.5548436780636491E-2</v>
      </c>
      <c r="Q81" s="379"/>
      <c r="R81" s="379"/>
      <c r="S81" s="369"/>
    </row>
    <row r="82" spans="1:19" x14ac:dyDescent="0.3">
      <c r="A82" s="480"/>
      <c r="B82" s="374"/>
      <c r="C82" s="374"/>
      <c r="D82" s="374"/>
      <c r="E82" s="374"/>
      <c r="F82" s="374"/>
      <c r="G82" s="374"/>
      <c r="H82" s="374" t="s">
        <v>263</v>
      </c>
      <c r="I82" s="138">
        <v>28.3</v>
      </c>
      <c r="J82" s="138">
        <f t="shared" si="4"/>
        <v>9.0127388535031852</v>
      </c>
      <c r="K82" s="114"/>
      <c r="L82" s="114"/>
      <c r="M82" s="114"/>
      <c r="N82" s="114"/>
      <c r="O82" s="138">
        <f t="shared" si="5"/>
        <v>6.6998911622821622E-2</v>
      </c>
      <c r="P82" s="138">
        <f>O82*(1+'Key Data'!F$3)</f>
        <v>8.3748639528527027E-2</v>
      </c>
      <c r="Q82" s="379"/>
      <c r="R82" s="379"/>
      <c r="S82" s="369"/>
    </row>
    <row r="83" spans="1:19" x14ac:dyDescent="0.3">
      <c r="A83" s="480"/>
      <c r="B83" s="374"/>
      <c r="C83" s="374"/>
      <c r="D83" s="374"/>
      <c r="E83" s="374"/>
      <c r="F83" s="374"/>
      <c r="G83" s="374"/>
      <c r="H83" s="374" t="s">
        <v>263</v>
      </c>
      <c r="I83" s="138">
        <v>30</v>
      </c>
      <c r="J83" s="138">
        <f t="shared" si="4"/>
        <v>9.5541401273885338</v>
      </c>
      <c r="K83" s="114"/>
      <c r="L83" s="114"/>
      <c r="M83" s="114"/>
      <c r="N83" s="114"/>
      <c r="O83" s="138">
        <f t="shared" si="5"/>
        <v>7.1420982321553222E-2</v>
      </c>
      <c r="P83" s="138">
        <f>O83*(1+'Key Data'!F$3)</f>
        <v>8.9276227901941535E-2</v>
      </c>
      <c r="Q83" s="379"/>
      <c r="R83" s="379"/>
      <c r="S83" s="369"/>
    </row>
    <row r="84" spans="1:19" x14ac:dyDescent="0.3">
      <c r="A84" s="480"/>
      <c r="B84" s="374"/>
      <c r="C84" s="374"/>
      <c r="D84" s="374"/>
      <c r="E84" s="374"/>
      <c r="F84" s="374"/>
      <c r="G84" s="374"/>
      <c r="H84" s="374" t="s">
        <v>263</v>
      </c>
      <c r="I84" s="138">
        <v>49.8</v>
      </c>
      <c r="J84" s="138">
        <f t="shared" si="4"/>
        <v>15.859872611464967</v>
      </c>
      <c r="K84" s="114"/>
      <c r="L84" s="114"/>
      <c r="M84" s="114"/>
      <c r="N84" s="114"/>
      <c r="O84" s="138">
        <f t="shared" si="5"/>
        <v>0.10042148354899162</v>
      </c>
      <c r="P84" s="138">
        <f>O84*(1+'Key Data'!F$3)</f>
        <v>0.12552685443623954</v>
      </c>
      <c r="Q84" s="379"/>
      <c r="R84" s="379"/>
      <c r="S84" s="369"/>
    </row>
    <row r="85" spans="1:19" x14ac:dyDescent="0.3">
      <c r="A85" s="480"/>
      <c r="B85" s="374"/>
      <c r="C85" s="374"/>
      <c r="D85" s="374"/>
      <c r="E85" s="374"/>
      <c r="F85" s="374"/>
      <c r="G85" s="374"/>
      <c r="H85" s="374" t="s">
        <v>263</v>
      </c>
      <c r="I85" s="138">
        <v>24</v>
      </c>
      <c r="J85" s="138">
        <f t="shared" si="4"/>
        <v>7.6433121019108281</v>
      </c>
      <c r="K85" s="114"/>
      <c r="L85" s="114"/>
      <c r="M85" s="114"/>
      <c r="N85" s="114"/>
      <c r="O85" s="138">
        <f t="shared" si="5"/>
        <v>5.4407175553130079E-2</v>
      </c>
      <c r="P85" s="138">
        <f>O85*(1+'Key Data'!F$3)</f>
        <v>6.8008969441412603E-2</v>
      </c>
      <c r="Q85" s="379"/>
      <c r="R85" s="379"/>
      <c r="S85" s="369"/>
    </row>
    <row r="86" spans="1:19" x14ac:dyDescent="0.3">
      <c r="A86" s="480"/>
      <c r="B86" s="374"/>
      <c r="C86" s="374"/>
      <c r="D86" s="374"/>
      <c r="E86" s="374"/>
      <c r="F86" s="374"/>
      <c r="G86" s="374"/>
      <c r="H86" s="374" t="s">
        <v>263</v>
      </c>
      <c r="I86" s="138">
        <v>34</v>
      </c>
      <c r="J86" s="138">
        <f t="shared" si="4"/>
        <v>10.828025477707007</v>
      </c>
      <c r="K86" s="114"/>
      <c r="L86" s="114"/>
      <c r="M86" s="114"/>
      <c r="N86" s="114"/>
      <c r="O86" s="138">
        <f t="shared" si="5"/>
        <v>8.0464228929838302E-2</v>
      </c>
      <c r="P86" s="138">
        <f>O86*(1+'Key Data'!F$3)</f>
        <v>0.10058028616229787</v>
      </c>
      <c r="Q86" s="379"/>
      <c r="R86" s="379"/>
      <c r="S86" s="369"/>
    </row>
  </sheetData>
  <autoFilter ref="H1:H239" xr:uid="{86171692-94E2-40B6-B680-671526F2F861}"/>
  <mergeCells count="37">
    <mergeCell ref="A33:A57"/>
    <mergeCell ref="B33:B57"/>
    <mergeCell ref="C33:C57"/>
    <mergeCell ref="F58:F86"/>
    <mergeCell ref="G58:G86"/>
    <mergeCell ref="G33:G57"/>
    <mergeCell ref="A58:A86"/>
    <mergeCell ref="B58:B86"/>
    <mergeCell ref="C58:C86"/>
    <mergeCell ref="D58:D86"/>
    <mergeCell ref="E58:E86"/>
    <mergeCell ref="D33:D57"/>
    <mergeCell ref="E33:E57"/>
    <mergeCell ref="A17:A32"/>
    <mergeCell ref="B17:B32"/>
    <mergeCell ref="G17:G32"/>
    <mergeCell ref="D2:D16"/>
    <mergeCell ref="C17:C32"/>
    <mergeCell ref="D17:D32"/>
    <mergeCell ref="A2:A16"/>
    <mergeCell ref="B2:B16"/>
    <mergeCell ref="C2:C16"/>
    <mergeCell ref="S2:S86"/>
    <mergeCell ref="H33:H57"/>
    <mergeCell ref="H58:H86"/>
    <mergeCell ref="F33:F57"/>
    <mergeCell ref="G2:G16"/>
    <mergeCell ref="H2:H16"/>
    <mergeCell ref="H17:H32"/>
    <mergeCell ref="Q58:Q86"/>
    <mergeCell ref="R58:R86"/>
    <mergeCell ref="Q2:Q16"/>
    <mergeCell ref="R2:R16"/>
    <mergeCell ref="Q17:Q32"/>
    <mergeCell ref="R17:R32"/>
    <mergeCell ref="Q33:Q57"/>
    <mergeCell ref="R33:R5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DA1F-27DA-4BA1-BAAD-19F52041212E}">
  <dimension ref="A1:U181"/>
  <sheetViews>
    <sheetView zoomScale="39" zoomScaleNormal="55" workbookViewId="0">
      <pane ySplit="1" topLeftCell="A2" activePane="bottomLeft" state="frozen"/>
      <selection pane="bottomLeft" activeCell="S2" sqref="S2:S181"/>
    </sheetView>
  </sheetViews>
  <sheetFormatPr defaultColWidth="9.109375" defaultRowHeight="14.4" x14ac:dyDescent="0.3"/>
  <cols>
    <col min="1" max="1" width="6.44140625" style="210" bestFit="1" customWidth="1"/>
    <col min="2" max="2" width="17.109375" style="210" customWidth="1"/>
    <col min="3" max="3" width="18.109375" style="210" bestFit="1" customWidth="1"/>
    <col min="4" max="4" width="9.109375" style="210"/>
    <col min="5" max="5" width="11.109375" style="210" bestFit="1" customWidth="1"/>
    <col min="6" max="6" width="11" style="210" customWidth="1"/>
    <col min="7" max="7" width="11.33203125" style="210" bestFit="1" customWidth="1"/>
    <col min="8" max="8" width="11.44140625" style="210" customWidth="1"/>
    <col min="9" max="9" width="10.109375" style="214" customWidth="1"/>
    <col min="10" max="10" width="15.33203125" style="214" bestFit="1" customWidth="1"/>
    <col min="11" max="11" width="10.33203125" style="212" customWidth="1"/>
    <col min="12" max="12" width="10.88671875" style="212" customWidth="1"/>
    <col min="13" max="13" width="11.6640625" style="212" bestFit="1" customWidth="1"/>
    <col min="14" max="14" width="11.6640625" style="212" customWidth="1"/>
    <col min="15" max="15" width="15.33203125" style="212" bestFit="1" customWidth="1"/>
    <col min="16" max="16" width="14.33203125" style="212" customWidth="1"/>
    <col min="17" max="17" width="13.88671875" style="212" customWidth="1"/>
    <col min="18" max="18" width="14.44140625" style="212" customWidth="1"/>
    <col min="19" max="19" width="16" style="212" customWidth="1"/>
    <col min="20" max="22" width="9.109375" style="44"/>
    <col min="23" max="23" width="13.44140625" style="44" bestFit="1" customWidth="1"/>
    <col min="24" max="16384" width="9.109375" style="44"/>
  </cols>
  <sheetData>
    <row r="1" spans="1:21" s="68" customFormat="1" ht="79.8" x14ac:dyDescent="0.3">
      <c r="A1" s="70" t="s">
        <v>254</v>
      </c>
      <c r="B1" s="70" t="s">
        <v>255</v>
      </c>
      <c r="C1" s="70" t="s">
        <v>256</v>
      </c>
      <c r="D1" s="70" t="s">
        <v>369</v>
      </c>
      <c r="E1" s="70" t="s">
        <v>249</v>
      </c>
      <c r="F1" s="70" t="s">
        <v>250</v>
      </c>
      <c r="G1" s="70" t="s">
        <v>253</v>
      </c>
      <c r="H1" s="70" t="s">
        <v>2</v>
      </c>
      <c r="I1" s="213" t="s">
        <v>257</v>
      </c>
      <c r="J1" s="213" t="s">
        <v>258</v>
      </c>
      <c r="K1" s="211" t="s">
        <v>251</v>
      </c>
      <c r="L1" s="211" t="s">
        <v>252</v>
      </c>
      <c r="M1" s="211" t="s">
        <v>259</v>
      </c>
      <c r="N1" s="211" t="s">
        <v>368</v>
      </c>
      <c r="O1" s="211" t="s">
        <v>364</v>
      </c>
      <c r="P1" s="211" t="s">
        <v>363</v>
      </c>
      <c r="Q1" s="211" t="s">
        <v>362</v>
      </c>
      <c r="R1" s="211" t="s">
        <v>370</v>
      </c>
      <c r="S1" s="211" t="s">
        <v>361</v>
      </c>
    </row>
    <row r="2" spans="1:21" s="92" customFormat="1" x14ac:dyDescent="0.3">
      <c r="A2" s="367">
        <v>1</v>
      </c>
      <c r="B2" s="367" t="s">
        <v>260</v>
      </c>
      <c r="C2" s="367" t="s">
        <v>261</v>
      </c>
      <c r="D2" s="367" t="s">
        <v>262</v>
      </c>
      <c r="E2" s="367">
        <v>13.603875</v>
      </c>
      <c r="F2" s="367">
        <v>79.227041999999997</v>
      </c>
      <c r="G2" s="367">
        <v>2019</v>
      </c>
      <c r="H2" s="367" t="s">
        <v>263</v>
      </c>
      <c r="I2" s="131">
        <v>79.5</v>
      </c>
      <c r="J2" s="131">
        <f t="shared" ref="J2:J33" si="0">I2/3.14</f>
        <v>25.318471337579616</v>
      </c>
      <c r="K2" s="96"/>
      <c r="L2" s="96"/>
      <c r="M2" s="96"/>
      <c r="N2" s="96"/>
      <c r="O2" s="131">
        <f t="shared" ref="O2:O33" si="1">30.4*EXP(-5.07*EXP(-0.26*J2)+1.277)/1000</f>
        <v>0.10824810973696711</v>
      </c>
      <c r="P2" s="131">
        <f>O2*(1+'Key Data'!F$3)</f>
        <v>0.13531013717120888</v>
      </c>
      <c r="Q2" s="366">
        <f>SUM(P2:P17)</f>
        <v>2.1101957981145185</v>
      </c>
      <c r="R2" s="366">
        <f>Q2*10000/900</f>
        <v>23.446619979050205</v>
      </c>
      <c r="S2" s="481">
        <f>AVERAGE(R2:R181)</f>
        <v>26.963800626883152</v>
      </c>
      <c r="U2" s="93"/>
    </row>
    <row r="3" spans="1:21" s="92" customFormat="1" x14ac:dyDescent="0.3">
      <c r="A3" s="367"/>
      <c r="B3" s="367"/>
      <c r="C3" s="367"/>
      <c r="D3" s="367"/>
      <c r="E3" s="367"/>
      <c r="F3" s="367"/>
      <c r="G3" s="367"/>
      <c r="H3" s="367" t="s">
        <v>263</v>
      </c>
      <c r="I3" s="131">
        <v>88</v>
      </c>
      <c r="J3" s="131">
        <f t="shared" si="0"/>
        <v>28.025477707006367</v>
      </c>
      <c r="K3" s="96"/>
      <c r="L3" s="96"/>
      <c r="M3" s="96"/>
      <c r="N3" s="96"/>
      <c r="O3" s="131">
        <f t="shared" si="1"/>
        <v>0.1086325957193304</v>
      </c>
      <c r="P3" s="131">
        <f>O3*(1+'Key Data'!F$3)</f>
        <v>0.13579074464916299</v>
      </c>
      <c r="Q3" s="366"/>
      <c r="R3" s="366"/>
      <c r="S3" s="482"/>
    </row>
    <row r="4" spans="1:21" s="92" customFormat="1" x14ac:dyDescent="0.3">
      <c r="A4" s="367"/>
      <c r="B4" s="367"/>
      <c r="C4" s="367"/>
      <c r="D4" s="367"/>
      <c r="E4" s="367"/>
      <c r="F4" s="367"/>
      <c r="G4" s="367"/>
      <c r="H4" s="367" t="s">
        <v>263</v>
      </c>
      <c r="I4" s="131">
        <v>44.5</v>
      </c>
      <c r="J4" s="131">
        <f t="shared" si="0"/>
        <v>14.171974522292993</v>
      </c>
      <c r="K4" s="96"/>
      <c r="L4" s="96"/>
      <c r="M4" s="96"/>
      <c r="N4" s="96"/>
      <c r="O4" s="131">
        <f t="shared" si="1"/>
        <v>9.5982267081716616E-2</v>
      </c>
      <c r="P4" s="131">
        <f>O4*(1+'Key Data'!F$3)</f>
        <v>0.11997783385214578</v>
      </c>
      <c r="Q4" s="366"/>
      <c r="R4" s="366"/>
      <c r="S4" s="482"/>
    </row>
    <row r="5" spans="1:21" s="92" customFormat="1" x14ac:dyDescent="0.3">
      <c r="A5" s="367"/>
      <c r="B5" s="367"/>
      <c r="C5" s="367"/>
      <c r="D5" s="367"/>
      <c r="E5" s="367"/>
      <c r="F5" s="367"/>
      <c r="G5" s="367"/>
      <c r="H5" s="367" t="s">
        <v>263</v>
      </c>
      <c r="I5" s="131">
        <v>74.5</v>
      </c>
      <c r="J5" s="131">
        <f t="shared" si="0"/>
        <v>23.726114649681527</v>
      </c>
      <c r="K5" s="96"/>
      <c r="L5" s="96"/>
      <c r="M5" s="96"/>
      <c r="N5" s="96"/>
      <c r="O5" s="131">
        <f t="shared" si="1"/>
        <v>0.107859257179564</v>
      </c>
      <c r="P5" s="131">
        <f>O5*(1+'Key Data'!F$3)</f>
        <v>0.13482407147445499</v>
      </c>
      <c r="Q5" s="366"/>
      <c r="R5" s="366"/>
      <c r="S5" s="482"/>
    </row>
    <row r="6" spans="1:21" s="92" customFormat="1" x14ac:dyDescent="0.3">
      <c r="A6" s="367"/>
      <c r="B6" s="367"/>
      <c r="C6" s="367"/>
      <c r="D6" s="367"/>
      <c r="E6" s="367"/>
      <c r="F6" s="367"/>
      <c r="G6" s="367"/>
      <c r="H6" s="367" t="s">
        <v>263</v>
      </c>
      <c r="I6" s="131">
        <v>49</v>
      </c>
      <c r="J6" s="131">
        <f t="shared" si="0"/>
        <v>15.605095541401273</v>
      </c>
      <c r="K6" s="96"/>
      <c r="L6" s="96"/>
      <c r="M6" s="96"/>
      <c r="N6" s="96"/>
      <c r="O6" s="131">
        <f t="shared" si="1"/>
        <v>9.9858663261479449E-2</v>
      </c>
      <c r="P6" s="131">
        <f>O6*(1+'Key Data'!F$3)</f>
        <v>0.12482332907684932</v>
      </c>
      <c r="Q6" s="366"/>
      <c r="R6" s="366"/>
      <c r="S6" s="482"/>
    </row>
    <row r="7" spans="1:21" s="92" customFormat="1" x14ac:dyDescent="0.3">
      <c r="A7" s="367"/>
      <c r="B7" s="367"/>
      <c r="C7" s="367"/>
      <c r="D7" s="367"/>
      <c r="E7" s="367"/>
      <c r="F7" s="367"/>
      <c r="G7" s="367"/>
      <c r="H7" s="367" t="s">
        <v>263</v>
      </c>
      <c r="I7" s="131">
        <v>67</v>
      </c>
      <c r="J7" s="131">
        <f t="shared" si="0"/>
        <v>21.337579617834393</v>
      </c>
      <c r="K7" s="96"/>
      <c r="L7" s="96"/>
      <c r="M7" s="96"/>
      <c r="N7" s="96"/>
      <c r="O7" s="131">
        <f t="shared" si="1"/>
        <v>0.10687812996010015</v>
      </c>
      <c r="P7" s="131">
        <f>O7*(1+'Key Data'!F$3)</f>
        <v>0.13359766245012519</v>
      </c>
      <c r="Q7" s="366"/>
      <c r="R7" s="366"/>
      <c r="S7" s="482"/>
    </row>
    <row r="8" spans="1:21" s="92" customFormat="1" x14ac:dyDescent="0.3">
      <c r="A8" s="367"/>
      <c r="B8" s="367"/>
      <c r="C8" s="367"/>
      <c r="D8" s="367"/>
      <c r="E8" s="367"/>
      <c r="F8" s="367"/>
      <c r="G8" s="367"/>
      <c r="H8" s="367" t="s">
        <v>263</v>
      </c>
      <c r="I8" s="131">
        <v>72</v>
      </c>
      <c r="J8" s="131">
        <f t="shared" si="0"/>
        <v>22.929936305732483</v>
      </c>
      <c r="K8" s="96"/>
      <c r="L8" s="96"/>
      <c r="M8" s="96"/>
      <c r="N8" s="96"/>
      <c r="O8" s="131">
        <f t="shared" si="1"/>
        <v>0.10759624631676735</v>
      </c>
      <c r="P8" s="131">
        <f>O8*(1+'Key Data'!F$3)</f>
        <v>0.1344953078959592</v>
      </c>
      <c r="Q8" s="366"/>
      <c r="R8" s="366"/>
      <c r="S8" s="482"/>
    </row>
    <row r="9" spans="1:21" s="92" customFormat="1" x14ac:dyDescent="0.3">
      <c r="A9" s="367"/>
      <c r="B9" s="367"/>
      <c r="C9" s="367"/>
      <c r="D9" s="367"/>
      <c r="E9" s="367"/>
      <c r="F9" s="367"/>
      <c r="G9" s="367"/>
      <c r="H9" s="367" t="s">
        <v>263</v>
      </c>
      <c r="I9" s="131">
        <v>78.5</v>
      </c>
      <c r="J9" s="131">
        <f t="shared" si="0"/>
        <v>25</v>
      </c>
      <c r="K9" s="96"/>
      <c r="L9" s="96"/>
      <c r="M9" s="96"/>
      <c r="N9" s="96"/>
      <c r="O9" s="131">
        <f t="shared" si="1"/>
        <v>0.10818256013817379</v>
      </c>
      <c r="P9" s="131">
        <f>O9*(1+'Key Data'!F$3)</f>
        <v>0.13522820017271725</v>
      </c>
      <c r="Q9" s="366"/>
      <c r="R9" s="366"/>
      <c r="S9" s="482"/>
    </row>
    <row r="10" spans="1:21" s="92" customFormat="1" x14ac:dyDescent="0.3">
      <c r="A10" s="367"/>
      <c r="B10" s="367"/>
      <c r="C10" s="367"/>
      <c r="D10" s="367"/>
      <c r="E10" s="367"/>
      <c r="F10" s="367"/>
      <c r="G10" s="367"/>
      <c r="H10" s="367" t="s">
        <v>263</v>
      </c>
      <c r="I10" s="131">
        <v>68.2</v>
      </c>
      <c r="J10" s="131">
        <f t="shared" si="0"/>
        <v>21.719745222929937</v>
      </c>
      <c r="K10" s="96"/>
      <c r="L10" s="96"/>
      <c r="M10" s="96"/>
      <c r="N10" s="96"/>
      <c r="O10" s="131">
        <f t="shared" si="1"/>
        <v>0.10707800729932707</v>
      </c>
      <c r="P10" s="131">
        <f>O10*(1+'Key Data'!F$3)</f>
        <v>0.13384750912415883</v>
      </c>
      <c r="Q10" s="366"/>
      <c r="R10" s="366"/>
      <c r="S10" s="482"/>
    </row>
    <row r="11" spans="1:21" s="92" customFormat="1" x14ac:dyDescent="0.3">
      <c r="A11" s="367"/>
      <c r="B11" s="367"/>
      <c r="C11" s="367"/>
      <c r="D11" s="367"/>
      <c r="E11" s="367"/>
      <c r="F11" s="367"/>
      <c r="G11" s="367"/>
      <c r="H11" s="367" t="s">
        <v>263</v>
      </c>
      <c r="I11" s="131">
        <v>70</v>
      </c>
      <c r="J11" s="131">
        <f t="shared" si="0"/>
        <v>22.292993630573246</v>
      </c>
      <c r="K11" s="96"/>
      <c r="L11" s="96"/>
      <c r="M11" s="96"/>
      <c r="N11" s="96"/>
      <c r="O11" s="131">
        <f t="shared" si="1"/>
        <v>0.10734351711564463</v>
      </c>
      <c r="P11" s="131">
        <f>O11*(1+'Key Data'!F$3)</f>
        <v>0.13417939639455578</v>
      </c>
      <c r="Q11" s="366"/>
      <c r="R11" s="366"/>
      <c r="S11" s="482"/>
    </row>
    <row r="12" spans="1:21" s="92" customFormat="1" x14ac:dyDescent="0.3">
      <c r="A12" s="367"/>
      <c r="B12" s="367"/>
      <c r="C12" s="367"/>
      <c r="D12" s="367"/>
      <c r="E12" s="367"/>
      <c r="F12" s="367"/>
      <c r="G12" s="367"/>
      <c r="H12" s="367" t="s">
        <v>263</v>
      </c>
      <c r="I12" s="131">
        <v>74</v>
      </c>
      <c r="J12" s="131">
        <f t="shared" si="0"/>
        <v>23.566878980891719</v>
      </c>
      <c r="K12" s="96"/>
      <c r="L12" s="96"/>
      <c r="M12" s="96"/>
      <c r="N12" s="96"/>
      <c r="O12" s="131">
        <f t="shared" si="1"/>
        <v>0.10781086987059479</v>
      </c>
      <c r="P12" s="131">
        <f>O12*(1+'Key Data'!F$3)</f>
        <v>0.13476358733824351</v>
      </c>
      <c r="Q12" s="366"/>
      <c r="R12" s="366"/>
      <c r="S12" s="482"/>
    </row>
    <row r="13" spans="1:21" s="92" customFormat="1" x14ac:dyDescent="0.3">
      <c r="A13" s="367"/>
      <c r="B13" s="367"/>
      <c r="C13" s="367"/>
      <c r="D13" s="367"/>
      <c r="E13" s="367"/>
      <c r="F13" s="367"/>
      <c r="G13" s="367"/>
      <c r="H13" s="367" t="s">
        <v>263</v>
      </c>
      <c r="I13" s="131">
        <v>71.2</v>
      </c>
      <c r="J13" s="131">
        <f t="shared" si="0"/>
        <v>22.67515923566879</v>
      </c>
      <c r="K13" s="96"/>
      <c r="L13" s="96"/>
      <c r="M13" s="96"/>
      <c r="N13" s="96"/>
      <c r="O13" s="131">
        <f t="shared" si="1"/>
        <v>0.10750007653419684</v>
      </c>
      <c r="P13" s="131">
        <f>O13*(1+'Key Data'!F$3)</f>
        <v>0.13437509566774605</v>
      </c>
      <c r="Q13" s="366"/>
      <c r="R13" s="366"/>
      <c r="S13" s="482"/>
    </row>
    <row r="14" spans="1:21" s="92" customFormat="1" x14ac:dyDescent="0.3">
      <c r="A14" s="367"/>
      <c r="B14" s="367"/>
      <c r="C14" s="367"/>
      <c r="D14" s="367"/>
      <c r="E14" s="367"/>
      <c r="F14" s="367"/>
      <c r="G14" s="367"/>
      <c r="H14" s="367" t="s">
        <v>263</v>
      </c>
      <c r="I14" s="131">
        <v>46</v>
      </c>
      <c r="J14" s="131">
        <f t="shared" si="0"/>
        <v>14.64968152866242</v>
      </c>
      <c r="K14" s="96"/>
      <c r="L14" s="96"/>
      <c r="M14" s="96"/>
      <c r="N14" s="96"/>
      <c r="O14" s="131">
        <f t="shared" si="1"/>
        <v>9.7419820513451161E-2</v>
      </c>
      <c r="P14" s="131">
        <f>O14*(1+'Key Data'!F$3)</f>
        <v>0.12177477564181395</v>
      </c>
      <c r="Q14" s="366"/>
      <c r="R14" s="366"/>
      <c r="S14" s="482"/>
    </row>
    <row r="15" spans="1:21" s="92" customFormat="1" x14ac:dyDescent="0.3">
      <c r="A15" s="367"/>
      <c r="B15" s="367"/>
      <c r="C15" s="367"/>
      <c r="D15" s="367"/>
      <c r="E15" s="367"/>
      <c r="F15" s="367"/>
      <c r="G15" s="367"/>
      <c r="H15" s="367" t="s">
        <v>263</v>
      </c>
      <c r="I15" s="131">
        <v>67</v>
      </c>
      <c r="J15" s="131">
        <f t="shared" si="0"/>
        <v>21.337579617834393</v>
      </c>
      <c r="K15" s="96"/>
      <c r="L15" s="96"/>
      <c r="M15" s="96"/>
      <c r="N15" s="96"/>
      <c r="O15" s="131">
        <f t="shared" si="1"/>
        <v>0.10687812996010015</v>
      </c>
      <c r="P15" s="131">
        <f>O15*(1+'Key Data'!F$3)</f>
        <v>0.13359766245012519</v>
      </c>
      <c r="Q15" s="366"/>
      <c r="R15" s="366"/>
      <c r="S15" s="482"/>
    </row>
    <row r="16" spans="1:21" s="92" customFormat="1" x14ac:dyDescent="0.3">
      <c r="A16" s="367"/>
      <c r="B16" s="367"/>
      <c r="C16" s="367"/>
      <c r="D16" s="367"/>
      <c r="E16" s="367"/>
      <c r="F16" s="367"/>
      <c r="G16" s="367"/>
      <c r="H16" s="367" t="s">
        <v>263</v>
      </c>
      <c r="I16" s="131">
        <v>53.4</v>
      </c>
      <c r="J16" s="131">
        <f t="shared" si="0"/>
        <v>17.00636942675159</v>
      </c>
      <c r="K16" s="96"/>
      <c r="L16" s="96"/>
      <c r="M16" s="96"/>
      <c r="N16" s="96"/>
      <c r="O16" s="131">
        <f t="shared" si="1"/>
        <v>0.10256841185441527</v>
      </c>
      <c r="P16" s="131">
        <f>O16*(1+'Key Data'!F$3)</f>
        <v>0.12821051481801909</v>
      </c>
      <c r="Q16" s="366"/>
      <c r="R16" s="366"/>
      <c r="S16" s="482"/>
    </row>
    <row r="17" spans="1:19" s="92" customFormat="1" x14ac:dyDescent="0.3">
      <c r="A17" s="367"/>
      <c r="B17" s="367"/>
      <c r="C17" s="367"/>
      <c r="D17" s="367"/>
      <c r="E17" s="367"/>
      <c r="F17" s="367"/>
      <c r="G17" s="367"/>
      <c r="H17" s="367" t="s">
        <v>263</v>
      </c>
      <c r="I17" s="131">
        <v>80.7</v>
      </c>
      <c r="J17" s="131">
        <f t="shared" si="0"/>
        <v>25.70063694267516</v>
      </c>
      <c r="K17" s="96"/>
      <c r="L17" s="96"/>
      <c r="M17" s="96"/>
      <c r="N17" s="96"/>
      <c r="O17" s="131">
        <f t="shared" si="1"/>
        <v>0.10831997594978608</v>
      </c>
      <c r="P17" s="131">
        <f>O17*(1+'Key Data'!F$3)</f>
        <v>0.13539996993723261</v>
      </c>
      <c r="Q17" s="366"/>
      <c r="R17" s="366"/>
      <c r="S17" s="482"/>
    </row>
    <row r="18" spans="1:19" s="92" customFormat="1" x14ac:dyDescent="0.3">
      <c r="A18" s="374">
        <v>2</v>
      </c>
      <c r="B18" s="374" t="s">
        <v>395</v>
      </c>
      <c r="C18" s="374" t="s">
        <v>431</v>
      </c>
      <c r="D18" s="374" t="s">
        <v>262</v>
      </c>
      <c r="E18" s="484">
        <v>13.570797000000001</v>
      </c>
      <c r="F18" s="484">
        <v>79.349661999999995</v>
      </c>
      <c r="G18" s="374">
        <v>2019</v>
      </c>
      <c r="H18" s="374" t="s">
        <v>263</v>
      </c>
      <c r="I18" s="138">
        <v>57</v>
      </c>
      <c r="J18" s="138">
        <f t="shared" si="0"/>
        <v>18.152866242038215</v>
      </c>
      <c r="K18" s="114"/>
      <c r="L18" s="114"/>
      <c r="M18" s="114"/>
      <c r="N18" s="114"/>
      <c r="O18" s="138">
        <f t="shared" si="1"/>
        <v>0.10419156081625477</v>
      </c>
      <c r="P18" s="138">
        <f>O18*(1+'Key Data'!F$3)</f>
        <v>0.13023945102031848</v>
      </c>
      <c r="Q18" s="379">
        <f>SUM(P18:P33)</f>
        <v>1.9196846157771472</v>
      </c>
      <c r="R18" s="379">
        <f>Q18*10000/900</f>
        <v>21.329829064190527</v>
      </c>
      <c r="S18" s="482"/>
    </row>
    <row r="19" spans="1:19" s="92" customFormat="1" x14ac:dyDescent="0.3">
      <c r="A19" s="374"/>
      <c r="B19" s="374"/>
      <c r="C19" s="374"/>
      <c r="D19" s="374"/>
      <c r="E19" s="484"/>
      <c r="F19" s="484"/>
      <c r="G19" s="374"/>
      <c r="H19" s="374" t="s">
        <v>263</v>
      </c>
      <c r="I19" s="138">
        <v>37.5</v>
      </c>
      <c r="J19" s="138">
        <f t="shared" si="0"/>
        <v>11.942675159235668</v>
      </c>
      <c r="K19" s="114"/>
      <c r="L19" s="114"/>
      <c r="M19" s="114"/>
      <c r="N19" s="114"/>
      <c r="O19" s="138">
        <f t="shared" si="1"/>
        <v>8.6851868889739878E-2</v>
      </c>
      <c r="P19" s="138">
        <f>O19*(1+'Key Data'!F$3)</f>
        <v>0.10856483611217485</v>
      </c>
      <c r="Q19" s="379"/>
      <c r="R19" s="379"/>
      <c r="S19" s="482"/>
    </row>
    <row r="20" spans="1:19" s="92" customFormat="1" x14ac:dyDescent="0.3">
      <c r="A20" s="374"/>
      <c r="B20" s="374"/>
      <c r="C20" s="374"/>
      <c r="D20" s="374"/>
      <c r="E20" s="484"/>
      <c r="F20" s="484"/>
      <c r="G20" s="374"/>
      <c r="H20" s="374" t="s">
        <v>263</v>
      </c>
      <c r="I20" s="138">
        <v>66.3</v>
      </c>
      <c r="J20" s="138">
        <f t="shared" si="0"/>
        <v>21.114649681528661</v>
      </c>
      <c r="K20" s="114"/>
      <c r="L20" s="114"/>
      <c r="M20" s="114"/>
      <c r="N20" s="114"/>
      <c r="O20" s="138">
        <f t="shared" si="1"/>
        <v>0.10675221902938897</v>
      </c>
      <c r="P20" s="138">
        <f>O20*(1+'Key Data'!F$3)</f>
        <v>0.13344027378673623</v>
      </c>
      <c r="Q20" s="379"/>
      <c r="R20" s="379"/>
      <c r="S20" s="482"/>
    </row>
    <row r="21" spans="1:19" s="92" customFormat="1" x14ac:dyDescent="0.3">
      <c r="A21" s="374"/>
      <c r="B21" s="374"/>
      <c r="C21" s="374"/>
      <c r="D21" s="374"/>
      <c r="E21" s="484"/>
      <c r="F21" s="484"/>
      <c r="G21" s="374"/>
      <c r="H21" s="374" t="s">
        <v>263</v>
      </c>
      <c r="I21" s="138">
        <v>64</v>
      </c>
      <c r="J21" s="138">
        <f t="shared" si="0"/>
        <v>20.38216560509554</v>
      </c>
      <c r="K21" s="114"/>
      <c r="L21" s="114"/>
      <c r="M21" s="114"/>
      <c r="N21" s="114"/>
      <c r="O21" s="138">
        <f t="shared" si="1"/>
        <v>0.10628446193284659</v>
      </c>
      <c r="P21" s="138">
        <f>O21*(1+'Key Data'!F$3)</f>
        <v>0.13285557741605825</v>
      </c>
      <c r="Q21" s="379"/>
      <c r="R21" s="379"/>
      <c r="S21" s="482"/>
    </row>
    <row r="22" spans="1:19" s="92" customFormat="1" x14ac:dyDescent="0.3">
      <c r="A22" s="374"/>
      <c r="B22" s="374"/>
      <c r="C22" s="374"/>
      <c r="D22" s="374"/>
      <c r="E22" s="484"/>
      <c r="F22" s="484"/>
      <c r="G22" s="374"/>
      <c r="H22" s="374" t="s">
        <v>263</v>
      </c>
      <c r="I22" s="138">
        <v>55.1</v>
      </c>
      <c r="J22" s="138">
        <f t="shared" si="0"/>
        <v>17.547770700636942</v>
      </c>
      <c r="K22" s="114"/>
      <c r="L22" s="114"/>
      <c r="M22" s="114"/>
      <c r="N22" s="114"/>
      <c r="O22" s="138">
        <f t="shared" si="1"/>
        <v>0.10339206287690719</v>
      </c>
      <c r="P22" s="138">
        <f>O22*(1+'Key Data'!F$3)</f>
        <v>0.12924007859613398</v>
      </c>
      <c r="Q22" s="379"/>
      <c r="R22" s="379"/>
      <c r="S22" s="482"/>
    </row>
    <row r="23" spans="1:19" s="92" customFormat="1" x14ac:dyDescent="0.3">
      <c r="A23" s="374"/>
      <c r="B23" s="374"/>
      <c r="C23" s="374"/>
      <c r="D23" s="374"/>
      <c r="E23" s="484"/>
      <c r="F23" s="484"/>
      <c r="G23" s="374"/>
      <c r="H23" s="374" t="s">
        <v>263</v>
      </c>
      <c r="I23" s="138">
        <v>26</v>
      </c>
      <c r="J23" s="138">
        <f t="shared" si="0"/>
        <v>8.2802547770700627</v>
      </c>
      <c r="K23" s="114"/>
      <c r="L23" s="114"/>
      <c r="M23" s="114"/>
      <c r="N23" s="114"/>
      <c r="O23" s="138">
        <f t="shared" si="1"/>
        <v>6.0494849846184154E-2</v>
      </c>
      <c r="P23" s="138">
        <f>O23*(1+'Key Data'!F$3)</f>
        <v>7.5618562307730189E-2</v>
      </c>
      <c r="Q23" s="379"/>
      <c r="R23" s="379"/>
      <c r="S23" s="482"/>
    </row>
    <row r="24" spans="1:19" s="92" customFormat="1" x14ac:dyDescent="0.3">
      <c r="A24" s="374"/>
      <c r="B24" s="374"/>
      <c r="C24" s="374"/>
      <c r="D24" s="374"/>
      <c r="E24" s="484"/>
      <c r="F24" s="484"/>
      <c r="G24" s="374"/>
      <c r="H24" s="374" t="s">
        <v>263</v>
      </c>
      <c r="I24" s="138">
        <v>37</v>
      </c>
      <c r="J24" s="138">
        <f t="shared" si="0"/>
        <v>11.783439490445859</v>
      </c>
      <c r="K24" s="114"/>
      <c r="L24" s="114"/>
      <c r="M24" s="114"/>
      <c r="N24" s="114"/>
      <c r="O24" s="138">
        <f t="shared" si="1"/>
        <v>8.6021612861952396E-2</v>
      </c>
      <c r="P24" s="138">
        <f>O24*(1+'Key Data'!F$3)</f>
        <v>0.1075270160774405</v>
      </c>
      <c r="Q24" s="379"/>
      <c r="R24" s="379"/>
      <c r="S24" s="482"/>
    </row>
    <row r="25" spans="1:19" s="92" customFormat="1" x14ac:dyDescent="0.3">
      <c r="A25" s="374"/>
      <c r="B25" s="374"/>
      <c r="C25" s="374"/>
      <c r="D25" s="374"/>
      <c r="E25" s="484"/>
      <c r="F25" s="484"/>
      <c r="G25" s="374"/>
      <c r="H25" s="374" t="s">
        <v>263</v>
      </c>
      <c r="I25" s="138">
        <v>60.2</v>
      </c>
      <c r="J25" s="138">
        <f t="shared" si="0"/>
        <v>19.171974522292995</v>
      </c>
      <c r="K25" s="114"/>
      <c r="L25" s="114"/>
      <c r="M25" s="114"/>
      <c r="N25" s="114"/>
      <c r="O25" s="138">
        <f t="shared" si="1"/>
        <v>0.1052938478995549</v>
      </c>
      <c r="P25" s="138">
        <f>O25*(1+'Key Data'!F$3)</f>
        <v>0.13161730987444362</v>
      </c>
      <c r="Q25" s="379"/>
      <c r="R25" s="379"/>
      <c r="S25" s="482"/>
    </row>
    <row r="26" spans="1:19" s="92" customFormat="1" x14ac:dyDescent="0.3">
      <c r="A26" s="374"/>
      <c r="B26" s="374"/>
      <c r="C26" s="374"/>
      <c r="D26" s="374"/>
      <c r="E26" s="484"/>
      <c r="F26" s="484"/>
      <c r="G26" s="374"/>
      <c r="H26" s="374" t="s">
        <v>263</v>
      </c>
      <c r="I26" s="138">
        <v>68.3</v>
      </c>
      <c r="J26" s="138">
        <f t="shared" si="0"/>
        <v>21.751592356687897</v>
      </c>
      <c r="K26" s="114"/>
      <c r="L26" s="114"/>
      <c r="M26" s="114"/>
      <c r="N26" s="114"/>
      <c r="O26" s="138">
        <f t="shared" si="1"/>
        <v>0.10709380042683439</v>
      </c>
      <c r="P26" s="138">
        <f>O26*(1+'Key Data'!F$3)</f>
        <v>0.13386725053354298</v>
      </c>
      <c r="Q26" s="379"/>
      <c r="R26" s="379"/>
      <c r="S26" s="482"/>
    </row>
    <row r="27" spans="1:19" s="92" customFormat="1" x14ac:dyDescent="0.3">
      <c r="A27" s="374"/>
      <c r="B27" s="374"/>
      <c r="C27" s="374"/>
      <c r="D27" s="374"/>
      <c r="E27" s="484"/>
      <c r="F27" s="484"/>
      <c r="G27" s="374"/>
      <c r="H27" s="374" t="s">
        <v>263</v>
      </c>
      <c r="I27" s="138">
        <v>48.5</v>
      </c>
      <c r="J27" s="138">
        <f t="shared" si="0"/>
        <v>15.445859872611464</v>
      </c>
      <c r="K27" s="114"/>
      <c r="L27" s="114"/>
      <c r="M27" s="114"/>
      <c r="N27" s="114"/>
      <c r="O27" s="138">
        <f t="shared" si="1"/>
        <v>9.9489217920523426E-2</v>
      </c>
      <c r="P27" s="138">
        <f>O27*(1+'Key Data'!F$3)</f>
        <v>0.12436152240065429</v>
      </c>
      <c r="Q27" s="379"/>
      <c r="R27" s="379"/>
      <c r="S27" s="482"/>
    </row>
    <row r="28" spans="1:19" s="92" customFormat="1" x14ac:dyDescent="0.3">
      <c r="A28" s="374"/>
      <c r="B28" s="374"/>
      <c r="C28" s="374"/>
      <c r="D28" s="374"/>
      <c r="E28" s="484"/>
      <c r="F28" s="484"/>
      <c r="G28" s="374"/>
      <c r="H28" s="374" t="s">
        <v>263</v>
      </c>
      <c r="I28" s="138">
        <v>64</v>
      </c>
      <c r="J28" s="138">
        <f t="shared" si="0"/>
        <v>20.38216560509554</v>
      </c>
      <c r="K28" s="114"/>
      <c r="L28" s="114"/>
      <c r="M28" s="114"/>
      <c r="N28" s="114"/>
      <c r="O28" s="138">
        <f t="shared" si="1"/>
        <v>0.10628446193284659</v>
      </c>
      <c r="P28" s="138">
        <f>O28*(1+'Key Data'!F$3)</f>
        <v>0.13285557741605825</v>
      </c>
      <c r="Q28" s="379"/>
      <c r="R28" s="379"/>
      <c r="S28" s="482"/>
    </row>
    <row r="29" spans="1:19" s="92" customFormat="1" x14ac:dyDescent="0.3">
      <c r="A29" s="374"/>
      <c r="B29" s="374"/>
      <c r="C29" s="374"/>
      <c r="D29" s="374"/>
      <c r="E29" s="484"/>
      <c r="F29" s="484"/>
      <c r="G29" s="374"/>
      <c r="H29" s="374" t="s">
        <v>263</v>
      </c>
      <c r="I29" s="138">
        <v>26.1</v>
      </c>
      <c r="J29" s="138">
        <f t="shared" si="0"/>
        <v>8.3121019108280247</v>
      </c>
      <c r="K29" s="114"/>
      <c r="L29" s="114"/>
      <c r="M29" s="114"/>
      <c r="N29" s="114"/>
      <c r="O29" s="138">
        <f t="shared" si="1"/>
        <v>6.0789326065576903E-2</v>
      </c>
      <c r="P29" s="138">
        <f>O29*(1+'Key Data'!F$3)</f>
        <v>7.5986657581971123E-2</v>
      </c>
      <c r="Q29" s="379"/>
      <c r="R29" s="379"/>
      <c r="S29" s="482"/>
    </row>
    <row r="30" spans="1:19" s="92" customFormat="1" x14ac:dyDescent="0.3">
      <c r="A30" s="374"/>
      <c r="B30" s="374"/>
      <c r="C30" s="374"/>
      <c r="D30" s="374"/>
      <c r="E30" s="484"/>
      <c r="F30" s="484"/>
      <c r="G30" s="374"/>
      <c r="H30" s="374" t="s">
        <v>263</v>
      </c>
      <c r="I30" s="138">
        <v>60</v>
      </c>
      <c r="J30" s="138">
        <f t="shared" si="0"/>
        <v>19.108280254777068</v>
      </c>
      <c r="K30" s="114"/>
      <c r="L30" s="114"/>
      <c r="M30" s="114"/>
      <c r="N30" s="114"/>
      <c r="O30" s="138">
        <f t="shared" si="1"/>
        <v>0.10523287646701386</v>
      </c>
      <c r="P30" s="138">
        <f>O30*(1+'Key Data'!F$3)</f>
        <v>0.13154109558376734</v>
      </c>
      <c r="Q30" s="379"/>
      <c r="R30" s="379"/>
      <c r="S30" s="482"/>
    </row>
    <row r="31" spans="1:19" s="92" customFormat="1" x14ac:dyDescent="0.3">
      <c r="A31" s="374"/>
      <c r="B31" s="374"/>
      <c r="C31" s="374"/>
      <c r="D31" s="374"/>
      <c r="E31" s="484"/>
      <c r="F31" s="484"/>
      <c r="G31" s="374"/>
      <c r="H31" s="374" t="s">
        <v>263</v>
      </c>
      <c r="I31" s="138">
        <v>65</v>
      </c>
      <c r="J31" s="138">
        <f t="shared" si="0"/>
        <v>20.700636942675157</v>
      </c>
      <c r="K31" s="114"/>
      <c r="L31" s="114"/>
      <c r="M31" s="114"/>
      <c r="N31" s="114"/>
      <c r="O31" s="138">
        <f t="shared" si="1"/>
        <v>0.10649856262815956</v>
      </c>
      <c r="P31" s="138">
        <f>O31*(1+'Key Data'!F$3)</f>
        <v>0.13312320328519944</v>
      </c>
      <c r="Q31" s="379"/>
      <c r="R31" s="379"/>
      <c r="S31" s="482"/>
    </row>
    <row r="32" spans="1:19" s="92" customFormat="1" x14ac:dyDescent="0.3">
      <c r="A32" s="374"/>
      <c r="B32" s="374"/>
      <c r="C32" s="374"/>
      <c r="D32" s="374"/>
      <c r="E32" s="484"/>
      <c r="F32" s="484"/>
      <c r="G32" s="374"/>
      <c r="H32" s="374" t="s">
        <v>263</v>
      </c>
      <c r="I32" s="138">
        <v>35.5</v>
      </c>
      <c r="J32" s="138">
        <f t="shared" si="0"/>
        <v>11.305732484076433</v>
      </c>
      <c r="K32" s="114"/>
      <c r="L32" s="114"/>
      <c r="M32" s="114"/>
      <c r="N32" s="114"/>
      <c r="O32" s="138">
        <f t="shared" si="1"/>
        <v>8.336901799661528E-2</v>
      </c>
      <c r="P32" s="138">
        <f>O32*(1+'Key Data'!F$3)</f>
        <v>0.1042112724957691</v>
      </c>
      <c r="Q32" s="379"/>
      <c r="R32" s="379"/>
      <c r="S32" s="482"/>
    </row>
    <row r="33" spans="1:19" s="92" customFormat="1" x14ac:dyDescent="0.3">
      <c r="A33" s="374"/>
      <c r="B33" s="374"/>
      <c r="C33" s="374"/>
      <c r="D33" s="374"/>
      <c r="E33" s="484"/>
      <c r="F33" s="484"/>
      <c r="G33" s="374"/>
      <c r="H33" s="374" t="s">
        <v>263</v>
      </c>
      <c r="I33" s="138">
        <v>73</v>
      </c>
      <c r="J33" s="138">
        <f t="shared" si="0"/>
        <v>23.248407643312103</v>
      </c>
      <c r="K33" s="114"/>
      <c r="L33" s="114"/>
      <c r="M33" s="114"/>
      <c r="N33" s="114"/>
      <c r="O33" s="138">
        <f t="shared" si="1"/>
        <v>0.10770794503131888</v>
      </c>
      <c r="P33" s="138">
        <f>O33*(1+'Key Data'!F$3)</f>
        <v>0.13463493128914861</v>
      </c>
      <c r="Q33" s="379"/>
      <c r="R33" s="379"/>
      <c r="S33" s="482"/>
    </row>
    <row r="34" spans="1:19" s="92" customFormat="1" x14ac:dyDescent="0.3">
      <c r="A34" s="367">
        <v>3</v>
      </c>
      <c r="B34" s="367" t="s">
        <v>396</v>
      </c>
      <c r="C34" s="367" t="s">
        <v>430</v>
      </c>
      <c r="D34" s="367" t="s">
        <v>269</v>
      </c>
      <c r="E34" s="367">
        <v>13.566207</v>
      </c>
      <c r="F34" s="367">
        <v>79.068119999999993</v>
      </c>
      <c r="G34" s="367">
        <v>2019</v>
      </c>
      <c r="H34" s="367" t="s">
        <v>263</v>
      </c>
      <c r="I34" s="131">
        <v>47.5</v>
      </c>
      <c r="J34" s="131">
        <f t="shared" ref="J34:J65" si="2">I34/3.14</f>
        <v>15.127388535031846</v>
      </c>
      <c r="K34" s="96"/>
      <c r="L34" s="96"/>
      <c r="M34" s="96"/>
      <c r="N34" s="96"/>
      <c r="O34" s="131">
        <f t="shared" ref="O34:O65" si="3">30.4*EXP(-5.07*EXP(-0.26*J34)+1.277)/1000</f>
        <v>9.8707362361024759E-2</v>
      </c>
      <c r="P34" s="131">
        <f>O34*(1+'Key Data'!F$3)</f>
        <v>0.12338420295128094</v>
      </c>
      <c r="Q34" s="366">
        <f>SUM(P34:P54)</f>
        <v>2.5425879059533907</v>
      </c>
      <c r="R34" s="366">
        <f>Q34*10000/900</f>
        <v>28.250976732815449</v>
      </c>
      <c r="S34" s="482"/>
    </row>
    <row r="35" spans="1:19" s="92" customFormat="1" x14ac:dyDescent="0.3">
      <c r="A35" s="367"/>
      <c r="B35" s="367"/>
      <c r="C35" s="367"/>
      <c r="D35" s="367"/>
      <c r="E35" s="367"/>
      <c r="F35" s="367"/>
      <c r="G35" s="367"/>
      <c r="H35" s="367" t="s">
        <v>263</v>
      </c>
      <c r="I35" s="131">
        <v>60</v>
      </c>
      <c r="J35" s="131">
        <f t="shared" si="2"/>
        <v>19.108280254777068</v>
      </c>
      <c r="K35" s="96"/>
      <c r="L35" s="96"/>
      <c r="M35" s="96"/>
      <c r="N35" s="96"/>
      <c r="O35" s="131">
        <f t="shared" si="3"/>
        <v>0.10523287646701386</v>
      </c>
      <c r="P35" s="131">
        <f>O35*(1+'Key Data'!F$3)</f>
        <v>0.13154109558376734</v>
      </c>
      <c r="Q35" s="366"/>
      <c r="R35" s="366"/>
      <c r="S35" s="482"/>
    </row>
    <row r="36" spans="1:19" s="92" customFormat="1" x14ac:dyDescent="0.3">
      <c r="A36" s="367"/>
      <c r="B36" s="367"/>
      <c r="C36" s="367"/>
      <c r="D36" s="367"/>
      <c r="E36" s="367"/>
      <c r="F36" s="367"/>
      <c r="G36" s="367"/>
      <c r="H36" s="367" t="s">
        <v>263</v>
      </c>
      <c r="I36" s="131">
        <v>46</v>
      </c>
      <c r="J36" s="131">
        <f t="shared" si="2"/>
        <v>14.64968152866242</v>
      </c>
      <c r="K36" s="96"/>
      <c r="L36" s="96"/>
      <c r="M36" s="96"/>
      <c r="N36" s="96"/>
      <c r="O36" s="131">
        <f t="shared" si="3"/>
        <v>9.7419820513451161E-2</v>
      </c>
      <c r="P36" s="131">
        <f>O36*(1+'Key Data'!F$3)</f>
        <v>0.12177477564181395</v>
      </c>
      <c r="Q36" s="366"/>
      <c r="R36" s="366"/>
      <c r="S36" s="482"/>
    </row>
    <row r="37" spans="1:19" s="92" customFormat="1" x14ac:dyDescent="0.3">
      <c r="A37" s="367"/>
      <c r="B37" s="367"/>
      <c r="C37" s="367"/>
      <c r="D37" s="367"/>
      <c r="E37" s="367"/>
      <c r="F37" s="367"/>
      <c r="G37" s="367"/>
      <c r="H37" s="367" t="s">
        <v>263</v>
      </c>
      <c r="I37" s="131">
        <v>76</v>
      </c>
      <c r="J37" s="131">
        <f t="shared" si="2"/>
        <v>24.203821656050955</v>
      </c>
      <c r="K37" s="96"/>
      <c r="L37" s="96"/>
      <c r="M37" s="96"/>
      <c r="N37" s="96"/>
      <c r="O37" s="131">
        <f t="shared" si="3"/>
        <v>0.10799307280685212</v>
      </c>
      <c r="P37" s="131">
        <f>O37*(1+'Key Data'!F$3)</f>
        <v>0.13499134100856516</v>
      </c>
      <c r="Q37" s="366"/>
      <c r="R37" s="366"/>
      <c r="S37" s="482"/>
    </row>
    <row r="38" spans="1:19" s="92" customFormat="1" x14ac:dyDescent="0.3">
      <c r="A38" s="367"/>
      <c r="B38" s="367"/>
      <c r="C38" s="367"/>
      <c r="D38" s="367"/>
      <c r="E38" s="367"/>
      <c r="F38" s="367"/>
      <c r="G38" s="367"/>
      <c r="H38" s="367" t="s">
        <v>263</v>
      </c>
      <c r="I38" s="131">
        <v>57</v>
      </c>
      <c r="J38" s="131">
        <f t="shared" si="2"/>
        <v>18.152866242038215</v>
      </c>
      <c r="K38" s="96"/>
      <c r="L38" s="96"/>
      <c r="M38" s="96"/>
      <c r="N38" s="96"/>
      <c r="O38" s="131">
        <f t="shared" si="3"/>
        <v>0.10419156081625477</v>
      </c>
      <c r="P38" s="131">
        <f>O38*(1+'Key Data'!F$3)</f>
        <v>0.13023945102031848</v>
      </c>
      <c r="Q38" s="366"/>
      <c r="R38" s="366"/>
      <c r="S38" s="482"/>
    </row>
    <row r="39" spans="1:19" s="92" customFormat="1" x14ac:dyDescent="0.3">
      <c r="A39" s="367"/>
      <c r="B39" s="367"/>
      <c r="C39" s="367"/>
      <c r="D39" s="367"/>
      <c r="E39" s="367"/>
      <c r="F39" s="367"/>
      <c r="G39" s="367"/>
      <c r="H39" s="367" t="s">
        <v>263</v>
      </c>
      <c r="I39" s="131">
        <v>68</v>
      </c>
      <c r="J39" s="131">
        <f t="shared" si="2"/>
        <v>21.656050955414013</v>
      </c>
      <c r="K39" s="96"/>
      <c r="L39" s="96"/>
      <c r="M39" s="96"/>
      <c r="N39" s="96"/>
      <c r="O39" s="131">
        <f t="shared" si="3"/>
        <v>0.10704603314345468</v>
      </c>
      <c r="P39" s="131">
        <f>O39*(1+'Key Data'!F$3)</f>
        <v>0.13380754142931833</v>
      </c>
      <c r="Q39" s="366"/>
      <c r="R39" s="366"/>
      <c r="S39" s="482"/>
    </row>
    <row r="40" spans="1:19" s="92" customFormat="1" x14ac:dyDescent="0.3">
      <c r="A40" s="367"/>
      <c r="B40" s="367"/>
      <c r="C40" s="367"/>
      <c r="D40" s="367"/>
      <c r="E40" s="367"/>
      <c r="F40" s="367"/>
      <c r="G40" s="367"/>
      <c r="H40" s="367" t="s">
        <v>263</v>
      </c>
      <c r="I40" s="131">
        <v>76</v>
      </c>
      <c r="J40" s="131">
        <f t="shared" si="2"/>
        <v>24.203821656050955</v>
      </c>
      <c r="K40" s="96"/>
      <c r="L40" s="96"/>
      <c r="M40" s="96"/>
      <c r="N40" s="96"/>
      <c r="O40" s="131">
        <f t="shared" si="3"/>
        <v>0.10799307280685212</v>
      </c>
      <c r="P40" s="131">
        <f>O40*(1+'Key Data'!F$3)</f>
        <v>0.13499134100856516</v>
      </c>
      <c r="Q40" s="366"/>
      <c r="R40" s="366"/>
      <c r="S40" s="482"/>
    </row>
    <row r="41" spans="1:19" s="92" customFormat="1" x14ac:dyDescent="0.3">
      <c r="A41" s="367"/>
      <c r="B41" s="367"/>
      <c r="C41" s="367"/>
      <c r="D41" s="367"/>
      <c r="E41" s="367"/>
      <c r="F41" s="367"/>
      <c r="G41" s="367"/>
      <c r="H41" s="367" t="s">
        <v>263</v>
      </c>
      <c r="I41" s="131">
        <v>96</v>
      </c>
      <c r="J41" s="131">
        <f t="shared" si="2"/>
        <v>30.573248407643312</v>
      </c>
      <c r="K41" s="96"/>
      <c r="L41" s="96"/>
      <c r="M41" s="96"/>
      <c r="N41" s="96"/>
      <c r="O41" s="131">
        <f t="shared" si="3"/>
        <v>0.10881540365843619</v>
      </c>
      <c r="P41" s="131">
        <f>O41*(1+'Key Data'!F$3)</f>
        <v>0.13601925457304523</v>
      </c>
      <c r="Q41" s="366"/>
      <c r="R41" s="366"/>
      <c r="S41" s="482"/>
    </row>
    <row r="42" spans="1:19" s="92" customFormat="1" x14ac:dyDescent="0.3">
      <c r="A42" s="367"/>
      <c r="B42" s="367"/>
      <c r="C42" s="367"/>
      <c r="D42" s="367"/>
      <c r="E42" s="367"/>
      <c r="F42" s="367"/>
      <c r="G42" s="367"/>
      <c r="H42" s="367" t="s">
        <v>263</v>
      </c>
      <c r="I42" s="131">
        <v>41</v>
      </c>
      <c r="J42" s="131">
        <f t="shared" si="2"/>
        <v>13.057324840764331</v>
      </c>
      <c r="K42" s="96"/>
      <c r="L42" s="96"/>
      <c r="M42" s="96"/>
      <c r="N42" s="96"/>
      <c r="O42" s="131">
        <f t="shared" si="3"/>
        <v>9.1962027852063727E-2</v>
      </c>
      <c r="P42" s="131">
        <f>O42*(1+'Key Data'!F$3)</f>
        <v>0.11495253481507967</v>
      </c>
      <c r="Q42" s="366"/>
      <c r="R42" s="366"/>
      <c r="S42" s="482"/>
    </row>
    <row r="43" spans="1:19" s="92" customFormat="1" x14ac:dyDescent="0.3">
      <c r="A43" s="367"/>
      <c r="B43" s="367"/>
      <c r="C43" s="367"/>
      <c r="D43" s="367"/>
      <c r="E43" s="367"/>
      <c r="F43" s="367"/>
      <c r="G43" s="367"/>
      <c r="H43" s="367" t="s">
        <v>263</v>
      </c>
      <c r="I43" s="131">
        <v>8</v>
      </c>
      <c r="J43" s="131">
        <f t="shared" si="2"/>
        <v>2.5477707006369426</v>
      </c>
      <c r="K43" s="96"/>
      <c r="L43" s="96"/>
      <c r="M43" s="96"/>
      <c r="N43" s="96"/>
      <c r="O43" s="131">
        <f t="shared" si="3"/>
        <v>7.9832143438996386E-3</v>
      </c>
      <c r="P43" s="131">
        <f>O43*(1+'Key Data'!F$3)</f>
        <v>9.9790179298745486E-3</v>
      </c>
      <c r="Q43" s="366"/>
      <c r="R43" s="366"/>
      <c r="S43" s="482"/>
    </row>
    <row r="44" spans="1:19" s="92" customFormat="1" x14ac:dyDescent="0.3">
      <c r="A44" s="367"/>
      <c r="B44" s="367"/>
      <c r="C44" s="367"/>
      <c r="D44" s="367"/>
      <c r="E44" s="367"/>
      <c r="F44" s="367"/>
      <c r="G44" s="367"/>
      <c r="H44" s="367" t="s">
        <v>263</v>
      </c>
      <c r="I44" s="131">
        <v>63</v>
      </c>
      <c r="J44" s="131">
        <f t="shared" si="2"/>
        <v>20.063694267515924</v>
      </c>
      <c r="K44" s="96"/>
      <c r="L44" s="96"/>
      <c r="M44" s="96"/>
      <c r="N44" s="96"/>
      <c r="O44" s="131">
        <f t="shared" si="3"/>
        <v>0.10605236623585165</v>
      </c>
      <c r="P44" s="131">
        <f>O44*(1+'Key Data'!F$3)</f>
        <v>0.13256545779481457</v>
      </c>
      <c r="Q44" s="366"/>
      <c r="R44" s="366"/>
      <c r="S44" s="482"/>
    </row>
    <row r="45" spans="1:19" s="92" customFormat="1" x14ac:dyDescent="0.3">
      <c r="A45" s="367"/>
      <c r="B45" s="367"/>
      <c r="C45" s="367"/>
      <c r="D45" s="367"/>
      <c r="E45" s="367"/>
      <c r="F45" s="367"/>
      <c r="G45" s="367"/>
      <c r="H45" s="367" t="s">
        <v>263</v>
      </c>
      <c r="I45" s="131">
        <v>32</v>
      </c>
      <c r="J45" s="131">
        <f t="shared" si="2"/>
        <v>10.19108280254777</v>
      </c>
      <c r="K45" s="96"/>
      <c r="L45" s="96"/>
      <c r="M45" s="96"/>
      <c r="N45" s="96"/>
      <c r="O45" s="131">
        <f t="shared" si="3"/>
        <v>7.6182125605509077E-2</v>
      </c>
      <c r="P45" s="131">
        <f>O45*(1+'Key Data'!F$3)</f>
        <v>9.5227657006886346E-2</v>
      </c>
      <c r="Q45" s="366"/>
      <c r="R45" s="366"/>
      <c r="S45" s="482"/>
    </row>
    <row r="46" spans="1:19" s="92" customFormat="1" x14ac:dyDescent="0.3">
      <c r="A46" s="367"/>
      <c r="B46" s="367"/>
      <c r="C46" s="367"/>
      <c r="D46" s="367"/>
      <c r="E46" s="367"/>
      <c r="F46" s="367"/>
      <c r="G46" s="367"/>
      <c r="H46" s="367" t="s">
        <v>263</v>
      </c>
      <c r="I46" s="131">
        <v>65.5</v>
      </c>
      <c r="J46" s="131">
        <f t="shared" si="2"/>
        <v>20.859872611464969</v>
      </c>
      <c r="K46" s="96"/>
      <c r="L46" s="96"/>
      <c r="M46" s="96"/>
      <c r="N46" s="96"/>
      <c r="O46" s="131">
        <f t="shared" si="3"/>
        <v>0.10659929446172839</v>
      </c>
      <c r="P46" s="131">
        <f>O46*(1+'Key Data'!F$3)</f>
        <v>0.1332491180771605</v>
      </c>
      <c r="Q46" s="366"/>
      <c r="R46" s="366"/>
      <c r="S46" s="482"/>
    </row>
    <row r="47" spans="1:19" s="92" customFormat="1" x14ac:dyDescent="0.3">
      <c r="A47" s="367"/>
      <c r="B47" s="367"/>
      <c r="C47" s="367"/>
      <c r="D47" s="367"/>
      <c r="E47" s="367"/>
      <c r="F47" s="367"/>
      <c r="G47" s="367"/>
      <c r="H47" s="367" t="s">
        <v>263</v>
      </c>
      <c r="I47" s="131">
        <f>SQRT(50*50+49*49)</f>
        <v>70.007142492748557</v>
      </c>
      <c r="J47" s="131">
        <f t="shared" si="2"/>
        <v>22.295268309792533</v>
      </c>
      <c r="K47" s="96"/>
      <c r="L47" s="96"/>
      <c r="M47" s="96"/>
      <c r="N47" s="96"/>
      <c r="O47" s="131">
        <f t="shared" si="3"/>
        <v>0.107344495033954</v>
      </c>
      <c r="P47" s="131">
        <f>O47*(1+'Key Data'!F$3)</f>
        <v>0.1341806187924425</v>
      </c>
      <c r="Q47" s="366"/>
      <c r="R47" s="366"/>
      <c r="S47" s="482"/>
    </row>
    <row r="48" spans="1:19" s="92" customFormat="1" x14ac:dyDescent="0.3">
      <c r="A48" s="367"/>
      <c r="B48" s="367"/>
      <c r="C48" s="367"/>
      <c r="D48" s="367"/>
      <c r="E48" s="367"/>
      <c r="F48" s="367"/>
      <c r="G48" s="367"/>
      <c r="H48" s="367" t="s">
        <v>263</v>
      </c>
      <c r="I48" s="131">
        <v>67</v>
      </c>
      <c r="J48" s="131">
        <f t="shared" si="2"/>
        <v>21.337579617834393</v>
      </c>
      <c r="K48" s="96"/>
      <c r="L48" s="96"/>
      <c r="M48" s="96"/>
      <c r="N48" s="96"/>
      <c r="O48" s="131">
        <f t="shared" si="3"/>
        <v>0.10687812996010015</v>
      </c>
      <c r="P48" s="131">
        <f>O48*(1+'Key Data'!F$3)</f>
        <v>0.13359766245012519</v>
      </c>
      <c r="Q48" s="366"/>
      <c r="R48" s="366"/>
      <c r="S48" s="482"/>
    </row>
    <row r="49" spans="1:19" s="92" customFormat="1" x14ac:dyDescent="0.3">
      <c r="A49" s="367"/>
      <c r="B49" s="367"/>
      <c r="C49" s="367"/>
      <c r="D49" s="367"/>
      <c r="E49" s="367"/>
      <c r="F49" s="367"/>
      <c r="G49" s="367"/>
      <c r="H49" s="367" t="s">
        <v>263</v>
      </c>
      <c r="I49" s="131">
        <v>60</v>
      </c>
      <c r="J49" s="131">
        <f t="shared" si="2"/>
        <v>19.108280254777068</v>
      </c>
      <c r="K49" s="96"/>
      <c r="L49" s="96"/>
      <c r="M49" s="96"/>
      <c r="N49" s="96"/>
      <c r="O49" s="131">
        <f t="shared" si="3"/>
        <v>0.10523287646701386</v>
      </c>
      <c r="P49" s="131">
        <f>O49*(1+'Key Data'!F$3)</f>
        <v>0.13154109558376734</v>
      </c>
      <c r="Q49" s="366"/>
      <c r="R49" s="366"/>
      <c r="S49" s="482"/>
    </row>
    <row r="50" spans="1:19" s="92" customFormat="1" x14ac:dyDescent="0.3">
      <c r="A50" s="367"/>
      <c r="B50" s="367"/>
      <c r="C50" s="367"/>
      <c r="D50" s="367"/>
      <c r="E50" s="367"/>
      <c r="F50" s="367"/>
      <c r="G50" s="367"/>
      <c r="H50" s="367" t="s">
        <v>263</v>
      </c>
      <c r="I50" s="131">
        <v>45</v>
      </c>
      <c r="J50" s="131">
        <f t="shared" si="2"/>
        <v>14.331210191082802</v>
      </c>
      <c r="K50" s="96"/>
      <c r="L50" s="96"/>
      <c r="M50" s="96"/>
      <c r="N50" s="96"/>
      <c r="O50" s="131">
        <f t="shared" si="3"/>
        <v>9.6479001445443316E-2</v>
      </c>
      <c r="P50" s="131">
        <f>O50*(1+'Key Data'!F$3)</f>
        <v>0.12059875180680414</v>
      </c>
      <c r="Q50" s="366"/>
      <c r="R50" s="366"/>
      <c r="S50" s="482"/>
    </row>
    <row r="51" spans="1:19" s="92" customFormat="1" x14ac:dyDescent="0.3">
      <c r="A51" s="367"/>
      <c r="B51" s="367"/>
      <c r="C51" s="367"/>
      <c r="D51" s="367"/>
      <c r="E51" s="367"/>
      <c r="F51" s="367"/>
      <c r="G51" s="367"/>
      <c r="H51" s="367" t="s">
        <v>263</v>
      </c>
      <c r="I51" s="131">
        <v>52</v>
      </c>
      <c r="J51" s="131">
        <f t="shared" si="2"/>
        <v>16.560509554140125</v>
      </c>
      <c r="K51" s="96"/>
      <c r="L51" s="96"/>
      <c r="M51" s="96"/>
      <c r="N51" s="96"/>
      <c r="O51" s="131">
        <f t="shared" si="3"/>
        <v>0.10180337313799037</v>
      </c>
      <c r="P51" s="131">
        <f>O51*(1+'Key Data'!F$3)</f>
        <v>0.12725421642248796</v>
      </c>
      <c r="Q51" s="366"/>
      <c r="R51" s="366"/>
      <c r="S51" s="482"/>
    </row>
    <row r="52" spans="1:19" s="92" customFormat="1" x14ac:dyDescent="0.3">
      <c r="A52" s="367"/>
      <c r="B52" s="367"/>
      <c r="C52" s="367"/>
      <c r="D52" s="367"/>
      <c r="E52" s="367"/>
      <c r="F52" s="367"/>
      <c r="G52" s="367"/>
      <c r="H52" s="367" t="s">
        <v>263</v>
      </c>
      <c r="I52" s="131">
        <v>50</v>
      </c>
      <c r="J52" s="131">
        <f t="shared" si="2"/>
        <v>15.923566878980891</v>
      </c>
      <c r="K52" s="96"/>
      <c r="L52" s="96"/>
      <c r="M52" s="96"/>
      <c r="N52" s="96"/>
      <c r="O52" s="131">
        <f t="shared" si="3"/>
        <v>0.10055692997803489</v>
      </c>
      <c r="P52" s="131">
        <f>O52*(1+'Key Data'!F$3)</f>
        <v>0.12569616247254362</v>
      </c>
      <c r="Q52" s="366"/>
      <c r="R52" s="366"/>
      <c r="S52" s="482"/>
    </row>
    <row r="53" spans="1:19" s="92" customFormat="1" x14ac:dyDescent="0.3">
      <c r="A53" s="367"/>
      <c r="B53" s="367"/>
      <c r="C53" s="367"/>
      <c r="D53" s="367"/>
      <c r="E53" s="367"/>
      <c r="F53" s="367"/>
      <c r="G53" s="367"/>
      <c r="H53" s="367" t="s">
        <v>263</v>
      </c>
      <c r="I53" s="131">
        <v>47</v>
      </c>
      <c r="J53" s="131">
        <f t="shared" si="2"/>
        <v>14.968152866242038</v>
      </c>
      <c r="K53" s="96"/>
      <c r="L53" s="96"/>
      <c r="M53" s="96"/>
      <c r="N53" s="96"/>
      <c r="O53" s="131">
        <f t="shared" si="3"/>
        <v>9.8293983126644585E-2</v>
      </c>
      <c r="P53" s="131">
        <f>O53*(1+'Key Data'!F$3)</f>
        <v>0.12286747890830574</v>
      </c>
      <c r="Q53" s="366"/>
      <c r="R53" s="366"/>
      <c r="S53" s="482"/>
    </row>
    <row r="54" spans="1:19" s="92" customFormat="1" x14ac:dyDescent="0.3">
      <c r="A54" s="367"/>
      <c r="B54" s="367"/>
      <c r="C54" s="367"/>
      <c r="D54" s="367"/>
      <c r="E54" s="367"/>
      <c r="F54" s="367"/>
      <c r="G54" s="367"/>
      <c r="H54" s="367" t="s">
        <v>263</v>
      </c>
      <c r="I54" s="131">
        <v>40.5</v>
      </c>
      <c r="J54" s="131">
        <f t="shared" si="2"/>
        <v>12.898089171974522</v>
      </c>
      <c r="K54" s="96"/>
      <c r="L54" s="96"/>
      <c r="M54" s="96"/>
      <c r="N54" s="96"/>
      <c r="O54" s="131">
        <f t="shared" si="3"/>
        <v>9.1303304541138816E-2</v>
      </c>
      <c r="P54" s="131">
        <f>O54*(1+'Key Data'!F$3)</f>
        <v>0.11412913067642352</v>
      </c>
      <c r="Q54" s="366"/>
      <c r="R54" s="366"/>
      <c r="S54" s="482"/>
    </row>
    <row r="55" spans="1:19" s="92" customFormat="1" x14ac:dyDescent="0.3">
      <c r="A55" s="374">
        <v>4</v>
      </c>
      <c r="B55" s="374" t="s">
        <v>397</v>
      </c>
      <c r="C55" s="374" t="s">
        <v>429</v>
      </c>
      <c r="D55" s="374" t="s">
        <v>262</v>
      </c>
      <c r="E55" s="374">
        <v>13.484992999999999</v>
      </c>
      <c r="F55" s="374">
        <v>79.124268000000001</v>
      </c>
      <c r="G55" s="374">
        <v>2019</v>
      </c>
      <c r="H55" s="374" t="s">
        <v>263</v>
      </c>
      <c r="I55" s="138">
        <v>54</v>
      </c>
      <c r="J55" s="138">
        <f t="shared" si="2"/>
        <v>17.197452229299362</v>
      </c>
      <c r="K55" s="114"/>
      <c r="L55" s="114"/>
      <c r="M55" s="114"/>
      <c r="N55" s="114"/>
      <c r="O55" s="138">
        <f t="shared" si="3"/>
        <v>0.10287167065451364</v>
      </c>
      <c r="P55" s="138">
        <f>O55*(1+'Key Data'!F$3)</f>
        <v>0.12858958831814205</v>
      </c>
      <c r="Q55" s="379">
        <f>SUM(P55:P79)</f>
        <v>3.1173514712001178</v>
      </c>
      <c r="R55" s="379">
        <f>Q55*10000/900</f>
        <v>34.637238568890197</v>
      </c>
      <c r="S55" s="482"/>
    </row>
    <row r="56" spans="1:19" s="92" customFormat="1" x14ac:dyDescent="0.3">
      <c r="A56" s="374"/>
      <c r="B56" s="374"/>
      <c r="C56" s="374"/>
      <c r="D56" s="374"/>
      <c r="E56" s="374"/>
      <c r="F56" s="374"/>
      <c r="G56" s="374"/>
      <c r="H56" s="374" t="s">
        <v>263</v>
      </c>
      <c r="I56" s="138">
        <v>55</v>
      </c>
      <c r="J56" s="138">
        <f t="shared" si="2"/>
        <v>17.515923566878982</v>
      </c>
      <c r="K56" s="114"/>
      <c r="L56" s="114"/>
      <c r="M56" s="114"/>
      <c r="N56" s="114"/>
      <c r="O56" s="138">
        <f t="shared" si="3"/>
        <v>0.10334658411791346</v>
      </c>
      <c r="P56" s="138">
        <f>O56*(1+'Key Data'!F$3)</f>
        <v>0.12918323014739183</v>
      </c>
      <c r="Q56" s="379"/>
      <c r="R56" s="379"/>
      <c r="S56" s="482"/>
    </row>
    <row r="57" spans="1:19" s="92" customFormat="1" x14ac:dyDescent="0.3">
      <c r="A57" s="374"/>
      <c r="B57" s="374"/>
      <c r="C57" s="374"/>
      <c r="D57" s="374"/>
      <c r="E57" s="374"/>
      <c r="F57" s="374"/>
      <c r="G57" s="374"/>
      <c r="H57" s="374" t="s">
        <v>263</v>
      </c>
      <c r="I57" s="138">
        <v>64</v>
      </c>
      <c r="J57" s="138">
        <f t="shared" si="2"/>
        <v>20.38216560509554</v>
      </c>
      <c r="K57" s="114"/>
      <c r="L57" s="114"/>
      <c r="M57" s="114"/>
      <c r="N57" s="114"/>
      <c r="O57" s="138">
        <f t="shared" si="3"/>
        <v>0.10628446193284659</v>
      </c>
      <c r="P57" s="138">
        <f>O57*(1+'Key Data'!F$3)</f>
        <v>0.13285557741605825</v>
      </c>
      <c r="Q57" s="379"/>
      <c r="R57" s="379"/>
      <c r="S57" s="482"/>
    </row>
    <row r="58" spans="1:19" s="92" customFormat="1" x14ac:dyDescent="0.3">
      <c r="A58" s="374"/>
      <c r="B58" s="374"/>
      <c r="C58" s="374"/>
      <c r="D58" s="374"/>
      <c r="E58" s="374"/>
      <c r="F58" s="374"/>
      <c r="G58" s="374"/>
      <c r="H58" s="374" t="s">
        <v>263</v>
      </c>
      <c r="I58" s="138">
        <v>51.5</v>
      </c>
      <c r="J58" s="138">
        <f t="shared" si="2"/>
        <v>16.401273885350317</v>
      </c>
      <c r="K58" s="114"/>
      <c r="L58" s="114"/>
      <c r="M58" s="114"/>
      <c r="N58" s="114"/>
      <c r="O58" s="138">
        <f t="shared" si="3"/>
        <v>0.10150945831821122</v>
      </c>
      <c r="P58" s="138">
        <f>O58*(1+'Key Data'!F$3)</f>
        <v>0.12688682289776401</v>
      </c>
      <c r="Q58" s="379"/>
      <c r="R58" s="379"/>
      <c r="S58" s="482"/>
    </row>
    <row r="59" spans="1:19" s="92" customFormat="1" x14ac:dyDescent="0.3">
      <c r="A59" s="374"/>
      <c r="B59" s="374"/>
      <c r="C59" s="374"/>
      <c r="D59" s="374"/>
      <c r="E59" s="374"/>
      <c r="F59" s="374"/>
      <c r="G59" s="374"/>
      <c r="H59" s="374" t="s">
        <v>263</v>
      </c>
      <c r="I59" s="138">
        <v>54.5</v>
      </c>
      <c r="J59" s="138">
        <f t="shared" si="2"/>
        <v>17.35668789808917</v>
      </c>
      <c r="K59" s="114"/>
      <c r="L59" s="114"/>
      <c r="M59" s="114"/>
      <c r="N59" s="114"/>
      <c r="O59" s="138">
        <f t="shared" si="3"/>
        <v>0.10311376887493688</v>
      </c>
      <c r="P59" s="138">
        <f>O59*(1+'Key Data'!F$3)</f>
        <v>0.12889221109367111</v>
      </c>
      <c r="Q59" s="379"/>
      <c r="R59" s="379"/>
      <c r="S59" s="482"/>
    </row>
    <row r="60" spans="1:19" s="92" customFormat="1" x14ac:dyDescent="0.3">
      <c r="A60" s="374"/>
      <c r="B60" s="374"/>
      <c r="C60" s="374"/>
      <c r="D60" s="374"/>
      <c r="E60" s="374"/>
      <c r="F60" s="374"/>
      <c r="G60" s="374"/>
      <c r="H60" s="374" t="s">
        <v>263</v>
      </c>
      <c r="I60" s="138">
        <v>15</v>
      </c>
      <c r="J60" s="138">
        <f t="shared" si="2"/>
        <v>4.7770700636942669</v>
      </c>
      <c r="K60" s="114"/>
      <c r="L60" s="114"/>
      <c r="M60" s="114"/>
      <c r="N60" s="114"/>
      <c r="O60" s="138">
        <f t="shared" si="3"/>
        <v>2.5210283947592334E-2</v>
      </c>
      <c r="P60" s="138">
        <f>O60*(1+'Key Data'!F$3)</f>
        <v>3.1512854934490415E-2</v>
      </c>
      <c r="Q60" s="379"/>
      <c r="R60" s="379"/>
      <c r="S60" s="482"/>
    </row>
    <row r="61" spans="1:19" s="92" customFormat="1" x14ac:dyDescent="0.3">
      <c r="A61" s="374"/>
      <c r="B61" s="374"/>
      <c r="C61" s="374"/>
      <c r="D61" s="374"/>
      <c r="E61" s="374"/>
      <c r="F61" s="374"/>
      <c r="G61" s="374"/>
      <c r="H61" s="374" t="s">
        <v>263</v>
      </c>
      <c r="I61" s="138">
        <v>42</v>
      </c>
      <c r="J61" s="138">
        <f t="shared" si="2"/>
        <v>13.375796178343949</v>
      </c>
      <c r="K61" s="114"/>
      <c r="L61" s="114"/>
      <c r="M61" s="114"/>
      <c r="N61" s="114"/>
      <c r="O61" s="138">
        <f t="shared" si="3"/>
        <v>9.321330534113309E-2</v>
      </c>
      <c r="P61" s="138">
        <f>O61*(1+'Key Data'!F$3)</f>
        <v>0.11651663167641636</v>
      </c>
      <c r="Q61" s="379"/>
      <c r="R61" s="379"/>
      <c r="S61" s="482"/>
    </row>
    <row r="62" spans="1:19" s="92" customFormat="1" x14ac:dyDescent="0.3">
      <c r="A62" s="374"/>
      <c r="B62" s="374"/>
      <c r="C62" s="374"/>
      <c r="D62" s="374"/>
      <c r="E62" s="374"/>
      <c r="F62" s="374"/>
      <c r="G62" s="374"/>
      <c r="H62" s="374" t="s">
        <v>263</v>
      </c>
      <c r="I62" s="138">
        <v>67.7</v>
      </c>
      <c r="J62" s="138">
        <f t="shared" si="2"/>
        <v>21.560509554140129</v>
      </c>
      <c r="K62" s="114"/>
      <c r="L62" s="114"/>
      <c r="M62" s="114"/>
      <c r="N62" s="114"/>
      <c r="O62" s="138">
        <f t="shared" si="3"/>
        <v>0.10699708653994869</v>
      </c>
      <c r="P62" s="138">
        <f>O62*(1+'Key Data'!F$3)</f>
        <v>0.13374635817493585</v>
      </c>
      <c r="Q62" s="379"/>
      <c r="R62" s="379"/>
      <c r="S62" s="482"/>
    </row>
    <row r="63" spans="1:19" s="92" customFormat="1" x14ac:dyDescent="0.3">
      <c r="A63" s="374"/>
      <c r="B63" s="374"/>
      <c r="C63" s="374"/>
      <c r="D63" s="374"/>
      <c r="E63" s="374"/>
      <c r="F63" s="374"/>
      <c r="G63" s="374"/>
      <c r="H63" s="374" t="s">
        <v>263</v>
      </c>
      <c r="I63" s="138">
        <v>57.5</v>
      </c>
      <c r="J63" s="138">
        <f t="shared" si="2"/>
        <v>18.312101910828027</v>
      </c>
      <c r="K63" s="114"/>
      <c r="L63" s="114"/>
      <c r="M63" s="114"/>
      <c r="N63" s="114"/>
      <c r="O63" s="138">
        <f t="shared" si="3"/>
        <v>0.10438278110345003</v>
      </c>
      <c r="P63" s="138">
        <f>O63*(1+'Key Data'!F$3)</f>
        <v>0.13047847637931254</v>
      </c>
      <c r="Q63" s="379"/>
      <c r="R63" s="379"/>
      <c r="S63" s="482"/>
    </row>
    <row r="64" spans="1:19" s="92" customFormat="1" x14ac:dyDescent="0.3">
      <c r="A64" s="374"/>
      <c r="B64" s="374"/>
      <c r="C64" s="374"/>
      <c r="D64" s="374"/>
      <c r="E64" s="374"/>
      <c r="F64" s="374"/>
      <c r="G64" s="374"/>
      <c r="H64" s="374" t="s">
        <v>263</v>
      </c>
      <c r="I64" s="138">
        <v>64</v>
      </c>
      <c r="J64" s="138">
        <f t="shared" si="2"/>
        <v>20.38216560509554</v>
      </c>
      <c r="K64" s="114"/>
      <c r="L64" s="114"/>
      <c r="M64" s="114"/>
      <c r="N64" s="114"/>
      <c r="O64" s="138">
        <f t="shared" si="3"/>
        <v>0.10628446193284659</v>
      </c>
      <c r="P64" s="138">
        <f>O64*(1+'Key Data'!F$3)</f>
        <v>0.13285557741605825</v>
      </c>
      <c r="Q64" s="379"/>
      <c r="R64" s="379"/>
      <c r="S64" s="482"/>
    </row>
    <row r="65" spans="1:19" s="92" customFormat="1" x14ac:dyDescent="0.3">
      <c r="A65" s="374"/>
      <c r="B65" s="374"/>
      <c r="C65" s="374"/>
      <c r="D65" s="374"/>
      <c r="E65" s="374"/>
      <c r="F65" s="374"/>
      <c r="G65" s="374"/>
      <c r="H65" s="374" t="s">
        <v>263</v>
      </c>
      <c r="I65" s="138">
        <v>49.5</v>
      </c>
      <c r="J65" s="138">
        <f t="shared" si="2"/>
        <v>15.764331210191083</v>
      </c>
      <c r="K65" s="114"/>
      <c r="L65" s="114"/>
      <c r="M65" s="114"/>
      <c r="N65" s="114"/>
      <c r="O65" s="138">
        <f t="shared" si="3"/>
        <v>0.10021441490790885</v>
      </c>
      <c r="P65" s="138">
        <f>O65*(1+'Key Data'!F$3)</f>
        <v>0.12526801863488607</v>
      </c>
      <c r="Q65" s="379"/>
      <c r="R65" s="379"/>
      <c r="S65" s="482"/>
    </row>
    <row r="66" spans="1:19" s="92" customFormat="1" x14ac:dyDescent="0.3">
      <c r="A66" s="374"/>
      <c r="B66" s="374"/>
      <c r="C66" s="374"/>
      <c r="D66" s="374"/>
      <c r="E66" s="374"/>
      <c r="F66" s="374"/>
      <c r="G66" s="374"/>
      <c r="H66" s="374" t="s">
        <v>263</v>
      </c>
      <c r="I66" s="138">
        <v>58.5</v>
      </c>
      <c r="J66" s="138">
        <f t="shared" ref="J66:J97" si="4">I66/3.14</f>
        <v>18.630573248407643</v>
      </c>
      <c r="K66" s="114"/>
      <c r="L66" s="114"/>
      <c r="M66" s="114"/>
      <c r="N66" s="114"/>
      <c r="O66" s="138">
        <f t="shared" ref="O66:O97" si="5">30.4*EXP(-5.07*EXP(-0.26*J66)+1.277)/1000</f>
        <v>0.10474322139691875</v>
      </c>
      <c r="P66" s="138">
        <f>O66*(1+'Key Data'!F$3)</f>
        <v>0.13092902674614842</v>
      </c>
      <c r="Q66" s="379"/>
      <c r="R66" s="379"/>
      <c r="S66" s="482"/>
    </row>
    <row r="67" spans="1:19" s="92" customFormat="1" x14ac:dyDescent="0.3">
      <c r="A67" s="374"/>
      <c r="B67" s="374"/>
      <c r="C67" s="374"/>
      <c r="D67" s="374"/>
      <c r="E67" s="374"/>
      <c r="F67" s="374"/>
      <c r="G67" s="374"/>
      <c r="H67" s="374" t="s">
        <v>263</v>
      </c>
      <c r="I67" s="138">
        <v>68.5</v>
      </c>
      <c r="J67" s="138">
        <f t="shared" si="4"/>
        <v>21.815286624203821</v>
      </c>
      <c r="K67" s="114"/>
      <c r="L67" s="114"/>
      <c r="M67" s="114"/>
      <c r="N67" s="114"/>
      <c r="O67" s="138">
        <f t="shared" si="5"/>
        <v>0.10712500390758242</v>
      </c>
      <c r="P67" s="138">
        <f>O67*(1+'Key Data'!F$3)</f>
        <v>0.13390625488447802</v>
      </c>
      <c r="Q67" s="379"/>
      <c r="R67" s="379"/>
      <c r="S67" s="482"/>
    </row>
    <row r="68" spans="1:19" s="92" customFormat="1" x14ac:dyDescent="0.3">
      <c r="A68" s="374"/>
      <c r="B68" s="374"/>
      <c r="C68" s="374"/>
      <c r="D68" s="374"/>
      <c r="E68" s="374"/>
      <c r="F68" s="374"/>
      <c r="G68" s="374"/>
      <c r="H68" s="374" t="s">
        <v>263</v>
      </c>
      <c r="I68" s="138">
        <v>61</v>
      </c>
      <c r="J68" s="138">
        <f t="shared" si="4"/>
        <v>19.426751592356688</v>
      </c>
      <c r="K68" s="114"/>
      <c r="L68" s="114"/>
      <c r="M68" s="114"/>
      <c r="N68" s="114"/>
      <c r="O68" s="138">
        <f t="shared" si="5"/>
        <v>0.10552821094553938</v>
      </c>
      <c r="P68" s="138">
        <f>O68*(1+'Key Data'!F$3)</f>
        <v>0.13191026368192421</v>
      </c>
      <c r="Q68" s="379"/>
      <c r="R68" s="379"/>
      <c r="S68" s="482"/>
    </row>
    <row r="69" spans="1:19" s="92" customFormat="1" x14ac:dyDescent="0.3">
      <c r="A69" s="374"/>
      <c r="B69" s="374"/>
      <c r="C69" s="374"/>
      <c r="D69" s="374"/>
      <c r="E69" s="374"/>
      <c r="F69" s="374"/>
      <c r="G69" s="374"/>
      <c r="H69" s="374" t="s">
        <v>263</v>
      </c>
      <c r="I69" s="138">
        <v>58.2</v>
      </c>
      <c r="J69" s="138">
        <f t="shared" si="4"/>
        <v>18.535031847133759</v>
      </c>
      <c r="K69" s="114"/>
      <c r="L69" s="114"/>
      <c r="M69" s="114"/>
      <c r="N69" s="114"/>
      <c r="O69" s="138">
        <f t="shared" si="5"/>
        <v>0.10463807710529818</v>
      </c>
      <c r="P69" s="138">
        <f>O69*(1+'Key Data'!F$3)</f>
        <v>0.13079759638162272</v>
      </c>
      <c r="Q69" s="379"/>
      <c r="R69" s="379"/>
      <c r="S69" s="482"/>
    </row>
    <row r="70" spans="1:19" s="92" customFormat="1" x14ac:dyDescent="0.3">
      <c r="A70" s="374"/>
      <c r="B70" s="374"/>
      <c r="C70" s="374"/>
      <c r="D70" s="374"/>
      <c r="E70" s="374"/>
      <c r="F70" s="374"/>
      <c r="G70" s="374"/>
      <c r="H70" s="374" t="s">
        <v>263</v>
      </c>
      <c r="I70" s="138">
        <v>51</v>
      </c>
      <c r="J70" s="138">
        <f t="shared" si="4"/>
        <v>16.242038216560509</v>
      </c>
      <c r="K70" s="114"/>
      <c r="L70" s="114"/>
      <c r="M70" s="114"/>
      <c r="N70" s="114"/>
      <c r="O70" s="138">
        <f t="shared" si="5"/>
        <v>0.10120402272427799</v>
      </c>
      <c r="P70" s="138">
        <f>O70*(1+'Key Data'!F$3)</f>
        <v>0.1265050284053475</v>
      </c>
      <c r="Q70" s="379"/>
      <c r="R70" s="379"/>
      <c r="S70" s="482"/>
    </row>
    <row r="71" spans="1:19" s="92" customFormat="1" x14ac:dyDescent="0.3">
      <c r="A71" s="374"/>
      <c r="B71" s="374"/>
      <c r="C71" s="374"/>
      <c r="D71" s="374"/>
      <c r="E71" s="374"/>
      <c r="F71" s="374"/>
      <c r="G71" s="374"/>
      <c r="H71" s="374" t="s">
        <v>263</v>
      </c>
      <c r="I71" s="138">
        <v>62</v>
      </c>
      <c r="J71" s="138">
        <f t="shared" si="4"/>
        <v>19.745222929936304</v>
      </c>
      <c r="K71" s="114"/>
      <c r="L71" s="114"/>
      <c r="M71" s="114"/>
      <c r="N71" s="114"/>
      <c r="O71" s="138">
        <f t="shared" si="5"/>
        <v>0.10580080866149123</v>
      </c>
      <c r="P71" s="138">
        <f>O71*(1+'Key Data'!F$3)</f>
        <v>0.13225101082686405</v>
      </c>
      <c r="Q71" s="379"/>
      <c r="R71" s="379"/>
      <c r="S71" s="482"/>
    </row>
    <row r="72" spans="1:19" s="92" customFormat="1" x14ac:dyDescent="0.3">
      <c r="A72" s="374"/>
      <c r="B72" s="374"/>
      <c r="C72" s="374"/>
      <c r="D72" s="374"/>
      <c r="E72" s="374"/>
      <c r="F72" s="374"/>
      <c r="G72" s="374"/>
      <c r="H72" s="374" t="s">
        <v>263</v>
      </c>
      <c r="I72" s="138">
        <v>51</v>
      </c>
      <c r="J72" s="138">
        <f t="shared" si="4"/>
        <v>16.242038216560509</v>
      </c>
      <c r="K72" s="114"/>
      <c r="L72" s="114"/>
      <c r="M72" s="114"/>
      <c r="N72" s="114"/>
      <c r="O72" s="138">
        <f t="shared" si="5"/>
        <v>0.10120402272427799</v>
      </c>
      <c r="P72" s="138">
        <f>O72*(1+'Key Data'!F$3)</f>
        <v>0.1265050284053475</v>
      </c>
      <c r="Q72" s="379"/>
      <c r="R72" s="379"/>
      <c r="S72" s="482"/>
    </row>
    <row r="73" spans="1:19" s="92" customFormat="1" x14ac:dyDescent="0.3">
      <c r="A73" s="374"/>
      <c r="B73" s="374"/>
      <c r="C73" s="374"/>
      <c r="D73" s="374"/>
      <c r="E73" s="374"/>
      <c r="F73" s="374"/>
      <c r="G73" s="374"/>
      <c r="H73" s="374" t="s">
        <v>263</v>
      </c>
      <c r="I73" s="138">
        <v>45</v>
      </c>
      <c r="J73" s="138">
        <f t="shared" si="4"/>
        <v>14.331210191082802</v>
      </c>
      <c r="K73" s="114"/>
      <c r="L73" s="114"/>
      <c r="M73" s="114"/>
      <c r="N73" s="114"/>
      <c r="O73" s="138">
        <f t="shared" si="5"/>
        <v>9.6479001445443316E-2</v>
      </c>
      <c r="P73" s="138">
        <f>O73*(1+'Key Data'!F$3)</f>
        <v>0.12059875180680414</v>
      </c>
      <c r="Q73" s="379"/>
      <c r="R73" s="379"/>
      <c r="S73" s="482"/>
    </row>
    <row r="74" spans="1:19" s="92" customFormat="1" x14ac:dyDescent="0.3">
      <c r="A74" s="374"/>
      <c r="B74" s="374"/>
      <c r="C74" s="374"/>
      <c r="D74" s="374"/>
      <c r="E74" s="374"/>
      <c r="F74" s="374"/>
      <c r="G74" s="374"/>
      <c r="H74" s="374" t="s">
        <v>263</v>
      </c>
      <c r="I74" s="138">
        <v>60</v>
      </c>
      <c r="J74" s="138">
        <f t="shared" si="4"/>
        <v>19.108280254777068</v>
      </c>
      <c r="K74" s="114"/>
      <c r="L74" s="114"/>
      <c r="M74" s="114"/>
      <c r="N74" s="114"/>
      <c r="O74" s="138">
        <f t="shared" si="5"/>
        <v>0.10523287646701386</v>
      </c>
      <c r="P74" s="138">
        <f>O74*(1+'Key Data'!F$3)</f>
        <v>0.13154109558376734</v>
      </c>
      <c r="Q74" s="379"/>
      <c r="R74" s="379"/>
      <c r="S74" s="482"/>
    </row>
    <row r="75" spans="1:19" s="92" customFormat="1" x14ac:dyDescent="0.3">
      <c r="A75" s="374"/>
      <c r="B75" s="374"/>
      <c r="C75" s="374"/>
      <c r="D75" s="374"/>
      <c r="E75" s="374"/>
      <c r="F75" s="374"/>
      <c r="G75" s="374"/>
      <c r="H75" s="374" t="s">
        <v>263</v>
      </c>
      <c r="I75" s="138">
        <v>52.8</v>
      </c>
      <c r="J75" s="138">
        <f t="shared" si="4"/>
        <v>16.815286624203821</v>
      </c>
      <c r="K75" s="114"/>
      <c r="L75" s="114"/>
      <c r="M75" s="114"/>
      <c r="N75" s="114"/>
      <c r="O75" s="138">
        <f t="shared" si="5"/>
        <v>0.10225066956068748</v>
      </c>
      <c r="P75" s="138">
        <f>O75*(1+'Key Data'!F$3)</f>
        <v>0.12781333695085936</v>
      </c>
      <c r="Q75" s="379"/>
      <c r="R75" s="379"/>
      <c r="S75" s="482"/>
    </row>
    <row r="76" spans="1:19" s="92" customFormat="1" x14ac:dyDescent="0.3">
      <c r="A76" s="374"/>
      <c r="B76" s="374"/>
      <c r="C76" s="374"/>
      <c r="D76" s="374"/>
      <c r="E76" s="374"/>
      <c r="F76" s="374"/>
      <c r="G76" s="374"/>
      <c r="H76" s="374" t="s">
        <v>263</v>
      </c>
      <c r="I76" s="138">
        <v>50.3</v>
      </c>
      <c r="J76" s="138">
        <f t="shared" si="4"/>
        <v>16.019108280254777</v>
      </c>
      <c r="K76" s="114"/>
      <c r="L76" s="114"/>
      <c r="M76" s="114"/>
      <c r="N76" s="114"/>
      <c r="O76" s="138">
        <f t="shared" si="5"/>
        <v>0.10075627142900463</v>
      </c>
      <c r="P76" s="138">
        <f>O76*(1+'Key Data'!F$3)</f>
        <v>0.12594533928625579</v>
      </c>
      <c r="Q76" s="379"/>
      <c r="R76" s="379"/>
      <c r="S76" s="482"/>
    </row>
    <row r="77" spans="1:19" s="92" customFormat="1" x14ac:dyDescent="0.3">
      <c r="A77" s="374"/>
      <c r="B77" s="374"/>
      <c r="C77" s="374"/>
      <c r="D77" s="374"/>
      <c r="E77" s="374"/>
      <c r="F77" s="374"/>
      <c r="G77" s="374"/>
      <c r="H77" s="374" t="s">
        <v>263</v>
      </c>
      <c r="I77" s="138">
        <v>68.8</v>
      </c>
      <c r="J77" s="138">
        <f t="shared" si="4"/>
        <v>21.910828025477706</v>
      </c>
      <c r="K77" s="114"/>
      <c r="L77" s="114"/>
      <c r="M77" s="114"/>
      <c r="N77" s="114"/>
      <c r="O77" s="138">
        <f t="shared" si="5"/>
        <v>0.10717086733866092</v>
      </c>
      <c r="P77" s="138">
        <f>O77*(1+'Key Data'!F$3)</f>
        <v>0.13396358417332616</v>
      </c>
      <c r="Q77" s="379"/>
      <c r="R77" s="379"/>
      <c r="S77" s="482"/>
    </row>
    <row r="78" spans="1:19" s="92" customFormat="1" x14ac:dyDescent="0.3">
      <c r="A78" s="374"/>
      <c r="B78" s="374"/>
      <c r="C78" s="374"/>
      <c r="D78" s="374"/>
      <c r="E78" s="374"/>
      <c r="F78" s="374"/>
      <c r="G78" s="374"/>
      <c r="H78" s="374" t="s">
        <v>263</v>
      </c>
      <c r="I78" s="138">
        <v>47.2</v>
      </c>
      <c r="J78" s="138">
        <f t="shared" si="4"/>
        <v>15.031847133757962</v>
      </c>
      <c r="K78" s="114"/>
      <c r="L78" s="114"/>
      <c r="M78" s="114"/>
      <c r="N78" s="114"/>
      <c r="O78" s="138">
        <f t="shared" si="5"/>
        <v>9.8461182321116614E-2</v>
      </c>
      <c r="P78" s="138">
        <f>O78*(1+'Key Data'!F$3)</f>
        <v>0.12307647790139577</v>
      </c>
      <c r="Q78" s="379"/>
      <c r="R78" s="379"/>
      <c r="S78" s="482"/>
    </row>
    <row r="79" spans="1:19" s="92" customFormat="1" x14ac:dyDescent="0.3">
      <c r="A79" s="374"/>
      <c r="B79" s="374"/>
      <c r="C79" s="374"/>
      <c r="D79" s="374"/>
      <c r="E79" s="374"/>
      <c r="F79" s="374"/>
      <c r="G79" s="374"/>
      <c r="H79" s="374" t="s">
        <v>263</v>
      </c>
      <c r="I79" s="138">
        <v>49</v>
      </c>
      <c r="J79" s="138">
        <f t="shared" si="4"/>
        <v>15.605095541401273</v>
      </c>
      <c r="K79" s="114"/>
      <c r="L79" s="114"/>
      <c r="M79" s="114"/>
      <c r="N79" s="114"/>
      <c r="O79" s="138">
        <f t="shared" si="5"/>
        <v>9.9858663261479449E-2</v>
      </c>
      <c r="P79" s="138">
        <f>O79*(1+'Key Data'!F$3)</f>
        <v>0.12482332907684932</v>
      </c>
      <c r="Q79" s="379"/>
      <c r="R79" s="379"/>
      <c r="S79" s="482"/>
    </row>
    <row r="80" spans="1:19" s="92" customFormat="1" x14ac:dyDescent="0.3">
      <c r="A80" s="367">
        <v>5</v>
      </c>
      <c r="B80" s="367" t="s">
        <v>398</v>
      </c>
      <c r="C80" s="367" t="s">
        <v>428</v>
      </c>
      <c r="D80" s="367" t="s">
        <v>262</v>
      </c>
      <c r="E80" s="367">
        <v>13.594212000000001</v>
      </c>
      <c r="F80" s="367">
        <v>79.213127999999998</v>
      </c>
      <c r="G80" s="367">
        <v>2019</v>
      </c>
      <c r="H80" s="367" t="s">
        <v>263</v>
      </c>
      <c r="I80" s="131">
        <v>65</v>
      </c>
      <c r="J80" s="131">
        <f t="shared" si="4"/>
        <v>20.700636942675157</v>
      </c>
      <c r="K80" s="96"/>
      <c r="L80" s="96"/>
      <c r="M80" s="96"/>
      <c r="N80" s="96"/>
      <c r="O80" s="131">
        <f t="shared" si="5"/>
        <v>0.10649856262815956</v>
      </c>
      <c r="P80" s="131">
        <f>O80*(1+'Key Data'!F$3)</f>
        <v>0.13312320328519944</v>
      </c>
      <c r="Q80" s="366">
        <f>SUM(P80:P101)</f>
        <v>2.8975000292781932</v>
      </c>
      <c r="R80" s="366">
        <f>Q80*10000/900</f>
        <v>32.194444769757702</v>
      </c>
      <c r="S80" s="482"/>
    </row>
    <row r="81" spans="1:19" s="92" customFormat="1" x14ac:dyDescent="0.3">
      <c r="A81" s="367"/>
      <c r="B81" s="367"/>
      <c r="C81" s="367"/>
      <c r="D81" s="367"/>
      <c r="E81" s="367"/>
      <c r="F81" s="367"/>
      <c r="G81" s="367"/>
      <c r="H81" s="367" t="s">
        <v>263</v>
      </c>
      <c r="I81" s="131">
        <v>62</v>
      </c>
      <c r="J81" s="131">
        <f t="shared" si="4"/>
        <v>19.745222929936304</v>
      </c>
      <c r="K81" s="96"/>
      <c r="L81" s="96"/>
      <c r="M81" s="96"/>
      <c r="N81" s="96"/>
      <c r="O81" s="131">
        <f t="shared" si="5"/>
        <v>0.10580080866149123</v>
      </c>
      <c r="P81" s="131">
        <f>O81*(1+'Key Data'!F$3)</f>
        <v>0.13225101082686405</v>
      </c>
      <c r="Q81" s="366"/>
      <c r="R81" s="366"/>
      <c r="S81" s="482"/>
    </row>
    <row r="82" spans="1:19" s="92" customFormat="1" x14ac:dyDescent="0.3">
      <c r="A82" s="367"/>
      <c r="B82" s="367"/>
      <c r="C82" s="367"/>
      <c r="D82" s="367"/>
      <c r="E82" s="367"/>
      <c r="F82" s="367"/>
      <c r="G82" s="367"/>
      <c r="H82" s="367" t="s">
        <v>263</v>
      </c>
      <c r="I82" s="131">
        <v>67.5</v>
      </c>
      <c r="J82" s="131">
        <f t="shared" si="4"/>
        <v>21.496815286624201</v>
      </c>
      <c r="K82" s="96"/>
      <c r="L82" s="96"/>
      <c r="M82" s="96"/>
      <c r="N82" s="96"/>
      <c r="O82" s="131">
        <f t="shared" si="5"/>
        <v>0.10696378622329177</v>
      </c>
      <c r="P82" s="131">
        <f>O82*(1+'Key Data'!F$3)</f>
        <v>0.13370473277911471</v>
      </c>
      <c r="Q82" s="366"/>
      <c r="R82" s="366"/>
      <c r="S82" s="482"/>
    </row>
    <row r="83" spans="1:19" s="92" customFormat="1" x14ac:dyDescent="0.3">
      <c r="A83" s="367"/>
      <c r="B83" s="367"/>
      <c r="C83" s="367"/>
      <c r="D83" s="367"/>
      <c r="E83" s="367"/>
      <c r="F83" s="367"/>
      <c r="G83" s="367"/>
      <c r="H83" s="367" t="s">
        <v>263</v>
      </c>
      <c r="I83" s="131">
        <v>54</v>
      </c>
      <c r="J83" s="131">
        <f t="shared" si="4"/>
        <v>17.197452229299362</v>
      </c>
      <c r="K83" s="96"/>
      <c r="L83" s="96"/>
      <c r="M83" s="96"/>
      <c r="N83" s="96"/>
      <c r="O83" s="131">
        <f t="shared" si="5"/>
        <v>0.10287167065451364</v>
      </c>
      <c r="P83" s="131">
        <f>O83*(1+'Key Data'!F$3)</f>
        <v>0.12858958831814205</v>
      </c>
      <c r="Q83" s="366"/>
      <c r="R83" s="366"/>
      <c r="S83" s="482"/>
    </row>
    <row r="84" spans="1:19" s="92" customFormat="1" x14ac:dyDescent="0.3">
      <c r="A84" s="367"/>
      <c r="B84" s="367"/>
      <c r="C84" s="367"/>
      <c r="D84" s="367"/>
      <c r="E84" s="367"/>
      <c r="F84" s="367"/>
      <c r="G84" s="367"/>
      <c r="H84" s="367" t="s">
        <v>263</v>
      </c>
      <c r="I84" s="131">
        <v>59</v>
      </c>
      <c r="J84" s="131">
        <f t="shared" si="4"/>
        <v>18.789808917197451</v>
      </c>
      <c r="K84" s="96"/>
      <c r="L84" s="96"/>
      <c r="M84" s="96"/>
      <c r="N84" s="96"/>
      <c r="O84" s="131">
        <f t="shared" si="5"/>
        <v>0.10491298312828849</v>
      </c>
      <c r="P84" s="131">
        <f>O84*(1+'Key Data'!F$3)</f>
        <v>0.13114122891036062</v>
      </c>
      <c r="Q84" s="366"/>
      <c r="R84" s="366"/>
      <c r="S84" s="482"/>
    </row>
    <row r="85" spans="1:19" s="92" customFormat="1" x14ac:dyDescent="0.3">
      <c r="A85" s="367"/>
      <c r="B85" s="367"/>
      <c r="C85" s="367"/>
      <c r="D85" s="367"/>
      <c r="E85" s="367"/>
      <c r="F85" s="367"/>
      <c r="G85" s="367"/>
      <c r="H85" s="367" t="s">
        <v>263</v>
      </c>
      <c r="I85" s="131">
        <v>69.2</v>
      </c>
      <c r="J85" s="131">
        <f t="shared" si="4"/>
        <v>22.038216560509554</v>
      </c>
      <c r="K85" s="96"/>
      <c r="L85" s="96"/>
      <c r="M85" s="96"/>
      <c r="N85" s="96"/>
      <c r="O85" s="131">
        <f t="shared" si="5"/>
        <v>0.10723030217390915</v>
      </c>
      <c r="P85" s="131">
        <f>O85*(1+'Key Data'!F$3)</f>
        <v>0.13403787771738643</v>
      </c>
      <c r="Q85" s="366"/>
      <c r="R85" s="366"/>
      <c r="S85" s="482"/>
    </row>
    <row r="86" spans="1:19" s="92" customFormat="1" x14ac:dyDescent="0.3">
      <c r="A86" s="367"/>
      <c r="B86" s="367"/>
      <c r="C86" s="367"/>
      <c r="D86" s="367"/>
      <c r="E86" s="367"/>
      <c r="F86" s="367"/>
      <c r="G86" s="367"/>
      <c r="H86" s="367" t="s">
        <v>263</v>
      </c>
      <c r="I86" s="131">
        <v>58.8</v>
      </c>
      <c r="J86" s="131">
        <f t="shared" si="4"/>
        <v>18.726114649681527</v>
      </c>
      <c r="K86" s="96"/>
      <c r="L86" s="96"/>
      <c r="M86" s="96"/>
      <c r="N86" s="96"/>
      <c r="O86" s="131">
        <f t="shared" si="5"/>
        <v>0.10484588779303318</v>
      </c>
      <c r="P86" s="131">
        <f>O86*(1+'Key Data'!F$3)</f>
        <v>0.13105735974129148</v>
      </c>
      <c r="Q86" s="366"/>
      <c r="R86" s="366"/>
      <c r="S86" s="482"/>
    </row>
    <row r="87" spans="1:19" s="92" customFormat="1" x14ac:dyDescent="0.3">
      <c r="A87" s="367"/>
      <c r="B87" s="367"/>
      <c r="C87" s="367"/>
      <c r="D87" s="367"/>
      <c r="E87" s="367"/>
      <c r="F87" s="367"/>
      <c r="G87" s="367"/>
      <c r="H87" s="367" t="s">
        <v>263</v>
      </c>
      <c r="I87" s="131">
        <v>75.400000000000006</v>
      </c>
      <c r="J87" s="131">
        <f t="shared" si="4"/>
        <v>24.012738853503187</v>
      </c>
      <c r="K87" s="96"/>
      <c r="L87" s="96"/>
      <c r="M87" s="96"/>
      <c r="N87" s="96"/>
      <c r="O87" s="131">
        <f t="shared" si="5"/>
        <v>0.10794151249033261</v>
      </c>
      <c r="P87" s="131">
        <f>O87*(1+'Key Data'!F$3)</f>
        <v>0.13492689061291577</v>
      </c>
      <c r="Q87" s="366"/>
      <c r="R87" s="366"/>
      <c r="S87" s="482"/>
    </row>
    <row r="88" spans="1:19" s="92" customFormat="1" x14ac:dyDescent="0.3">
      <c r="A88" s="367"/>
      <c r="B88" s="367"/>
      <c r="C88" s="367"/>
      <c r="D88" s="367"/>
      <c r="E88" s="367"/>
      <c r="F88" s="367"/>
      <c r="G88" s="367"/>
      <c r="H88" s="367" t="s">
        <v>263</v>
      </c>
      <c r="I88" s="131">
        <v>68</v>
      </c>
      <c r="J88" s="131">
        <f t="shared" si="4"/>
        <v>21.656050955414013</v>
      </c>
      <c r="K88" s="96"/>
      <c r="L88" s="96"/>
      <c r="M88" s="96"/>
      <c r="N88" s="96"/>
      <c r="O88" s="131">
        <f t="shared" si="5"/>
        <v>0.10704603314345468</v>
      </c>
      <c r="P88" s="131">
        <f>O88*(1+'Key Data'!F$3)</f>
        <v>0.13380754142931833</v>
      </c>
      <c r="Q88" s="366"/>
      <c r="R88" s="366"/>
      <c r="S88" s="482"/>
    </row>
    <row r="89" spans="1:19" s="92" customFormat="1" x14ac:dyDescent="0.3">
      <c r="A89" s="367"/>
      <c r="B89" s="367"/>
      <c r="C89" s="367"/>
      <c r="D89" s="367"/>
      <c r="E89" s="367"/>
      <c r="F89" s="367"/>
      <c r="G89" s="367"/>
      <c r="H89" s="367" t="s">
        <v>263</v>
      </c>
      <c r="I89" s="131">
        <v>75</v>
      </c>
      <c r="J89" s="131">
        <f t="shared" si="4"/>
        <v>23.885350318471335</v>
      </c>
      <c r="K89" s="96"/>
      <c r="L89" s="96"/>
      <c r="M89" s="96"/>
      <c r="N89" s="96"/>
      <c r="O89" s="131">
        <f t="shared" si="5"/>
        <v>0.1079057025090199</v>
      </c>
      <c r="P89" s="131">
        <f>O89*(1+'Key Data'!F$3)</f>
        <v>0.13488212813627487</v>
      </c>
      <c r="Q89" s="366"/>
      <c r="R89" s="366"/>
      <c r="S89" s="482"/>
    </row>
    <row r="90" spans="1:19" s="92" customFormat="1" x14ac:dyDescent="0.3">
      <c r="A90" s="367"/>
      <c r="B90" s="367"/>
      <c r="C90" s="367"/>
      <c r="D90" s="367"/>
      <c r="E90" s="367"/>
      <c r="F90" s="367"/>
      <c r="G90" s="367"/>
      <c r="H90" s="367" t="s">
        <v>263</v>
      </c>
      <c r="I90" s="131">
        <v>60</v>
      </c>
      <c r="J90" s="131">
        <f t="shared" si="4"/>
        <v>19.108280254777068</v>
      </c>
      <c r="K90" s="96"/>
      <c r="L90" s="96"/>
      <c r="M90" s="96"/>
      <c r="N90" s="96"/>
      <c r="O90" s="131">
        <f t="shared" si="5"/>
        <v>0.10523287646701386</v>
      </c>
      <c r="P90" s="131">
        <f>O90*(1+'Key Data'!F$3)</f>
        <v>0.13154109558376734</v>
      </c>
      <c r="Q90" s="366"/>
      <c r="R90" s="366"/>
      <c r="S90" s="482"/>
    </row>
    <row r="91" spans="1:19" s="92" customFormat="1" x14ac:dyDescent="0.3">
      <c r="A91" s="367"/>
      <c r="B91" s="367"/>
      <c r="C91" s="367"/>
      <c r="D91" s="367"/>
      <c r="E91" s="367"/>
      <c r="F91" s="367"/>
      <c r="G91" s="367"/>
      <c r="H91" s="367" t="s">
        <v>263</v>
      </c>
      <c r="I91" s="131">
        <v>63.8</v>
      </c>
      <c r="J91" s="131">
        <f t="shared" si="4"/>
        <v>20.318471337579616</v>
      </c>
      <c r="K91" s="96"/>
      <c r="L91" s="96"/>
      <c r="M91" s="96"/>
      <c r="N91" s="96"/>
      <c r="O91" s="131">
        <f t="shared" si="5"/>
        <v>0.10623952778485085</v>
      </c>
      <c r="P91" s="131">
        <f>O91*(1+'Key Data'!F$3)</f>
        <v>0.13279940973106358</v>
      </c>
      <c r="Q91" s="366"/>
      <c r="R91" s="366"/>
      <c r="S91" s="482"/>
    </row>
    <row r="92" spans="1:19" s="92" customFormat="1" x14ac:dyDescent="0.3">
      <c r="A92" s="367"/>
      <c r="B92" s="367"/>
      <c r="C92" s="367"/>
      <c r="D92" s="367"/>
      <c r="E92" s="367"/>
      <c r="F92" s="367"/>
      <c r="G92" s="367"/>
      <c r="H92" s="367" t="s">
        <v>263</v>
      </c>
      <c r="I92" s="131">
        <v>52.5</v>
      </c>
      <c r="J92" s="131">
        <f t="shared" si="4"/>
        <v>16.719745222929937</v>
      </c>
      <c r="K92" s="96"/>
      <c r="L92" s="96"/>
      <c r="M92" s="96"/>
      <c r="N92" s="96"/>
      <c r="O92" s="131">
        <f t="shared" si="5"/>
        <v>0.10208616787548029</v>
      </c>
      <c r="P92" s="131">
        <f>O92*(1+'Key Data'!F$3)</f>
        <v>0.12760770984435035</v>
      </c>
      <c r="Q92" s="366"/>
      <c r="R92" s="366"/>
      <c r="S92" s="482"/>
    </row>
    <row r="93" spans="1:19" s="92" customFormat="1" x14ac:dyDescent="0.3">
      <c r="A93" s="367"/>
      <c r="B93" s="367"/>
      <c r="C93" s="367"/>
      <c r="D93" s="367"/>
      <c r="E93" s="367"/>
      <c r="F93" s="367"/>
      <c r="G93" s="367"/>
      <c r="H93" s="367" t="s">
        <v>263</v>
      </c>
      <c r="I93" s="131">
        <v>68.5</v>
      </c>
      <c r="J93" s="131">
        <f t="shared" si="4"/>
        <v>21.815286624203821</v>
      </c>
      <c r="K93" s="96"/>
      <c r="L93" s="96"/>
      <c r="M93" s="96"/>
      <c r="N93" s="96"/>
      <c r="O93" s="131">
        <f t="shared" si="5"/>
        <v>0.10712500390758242</v>
      </c>
      <c r="P93" s="131">
        <f>O93*(1+'Key Data'!F$3)</f>
        <v>0.13390625488447802</v>
      </c>
      <c r="Q93" s="366"/>
      <c r="R93" s="366"/>
      <c r="S93" s="482"/>
    </row>
    <row r="94" spans="1:19" s="92" customFormat="1" x14ac:dyDescent="0.3">
      <c r="A94" s="367"/>
      <c r="B94" s="367"/>
      <c r="C94" s="367"/>
      <c r="D94" s="367"/>
      <c r="E94" s="367"/>
      <c r="F94" s="367"/>
      <c r="G94" s="367"/>
      <c r="H94" s="367" t="s">
        <v>263</v>
      </c>
      <c r="I94" s="131">
        <v>58</v>
      </c>
      <c r="J94" s="131">
        <f t="shared" si="4"/>
        <v>18.471337579617835</v>
      </c>
      <c r="K94" s="96"/>
      <c r="L94" s="96"/>
      <c r="M94" s="96"/>
      <c r="N94" s="96"/>
      <c r="O94" s="131">
        <f t="shared" si="5"/>
        <v>0.10456657614406886</v>
      </c>
      <c r="P94" s="131">
        <f>O94*(1+'Key Data'!F$3)</f>
        <v>0.13070822018008607</v>
      </c>
      <c r="Q94" s="366"/>
      <c r="R94" s="366"/>
      <c r="S94" s="482"/>
    </row>
    <row r="95" spans="1:19" s="92" customFormat="1" x14ac:dyDescent="0.3">
      <c r="A95" s="367"/>
      <c r="B95" s="367"/>
      <c r="C95" s="367"/>
      <c r="D95" s="367"/>
      <c r="E95" s="367"/>
      <c r="F95" s="367"/>
      <c r="G95" s="367"/>
      <c r="H95" s="367" t="s">
        <v>263</v>
      </c>
      <c r="I95" s="131">
        <v>66</v>
      </c>
      <c r="J95" s="131">
        <f t="shared" si="4"/>
        <v>21.019108280254777</v>
      </c>
      <c r="K95" s="96"/>
      <c r="L95" s="96"/>
      <c r="M95" s="96"/>
      <c r="N95" s="96"/>
      <c r="O95" s="131">
        <f t="shared" si="5"/>
        <v>0.10669603057885735</v>
      </c>
      <c r="P95" s="131">
        <f>O95*(1+'Key Data'!F$3)</f>
        <v>0.13337003822357169</v>
      </c>
      <c r="Q95" s="366"/>
      <c r="R95" s="366"/>
      <c r="S95" s="482"/>
    </row>
    <row r="96" spans="1:19" s="92" customFormat="1" x14ac:dyDescent="0.3">
      <c r="A96" s="367"/>
      <c r="B96" s="367"/>
      <c r="C96" s="367"/>
      <c r="D96" s="367"/>
      <c r="E96" s="367"/>
      <c r="F96" s="367"/>
      <c r="G96" s="367"/>
      <c r="H96" s="367" t="s">
        <v>263</v>
      </c>
      <c r="I96" s="131">
        <v>72</v>
      </c>
      <c r="J96" s="131">
        <f t="shared" si="4"/>
        <v>22.929936305732483</v>
      </c>
      <c r="K96" s="96"/>
      <c r="L96" s="96"/>
      <c r="M96" s="96"/>
      <c r="N96" s="96"/>
      <c r="O96" s="131">
        <f t="shared" si="5"/>
        <v>0.10759624631676735</v>
      </c>
      <c r="P96" s="131">
        <f>O96*(1+'Key Data'!F$3)</f>
        <v>0.1344953078959592</v>
      </c>
      <c r="Q96" s="366"/>
      <c r="R96" s="366"/>
      <c r="S96" s="482"/>
    </row>
    <row r="97" spans="1:19" s="92" customFormat="1" x14ac:dyDescent="0.3">
      <c r="A97" s="367"/>
      <c r="B97" s="367"/>
      <c r="C97" s="367"/>
      <c r="D97" s="367"/>
      <c r="E97" s="367"/>
      <c r="F97" s="367"/>
      <c r="G97" s="367"/>
      <c r="H97" s="367" t="s">
        <v>263</v>
      </c>
      <c r="I97" s="131">
        <v>52</v>
      </c>
      <c r="J97" s="131">
        <f t="shared" si="4"/>
        <v>16.560509554140125</v>
      </c>
      <c r="K97" s="96"/>
      <c r="L97" s="96"/>
      <c r="M97" s="96"/>
      <c r="N97" s="96"/>
      <c r="O97" s="131">
        <f t="shared" si="5"/>
        <v>0.10180337313799037</v>
      </c>
      <c r="P97" s="131">
        <f>O97*(1+'Key Data'!F$3)</f>
        <v>0.12725421642248796</v>
      </c>
      <c r="Q97" s="366"/>
      <c r="R97" s="366"/>
      <c r="S97" s="482"/>
    </row>
    <row r="98" spans="1:19" s="92" customFormat="1" x14ac:dyDescent="0.3">
      <c r="A98" s="367"/>
      <c r="B98" s="367"/>
      <c r="C98" s="367"/>
      <c r="D98" s="367"/>
      <c r="E98" s="367"/>
      <c r="F98" s="367"/>
      <c r="G98" s="367"/>
      <c r="H98" s="367" t="s">
        <v>263</v>
      </c>
      <c r="I98" s="131">
        <v>75</v>
      </c>
      <c r="J98" s="131">
        <f t="shared" ref="J98:J129" si="6">I98/3.14</f>
        <v>23.885350318471335</v>
      </c>
      <c r="K98" s="96"/>
      <c r="L98" s="96"/>
      <c r="M98" s="96"/>
      <c r="N98" s="96"/>
      <c r="O98" s="131">
        <f t="shared" ref="O98:O129" si="7">30.4*EXP(-5.07*EXP(-0.26*J98)+1.277)/1000</f>
        <v>0.1079057025090199</v>
      </c>
      <c r="P98" s="131">
        <f>O98*(1+'Key Data'!F$3)</f>
        <v>0.13488212813627487</v>
      </c>
      <c r="Q98" s="366"/>
      <c r="R98" s="366"/>
      <c r="S98" s="482"/>
    </row>
    <row r="99" spans="1:19" s="92" customFormat="1" x14ac:dyDescent="0.3">
      <c r="A99" s="367"/>
      <c r="B99" s="367"/>
      <c r="C99" s="367"/>
      <c r="D99" s="367"/>
      <c r="E99" s="367"/>
      <c r="F99" s="367"/>
      <c r="G99" s="367"/>
      <c r="H99" s="367" t="s">
        <v>263</v>
      </c>
      <c r="I99" s="131">
        <v>45.7</v>
      </c>
      <c r="J99" s="131">
        <f t="shared" si="6"/>
        <v>14.554140127388536</v>
      </c>
      <c r="K99" s="96"/>
      <c r="L99" s="96"/>
      <c r="M99" s="96"/>
      <c r="N99" s="96"/>
      <c r="O99" s="131">
        <f t="shared" si="7"/>
        <v>9.7144765242821909E-2</v>
      </c>
      <c r="P99" s="131">
        <f>O99*(1+'Key Data'!F$3)</f>
        <v>0.12143095655352738</v>
      </c>
      <c r="Q99" s="366"/>
      <c r="R99" s="366"/>
      <c r="S99" s="482"/>
    </row>
    <row r="100" spans="1:19" s="92" customFormat="1" x14ac:dyDescent="0.3">
      <c r="A100" s="367"/>
      <c r="B100" s="367"/>
      <c r="C100" s="367"/>
      <c r="D100" s="367"/>
      <c r="E100" s="367"/>
      <c r="F100" s="367"/>
      <c r="G100" s="367"/>
      <c r="H100" s="367" t="s">
        <v>263</v>
      </c>
      <c r="I100" s="131">
        <v>56</v>
      </c>
      <c r="J100" s="131">
        <f t="shared" si="6"/>
        <v>17.834394904458598</v>
      </c>
      <c r="K100" s="96"/>
      <c r="L100" s="96"/>
      <c r="M100" s="96"/>
      <c r="N100" s="96"/>
      <c r="O100" s="131">
        <f t="shared" si="7"/>
        <v>0.10378569539111585</v>
      </c>
      <c r="P100" s="131">
        <f>O100*(1+'Key Data'!F$3)</f>
        <v>0.1297321192388948</v>
      </c>
      <c r="Q100" s="366"/>
      <c r="R100" s="366"/>
      <c r="S100" s="482"/>
    </row>
    <row r="101" spans="1:19" s="92" customFormat="1" x14ac:dyDescent="0.3">
      <c r="A101" s="367"/>
      <c r="B101" s="367"/>
      <c r="C101" s="367"/>
      <c r="D101" s="367"/>
      <c r="E101" s="367"/>
      <c r="F101" s="367"/>
      <c r="G101" s="367"/>
      <c r="H101" s="367" t="s">
        <v>263</v>
      </c>
      <c r="I101" s="131">
        <v>62</v>
      </c>
      <c r="J101" s="131">
        <f t="shared" si="6"/>
        <v>19.745222929936304</v>
      </c>
      <c r="K101" s="96"/>
      <c r="L101" s="96"/>
      <c r="M101" s="96"/>
      <c r="N101" s="96"/>
      <c r="O101" s="131">
        <f t="shared" si="7"/>
        <v>0.10580080866149123</v>
      </c>
      <c r="P101" s="131">
        <f>O101*(1+'Key Data'!F$3)</f>
        <v>0.13225101082686405</v>
      </c>
      <c r="Q101" s="366"/>
      <c r="R101" s="366"/>
      <c r="S101" s="482"/>
    </row>
    <row r="102" spans="1:19" s="92" customFormat="1" x14ac:dyDescent="0.3">
      <c r="A102" s="374">
        <v>6</v>
      </c>
      <c r="B102" s="374" t="s">
        <v>399</v>
      </c>
      <c r="C102" s="374" t="s">
        <v>268</v>
      </c>
      <c r="D102" s="374" t="s">
        <v>269</v>
      </c>
      <c r="E102" s="374">
        <v>13.250007999999999</v>
      </c>
      <c r="F102" s="374">
        <v>79.773044999999996</v>
      </c>
      <c r="G102" s="374">
        <v>2019</v>
      </c>
      <c r="H102" s="374" t="s">
        <v>263</v>
      </c>
      <c r="I102" s="138">
        <v>86.5</v>
      </c>
      <c r="J102" s="138">
        <f t="shared" si="6"/>
        <v>27.547770700636942</v>
      </c>
      <c r="K102" s="114"/>
      <c r="L102" s="114"/>
      <c r="M102" s="114"/>
      <c r="N102" s="114"/>
      <c r="O102" s="138">
        <f t="shared" si="7"/>
        <v>0.10858274030260277</v>
      </c>
      <c r="P102" s="138">
        <f>O102*(1+'Key Data'!F$3)</f>
        <v>0.13572842537825347</v>
      </c>
      <c r="Q102" s="379">
        <f>SUM(P102:P124)</f>
        <v>3.0432173932552078</v>
      </c>
      <c r="R102" s="379">
        <f>Q102*10000/900</f>
        <v>33.813526591724532</v>
      </c>
      <c r="S102" s="482"/>
    </row>
    <row r="103" spans="1:19" s="92" customFormat="1" x14ac:dyDescent="0.3">
      <c r="A103" s="374"/>
      <c r="B103" s="374"/>
      <c r="C103" s="374"/>
      <c r="D103" s="374"/>
      <c r="E103" s="374"/>
      <c r="F103" s="374"/>
      <c r="G103" s="374"/>
      <c r="H103" s="374" t="s">
        <v>263</v>
      </c>
      <c r="I103" s="138">
        <v>58.1</v>
      </c>
      <c r="J103" s="138">
        <f t="shared" si="6"/>
        <v>18.503184713375795</v>
      </c>
      <c r="K103" s="114"/>
      <c r="L103" s="114"/>
      <c r="M103" s="114"/>
      <c r="N103" s="114"/>
      <c r="O103" s="138">
        <f t="shared" si="7"/>
        <v>0.10460246852616974</v>
      </c>
      <c r="P103" s="138">
        <f>O103*(1+'Key Data'!F$3)</f>
        <v>0.13075308565771218</v>
      </c>
      <c r="Q103" s="379"/>
      <c r="R103" s="379"/>
      <c r="S103" s="482"/>
    </row>
    <row r="104" spans="1:19" s="92" customFormat="1" x14ac:dyDescent="0.3">
      <c r="A104" s="374"/>
      <c r="B104" s="374"/>
      <c r="C104" s="374"/>
      <c r="D104" s="374"/>
      <c r="E104" s="374"/>
      <c r="F104" s="374"/>
      <c r="G104" s="374"/>
      <c r="H104" s="374" t="s">
        <v>263</v>
      </c>
      <c r="I104" s="138">
        <f>SQRT(35*35+67.5*67.5)</f>
        <v>76.034531628727748</v>
      </c>
      <c r="J104" s="138">
        <f t="shared" si="6"/>
        <v>24.214818990040683</v>
      </c>
      <c r="K104" s="114"/>
      <c r="L104" s="114"/>
      <c r="M104" s="114"/>
      <c r="N104" s="114"/>
      <c r="O104" s="138">
        <f t="shared" si="7"/>
        <v>0.10799596373489931</v>
      </c>
      <c r="P104" s="138">
        <f>O104*(1+'Key Data'!F$3)</f>
        <v>0.13499495466862413</v>
      </c>
      <c r="Q104" s="379"/>
      <c r="R104" s="379"/>
      <c r="S104" s="482"/>
    </row>
    <row r="105" spans="1:19" s="92" customFormat="1" x14ac:dyDescent="0.3">
      <c r="A105" s="374"/>
      <c r="B105" s="374"/>
      <c r="C105" s="374"/>
      <c r="D105" s="374"/>
      <c r="E105" s="374"/>
      <c r="F105" s="374"/>
      <c r="G105" s="374"/>
      <c r="H105" s="374" t="s">
        <v>263</v>
      </c>
      <c r="I105" s="138">
        <v>63</v>
      </c>
      <c r="J105" s="138">
        <f t="shared" si="6"/>
        <v>20.063694267515924</v>
      </c>
      <c r="K105" s="114"/>
      <c r="L105" s="114"/>
      <c r="M105" s="114"/>
      <c r="N105" s="114"/>
      <c r="O105" s="138">
        <f t="shared" si="7"/>
        <v>0.10605236623585165</v>
      </c>
      <c r="P105" s="138">
        <f>O105*(1+'Key Data'!F$3)</f>
        <v>0.13256545779481457</v>
      </c>
      <c r="Q105" s="379"/>
      <c r="R105" s="379"/>
      <c r="S105" s="482"/>
    </row>
    <row r="106" spans="1:19" s="92" customFormat="1" x14ac:dyDescent="0.3">
      <c r="A106" s="374"/>
      <c r="B106" s="374"/>
      <c r="C106" s="374"/>
      <c r="D106" s="374"/>
      <c r="E106" s="374"/>
      <c r="F106" s="374"/>
      <c r="G106" s="374"/>
      <c r="H106" s="374" t="s">
        <v>263</v>
      </c>
      <c r="I106" s="138">
        <v>65</v>
      </c>
      <c r="J106" s="138">
        <f t="shared" si="6"/>
        <v>20.700636942675157</v>
      </c>
      <c r="K106" s="114"/>
      <c r="L106" s="114"/>
      <c r="M106" s="114"/>
      <c r="N106" s="114"/>
      <c r="O106" s="138">
        <f t="shared" si="7"/>
        <v>0.10649856262815956</v>
      </c>
      <c r="P106" s="138">
        <f>O106*(1+'Key Data'!F$3)</f>
        <v>0.13312320328519944</v>
      </c>
      <c r="Q106" s="379"/>
      <c r="R106" s="379"/>
      <c r="S106" s="482"/>
    </row>
    <row r="107" spans="1:19" s="92" customFormat="1" x14ac:dyDescent="0.3">
      <c r="A107" s="374"/>
      <c r="B107" s="374"/>
      <c r="C107" s="374"/>
      <c r="D107" s="374"/>
      <c r="E107" s="374"/>
      <c r="F107" s="374"/>
      <c r="G107" s="374"/>
      <c r="H107" s="374" t="s">
        <v>263</v>
      </c>
      <c r="I107" s="138">
        <f>SQRT(49*49+43.5*43.5)</f>
        <v>65.52289676136121</v>
      </c>
      <c r="J107" s="138">
        <f t="shared" si="6"/>
        <v>20.867164573681912</v>
      </c>
      <c r="K107" s="114"/>
      <c r="L107" s="114"/>
      <c r="M107" s="114"/>
      <c r="N107" s="114"/>
      <c r="O107" s="138">
        <f t="shared" si="7"/>
        <v>0.10660381044632548</v>
      </c>
      <c r="P107" s="138">
        <f>O107*(1+'Key Data'!F$3)</f>
        <v>0.13325476305790684</v>
      </c>
      <c r="Q107" s="379"/>
      <c r="R107" s="379"/>
      <c r="S107" s="482"/>
    </row>
    <row r="108" spans="1:19" s="92" customFormat="1" x14ac:dyDescent="0.3">
      <c r="A108" s="374"/>
      <c r="B108" s="374"/>
      <c r="C108" s="374"/>
      <c r="D108" s="374"/>
      <c r="E108" s="374"/>
      <c r="F108" s="374"/>
      <c r="G108" s="374"/>
      <c r="H108" s="374" t="s">
        <v>263</v>
      </c>
      <c r="I108" s="138">
        <v>65</v>
      </c>
      <c r="J108" s="138">
        <f t="shared" si="6"/>
        <v>20.700636942675157</v>
      </c>
      <c r="K108" s="114"/>
      <c r="L108" s="114"/>
      <c r="M108" s="114"/>
      <c r="N108" s="114"/>
      <c r="O108" s="138">
        <f t="shared" si="7"/>
        <v>0.10649856262815956</v>
      </c>
      <c r="P108" s="138">
        <f>O108*(1+'Key Data'!F$3)</f>
        <v>0.13312320328519944</v>
      </c>
      <c r="Q108" s="379"/>
      <c r="R108" s="379"/>
      <c r="S108" s="482"/>
    </row>
    <row r="109" spans="1:19" s="92" customFormat="1" x14ac:dyDescent="0.3">
      <c r="A109" s="374"/>
      <c r="B109" s="374"/>
      <c r="C109" s="374"/>
      <c r="D109" s="374"/>
      <c r="E109" s="374"/>
      <c r="F109" s="374"/>
      <c r="G109" s="374"/>
      <c r="H109" s="374" t="s">
        <v>263</v>
      </c>
      <c r="I109" s="138">
        <f>SQRT(28*28+39.1*39.1)</f>
        <v>48.091683272682403</v>
      </c>
      <c r="J109" s="138">
        <f t="shared" si="6"/>
        <v>15.315822698306498</v>
      </c>
      <c r="K109" s="114"/>
      <c r="L109" s="114"/>
      <c r="M109" s="114"/>
      <c r="N109" s="114"/>
      <c r="O109" s="138">
        <f t="shared" si="7"/>
        <v>9.9177033309993931E-2</v>
      </c>
      <c r="P109" s="138">
        <f>O109*(1+'Key Data'!F$3)</f>
        <v>0.12397129163749242</v>
      </c>
      <c r="Q109" s="379"/>
      <c r="R109" s="379"/>
      <c r="S109" s="482"/>
    </row>
    <row r="110" spans="1:19" s="92" customFormat="1" x14ac:dyDescent="0.3">
      <c r="A110" s="374"/>
      <c r="B110" s="374"/>
      <c r="C110" s="374"/>
      <c r="D110" s="374"/>
      <c r="E110" s="374"/>
      <c r="F110" s="374"/>
      <c r="G110" s="374"/>
      <c r="H110" s="374" t="s">
        <v>263</v>
      </c>
      <c r="I110" s="138">
        <v>77.5</v>
      </c>
      <c r="J110" s="138">
        <f t="shared" si="6"/>
        <v>24.68152866242038</v>
      </c>
      <c r="K110" s="114"/>
      <c r="L110" s="114"/>
      <c r="M110" s="114"/>
      <c r="N110" s="114"/>
      <c r="O110" s="138">
        <f t="shared" si="7"/>
        <v>0.10811139680078831</v>
      </c>
      <c r="P110" s="138">
        <f>O110*(1+'Key Data'!F$3)</f>
        <v>0.1351392460009854</v>
      </c>
      <c r="Q110" s="379"/>
      <c r="R110" s="379"/>
      <c r="S110" s="482"/>
    </row>
    <row r="111" spans="1:19" s="92" customFormat="1" x14ac:dyDescent="0.3">
      <c r="A111" s="374"/>
      <c r="B111" s="374"/>
      <c r="C111" s="374"/>
      <c r="D111" s="374"/>
      <c r="E111" s="374"/>
      <c r="F111" s="374"/>
      <c r="G111" s="374"/>
      <c r="H111" s="374" t="s">
        <v>263</v>
      </c>
      <c r="I111" s="138">
        <v>41.5</v>
      </c>
      <c r="J111" s="138">
        <f t="shared" si="6"/>
        <v>13.216560509554139</v>
      </c>
      <c r="K111" s="114"/>
      <c r="L111" s="114"/>
      <c r="M111" s="114"/>
      <c r="N111" s="114"/>
      <c r="O111" s="138">
        <f t="shared" si="7"/>
        <v>9.2598502849227715E-2</v>
      </c>
      <c r="P111" s="138">
        <f>O111*(1+'Key Data'!F$3)</f>
        <v>0.11574812856153464</v>
      </c>
      <c r="Q111" s="379"/>
      <c r="R111" s="379"/>
      <c r="S111" s="482"/>
    </row>
    <row r="112" spans="1:19" s="92" customFormat="1" x14ac:dyDescent="0.3">
      <c r="A112" s="374"/>
      <c r="B112" s="374"/>
      <c r="C112" s="374"/>
      <c r="D112" s="374"/>
      <c r="E112" s="374"/>
      <c r="F112" s="374"/>
      <c r="G112" s="374"/>
      <c r="H112" s="374" t="s">
        <v>263</v>
      </c>
      <c r="I112" s="138">
        <f>SQRT(64.5*64.5+40*40)</f>
        <v>75.896310845784853</v>
      </c>
      <c r="J112" s="138">
        <f t="shared" si="6"/>
        <v>24.170799632415559</v>
      </c>
      <c r="K112" s="114"/>
      <c r="L112" s="114"/>
      <c r="M112" s="114"/>
      <c r="N112" s="114"/>
      <c r="O112" s="138">
        <f t="shared" si="7"/>
        <v>0.10798434275893273</v>
      </c>
      <c r="P112" s="138">
        <f>O112*(1+'Key Data'!F$3)</f>
        <v>0.13498042844866592</v>
      </c>
      <c r="Q112" s="379"/>
      <c r="R112" s="379"/>
      <c r="S112" s="482"/>
    </row>
    <row r="113" spans="1:19" s="92" customFormat="1" x14ac:dyDescent="0.3">
      <c r="A113" s="374"/>
      <c r="B113" s="374"/>
      <c r="C113" s="374"/>
      <c r="D113" s="374"/>
      <c r="E113" s="374"/>
      <c r="F113" s="374"/>
      <c r="G113" s="374"/>
      <c r="H113" s="374" t="s">
        <v>263</v>
      </c>
      <c r="I113" s="138">
        <f>SQRT(45*45+61.5*61.5)</f>
        <v>76.205314775283227</v>
      </c>
      <c r="J113" s="138">
        <f t="shared" si="6"/>
        <v>24.269208527160263</v>
      </c>
      <c r="K113" s="114"/>
      <c r="L113" s="114"/>
      <c r="M113" s="114"/>
      <c r="N113" s="114"/>
      <c r="O113" s="138">
        <f t="shared" si="7"/>
        <v>0.10801014161794678</v>
      </c>
      <c r="P113" s="138">
        <f>O113*(1+'Key Data'!F$3)</f>
        <v>0.13501267702243347</v>
      </c>
      <c r="Q113" s="379"/>
      <c r="R113" s="379"/>
      <c r="S113" s="482"/>
    </row>
    <row r="114" spans="1:19" s="92" customFormat="1" x14ac:dyDescent="0.3">
      <c r="A114" s="374"/>
      <c r="B114" s="374"/>
      <c r="C114" s="374"/>
      <c r="D114" s="374"/>
      <c r="E114" s="374"/>
      <c r="F114" s="374"/>
      <c r="G114" s="374"/>
      <c r="H114" s="374" t="s">
        <v>263</v>
      </c>
      <c r="I114" s="138">
        <v>64</v>
      </c>
      <c r="J114" s="138">
        <f t="shared" si="6"/>
        <v>20.38216560509554</v>
      </c>
      <c r="K114" s="114"/>
      <c r="L114" s="114"/>
      <c r="M114" s="114"/>
      <c r="N114" s="114"/>
      <c r="O114" s="138">
        <f t="shared" si="7"/>
        <v>0.10628446193284659</v>
      </c>
      <c r="P114" s="138">
        <f>O114*(1+'Key Data'!F$3)</f>
        <v>0.13285557741605825</v>
      </c>
      <c r="Q114" s="379"/>
      <c r="R114" s="379"/>
      <c r="S114" s="482"/>
    </row>
    <row r="115" spans="1:19" s="92" customFormat="1" x14ac:dyDescent="0.3">
      <c r="A115" s="374"/>
      <c r="B115" s="374"/>
      <c r="C115" s="374"/>
      <c r="D115" s="374"/>
      <c r="E115" s="374"/>
      <c r="F115" s="374"/>
      <c r="G115" s="374"/>
      <c r="H115" s="374" t="s">
        <v>263</v>
      </c>
      <c r="I115" s="138">
        <v>90</v>
      </c>
      <c r="J115" s="138">
        <f t="shared" si="6"/>
        <v>28.662420382165603</v>
      </c>
      <c r="K115" s="114"/>
      <c r="L115" s="114"/>
      <c r="M115" s="114"/>
      <c r="N115" s="114"/>
      <c r="O115" s="138">
        <f t="shared" si="7"/>
        <v>0.10869015980866276</v>
      </c>
      <c r="P115" s="138">
        <f>O115*(1+'Key Data'!F$3)</f>
        <v>0.13586269976082843</v>
      </c>
      <c r="Q115" s="379"/>
      <c r="R115" s="379"/>
      <c r="S115" s="482"/>
    </row>
    <row r="116" spans="1:19" s="92" customFormat="1" x14ac:dyDescent="0.3">
      <c r="A116" s="374"/>
      <c r="B116" s="374"/>
      <c r="C116" s="374"/>
      <c r="D116" s="374"/>
      <c r="E116" s="374"/>
      <c r="F116" s="374"/>
      <c r="G116" s="374"/>
      <c r="H116" s="374" t="s">
        <v>263</v>
      </c>
      <c r="I116" s="138">
        <f>SQRT(22*22+74.5*74.5)</f>
        <v>77.680435117215964</v>
      </c>
      <c r="J116" s="138">
        <f t="shared" si="6"/>
        <v>24.738992075546484</v>
      </c>
      <c r="K116" s="114"/>
      <c r="L116" s="114"/>
      <c r="M116" s="114"/>
      <c r="N116" s="114"/>
      <c r="O116" s="138">
        <f t="shared" si="7"/>
        <v>0.10812467310451619</v>
      </c>
      <c r="P116" s="138">
        <f>O116*(1+'Key Data'!F$3)</f>
        <v>0.13515584138064524</v>
      </c>
      <c r="Q116" s="379"/>
      <c r="R116" s="379"/>
      <c r="S116" s="482"/>
    </row>
    <row r="117" spans="1:19" s="92" customFormat="1" x14ac:dyDescent="0.3">
      <c r="A117" s="374"/>
      <c r="B117" s="374"/>
      <c r="C117" s="374"/>
      <c r="D117" s="374"/>
      <c r="E117" s="374"/>
      <c r="F117" s="374"/>
      <c r="G117" s="374"/>
      <c r="H117" s="374" t="s">
        <v>263</v>
      </c>
      <c r="I117" s="138">
        <v>54</v>
      </c>
      <c r="J117" s="138">
        <f t="shared" si="6"/>
        <v>17.197452229299362</v>
      </c>
      <c r="K117" s="114"/>
      <c r="L117" s="114"/>
      <c r="M117" s="114"/>
      <c r="N117" s="114"/>
      <c r="O117" s="138">
        <f t="shared" si="7"/>
        <v>0.10287167065451364</v>
      </c>
      <c r="P117" s="138">
        <f>O117*(1+'Key Data'!F$3)</f>
        <v>0.12858958831814205</v>
      </c>
      <c r="Q117" s="379"/>
      <c r="R117" s="379"/>
      <c r="S117" s="482"/>
    </row>
    <row r="118" spans="1:19" s="92" customFormat="1" x14ac:dyDescent="0.3">
      <c r="A118" s="374"/>
      <c r="B118" s="374"/>
      <c r="C118" s="374"/>
      <c r="D118" s="374"/>
      <c r="E118" s="374"/>
      <c r="F118" s="374"/>
      <c r="G118" s="374"/>
      <c r="H118" s="374" t="s">
        <v>263</v>
      </c>
      <c r="I118" s="138">
        <f>SQRT(44*44+53*53)</f>
        <v>68.8839603971781</v>
      </c>
      <c r="J118" s="138">
        <f t="shared" si="6"/>
        <v>21.937567005470733</v>
      </c>
      <c r="K118" s="114"/>
      <c r="L118" s="114"/>
      <c r="M118" s="114"/>
      <c r="N118" s="114"/>
      <c r="O118" s="138">
        <f t="shared" si="7"/>
        <v>0.10718350376545643</v>
      </c>
      <c r="P118" s="138">
        <f>O118*(1+'Key Data'!F$3)</f>
        <v>0.13397937970682056</v>
      </c>
      <c r="Q118" s="379"/>
      <c r="R118" s="379"/>
      <c r="S118" s="482"/>
    </row>
    <row r="119" spans="1:19" s="92" customFormat="1" x14ac:dyDescent="0.3">
      <c r="A119" s="374"/>
      <c r="B119" s="374"/>
      <c r="C119" s="374"/>
      <c r="D119" s="374"/>
      <c r="E119" s="374"/>
      <c r="F119" s="374"/>
      <c r="G119" s="374"/>
      <c r="H119" s="374" t="s">
        <v>263</v>
      </c>
      <c r="I119" s="138">
        <v>69</v>
      </c>
      <c r="J119" s="138">
        <f t="shared" si="6"/>
        <v>21.97452229299363</v>
      </c>
      <c r="K119" s="114"/>
      <c r="L119" s="114"/>
      <c r="M119" s="114"/>
      <c r="N119" s="114"/>
      <c r="O119" s="138">
        <f t="shared" si="7"/>
        <v>0.10720082669969964</v>
      </c>
      <c r="P119" s="138">
        <f>O119*(1+'Key Data'!F$3)</f>
        <v>0.13400103337462455</v>
      </c>
      <c r="Q119" s="379"/>
      <c r="R119" s="379"/>
      <c r="S119" s="482"/>
    </row>
    <row r="120" spans="1:19" s="92" customFormat="1" x14ac:dyDescent="0.3">
      <c r="A120" s="374"/>
      <c r="B120" s="374"/>
      <c r="C120" s="374"/>
      <c r="D120" s="374"/>
      <c r="E120" s="374"/>
      <c r="F120" s="374"/>
      <c r="G120" s="374"/>
      <c r="H120" s="374" t="s">
        <v>263</v>
      </c>
      <c r="I120" s="138">
        <v>53</v>
      </c>
      <c r="J120" s="138">
        <f t="shared" si="6"/>
        <v>16.878980891719745</v>
      </c>
      <c r="K120" s="114"/>
      <c r="L120" s="114"/>
      <c r="M120" s="114"/>
      <c r="N120" s="114"/>
      <c r="O120" s="138">
        <f t="shared" si="7"/>
        <v>0.10235823199607594</v>
      </c>
      <c r="P120" s="138">
        <f>O120*(1+'Key Data'!F$3)</f>
        <v>0.12794778999509493</v>
      </c>
      <c r="Q120" s="379"/>
      <c r="R120" s="379"/>
      <c r="S120" s="482"/>
    </row>
    <row r="121" spans="1:19" s="92" customFormat="1" x14ac:dyDescent="0.3">
      <c r="A121" s="374"/>
      <c r="B121" s="374"/>
      <c r="C121" s="374"/>
      <c r="D121" s="374"/>
      <c r="E121" s="374"/>
      <c r="F121" s="374"/>
      <c r="G121" s="374"/>
      <c r="H121" s="374" t="s">
        <v>263</v>
      </c>
      <c r="I121" s="138">
        <v>71</v>
      </c>
      <c r="J121" s="138">
        <f t="shared" si="6"/>
        <v>22.611464968152866</v>
      </c>
      <c r="K121" s="114"/>
      <c r="L121" s="114"/>
      <c r="M121" s="114"/>
      <c r="N121" s="114"/>
      <c r="O121" s="138">
        <f t="shared" si="7"/>
        <v>0.10747503621988463</v>
      </c>
      <c r="P121" s="138">
        <f>O121*(1+'Key Data'!F$3)</f>
        <v>0.13434379527485579</v>
      </c>
      <c r="Q121" s="379"/>
      <c r="R121" s="379"/>
      <c r="S121" s="482"/>
    </row>
    <row r="122" spans="1:19" s="92" customFormat="1" x14ac:dyDescent="0.3">
      <c r="A122" s="374"/>
      <c r="B122" s="374"/>
      <c r="C122" s="374"/>
      <c r="D122" s="374"/>
      <c r="E122" s="374"/>
      <c r="F122" s="374"/>
      <c r="G122" s="374"/>
      <c r="H122" s="374" t="s">
        <v>263</v>
      </c>
      <c r="I122" s="138">
        <v>67</v>
      </c>
      <c r="J122" s="138">
        <f t="shared" si="6"/>
        <v>21.337579617834393</v>
      </c>
      <c r="K122" s="114"/>
      <c r="L122" s="114"/>
      <c r="M122" s="114"/>
      <c r="N122" s="114"/>
      <c r="O122" s="138">
        <f t="shared" si="7"/>
        <v>0.10687812996010015</v>
      </c>
      <c r="P122" s="138">
        <f>O122*(1+'Key Data'!F$3)</f>
        <v>0.13359766245012519</v>
      </c>
      <c r="Q122" s="379"/>
      <c r="R122" s="379"/>
      <c r="S122" s="482"/>
    </row>
    <row r="123" spans="1:19" s="92" customFormat="1" x14ac:dyDescent="0.3">
      <c r="A123" s="374"/>
      <c r="B123" s="374"/>
      <c r="C123" s="374"/>
      <c r="D123" s="374"/>
      <c r="E123" s="374"/>
      <c r="F123" s="374"/>
      <c r="G123" s="374"/>
      <c r="H123" s="374" t="s">
        <v>263</v>
      </c>
      <c r="I123" s="138">
        <v>63</v>
      </c>
      <c r="J123" s="138">
        <f t="shared" si="6"/>
        <v>20.063694267515924</v>
      </c>
      <c r="K123" s="114"/>
      <c r="L123" s="114"/>
      <c r="M123" s="114"/>
      <c r="N123" s="114"/>
      <c r="O123" s="138">
        <f t="shared" si="7"/>
        <v>0.10605236623585165</v>
      </c>
      <c r="P123" s="138">
        <f>O123*(1+'Key Data'!F$3)</f>
        <v>0.13256545779481457</v>
      </c>
      <c r="Q123" s="379"/>
      <c r="R123" s="379"/>
      <c r="S123" s="482"/>
    </row>
    <row r="124" spans="1:19" s="92" customFormat="1" x14ac:dyDescent="0.3">
      <c r="A124" s="374"/>
      <c r="B124" s="374"/>
      <c r="C124" s="374"/>
      <c r="D124" s="374"/>
      <c r="E124" s="374"/>
      <c r="F124" s="374"/>
      <c r="G124" s="374"/>
      <c r="H124" s="374" t="s">
        <v>263</v>
      </c>
      <c r="I124" s="138">
        <v>92</v>
      </c>
      <c r="J124" s="138">
        <f t="shared" si="6"/>
        <v>29.29936305732484</v>
      </c>
      <c r="K124" s="114"/>
      <c r="L124" s="114"/>
      <c r="M124" s="114"/>
      <c r="N124" s="114"/>
      <c r="O124" s="138">
        <f t="shared" si="7"/>
        <v>0.10873896238750093</v>
      </c>
      <c r="P124" s="138">
        <f>O124*(1+'Key Data'!F$3)</f>
        <v>0.13592370298437617</v>
      </c>
      <c r="Q124" s="379"/>
      <c r="R124" s="379"/>
      <c r="S124" s="482"/>
    </row>
    <row r="125" spans="1:19" s="92" customFormat="1" x14ac:dyDescent="0.3">
      <c r="A125" s="367">
        <v>7</v>
      </c>
      <c r="B125" s="367" t="s">
        <v>344</v>
      </c>
      <c r="C125" s="476" t="s">
        <v>345</v>
      </c>
      <c r="D125" s="476" t="s">
        <v>286</v>
      </c>
      <c r="E125" s="108">
        <v>14.8473013</v>
      </c>
      <c r="F125" s="108">
        <v>75.806741900000006</v>
      </c>
      <c r="G125" s="367">
        <v>2019</v>
      </c>
      <c r="H125" s="367" t="s">
        <v>263</v>
      </c>
      <c r="I125" s="126">
        <v>47</v>
      </c>
      <c r="J125" s="126">
        <f t="shared" si="6"/>
        <v>14.968152866242038</v>
      </c>
      <c r="K125" s="95"/>
      <c r="L125" s="95"/>
      <c r="M125" s="95"/>
      <c r="N125" s="95"/>
      <c r="O125" s="126">
        <f t="shared" si="7"/>
        <v>9.8293983126644585E-2</v>
      </c>
      <c r="P125" s="131">
        <f>O125*(1+'Key Data'!F$3)</f>
        <v>0.12286747890830574</v>
      </c>
      <c r="Q125" s="366">
        <f>SUM(P125:P140)</f>
        <v>1.9392065017383995</v>
      </c>
      <c r="R125" s="366">
        <f>Q125*10000/900</f>
        <v>21.546738908204436</v>
      </c>
      <c r="S125" s="482"/>
    </row>
    <row r="126" spans="1:19" s="92" customFormat="1" x14ac:dyDescent="0.3">
      <c r="A126" s="367"/>
      <c r="B126" s="367"/>
      <c r="C126" s="477"/>
      <c r="D126" s="477"/>
      <c r="E126" s="108">
        <v>14.8473717</v>
      </c>
      <c r="F126" s="108">
        <v>75.087024200000002</v>
      </c>
      <c r="G126" s="367"/>
      <c r="H126" s="367" t="s">
        <v>263</v>
      </c>
      <c r="I126" s="126">
        <v>61</v>
      </c>
      <c r="J126" s="126">
        <f t="shared" si="6"/>
        <v>19.426751592356688</v>
      </c>
      <c r="K126" s="95"/>
      <c r="L126" s="95"/>
      <c r="M126" s="95"/>
      <c r="N126" s="95"/>
      <c r="O126" s="126">
        <f t="shared" si="7"/>
        <v>0.10552821094553938</v>
      </c>
      <c r="P126" s="131">
        <f>O126*(1+'Key Data'!F$3)</f>
        <v>0.13191026368192421</v>
      </c>
      <c r="Q126" s="366"/>
      <c r="R126" s="366"/>
      <c r="S126" s="482"/>
    </row>
    <row r="127" spans="1:19" s="92" customFormat="1" x14ac:dyDescent="0.3">
      <c r="A127" s="367"/>
      <c r="B127" s="367"/>
      <c r="C127" s="477"/>
      <c r="D127" s="477"/>
      <c r="E127" s="108">
        <v>14.8476023</v>
      </c>
      <c r="F127" s="108">
        <v>75.086921200000006</v>
      </c>
      <c r="G127" s="367"/>
      <c r="H127" s="367" t="s">
        <v>263</v>
      </c>
      <c r="I127" s="126">
        <v>74</v>
      </c>
      <c r="J127" s="126">
        <f t="shared" si="6"/>
        <v>23.566878980891719</v>
      </c>
      <c r="K127" s="95"/>
      <c r="L127" s="95"/>
      <c r="M127" s="95"/>
      <c r="N127" s="95"/>
      <c r="O127" s="126">
        <f t="shared" si="7"/>
        <v>0.10781086987059479</v>
      </c>
      <c r="P127" s="131">
        <f>O127*(1+'Key Data'!F$3)</f>
        <v>0.13476358733824351</v>
      </c>
      <c r="Q127" s="366"/>
      <c r="R127" s="366"/>
      <c r="S127" s="482"/>
    </row>
    <row r="128" spans="1:19" s="92" customFormat="1" x14ac:dyDescent="0.3">
      <c r="A128" s="367"/>
      <c r="B128" s="367"/>
      <c r="C128" s="477"/>
      <c r="D128" s="477"/>
      <c r="E128" s="108">
        <v>14.8475836</v>
      </c>
      <c r="F128" s="108">
        <v>75.086753299999998</v>
      </c>
      <c r="G128" s="367"/>
      <c r="H128" s="367" t="s">
        <v>263</v>
      </c>
      <c r="I128" s="126">
        <v>41</v>
      </c>
      <c r="J128" s="126">
        <f t="shared" si="6"/>
        <v>13.057324840764331</v>
      </c>
      <c r="K128" s="95"/>
      <c r="L128" s="95"/>
      <c r="M128" s="95"/>
      <c r="N128" s="95"/>
      <c r="O128" s="126">
        <f t="shared" si="7"/>
        <v>9.1962027852063727E-2</v>
      </c>
      <c r="P128" s="131">
        <f>O128*(1+'Key Data'!F$3)</f>
        <v>0.11495253481507967</v>
      </c>
      <c r="Q128" s="366"/>
      <c r="R128" s="366"/>
      <c r="S128" s="482"/>
    </row>
    <row r="129" spans="1:19" s="92" customFormat="1" x14ac:dyDescent="0.3">
      <c r="A129" s="367"/>
      <c r="B129" s="367"/>
      <c r="C129" s="477"/>
      <c r="D129" s="477"/>
      <c r="E129" s="108">
        <v>14.847454300000001</v>
      </c>
      <c r="F129" s="108">
        <v>75.086594700000006</v>
      </c>
      <c r="G129" s="367"/>
      <c r="H129" s="367" t="s">
        <v>263</v>
      </c>
      <c r="I129" s="126">
        <v>40</v>
      </c>
      <c r="J129" s="126">
        <f t="shared" si="6"/>
        <v>12.738853503184712</v>
      </c>
      <c r="K129" s="95"/>
      <c r="L129" s="95"/>
      <c r="M129" s="95"/>
      <c r="N129" s="95"/>
      <c r="O129" s="126">
        <f t="shared" si="7"/>
        <v>9.06217581379134E-2</v>
      </c>
      <c r="P129" s="131">
        <f>O129*(1+'Key Data'!F$3)</f>
        <v>0.11327719767239175</v>
      </c>
      <c r="Q129" s="366"/>
      <c r="R129" s="366"/>
      <c r="S129" s="482"/>
    </row>
    <row r="130" spans="1:19" s="92" customFormat="1" x14ac:dyDescent="0.3">
      <c r="A130" s="367"/>
      <c r="B130" s="367"/>
      <c r="C130" s="477"/>
      <c r="D130" s="477"/>
      <c r="E130" s="108"/>
      <c r="F130" s="108"/>
      <c r="G130" s="367"/>
      <c r="H130" s="367" t="s">
        <v>263</v>
      </c>
      <c r="I130" s="126">
        <v>57</v>
      </c>
      <c r="J130" s="126">
        <f t="shared" ref="J130:J161" si="8">I130/3.14</f>
        <v>18.152866242038215</v>
      </c>
      <c r="K130" s="95"/>
      <c r="L130" s="95"/>
      <c r="M130" s="95"/>
      <c r="N130" s="95"/>
      <c r="O130" s="126">
        <f t="shared" ref="O130:O161" si="9">30.4*EXP(-5.07*EXP(-0.26*J130)+1.277)/1000</f>
        <v>0.10419156081625477</v>
      </c>
      <c r="P130" s="131">
        <f>O130*(1+'Key Data'!F$3)</f>
        <v>0.13023945102031848</v>
      </c>
      <c r="Q130" s="366"/>
      <c r="R130" s="366"/>
      <c r="S130" s="482"/>
    </row>
    <row r="131" spans="1:19" s="92" customFormat="1" x14ac:dyDescent="0.3">
      <c r="A131" s="367"/>
      <c r="B131" s="367"/>
      <c r="C131" s="477"/>
      <c r="D131" s="477"/>
      <c r="E131" s="108"/>
      <c r="F131" s="108"/>
      <c r="G131" s="367"/>
      <c r="H131" s="367" t="s">
        <v>263</v>
      </c>
      <c r="I131" s="126">
        <v>55</v>
      </c>
      <c r="J131" s="126">
        <f t="shared" si="8"/>
        <v>17.515923566878982</v>
      </c>
      <c r="K131" s="95"/>
      <c r="L131" s="95"/>
      <c r="M131" s="95"/>
      <c r="N131" s="95"/>
      <c r="O131" s="126">
        <f t="shared" si="9"/>
        <v>0.10334658411791346</v>
      </c>
      <c r="P131" s="131">
        <f>O131*(1+'Key Data'!F$3)</f>
        <v>0.12918323014739183</v>
      </c>
      <c r="Q131" s="366"/>
      <c r="R131" s="366"/>
      <c r="S131" s="482"/>
    </row>
    <row r="132" spans="1:19" s="92" customFormat="1" x14ac:dyDescent="0.3">
      <c r="A132" s="367"/>
      <c r="B132" s="367"/>
      <c r="C132" s="477"/>
      <c r="D132" s="477"/>
      <c r="E132" s="108"/>
      <c r="F132" s="108"/>
      <c r="G132" s="367"/>
      <c r="H132" s="367" t="s">
        <v>263</v>
      </c>
      <c r="I132" s="126">
        <v>54</v>
      </c>
      <c r="J132" s="126">
        <f t="shared" si="8"/>
        <v>17.197452229299362</v>
      </c>
      <c r="K132" s="95"/>
      <c r="L132" s="95"/>
      <c r="M132" s="95"/>
      <c r="N132" s="95"/>
      <c r="O132" s="126">
        <f t="shared" si="9"/>
        <v>0.10287167065451364</v>
      </c>
      <c r="P132" s="131">
        <f>O132*(1+'Key Data'!F$3)</f>
        <v>0.12858958831814205</v>
      </c>
      <c r="Q132" s="366"/>
      <c r="R132" s="366"/>
      <c r="S132" s="482"/>
    </row>
    <row r="133" spans="1:19" s="92" customFormat="1" x14ac:dyDescent="0.3">
      <c r="A133" s="367"/>
      <c r="B133" s="367"/>
      <c r="C133" s="477"/>
      <c r="D133" s="477"/>
      <c r="E133" s="108"/>
      <c r="F133" s="108"/>
      <c r="G133" s="367"/>
      <c r="H133" s="367" t="s">
        <v>263</v>
      </c>
      <c r="I133" s="126">
        <f>SQRT(51^2+16.5^2)</f>
        <v>53.60270515561691</v>
      </c>
      <c r="J133" s="126">
        <f t="shared" si="8"/>
        <v>17.070925208795195</v>
      </c>
      <c r="K133" s="95"/>
      <c r="L133" s="95"/>
      <c r="M133" s="95"/>
      <c r="N133" s="95"/>
      <c r="O133" s="126">
        <f t="shared" si="9"/>
        <v>0.10267245412582604</v>
      </c>
      <c r="P133" s="131">
        <f>O133*(1+'Key Data'!F$3)</f>
        <v>0.12834056765728255</v>
      </c>
      <c r="Q133" s="366"/>
      <c r="R133" s="366"/>
      <c r="S133" s="482"/>
    </row>
    <row r="134" spans="1:19" s="92" customFormat="1" x14ac:dyDescent="0.3">
      <c r="A134" s="367"/>
      <c r="B134" s="367"/>
      <c r="C134" s="477"/>
      <c r="D134" s="477"/>
      <c r="E134" s="108"/>
      <c r="F134" s="108"/>
      <c r="G134" s="367"/>
      <c r="H134" s="367" t="s">
        <v>263</v>
      </c>
      <c r="I134" s="126">
        <v>57.5</v>
      </c>
      <c r="J134" s="126">
        <f t="shared" si="8"/>
        <v>18.312101910828027</v>
      </c>
      <c r="K134" s="95"/>
      <c r="L134" s="95"/>
      <c r="M134" s="95"/>
      <c r="N134" s="95"/>
      <c r="O134" s="126">
        <f t="shared" si="9"/>
        <v>0.10438278110345003</v>
      </c>
      <c r="P134" s="131">
        <f>O134*(1+'Key Data'!F$3)</f>
        <v>0.13047847637931254</v>
      </c>
      <c r="Q134" s="366"/>
      <c r="R134" s="366"/>
      <c r="S134" s="482"/>
    </row>
    <row r="135" spans="1:19" s="92" customFormat="1" x14ac:dyDescent="0.3">
      <c r="A135" s="367"/>
      <c r="B135" s="367"/>
      <c r="C135" s="477"/>
      <c r="D135" s="477"/>
      <c r="E135" s="108"/>
      <c r="F135" s="108"/>
      <c r="G135" s="367"/>
      <c r="H135" s="367" t="s">
        <v>263</v>
      </c>
      <c r="I135" s="126">
        <v>52.5</v>
      </c>
      <c r="J135" s="126">
        <f t="shared" si="8"/>
        <v>16.719745222929937</v>
      </c>
      <c r="K135" s="95"/>
      <c r="L135" s="95"/>
      <c r="M135" s="95"/>
      <c r="N135" s="95"/>
      <c r="O135" s="126">
        <f t="shared" si="9"/>
        <v>0.10208616787548029</v>
      </c>
      <c r="P135" s="131">
        <f>O135*(1+'Key Data'!F$3)</f>
        <v>0.12760770984435035</v>
      </c>
      <c r="Q135" s="366"/>
      <c r="R135" s="366"/>
      <c r="S135" s="482"/>
    </row>
    <row r="136" spans="1:19" s="92" customFormat="1" x14ac:dyDescent="0.3">
      <c r="A136" s="367"/>
      <c r="B136" s="367"/>
      <c r="C136" s="477"/>
      <c r="D136" s="477"/>
      <c r="E136" s="108"/>
      <c r="F136" s="108"/>
      <c r="G136" s="367"/>
      <c r="H136" s="367" t="s">
        <v>263</v>
      </c>
      <c r="I136" s="126">
        <v>31</v>
      </c>
      <c r="J136" s="126">
        <f t="shared" si="8"/>
        <v>9.872611464968152</v>
      </c>
      <c r="K136" s="95"/>
      <c r="L136" s="95"/>
      <c r="M136" s="95"/>
      <c r="N136" s="95"/>
      <c r="O136" s="126">
        <f t="shared" si="9"/>
        <v>7.3861700758365859E-2</v>
      </c>
      <c r="P136" s="131">
        <f>O136*(1+'Key Data'!F$3)</f>
        <v>9.232712594795732E-2</v>
      </c>
      <c r="Q136" s="366"/>
      <c r="R136" s="366"/>
      <c r="S136" s="482"/>
    </row>
    <row r="137" spans="1:19" s="92" customFormat="1" x14ac:dyDescent="0.3">
      <c r="A137" s="367"/>
      <c r="B137" s="367"/>
      <c r="C137" s="477"/>
      <c r="D137" s="477"/>
      <c r="E137" s="108"/>
      <c r="F137" s="108"/>
      <c r="G137" s="367"/>
      <c r="H137" s="367" t="s">
        <v>263</v>
      </c>
      <c r="I137" s="126">
        <v>60</v>
      </c>
      <c r="J137" s="126">
        <f t="shared" si="8"/>
        <v>19.108280254777068</v>
      </c>
      <c r="K137" s="95"/>
      <c r="L137" s="95"/>
      <c r="M137" s="95"/>
      <c r="N137" s="95"/>
      <c r="O137" s="126">
        <f t="shared" si="9"/>
        <v>0.10523287646701386</v>
      </c>
      <c r="P137" s="131">
        <f>O137*(1+'Key Data'!F$3)</f>
        <v>0.13154109558376734</v>
      </c>
      <c r="Q137" s="366"/>
      <c r="R137" s="366"/>
      <c r="S137" s="482"/>
    </row>
    <row r="138" spans="1:19" s="92" customFormat="1" x14ac:dyDescent="0.3">
      <c r="A138" s="367"/>
      <c r="B138" s="367"/>
      <c r="C138" s="477"/>
      <c r="D138" s="477"/>
      <c r="E138" s="108"/>
      <c r="F138" s="108"/>
      <c r="G138" s="367"/>
      <c r="H138" s="367" t="s">
        <v>263</v>
      </c>
      <c r="I138" s="126">
        <v>42</v>
      </c>
      <c r="J138" s="126">
        <f t="shared" si="8"/>
        <v>13.375796178343949</v>
      </c>
      <c r="K138" s="95"/>
      <c r="L138" s="95"/>
      <c r="M138" s="95"/>
      <c r="N138" s="95"/>
      <c r="O138" s="126">
        <f t="shared" si="9"/>
        <v>9.321330534113309E-2</v>
      </c>
      <c r="P138" s="131">
        <f>O138*(1+'Key Data'!F$3)</f>
        <v>0.11651663167641636</v>
      </c>
      <c r="Q138" s="366"/>
      <c r="R138" s="366"/>
      <c r="S138" s="482"/>
    </row>
    <row r="139" spans="1:19" s="92" customFormat="1" x14ac:dyDescent="0.3">
      <c r="A139" s="367"/>
      <c r="B139" s="367"/>
      <c r="C139" s="477"/>
      <c r="D139" s="477"/>
      <c r="E139" s="108"/>
      <c r="F139" s="108"/>
      <c r="G139" s="367"/>
      <c r="H139" s="367" t="s">
        <v>263</v>
      </c>
      <c r="I139" s="126">
        <v>48</v>
      </c>
      <c r="J139" s="126">
        <f t="shared" si="8"/>
        <v>15.286624203821656</v>
      </c>
      <c r="K139" s="95"/>
      <c r="L139" s="95"/>
      <c r="M139" s="95"/>
      <c r="N139" s="95"/>
      <c r="O139" s="126">
        <f t="shared" si="9"/>
        <v>9.9105610669934466E-2</v>
      </c>
      <c r="P139" s="131">
        <f>O139*(1+'Key Data'!F$3)</f>
        <v>0.12388201333741808</v>
      </c>
      <c r="Q139" s="366"/>
      <c r="R139" s="366"/>
      <c r="S139" s="482"/>
    </row>
    <row r="140" spans="1:19" s="92" customFormat="1" x14ac:dyDescent="0.3">
      <c r="A140" s="367"/>
      <c r="B140" s="367"/>
      <c r="C140" s="478"/>
      <c r="D140" s="478"/>
      <c r="E140" s="108"/>
      <c r="F140" s="108"/>
      <c r="G140" s="367"/>
      <c r="H140" s="367" t="s">
        <v>263</v>
      </c>
      <c r="I140" s="126">
        <v>28</v>
      </c>
      <c r="J140" s="126">
        <f t="shared" si="8"/>
        <v>8.9171974522292992</v>
      </c>
      <c r="K140" s="95"/>
      <c r="L140" s="95"/>
      <c r="M140" s="95"/>
      <c r="N140" s="95"/>
      <c r="O140" s="126">
        <f t="shared" si="9"/>
        <v>6.6183639528078139E-2</v>
      </c>
      <c r="P140" s="131">
        <f>O140*(1+'Key Data'!F$3)</f>
        <v>8.2729549410097677E-2</v>
      </c>
      <c r="Q140" s="366"/>
      <c r="R140" s="366"/>
      <c r="S140" s="482"/>
    </row>
    <row r="141" spans="1:19" s="92" customFormat="1" x14ac:dyDescent="0.3">
      <c r="A141" s="374">
        <v>8</v>
      </c>
      <c r="B141" s="374" t="s">
        <v>346</v>
      </c>
      <c r="C141" s="420" t="s">
        <v>347</v>
      </c>
      <c r="D141" s="420" t="s">
        <v>292</v>
      </c>
      <c r="E141" s="113">
        <v>14.365513999999999</v>
      </c>
      <c r="F141" s="113">
        <v>75.327063999999993</v>
      </c>
      <c r="G141" s="374">
        <v>2019</v>
      </c>
      <c r="H141" s="374" t="s">
        <v>263</v>
      </c>
      <c r="I141" s="128">
        <v>48.8</v>
      </c>
      <c r="J141" s="128">
        <f t="shared" si="8"/>
        <v>15.541401273885349</v>
      </c>
      <c r="K141" s="192"/>
      <c r="L141" s="192"/>
      <c r="M141" s="192"/>
      <c r="N141" s="192"/>
      <c r="O141" s="128">
        <f t="shared" si="9"/>
        <v>9.9712554341441703E-2</v>
      </c>
      <c r="P141" s="138">
        <f>O141*(1+'Key Data'!F$3)</f>
        <v>0.12464069292680213</v>
      </c>
      <c r="Q141" s="379">
        <f>SUM(P141:P165)</f>
        <v>2.6557210633109642</v>
      </c>
      <c r="R141" s="379">
        <f>Q141*10000/900</f>
        <v>29.50801181456627</v>
      </c>
      <c r="S141" s="482"/>
    </row>
    <row r="142" spans="1:19" s="92" customFormat="1" x14ac:dyDescent="0.3">
      <c r="A142" s="374"/>
      <c r="B142" s="374"/>
      <c r="C142" s="421"/>
      <c r="D142" s="421"/>
      <c r="E142" s="113">
        <v>14.365478</v>
      </c>
      <c r="F142" s="113">
        <v>75.32687</v>
      </c>
      <c r="G142" s="374"/>
      <c r="H142" s="374" t="s">
        <v>263</v>
      </c>
      <c r="I142" s="128">
        <f>SQRT(31^2+33^2+24^2+33.5^2+22^2)</f>
        <v>65.055745326604324</v>
      </c>
      <c r="J142" s="128">
        <f t="shared" si="8"/>
        <v>20.718390231402651</v>
      </c>
      <c r="K142" s="192"/>
      <c r="L142" s="192"/>
      <c r="M142" s="192"/>
      <c r="N142" s="192"/>
      <c r="O142" s="128">
        <f t="shared" si="9"/>
        <v>0.1065099961604795</v>
      </c>
      <c r="P142" s="138">
        <f>O142*(1+'Key Data'!F$3)</f>
        <v>0.13313749520059937</v>
      </c>
      <c r="Q142" s="379"/>
      <c r="R142" s="379"/>
      <c r="S142" s="482"/>
    </row>
    <row r="143" spans="1:19" s="92" customFormat="1" x14ac:dyDescent="0.3">
      <c r="A143" s="374"/>
      <c r="B143" s="374"/>
      <c r="C143" s="421"/>
      <c r="D143" s="421"/>
      <c r="E143" s="113">
        <v>14.365228</v>
      </c>
      <c r="F143" s="113">
        <v>75.326390000000004</v>
      </c>
      <c r="G143" s="374"/>
      <c r="H143" s="374" t="s">
        <v>263</v>
      </c>
      <c r="I143" s="128">
        <v>41.8</v>
      </c>
      <c r="J143" s="128">
        <f t="shared" si="8"/>
        <v>13.312101910828025</v>
      </c>
      <c r="K143" s="192"/>
      <c r="L143" s="192"/>
      <c r="M143" s="192"/>
      <c r="N143" s="192"/>
      <c r="O143" s="128">
        <f t="shared" si="9"/>
        <v>9.2969948199144808E-2</v>
      </c>
      <c r="P143" s="138">
        <f>O143*(1+'Key Data'!F$3)</f>
        <v>0.11621243524893102</v>
      </c>
      <c r="Q143" s="379"/>
      <c r="R143" s="379"/>
      <c r="S143" s="482"/>
    </row>
    <row r="144" spans="1:19" s="92" customFormat="1" x14ac:dyDescent="0.3">
      <c r="A144" s="374"/>
      <c r="B144" s="374"/>
      <c r="C144" s="421"/>
      <c r="D144" s="421"/>
      <c r="E144" s="113">
        <v>14.365271999999999</v>
      </c>
      <c r="F144" s="113">
        <v>75.327145999999999</v>
      </c>
      <c r="G144" s="374"/>
      <c r="H144" s="374" t="s">
        <v>263</v>
      </c>
      <c r="I144" s="128">
        <v>36.799999999999997</v>
      </c>
      <c r="J144" s="128">
        <f t="shared" si="8"/>
        <v>11.719745222929935</v>
      </c>
      <c r="K144" s="192"/>
      <c r="L144" s="192"/>
      <c r="M144" s="192"/>
      <c r="N144" s="192"/>
      <c r="O144" s="128">
        <f t="shared" si="9"/>
        <v>8.5682076542074298E-2</v>
      </c>
      <c r="P144" s="138">
        <f>O144*(1+'Key Data'!F$3)</f>
        <v>0.10710259567759287</v>
      </c>
      <c r="Q144" s="379"/>
      <c r="R144" s="379"/>
      <c r="S144" s="482"/>
    </row>
    <row r="145" spans="1:19" s="92" customFormat="1" x14ac:dyDescent="0.3">
      <c r="A145" s="374"/>
      <c r="B145" s="374"/>
      <c r="C145" s="421"/>
      <c r="D145" s="421"/>
      <c r="E145" s="113">
        <v>14.365382</v>
      </c>
      <c r="F145" s="113">
        <v>75.326966999999996</v>
      </c>
      <c r="G145" s="374"/>
      <c r="H145" s="374" t="s">
        <v>263</v>
      </c>
      <c r="I145" s="128">
        <v>31</v>
      </c>
      <c r="J145" s="128">
        <f t="shared" si="8"/>
        <v>9.872611464968152</v>
      </c>
      <c r="K145" s="192"/>
      <c r="L145" s="192"/>
      <c r="M145" s="192"/>
      <c r="N145" s="192"/>
      <c r="O145" s="128">
        <f t="shared" si="9"/>
        <v>7.3861700758365859E-2</v>
      </c>
      <c r="P145" s="138">
        <f>O145*(1+'Key Data'!F$3)</f>
        <v>9.232712594795732E-2</v>
      </c>
      <c r="Q145" s="379"/>
      <c r="R145" s="379"/>
      <c r="S145" s="482"/>
    </row>
    <row r="146" spans="1:19" s="92" customFormat="1" x14ac:dyDescent="0.3">
      <c r="A146" s="374"/>
      <c r="B146" s="374"/>
      <c r="C146" s="421"/>
      <c r="D146" s="421"/>
      <c r="E146" s="113"/>
      <c r="F146" s="113"/>
      <c r="G146" s="374"/>
      <c r="H146" s="374" t="s">
        <v>263</v>
      </c>
      <c r="I146" s="128">
        <v>33</v>
      </c>
      <c r="J146" s="128">
        <f t="shared" si="8"/>
        <v>10.509554140127388</v>
      </c>
      <c r="K146" s="192"/>
      <c r="L146" s="192"/>
      <c r="M146" s="192"/>
      <c r="N146" s="192"/>
      <c r="O146" s="128">
        <f t="shared" si="9"/>
        <v>7.8382538522569559E-2</v>
      </c>
      <c r="P146" s="138">
        <f>O146*(1+'Key Data'!F$3)</f>
        <v>9.7978173153211945E-2</v>
      </c>
      <c r="Q146" s="379"/>
      <c r="R146" s="379"/>
      <c r="S146" s="482"/>
    </row>
    <row r="147" spans="1:19" s="92" customFormat="1" x14ac:dyDescent="0.3">
      <c r="A147" s="374"/>
      <c r="B147" s="374"/>
      <c r="C147" s="421"/>
      <c r="D147" s="421"/>
      <c r="E147" s="113"/>
      <c r="F147" s="113"/>
      <c r="G147" s="374"/>
      <c r="H147" s="374" t="s">
        <v>263</v>
      </c>
      <c r="I147" s="128">
        <v>42</v>
      </c>
      <c r="J147" s="128">
        <f t="shared" si="8"/>
        <v>13.375796178343949</v>
      </c>
      <c r="K147" s="192"/>
      <c r="L147" s="192"/>
      <c r="M147" s="192"/>
      <c r="N147" s="192"/>
      <c r="O147" s="128">
        <f t="shared" si="9"/>
        <v>9.321330534113309E-2</v>
      </c>
      <c r="P147" s="138">
        <f>O147*(1+'Key Data'!F$3)</f>
        <v>0.11651663167641636</v>
      </c>
      <c r="Q147" s="379"/>
      <c r="R147" s="379"/>
      <c r="S147" s="482"/>
    </row>
    <row r="148" spans="1:19" s="92" customFormat="1" x14ac:dyDescent="0.3">
      <c r="A148" s="374"/>
      <c r="B148" s="374"/>
      <c r="C148" s="421"/>
      <c r="D148" s="421"/>
      <c r="E148" s="113"/>
      <c r="F148" s="113"/>
      <c r="G148" s="374"/>
      <c r="H148" s="374" t="s">
        <v>263</v>
      </c>
      <c r="I148" s="128">
        <v>50.8</v>
      </c>
      <c r="J148" s="128">
        <f t="shared" si="8"/>
        <v>16.178343949044585</v>
      </c>
      <c r="K148" s="192"/>
      <c r="L148" s="192"/>
      <c r="M148" s="192"/>
      <c r="N148" s="192"/>
      <c r="O148" s="128">
        <f t="shared" si="9"/>
        <v>0.10107853076680454</v>
      </c>
      <c r="P148" s="138">
        <f>O148*(1+'Key Data'!F$3)</f>
        <v>0.12634816345850566</v>
      </c>
      <c r="Q148" s="379"/>
      <c r="R148" s="379"/>
      <c r="S148" s="482"/>
    </row>
    <row r="149" spans="1:19" s="92" customFormat="1" x14ac:dyDescent="0.3">
      <c r="A149" s="374"/>
      <c r="B149" s="374"/>
      <c r="C149" s="421"/>
      <c r="D149" s="421"/>
      <c r="E149" s="113"/>
      <c r="F149" s="113"/>
      <c r="G149" s="374"/>
      <c r="H149" s="374" t="s">
        <v>263</v>
      </c>
      <c r="I149" s="128">
        <v>39.6</v>
      </c>
      <c r="J149" s="128">
        <f t="shared" si="8"/>
        <v>12.611464968152866</v>
      </c>
      <c r="K149" s="192"/>
      <c r="L149" s="192"/>
      <c r="M149" s="192"/>
      <c r="N149" s="192"/>
      <c r="O149" s="128">
        <f t="shared" si="9"/>
        <v>9.0059703863004034E-2</v>
      </c>
      <c r="P149" s="138">
        <f>O149*(1+'Key Data'!F$3)</f>
        <v>0.11257462982875505</v>
      </c>
      <c r="Q149" s="379"/>
      <c r="R149" s="379"/>
      <c r="S149" s="482"/>
    </row>
    <row r="150" spans="1:19" s="92" customFormat="1" x14ac:dyDescent="0.3">
      <c r="A150" s="374"/>
      <c r="B150" s="374"/>
      <c r="C150" s="421"/>
      <c r="D150" s="421"/>
      <c r="E150" s="113"/>
      <c r="F150" s="113"/>
      <c r="G150" s="374"/>
      <c r="H150" s="374" t="s">
        <v>263</v>
      </c>
      <c r="I150" s="128">
        <v>27.6</v>
      </c>
      <c r="J150" s="128">
        <f t="shared" si="8"/>
        <v>8.7898089171974529</v>
      </c>
      <c r="K150" s="192"/>
      <c r="L150" s="192"/>
      <c r="M150" s="192"/>
      <c r="N150" s="192"/>
      <c r="O150" s="128">
        <f t="shared" si="9"/>
        <v>6.508075245453547E-2</v>
      </c>
      <c r="P150" s="138">
        <f>O150*(1+'Key Data'!F$3)</f>
        <v>8.1350940568169341E-2</v>
      </c>
      <c r="Q150" s="379"/>
      <c r="R150" s="379"/>
      <c r="S150" s="482"/>
    </row>
    <row r="151" spans="1:19" s="92" customFormat="1" x14ac:dyDescent="0.3">
      <c r="A151" s="374"/>
      <c r="B151" s="374"/>
      <c r="C151" s="421"/>
      <c r="D151" s="421"/>
      <c r="E151" s="113"/>
      <c r="F151" s="113"/>
      <c r="G151" s="374"/>
      <c r="H151" s="374" t="s">
        <v>263</v>
      </c>
      <c r="I151" s="128">
        <v>37</v>
      </c>
      <c r="J151" s="128">
        <f t="shared" si="8"/>
        <v>11.783439490445859</v>
      </c>
      <c r="K151" s="192"/>
      <c r="L151" s="192"/>
      <c r="M151" s="192"/>
      <c r="N151" s="192"/>
      <c r="O151" s="128">
        <f t="shared" si="9"/>
        <v>8.6021612861952396E-2</v>
      </c>
      <c r="P151" s="138">
        <f>O151*(1+'Key Data'!F$3)</f>
        <v>0.1075270160774405</v>
      </c>
      <c r="Q151" s="379"/>
      <c r="R151" s="379"/>
      <c r="S151" s="482"/>
    </row>
    <row r="152" spans="1:19" s="92" customFormat="1" x14ac:dyDescent="0.3">
      <c r="A152" s="374"/>
      <c r="B152" s="374"/>
      <c r="C152" s="421"/>
      <c r="D152" s="421"/>
      <c r="E152" s="113"/>
      <c r="F152" s="113"/>
      <c r="G152" s="374"/>
      <c r="H152" s="374" t="s">
        <v>263</v>
      </c>
      <c r="I152" s="128">
        <v>35</v>
      </c>
      <c r="J152" s="128">
        <f t="shared" si="8"/>
        <v>11.146496815286623</v>
      </c>
      <c r="K152" s="192"/>
      <c r="L152" s="192"/>
      <c r="M152" s="192"/>
      <c r="N152" s="192"/>
      <c r="O152" s="128">
        <f t="shared" si="9"/>
        <v>8.2429329470591506E-2</v>
      </c>
      <c r="P152" s="138">
        <f>O152*(1+'Key Data'!F$3)</f>
        <v>0.10303666183823938</v>
      </c>
      <c r="Q152" s="379"/>
      <c r="R152" s="379"/>
      <c r="S152" s="482"/>
    </row>
    <row r="153" spans="1:19" s="92" customFormat="1" x14ac:dyDescent="0.3">
      <c r="A153" s="374"/>
      <c r="B153" s="374"/>
      <c r="C153" s="421"/>
      <c r="D153" s="421"/>
      <c r="E153" s="113"/>
      <c r="F153" s="113"/>
      <c r="G153" s="374"/>
      <c r="H153" s="374" t="s">
        <v>263</v>
      </c>
      <c r="I153" s="128">
        <v>43.6</v>
      </c>
      <c r="J153" s="128">
        <f t="shared" si="8"/>
        <v>13.885350318471337</v>
      </c>
      <c r="K153" s="192"/>
      <c r="L153" s="192"/>
      <c r="M153" s="192"/>
      <c r="N153" s="192"/>
      <c r="O153" s="128">
        <f t="shared" si="9"/>
        <v>9.5041719691676754E-2</v>
      </c>
      <c r="P153" s="138">
        <f>O153*(1+'Key Data'!F$3)</f>
        <v>0.11880214961459594</v>
      </c>
      <c r="Q153" s="379"/>
      <c r="R153" s="379"/>
      <c r="S153" s="482"/>
    </row>
    <row r="154" spans="1:19" s="92" customFormat="1" x14ac:dyDescent="0.3">
      <c r="A154" s="374"/>
      <c r="B154" s="374"/>
      <c r="C154" s="421"/>
      <c r="D154" s="421"/>
      <c r="E154" s="113"/>
      <c r="F154" s="113"/>
      <c r="G154" s="374"/>
      <c r="H154" s="374" t="s">
        <v>263</v>
      </c>
      <c r="I154" s="128">
        <v>43.2</v>
      </c>
      <c r="J154" s="128">
        <f t="shared" si="8"/>
        <v>13.757961783439491</v>
      </c>
      <c r="K154" s="192"/>
      <c r="L154" s="192"/>
      <c r="M154" s="192"/>
      <c r="N154" s="192"/>
      <c r="O154" s="128">
        <f t="shared" si="9"/>
        <v>9.4603845350516261E-2</v>
      </c>
      <c r="P154" s="138">
        <f>O154*(1+'Key Data'!F$3)</f>
        <v>0.11825480668814532</v>
      </c>
      <c r="Q154" s="379"/>
      <c r="R154" s="379"/>
      <c r="S154" s="482"/>
    </row>
    <row r="155" spans="1:19" s="92" customFormat="1" x14ac:dyDescent="0.3">
      <c r="A155" s="374"/>
      <c r="B155" s="374"/>
      <c r="C155" s="421"/>
      <c r="D155" s="421"/>
      <c r="E155" s="113"/>
      <c r="F155" s="113"/>
      <c r="G155" s="374"/>
      <c r="H155" s="374" t="s">
        <v>263</v>
      </c>
      <c r="I155" s="128">
        <v>32.6</v>
      </c>
      <c r="J155" s="128">
        <f t="shared" si="8"/>
        <v>10.382165605095542</v>
      </c>
      <c r="K155" s="192"/>
      <c r="L155" s="192"/>
      <c r="M155" s="192"/>
      <c r="N155" s="192"/>
      <c r="O155" s="128">
        <f t="shared" si="9"/>
        <v>7.7516712864187293E-2</v>
      </c>
      <c r="P155" s="138">
        <f>O155*(1+'Key Data'!F$3)</f>
        <v>9.6895891080234109E-2</v>
      </c>
      <c r="Q155" s="379"/>
      <c r="R155" s="379"/>
      <c r="S155" s="482"/>
    </row>
    <row r="156" spans="1:19" s="92" customFormat="1" x14ac:dyDescent="0.3">
      <c r="A156" s="374"/>
      <c r="B156" s="374"/>
      <c r="C156" s="421"/>
      <c r="D156" s="421"/>
      <c r="E156" s="113"/>
      <c r="F156" s="113"/>
      <c r="G156" s="374"/>
      <c r="H156" s="374" t="s">
        <v>263</v>
      </c>
      <c r="I156" s="128">
        <v>31</v>
      </c>
      <c r="J156" s="128">
        <f t="shared" si="8"/>
        <v>9.872611464968152</v>
      </c>
      <c r="K156" s="192"/>
      <c r="L156" s="192"/>
      <c r="M156" s="192"/>
      <c r="N156" s="192"/>
      <c r="O156" s="128">
        <f t="shared" si="9"/>
        <v>7.3861700758365859E-2</v>
      </c>
      <c r="P156" s="138">
        <f>O156*(1+'Key Data'!F$3)</f>
        <v>9.232712594795732E-2</v>
      </c>
      <c r="Q156" s="379"/>
      <c r="R156" s="379"/>
      <c r="S156" s="482"/>
    </row>
    <row r="157" spans="1:19" s="92" customFormat="1" x14ac:dyDescent="0.3">
      <c r="A157" s="374"/>
      <c r="B157" s="374"/>
      <c r="C157" s="421"/>
      <c r="D157" s="421"/>
      <c r="E157" s="113"/>
      <c r="F157" s="113"/>
      <c r="G157" s="374"/>
      <c r="H157" s="374" t="s">
        <v>263</v>
      </c>
      <c r="I157" s="128">
        <v>35</v>
      </c>
      <c r="J157" s="128">
        <f t="shared" si="8"/>
        <v>11.146496815286623</v>
      </c>
      <c r="K157" s="192"/>
      <c r="L157" s="192"/>
      <c r="M157" s="192"/>
      <c r="N157" s="192"/>
      <c r="O157" s="128">
        <f t="shared" si="9"/>
        <v>8.2429329470591506E-2</v>
      </c>
      <c r="P157" s="138">
        <f>O157*(1+'Key Data'!F$3)</f>
        <v>0.10303666183823938</v>
      </c>
      <c r="Q157" s="379"/>
      <c r="R157" s="379"/>
      <c r="S157" s="482"/>
    </row>
    <row r="158" spans="1:19" s="92" customFormat="1" x14ac:dyDescent="0.3">
      <c r="A158" s="374"/>
      <c r="B158" s="374"/>
      <c r="C158" s="421"/>
      <c r="D158" s="421"/>
      <c r="E158" s="113"/>
      <c r="F158" s="113"/>
      <c r="G158" s="374"/>
      <c r="H158" s="374" t="s">
        <v>263</v>
      </c>
      <c r="I158" s="128">
        <v>41.6</v>
      </c>
      <c r="J158" s="128">
        <f t="shared" si="8"/>
        <v>13.248407643312103</v>
      </c>
      <c r="K158" s="192"/>
      <c r="L158" s="192"/>
      <c r="M158" s="192"/>
      <c r="N158" s="192"/>
      <c r="O158" s="128">
        <f t="shared" si="9"/>
        <v>9.2723178722471516E-2</v>
      </c>
      <c r="P158" s="138">
        <f>O158*(1+'Key Data'!F$3)</f>
        <v>0.11590397340308939</v>
      </c>
      <c r="Q158" s="379"/>
      <c r="R158" s="379"/>
      <c r="S158" s="482"/>
    </row>
    <row r="159" spans="1:19" s="92" customFormat="1" x14ac:dyDescent="0.3">
      <c r="A159" s="374"/>
      <c r="B159" s="374"/>
      <c r="C159" s="421"/>
      <c r="D159" s="421"/>
      <c r="E159" s="113"/>
      <c r="F159" s="113"/>
      <c r="G159" s="374"/>
      <c r="H159" s="374" t="s">
        <v>263</v>
      </c>
      <c r="I159" s="128">
        <v>30.6</v>
      </c>
      <c r="J159" s="128">
        <f t="shared" si="8"/>
        <v>9.7452229299363058</v>
      </c>
      <c r="K159" s="192"/>
      <c r="L159" s="192"/>
      <c r="M159" s="192"/>
      <c r="N159" s="192"/>
      <c r="O159" s="128">
        <f t="shared" si="9"/>
        <v>7.2899826570000298E-2</v>
      </c>
      <c r="P159" s="138">
        <f>O159*(1+'Key Data'!F$3)</f>
        <v>9.1124783212500365E-2</v>
      </c>
      <c r="Q159" s="379"/>
      <c r="R159" s="379"/>
      <c r="S159" s="482"/>
    </row>
    <row r="160" spans="1:19" s="92" customFormat="1" x14ac:dyDescent="0.3">
      <c r="A160" s="374"/>
      <c r="B160" s="374"/>
      <c r="C160" s="421"/>
      <c r="D160" s="421"/>
      <c r="E160" s="113"/>
      <c r="F160" s="113"/>
      <c r="G160" s="374"/>
      <c r="H160" s="374" t="s">
        <v>263</v>
      </c>
      <c r="I160" s="128">
        <v>44.2</v>
      </c>
      <c r="J160" s="128">
        <f t="shared" si="8"/>
        <v>14.076433121019109</v>
      </c>
      <c r="K160" s="192"/>
      <c r="L160" s="192"/>
      <c r="M160" s="192"/>
      <c r="N160" s="192"/>
      <c r="O160" s="128">
        <f t="shared" si="9"/>
        <v>9.5675489562741495E-2</v>
      </c>
      <c r="P160" s="138">
        <f>O160*(1+'Key Data'!F$3)</f>
        <v>0.11959436195342688</v>
      </c>
      <c r="Q160" s="379"/>
      <c r="R160" s="379"/>
      <c r="S160" s="482"/>
    </row>
    <row r="161" spans="1:19" s="92" customFormat="1" x14ac:dyDescent="0.3">
      <c r="A161" s="374"/>
      <c r="B161" s="374"/>
      <c r="C161" s="421"/>
      <c r="D161" s="421"/>
      <c r="E161" s="113"/>
      <c r="F161" s="113"/>
      <c r="G161" s="374"/>
      <c r="H161" s="374" t="s">
        <v>263</v>
      </c>
      <c r="I161" s="128">
        <v>38</v>
      </c>
      <c r="J161" s="128">
        <f t="shared" si="8"/>
        <v>12.101910828025478</v>
      </c>
      <c r="K161" s="192"/>
      <c r="L161" s="192"/>
      <c r="M161" s="192"/>
      <c r="N161" s="192"/>
      <c r="O161" s="128">
        <f t="shared" si="9"/>
        <v>8.7655984615502475E-2</v>
      </c>
      <c r="P161" s="138">
        <f>O161*(1+'Key Data'!F$3)</f>
        <v>0.1095699807693781</v>
      </c>
      <c r="Q161" s="379"/>
      <c r="R161" s="379"/>
      <c r="S161" s="482"/>
    </row>
    <row r="162" spans="1:19" s="92" customFormat="1" x14ac:dyDescent="0.3">
      <c r="A162" s="374"/>
      <c r="B162" s="374"/>
      <c r="C162" s="421"/>
      <c r="D162" s="421"/>
      <c r="E162" s="113"/>
      <c r="F162" s="113"/>
      <c r="G162" s="374"/>
      <c r="H162" s="374" t="s">
        <v>263</v>
      </c>
      <c r="I162" s="128">
        <v>40</v>
      </c>
      <c r="J162" s="128">
        <f t="shared" ref="J162:J181" si="10">I162/3.14</f>
        <v>12.738853503184712</v>
      </c>
      <c r="K162" s="192"/>
      <c r="L162" s="192"/>
      <c r="M162" s="192"/>
      <c r="N162" s="192"/>
      <c r="O162" s="128">
        <f t="shared" ref="O162:O181" si="11">30.4*EXP(-5.07*EXP(-0.26*J162)+1.277)/1000</f>
        <v>9.06217581379134E-2</v>
      </c>
      <c r="P162" s="138">
        <f>O162*(1+'Key Data'!F$3)</f>
        <v>0.11327719767239175</v>
      </c>
      <c r="Q162" s="379"/>
      <c r="R162" s="379"/>
      <c r="S162" s="482"/>
    </row>
    <row r="163" spans="1:19" s="92" customFormat="1" x14ac:dyDescent="0.3">
      <c r="A163" s="374"/>
      <c r="B163" s="374"/>
      <c r="C163" s="421"/>
      <c r="D163" s="421"/>
      <c r="E163" s="113"/>
      <c r="F163" s="113"/>
      <c r="G163" s="374"/>
      <c r="H163" s="374" t="s">
        <v>263</v>
      </c>
      <c r="I163" s="128">
        <v>31.2</v>
      </c>
      <c r="J163" s="128">
        <f t="shared" si="10"/>
        <v>9.936305732484076</v>
      </c>
      <c r="K163" s="192"/>
      <c r="L163" s="192"/>
      <c r="M163" s="192"/>
      <c r="N163" s="192"/>
      <c r="O163" s="128">
        <f t="shared" si="11"/>
        <v>7.4335416101537766E-2</v>
      </c>
      <c r="P163" s="138">
        <f>O163*(1+'Key Data'!F$3)</f>
        <v>9.2919270126922207E-2</v>
      </c>
      <c r="Q163" s="379"/>
      <c r="R163" s="379"/>
      <c r="S163" s="482"/>
    </row>
    <row r="164" spans="1:19" s="92" customFormat="1" x14ac:dyDescent="0.3">
      <c r="A164" s="374"/>
      <c r="B164" s="374"/>
      <c r="C164" s="421"/>
      <c r="D164" s="421"/>
      <c r="E164" s="113"/>
      <c r="F164" s="113"/>
      <c r="G164" s="374"/>
      <c r="H164" s="374" t="s">
        <v>263</v>
      </c>
      <c r="I164" s="128">
        <v>17.3</v>
      </c>
      <c r="J164" s="128">
        <f t="shared" si="10"/>
        <v>5.5095541401273884</v>
      </c>
      <c r="K164" s="192"/>
      <c r="L164" s="192"/>
      <c r="M164" s="192"/>
      <c r="N164" s="192"/>
      <c r="O164" s="128">
        <f t="shared" si="11"/>
        <v>3.2497285179728351E-2</v>
      </c>
      <c r="P164" s="138">
        <f>O164*(1+'Key Data'!F$3)</f>
        <v>4.0621606474660441E-2</v>
      </c>
      <c r="Q164" s="379"/>
      <c r="R164" s="379"/>
      <c r="S164" s="482"/>
    </row>
    <row r="165" spans="1:19" s="92" customFormat="1" x14ac:dyDescent="0.3">
      <c r="A165" s="374"/>
      <c r="B165" s="374"/>
      <c r="C165" s="422"/>
      <c r="D165" s="422"/>
      <c r="E165" s="113"/>
      <c r="F165" s="113"/>
      <c r="G165" s="374"/>
      <c r="H165" s="374" t="s">
        <v>263</v>
      </c>
      <c r="I165" s="128">
        <v>48.8</v>
      </c>
      <c r="J165" s="128">
        <f t="shared" si="10"/>
        <v>15.541401273885349</v>
      </c>
      <c r="K165" s="192"/>
      <c r="L165" s="192"/>
      <c r="M165" s="192"/>
      <c r="N165" s="192"/>
      <c r="O165" s="128">
        <f t="shared" si="11"/>
        <v>9.9712554341441703E-2</v>
      </c>
      <c r="P165" s="138">
        <f>O165*(1+'Key Data'!F$3)</f>
        <v>0.12464069292680213</v>
      </c>
      <c r="Q165" s="379"/>
      <c r="R165" s="379"/>
      <c r="S165" s="482"/>
    </row>
    <row r="166" spans="1:19" s="92" customFormat="1" ht="15" customHeight="1" x14ac:dyDescent="0.3">
      <c r="A166" s="367">
        <v>9</v>
      </c>
      <c r="B166" s="367" t="s">
        <v>348</v>
      </c>
      <c r="C166" s="476" t="s">
        <v>349</v>
      </c>
      <c r="D166" s="476" t="s">
        <v>286</v>
      </c>
      <c r="E166" s="108">
        <v>14.900517499999999</v>
      </c>
      <c r="F166" s="108">
        <v>75.105361099999996</v>
      </c>
      <c r="G166" s="367">
        <v>2019</v>
      </c>
      <c r="H166" s="367" t="s">
        <v>263</v>
      </c>
      <c r="I166" s="126">
        <v>73</v>
      </c>
      <c r="J166" s="126">
        <f t="shared" si="10"/>
        <v>23.248407643312103</v>
      </c>
      <c r="K166" s="95"/>
      <c r="L166" s="95"/>
      <c r="M166" s="95"/>
      <c r="N166" s="95"/>
      <c r="O166" s="126">
        <f t="shared" si="11"/>
        <v>0.10770794503131888</v>
      </c>
      <c r="P166" s="131">
        <f>O166*(1+'Key Data'!F$3)</f>
        <v>0.13463493128914861</v>
      </c>
      <c r="Q166" s="366">
        <f>SUM(P166:P181)</f>
        <v>1.615213729147416</v>
      </c>
      <c r="R166" s="366">
        <f>Q166*10000/900</f>
        <v>17.946819212749066</v>
      </c>
      <c r="S166" s="482"/>
    </row>
    <row r="167" spans="1:19" s="92" customFormat="1" x14ac:dyDescent="0.3">
      <c r="A167" s="367"/>
      <c r="B167" s="367"/>
      <c r="C167" s="477"/>
      <c r="D167" s="477"/>
      <c r="E167" s="108">
        <v>14.900697900000001</v>
      </c>
      <c r="F167" s="108">
        <v>75.105533100000002</v>
      </c>
      <c r="G167" s="367"/>
      <c r="H167" s="367" t="s">
        <v>263</v>
      </c>
      <c r="I167" s="126">
        <v>31.8</v>
      </c>
      <c r="J167" s="126">
        <f t="shared" si="10"/>
        <v>10.127388535031846</v>
      </c>
      <c r="K167" s="95"/>
      <c r="L167" s="95"/>
      <c r="M167" s="95"/>
      <c r="N167" s="95"/>
      <c r="O167" s="126">
        <f t="shared" si="11"/>
        <v>7.5727666198880356E-2</v>
      </c>
      <c r="P167" s="131">
        <f>O167*(1+'Key Data'!F$3)</f>
        <v>9.4659582748600452E-2</v>
      </c>
      <c r="Q167" s="366"/>
      <c r="R167" s="366"/>
      <c r="S167" s="482"/>
    </row>
    <row r="168" spans="1:19" s="92" customFormat="1" x14ac:dyDescent="0.3">
      <c r="A168" s="367"/>
      <c r="B168" s="367"/>
      <c r="C168" s="477"/>
      <c r="D168" s="477"/>
      <c r="E168" s="108">
        <v>14.9004911</v>
      </c>
      <c r="F168" s="108">
        <v>75.105668899999998</v>
      </c>
      <c r="G168" s="367"/>
      <c r="H168" s="367" t="s">
        <v>263</v>
      </c>
      <c r="I168" s="126">
        <f>SQRT(32^2+45^2)</f>
        <v>55.21775076911409</v>
      </c>
      <c r="J168" s="126">
        <f t="shared" si="10"/>
        <v>17.585270945577737</v>
      </c>
      <c r="K168" s="95"/>
      <c r="L168" s="95"/>
      <c r="M168" s="95"/>
      <c r="N168" s="95"/>
      <c r="O168" s="126">
        <f t="shared" si="11"/>
        <v>0.10344515922204292</v>
      </c>
      <c r="P168" s="131">
        <f>O168*(1+'Key Data'!F$3)</f>
        <v>0.12930644902755364</v>
      </c>
      <c r="Q168" s="366"/>
      <c r="R168" s="366"/>
      <c r="S168" s="482"/>
    </row>
    <row r="169" spans="1:19" s="92" customFormat="1" x14ac:dyDescent="0.3">
      <c r="A169" s="367"/>
      <c r="B169" s="367"/>
      <c r="C169" s="477"/>
      <c r="D169" s="477"/>
      <c r="E169" s="108">
        <v>14.9003415</v>
      </c>
      <c r="F169" s="108">
        <v>75.105487800000006</v>
      </c>
      <c r="G169" s="367"/>
      <c r="H169" s="367" t="s">
        <v>263</v>
      </c>
      <c r="I169" s="126">
        <v>28</v>
      </c>
      <c r="J169" s="126">
        <f t="shared" si="10"/>
        <v>8.9171974522292992</v>
      </c>
      <c r="K169" s="95"/>
      <c r="L169" s="95"/>
      <c r="M169" s="95"/>
      <c r="N169" s="95"/>
      <c r="O169" s="126">
        <f t="shared" si="11"/>
        <v>6.6183639528078139E-2</v>
      </c>
      <c r="P169" s="131">
        <f>O169*(1+'Key Data'!F$3)</f>
        <v>8.2729549410097677E-2</v>
      </c>
      <c r="Q169" s="366"/>
      <c r="R169" s="366"/>
      <c r="S169" s="482"/>
    </row>
    <row r="170" spans="1:19" s="92" customFormat="1" x14ac:dyDescent="0.3">
      <c r="A170" s="367"/>
      <c r="B170" s="367"/>
      <c r="C170" s="477"/>
      <c r="D170" s="477"/>
      <c r="E170" s="108">
        <v>14.900509700000001</v>
      </c>
      <c r="F170" s="108">
        <v>75.105519999999999</v>
      </c>
      <c r="G170" s="367"/>
      <c r="H170" s="367" t="s">
        <v>263</v>
      </c>
      <c r="I170" s="126">
        <v>36.200000000000003</v>
      </c>
      <c r="J170" s="126">
        <f t="shared" si="10"/>
        <v>11.528662420382165</v>
      </c>
      <c r="K170" s="95"/>
      <c r="L170" s="95"/>
      <c r="M170" s="95"/>
      <c r="N170" s="95"/>
      <c r="O170" s="126">
        <f t="shared" si="11"/>
        <v>8.4637568695109994E-2</v>
      </c>
      <c r="P170" s="131">
        <f>O170*(1+'Key Data'!F$3)</f>
        <v>0.10579696086888749</v>
      </c>
      <c r="Q170" s="366"/>
      <c r="R170" s="366"/>
      <c r="S170" s="482"/>
    </row>
    <row r="171" spans="1:19" s="92" customFormat="1" x14ac:dyDescent="0.3">
      <c r="A171" s="367"/>
      <c r="B171" s="367"/>
      <c r="C171" s="477"/>
      <c r="D171" s="477"/>
      <c r="E171" s="108"/>
      <c r="F171" s="108"/>
      <c r="G171" s="367"/>
      <c r="H171" s="367" t="s">
        <v>263</v>
      </c>
      <c r="I171" s="126">
        <f>SQRT(22^2+19^2)</f>
        <v>29.068883707497267</v>
      </c>
      <c r="J171" s="126">
        <f t="shared" si="10"/>
        <v>9.2576062762730142</v>
      </c>
      <c r="K171" s="95"/>
      <c r="L171" s="95"/>
      <c r="M171" s="95"/>
      <c r="N171" s="95"/>
      <c r="O171" s="126">
        <f t="shared" si="11"/>
        <v>6.9041012131944635E-2</v>
      </c>
      <c r="P171" s="131">
        <f>O171*(1+'Key Data'!F$3)</f>
        <v>8.6301265164930793E-2</v>
      </c>
      <c r="Q171" s="366"/>
      <c r="R171" s="366"/>
      <c r="S171" s="482"/>
    </row>
    <row r="172" spans="1:19" s="92" customFormat="1" x14ac:dyDescent="0.3">
      <c r="A172" s="367"/>
      <c r="B172" s="367"/>
      <c r="C172" s="477"/>
      <c r="D172" s="477"/>
      <c r="E172" s="108"/>
      <c r="F172" s="108"/>
      <c r="G172" s="367"/>
      <c r="H172" s="367" t="s">
        <v>263</v>
      </c>
      <c r="I172" s="126">
        <v>46</v>
      </c>
      <c r="J172" s="126">
        <f t="shared" si="10"/>
        <v>14.64968152866242</v>
      </c>
      <c r="K172" s="95"/>
      <c r="L172" s="95"/>
      <c r="M172" s="95"/>
      <c r="N172" s="95"/>
      <c r="O172" s="126">
        <f t="shared" si="11"/>
        <v>9.7419820513451161E-2</v>
      </c>
      <c r="P172" s="131">
        <f>O172*(1+'Key Data'!F$3)</f>
        <v>0.12177477564181395</v>
      </c>
      <c r="Q172" s="366"/>
      <c r="R172" s="366"/>
      <c r="S172" s="482"/>
    </row>
    <row r="173" spans="1:19" s="92" customFormat="1" x14ac:dyDescent="0.3">
      <c r="A173" s="367"/>
      <c r="B173" s="367"/>
      <c r="C173" s="477"/>
      <c r="D173" s="477"/>
      <c r="E173" s="108"/>
      <c r="F173" s="108"/>
      <c r="G173" s="367"/>
      <c r="H173" s="367" t="s">
        <v>263</v>
      </c>
      <c r="I173" s="126">
        <v>29.8</v>
      </c>
      <c r="J173" s="126">
        <f t="shared" si="10"/>
        <v>9.4904458598726116</v>
      </c>
      <c r="K173" s="95"/>
      <c r="L173" s="95"/>
      <c r="M173" s="95"/>
      <c r="N173" s="95"/>
      <c r="O173" s="126">
        <f t="shared" si="11"/>
        <v>7.0918459882971949E-2</v>
      </c>
      <c r="P173" s="131">
        <f>O173*(1+'Key Data'!F$3)</f>
        <v>8.8648074853714939E-2</v>
      </c>
      <c r="Q173" s="366"/>
      <c r="R173" s="366"/>
      <c r="S173" s="482"/>
    </row>
    <row r="174" spans="1:19" s="92" customFormat="1" x14ac:dyDescent="0.3">
      <c r="A174" s="367"/>
      <c r="B174" s="367"/>
      <c r="C174" s="477"/>
      <c r="D174" s="477"/>
      <c r="E174" s="108"/>
      <c r="F174" s="108"/>
      <c r="G174" s="367"/>
      <c r="H174" s="367" t="s">
        <v>263</v>
      </c>
      <c r="I174" s="126">
        <v>24.4</v>
      </c>
      <c r="J174" s="126">
        <f t="shared" si="10"/>
        <v>7.7707006369426743</v>
      </c>
      <c r="K174" s="95"/>
      <c r="L174" s="95"/>
      <c r="M174" s="95"/>
      <c r="N174" s="95"/>
      <c r="O174" s="126">
        <f t="shared" si="11"/>
        <v>5.5653022108107963E-2</v>
      </c>
      <c r="P174" s="131">
        <f>O174*(1+'Key Data'!F$3)</f>
        <v>6.9566277635134954E-2</v>
      </c>
      <c r="Q174" s="366"/>
      <c r="R174" s="366"/>
      <c r="S174" s="482"/>
    </row>
    <row r="175" spans="1:19" s="92" customFormat="1" x14ac:dyDescent="0.3">
      <c r="A175" s="367"/>
      <c r="B175" s="367"/>
      <c r="C175" s="477"/>
      <c r="D175" s="477"/>
      <c r="E175" s="108"/>
      <c r="F175" s="108"/>
      <c r="G175" s="367"/>
      <c r="H175" s="367" t="s">
        <v>263</v>
      </c>
      <c r="I175" s="126">
        <v>30</v>
      </c>
      <c r="J175" s="126">
        <f t="shared" si="10"/>
        <v>9.5541401273885338</v>
      </c>
      <c r="K175" s="95"/>
      <c r="L175" s="95"/>
      <c r="M175" s="95"/>
      <c r="N175" s="95"/>
      <c r="O175" s="126">
        <f t="shared" si="11"/>
        <v>7.1420982321553222E-2</v>
      </c>
      <c r="P175" s="131">
        <f>O175*(1+'Key Data'!F$3)</f>
        <v>8.9276227901941535E-2</v>
      </c>
      <c r="Q175" s="366"/>
      <c r="R175" s="366"/>
      <c r="S175" s="482"/>
    </row>
    <row r="176" spans="1:19" s="92" customFormat="1" x14ac:dyDescent="0.3">
      <c r="A176" s="367"/>
      <c r="B176" s="367"/>
      <c r="C176" s="477"/>
      <c r="D176" s="477"/>
      <c r="E176" s="108"/>
      <c r="F176" s="108"/>
      <c r="G176" s="367"/>
      <c r="H176" s="367" t="s">
        <v>263</v>
      </c>
      <c r="I176" s="126">
        <v>20</v>
      </c>
      <c r="J176" s="126">
        <f t="shared" si="10"/>
        <v>6.3694267515923562</v>
      </c>
      <c r="K176" s="95"/>
      <c r="L176" s="95"/>
      <c r="M176" s="95"/>
      <c r="N176" s="95"/>
      <c r="O176" s="126">
        <f t="shared" si="11"/>
        <v>4.1414189155155698E-2</v>
      </c>
      <c r="P176" s="131">
        <f>O176*(1+'Key Data'!F$3)</f>
        <v>5.1767736443944626E-2</v>
      </c>
      <c r="Q176" s="366"/>
      <c r="R176" s="366"/>
      <c r="S176" s="482"/>
    </row>
    <row r="177" spans="1:19" s="92" customFormat="1" x14ac:dyDescent="0.3">
      <c r="A177" s="367"/>
      <c r="B177" s="367"/>
      <c r="C177" s="477"/>
      <c r="D177" s="477"/>
      <c r="E177" s="108"/>
      <c r="F177" s="108"/>
      <c r="G177" s="367"/>
      <c r="H177" s="367" t="s">
        <v>263</v>
      </c>
      <c r="I177" s="126">
        <v>35.200000000000003</v>
      </c>
      <c r="J177" s="126">
        <f t="shared" si="10"/>
        <v>11.210191082802549</v>
      </c>
      <c r="K177" s="95"/>
      <c r="L177" s="95"/>
      <c r="M177" s="95"/>
      <c r="N177" s="95"/>
      <c r="O177" s="126">
        <f t="shared" si="11"/>
        <v>8.2808596762553602E-2</v>
      </c>
      <c r="P177" s="131">
        <f>O177*(1+'Key Data'!F$3)</f>
        <v>0.103510745953192</v>
      </c>
      <c r="Q177" s="366"/>
      <c r="R177" s="366"/>
      <c r="S177" s="482"/>
    </row>
    <row r="178" spans="1:19" s="92" customFormat="1" x14ac:dyDescent="0.3">
      <c r="A178" s="367"/>
      <c r="B178" s="367"/>
      <c r="C178" s="477"/>
      <c r="D178" s="477"/>
      <c r="E178" s="108"/>
      <c r="F178" s="108"/>
      <c r="G178" s="367"/>
      <c r="H178" s="367" t="s">
        <v>263</v>
      </c>
      <c r="I178" s="126">
        <v>36</v>
      </c>
      <c r="J178" s="126">
        <f t="shared" si="10"/>
        <v>11.464968152866241</v>
      </c>
      <c r="K178" s="95"/>
      <c r="L178" s="95"/>
      <c r="M178" s="95"/>
      <c r="N178" s="95"/>
      <c r="O178" s="126">
        <f t="shared" si="11"/>
        <v>8.4280664533466707E-2</v>
      </c>
      <c r="P178" s="131">
        <f>O178*(1+'Key Data'!F$3)</f>
        <v>0.10535083066683339</v>
      </c>
      <c r="Q178" s="366"/>
      <c r="R178" s="366"/>
      <c r="S178" s="482"/>
    </row>
    <row r="179" spans="1:19" s="92" customFormat="1" x14ac:dyDescent="0.3">
      <c r="A179" s="367"/>
      <c r="B179" s="367"/>
      <c r="C179" s="477"/>
      <c r="D179" s="477"/>
      <c r="E179" s="108"/>
      <c r="F179" s="108"/>
      <c r="G179" s="367"/>
      <c r="H179" s="367" t="s">
        <v>263</v>
      </c>
      <c r="I179" s="126">
        <v>39</v>
      </c>
      <c r="J179" s="126">
        <f t="shared" si="10"/>
        <v>12.420382165605096</v>
      </c>
      <c r="K179" s="95"/>
      <c r="L179" s="95"/>
      <c r="M179" s="95"/>
      <c r="N179" s="95"/>
      <c r="O179" s="126">
        <f t="shared" si="11"/>
        <v>8.9187912740586753E-2</v>
      </c>
      <c r="P179" s="131">
        <f>O179*(1+'Key Data'!F$3)</f>
        <v>0.11148489092573344</v>
      </c>
      <c r="Q179" s="366"/>
      <c r="R179" s="366"/>
      <c r="S179" s="482"/>
    </row>
    <row r="180" spans="1:19" s="92" customFormat="1" x14ac:dyDescent="0.3">
      <c r="A180" s="367"/>
      <c r="B180" s="367"/>
      <c r="C180" s="477"/>
      <c r="D180" s="477"/>
      <c r="E180" s="108"/>
      <c r="F180" s="108"/>
      <c r="G180" s="367"/>
      <c r="H180" s="367" t="s">
        <v>263</v>
      </c>
      <c r="I180" s="126">
        <f>SQRT(47^2+16.2^2)</f>
        <v>49.713579633737901</v>
      </c>
      <c r="J180" s="126">
        <f t="shared" si="10"/>
        <v>15.832350201827357</v>
      </c>
      <c r="K180" s="95"/>
      <c r="L180" s="95"/>
      <c r="M180" s="95"/>
      <c r="N180" s="95"/>
      <c r="O180" s="126">
        <f t="shared" si="11"/>
        <v>0.10036231664064715</v>
      </c>
      <c r="P180" s="131">
        <f>O180*(1+'Key Data'!F$3)</f>
        <v>0.12545289580080893</v>
      </c>
      <c r="Q180" s="366"/>
      <c r="R180" s="366"/>
      <c r="S180" s="482"/>
    </row>
    <row r="181" spans="1:19" s="92" customFormat="1" x14ac:dyDescent="0.3">
      <c r="A181" s="367"/>
      <c r="B181" s="367"/>
      <c r="C181" s="478"/>
      <c r="D181" s="478"/>
      <c r="E181" s="108"/>
      <c r="F181" s="108"/>
      <c r="G181" s="367"/>
      <c r="H181" s="367" t="s">
        <v>263</v>
      </c>
      <c r="I181" s="126">
        <v>41</v>
      </c>
      <c r="J181" s="126">
        <f t="shared" si="10"/>
        <v>13.057324840764331</v>
      </c>
      <c r="K181" s="95"/>
      <c r="L181" s="95"/>
      <c r="M181" s="95"/>
      <c r="N181" s="95"/>
      <c r="O181" s="126">
        <f t="shared" si="11"/>
        <v>9.1962027852063727E-2</v>
      </c>
      <c r="P181" s="131">
        <f>O181*(1+'Key Data'!F$3)</f>
        <v>0.11495253481507967</v>
      </c>
      <c r="Q181" s="366"/>
      <c r="R181" s="366"/>
      <c r="S181" s="483"/>
    </row>
  </sheetData>
  <autoFilter ref="H1:H609" xr:uid="{7739DA1F-27DA-4BA1-BAAD-19F52041212E}"/>
  <mergeCells count="85">
    <mergeCell ref="Q125:Q140"/>
    <mergeCell ref="Q141:Q165"/>
    <mergeCell ref="Q166:Q181"/>
    <mergeCell ref="R125:R140"/>
    <mergeCell ref="R141:R165"/>
    <mergeCell ref="R166:R181"/>
    <mergeCell ref="R102:R124"/>
    <mergeCell ref="Q2:Q17"/>
    <mergeCell ref="Q18:Q33"/>
    <mergeCell ref="Q34:Q54"/>
    <mergeCell ref="Q55:Q79"/>
    <mergeCell ref="Q80:Q101"/>
    <mergeCell ref="A125:A140"/>
    <mergeCell ref="B125:B140"/>
    <mergeCell ref="G125:G140"/>
    <mergeCell ref="F102:F124"/>
    <mergeCell ref="D102:D124"/>
    <mergeCell ref="A102:A124"/>
    <mergeCell ref="B102:B124"/>
    <mergeCell ref="C102:C124"/>
    <mergeCell ref="C125:C140"/>
    <mergeCell ref="D125:D140"/>
    <mergeCell ref="G102:G124"/>
    <mergeCell ref="E102:E124"/>
    <mergeCell ref="A80:A101"/>
    <mergeCell ref="B80:B101"/>
    <mergeCell ref="C80:C101"/>
    <mergeCell ref="G80:G101"/>
    <mergeCell ref="F80:F101"/>
    <mergeCell ref="D80:D101"/>
    <mergeCell ref="E80:E101"/>
    <mergeCell ref="G34:G54"/>
    <mergeCell ref="A55:A79"/>
    <mergeCell ref="B55:B79"/>
    <mergeCell ref="C55:C79"/>
    <mergeCell ref="G55:G79"/>
    <mergeCell ref="F34:F54"/>
    <mergeCell ref="F55:F79"/>
    <mergeCell ref="A34:A54"/>
    <mergeCell ref="B34:B54"/>
    <mergeCell ref="C34:C54"/>
    <mergeCell ref="D55:D79"/>
    <mergeCell ref="E55:E79"/>
    <mergeCell ref="D34:D54"/>
    <mergeCell ref="E34:E54"/>
    <mergeCell ref="G2:G17"/>
    <mergeCell ref="A18:A33"/>
    <mergeCell ref="B18:B33"/>
    <mergeCell ref="C18:C33"/>
    <mergeCell ref="G18:G33"/>
    <mergeCell ref="F2:F17"/>
    <mergeCell ref="F18:F33"/>
    <mergeCell ref="A2:A17"/>
    <mergeCell ref="B2:B17"/>
    <mergeCell ref="C2:C17"/>
    <mergeCell ref="D2:D17"/>
    <mergeCell ref="E2:E17"/>
    <mergeCell ref="D18:D33"/>
    <mergeCell ref="E18:E33"/>
    <mergeCell ref="A141:A165"/>
    <mergeCell ref="B141:B165"/>
    <mergeCell ref="G141:G165"/>
    <mergeCell ref="A166:A181"/>
    <mergeCell ref="B166:B181"/>
    <mergeCell ref="G166:G181"/>
    <mergeCell ref="C166:C181"/>
    <mergeCell ref="D166:D181"/>
    <mergeCell ref="C141:C165"/>
    <mergeCell ref="D141:D165"/>
    <mergeCell ref="H102:H124"/>
    <mergeCell ref="H125:H140"/>
    <mergeCell ref="H141:H165"/>
    <mergeCell ref="H166:H181"/>
    <mergeCell ref="S2:S181"/>
    <mergeCell ref="H2:H17"/>
    <mergeCell ref="H18:H33"/>
    <mergeCell ref="H34:H54"/>
    <mergeCell ref="H55:H79"/>
    <mergeCell ref="H80:H101"/>
    <mergeCell ref="Q102:Q124"/>
    <mergeCell ref="R2:R17"/>
    <mergeCell ref="R18:R33"/>
    <mergeCell ref="R34:R54"/>
    <mergeCell ref="R55:R79"/>
    <mergeCell ref="R80:R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1410-8697-4920-B9F8-6F5B27367EF8}">
  <dimension ref="A4:S22"/>
  <sheetViews>
    <sheetView topLeftCell="A14" workbookViewId="0">
      <selection activeCell="G17" sqref="G17"/>
    </sheetView>
  </sheetViews>
  <sheetFormatPr defaultColWidth="8.88671875" defaultRowHeight="14.4" x14ac:dyDescent="0.3"/>
  <cols>
    <col min="1" max="1" width="12.44140625" customWidth="1"/>
    <col min="3" max="3" width="13.109375" customWidth="1"/>
    <col min="4" max="4" width="16.109375" customWidth="1"/>
    <col min="5" max="5" width="10.33203125" customWidth="1"/>
    <col min="6" max="6" width="14.44140625" customWidth="1"/>
    <col min="7" max="7" width="15.44140625" customWidth="1"/>
    <col min="8" max="8" width="13.33203125" customWidth="1"/>
    <col min="9" max="9" width="15.44140625" customWidth="1"/>
    <col min="10" max="10" width="14" customWidth="1"/>
    <col min="11" max="11" width="18.6640625" customWidth="1"/>
    <col min="12" max="12" width="13.6640625" customWidth="1"/>
    <col min="13" max="13" width="17.6640625" customWidth="1"/>
    <col min="14" max="15" width="13" customWidth="1"/>
    <col min="16" max="16" width="17.109375" style="4" customWidth="1"/>
    <col min="17" max="17" width="18.88671875" style="4" customWidth="1"/>
    <col min="18" max="18" width="14.109375" style="4" customWidth="1"/>
    <col min="19" max="19" width="12.44140625" customWidth="1"/>
  </cols>
  <sheetData>
    <row r="4" spans="1:19" ht="21" customHeight="1" x14ac:dyDescent="0.3"/>
    <row r="10" spans="1:19" x14ac:dyDescent="0.3">
      <c r="D10" t="s">
        <v>45</v>
      </c>
      <c r="E10" t="s">
        <v>46</v>
      </c>
      <c r="I10" s="32"/>
      <c r="J10" t="s">
        <v>47</v>
      </c>
      <c r="N10" t="s">
        <v>48</v>
      </c>
    </row>
    <row r="11" spans="1:19" x14ac:dyDescent="0.3">
      <c r="I11" s="32"/>
    </row>
    <row r="14" spans="1:19" ht="184.8" x14ac:dyDescent="0.3">
      <c r="A14" s="360" t="s">
        <v>49</v>
      </c>
      <c r="B14" s="13" t="s">
        <v>49</v>
      </c>
      <c r="C14" s="14" t="s">
        <v>50</v>
      </c>
      <c r="D14" s="14" t="s">
        <v>51</v>
      </c>
      <c r="E14" s="14" t="s">
        <v>52</v>
      </c>
      <c r="F14" s="15" t="s">
        <v>53</v>
      </c>
      <c r="G14" s="16" t="s">
        <v>54</v>
      </c>
      <c r="H14" s="14" t="s">
        <v>55</v>
      </c>
      <c r="I14" s="17" t="s">
        <v>56</v>
      </c>
      <c r="J14" s="18" t="s">
        <v>57</v>
      </c>
      <c r="K14" s="17" t="s">
        <v>58</v>
      </c>
      <c r="L14" s="17" t="s">
        <v>59</v>
      </c>
      <c r="M14" s="17" t="s">
        <v>60</v>
      </c>
      <c r="N14" s="17" t="s">
        <v>61</v>
      </c>
      <c r="O14" s="17" t="s">
        <v>62</v>
      </c>
      <c r="P14" s="19" t="s">
        <v>63</v>
      </c>
      <c r="Q14" s="19" t="s">
        <v>64</v>
      </c>
      <c r="R14" s="19" t="s">
        <v>65</v>
      </c>
      <c r="S14" s="17" t="s">
        <v>66</v>
      </c>
    </row>
    <row r="15" spans="1:19" ht="15.6" x14ac:dyDescent="0.35">
      <c r="A15" s="360"/>
      <c r="B15" s="20" t="s">
        <v>67</v>
      </c>
      <c r="C15" s="21" t="s">
        <v>68</v>
      </c>
      <c r="D15" s="21" t="s">
        <v>69</v>
      </c>
      <c r="E15" s="21" t="s">
        <v>70</v>
      </c>
      <c r="F15" s="22" t="s">
        <v>71</v>
      </c>
      <c r="G15" s="22" t="s">
        <v>72</v>
      </c>
      <c r="H15" s="20" t="s">
        <v>73</v>
      </c>
      <c r="I15" s="22" t="s">
        <v>74</v>
      </c>
      <c r="J15" s="23" t="s">
        <v>75</v>
      </c>
      <c r="K15" s="22" t="s">
        <v>76</v>
      </c>
      <c r="L15" s="22" t="s">
        <v>77</v>
      </c>
      <c r="M15" s="21" t="s">
        <v>78</v>
      </c>
      <c r="N15" s="21" t="s">
        <v>79</v>
      </c>
      <c r="O15" s="22" t="s">
        <v>80</v>
      </c>
      <c r="P15" s="24" t="s">
        <v>81</v>
      </c>
      <c r="Q15" s="25" t="s">
        <v>82</v>
      </c>
      <c r="R15" s="26" t="s">
        <v>83</v>
      </c>
      <c r="S15" s="26" t="s">
        <v>84</v>
      </c>
    </row>
    <row r="16" spans="1:19" x14ac:dyDescent="0.3">
      <c r="A16" s="27">
        <v>2019</v>
      </c>
      <c r="B16" s="28">
        <v>0</v>
      </c>
      <c r="C16" s="29">
        <v>0.47</v>
      </c>
      <c r="D16" s="29">
        <v>1.3</v>
      </c>
      <c r="E16" s="29">
        <v>0.25</v>
      </c>
      <c r="F16" s="29">
        <v>0</v>
      </c>
      <c r="G16" s="29">
        <v>0</v>
      </c>
      <c r="H16" s="30">
        <f t="shared" ref="H16:H22" si="0">(44*C16*D16*(1+E16)*F16*G16)/12</f>
        <v>0</v>
      </c>
      <c r="I16" s="29">
        <v>0</v>
      </c>
      <c r="J16" s="31">
        <v>73</v>
      </c>
      <c r="K16" s="29">
        <v>0.1</v>
      </c>
      <c r="L16" s="29">
        <f t="shared" ref="L16:L22" si="1">I16*J16*K16</f>
        <v>0</v>
      </c>
      <c r="M16" s="29">
        <v>0.47</v>
      </c>
      <c r="N16" s="29">
        <v>0.4</v>
      </c>
      <c r="O16" s="29">
        <v>0</v>
      </c>
      <c r="P16" s="30">
        <f t="shared" ref="P16:P22" si="2">(44/12)*M16*(1+N16)*(O16*L16)</f>
        <v>0</v>
      </c>
      <c r="Q16" s="30">
        <f>P16</f>
        <v>0</v>
      </c>
      <c r="R16" s="30">
        <f>P16</f>
        <v>0</v>
      </c>
      <c r="S16" s="30">
        <f>H16+R16</f>
        <v>0</v>
      </c>
    </row>
    <row r="17" spans="1:19" x14ac:dyDescent="0.3">
      <c r="A17" s="27">
        <v>2020</v>
      </c>
      <c r="B17" s="28">
        <v>1</v>
      </c>
      <c r="C17" s="29">
        <v>0.47</v>
      </c>
      <c r="D17" s="29">
        <v>1.3</v>
      </c>
      <c r="E17" s="29">
        <v>0.25</v>
      </c>
      <c r="F17" s="29">
        <v>0</v>
      </c>
      <c r="G17" s="29">
        <v>0</v>
      </c>
      <c r="H17" s="30">
        <f t="shared" si="0"/>
        <v>0</v>
      </c>
      <c r="I17" s="29">
        <v>0</v>
      </c>
      <c r="J17" s="31">
        <v>73</v>
      </c>
      <c r="K17" s="29">
        <v>0.1</v>
      </c>
      <c r="L17" s="29">
        <f t="shared" si="1"/>
        <v>0</v>
      </c>
      <c r="M17" s="29">
        <v>0.47</v>
      </c>
      <c r="N17" s="29">
        <v>0.4</v>
      </c>
      <c r="O17" s="29">
        <v>0</v>
      </c>
      <c r="P17" s="30">
        <f t="shared" si="2"/>
        <v>0</v>
      </c>
      <c r="Q17" s="30">
        <f t="shared" ref="Q17:Q22" si="3">P17-P16</f>
        <v>0</v>
      </c>
      <c r="R17" s="30">
        <f t="shared" ref="R17:R22" si="4">P17</f>
        <v>0</v>
      </c>
      <c r="S17" s="30">
        <f t="shared" ref="S17:S22" si="5">H17+R17</f>
        <v>0</v>
      </c>
    </row>
    <row r="18" spans="1:19" x14ac:dyDescent="0.3">
      <c r="A18" s="27">
        <v>2021</v>
      </c>
      <c r="B18" s="28">
        <v>2</v>
      </c>
      <c r="C18" s="29">
        <v>0.47</v>
      </c>
      <c r="D18" s="29">
        <v>1.3</v>
      </c>
      <c r="E18" s="29">
        <v>0.25</v>
      </c>
      <c r="F18" s="29">
        <v>0</v>
      </c>
      <c r="G18" s="29">
        <v>0</v>
      </c>
      <c r="H18" s="30">
        <f t="shared" si="0"/>
        <v>0</v>
      </c>
      <c r="I18" s="29">
        <v>0</v>
      </c>
      <c r="J18" s="31">
        <v>73</v>
      </c>
      <c r="K18" s="29">
        <v>0.1</v>
      </c>
      <c r="L18" s="29">
        <f t="shared" si="1"/>
        <v>0</v>
      </c>
      <c r="M18" s="29">
        <v>0.47</v>
      </c>
      <c r="N18" s="29">
        <v>0.4</v>
      </c>
      <c r="O18" s="29">
        <v>0</v>
      </c>
      <c r="P18" s="30">
        <f t="shared" si="2"/>
        <v>0</v>
      </c>
      <c r="Q18" s="30">
        <f t="shared" si="3"/>
        <v>0</v>
      </c>
      <c r="R18" s="30">
        <f t="shared" si="4"/>
        <v>0</v>
      </c>
      <c r="S18" s="30">
        <f t="shared" si="5"/>
        <v>0</v>
      </c>
    </row>
    <row r="19" spans="1:19" x14ac:dyDescent="0.3">
      <c r="A19" s="27">
        <v>2022</v>
      </c>
      <c r="B19" s="28">
        <v>3</v>
      </c>
      <c r="C19" s="29">
        <v>0.47</v>
      </c>
      <c r="D19" s="29">
        <v>1.3</v>
      </c>
      <c r="E19" s="29">
        <v>0.25</v>
      </c>
      <c r="F19" s="29">
        <v>0</v>
      </c>
      <c r="G19" s="29">
        <v>0</v>
      </c>
      <c r="H19" s="30">
        <f t="shared" si="0"/>
        <v>0</v>
      </c>
      <c r="I19" s="29">
        <v>0</v>
      </c>
      <c r="J19" s="31">
        <v>73</v>
      </c>
      <c r="K19" s="29">
        <v>0.1</v>
      </c>
      <c r="L19" s="29">
        <f t="shared" si="1"/>
        <v>0</v>
      </c>
      <c r="M19" s="29">
        <v>0.47</v>
      </c>
      <c r="N19" s="29">
        <v>0.4</v>
      </c>
      <c r="O19" s="29">
        <v>0</v>
      </c>
      <c r="P19" s="30">
        <f t="shared" si="2"/>
        <v>0</v>
      </c>
      <c r="Q19" s="30">
        <f t="shared" si="3"/>
        <v>0</v>
      </c>
      <c r="R19" s="30">
        <f t="shared" si="4"/>
        <v>0</v>
      </c>
      <c r="S19" s="30">
        <f t="shared" si="5"/>
        <v>0</v>
      </c>
    </row>
    <row r="20" spans="1:19" x14ac:dyDescent="0.3">
      <c r="A20" s="27">
        <v>2023</v>
      </c>
      <c r="B20" s="28">
        <v>4</v>
      </c>
      <c r="C20" s="29">
        <v>0.47</v>
      </c>
      <c r="D20" s="29">
        <v>1.3</v>
      </c>
      <c r="E20" s="29">
        <v>0.25</v>
      </c>
      <c r="F20" s="29">
        <v>0</v>
      </c>
      <c r="G20" s="29">
        <v>0</v>
      </c>
      <c r="H20" s="30">
        <f t="shared" si="0"/>
        <v>0</v>
      </c>
      <c r="I20" s="29">
        <v>0</v>
      </c>
      <c r="J20" s="31">
        <v>73</v>
      </c>
      <c r="K20" s="29">
        <v>0.1</v>
      </c>
      <c r="L20" s="29">
        <f t="shared" si="1"/>
        <v>0</v>
      </c>
      <c r="M20" s="29">
        <v>0.47</v>
      </c>
      <c r="N20" s="29">
        <v>0.4</v>
      </c>
      <c r="O20" s="29">
        <v>0</v>
      </c>
      <c r="P20" s="30">
        <f t="shared" si="2"/>
        <v>0</v>
      </c>
      <c r="Q20" s="30">
        <f t="shared" si="3"/>
        <v>0</v>
      </c>
      <c r="R20" s="30">
        <f>P20</f>
        <v>0</v>
      </c>
      <c r="S20" s="30">
        <f>H20+R20</f>
        <v>0</v>
      </c>
    </row>
    <row r="21" spans="1:19" x14ac:dyDescent="0.3">
      <c r="A21" s="27">
        <v>2024</v>
      </c>
      <c r="B21" s="28">
        <v>5</v>
      </c>
      <c r="C21" s="29">
        <v>0.47</v>
      </c>
      <c r="D21" s="29">
        <v>1.3</v>
      </c>
      <c r="E21" s="29">
        <v>0.25</v>
      </c>
      <c r="F21" s="29">
        <v>0</v>
      </c>
      <c r="G21" s="29">
        <v>0</v>
      </c>
      <c r="H21" s="30">
        <f t="shared" si="0"/>
        <v>0</v>
      </c>
      <c r="I21" s="29">
        <v>0</v>
      </c>
      <c r="J21" s="31">
        <v>73</v>
      </c>
      <c r="K21" s="29">
        <v>0.1</v>
      </c>
      <c r="L21" s="29">
        <f t="shared" si="1"/>
        <v>0</v>
      </c>
      <c r="M21" s="29">
        <v>0.47</v>
      </c>
      <c r="N21" s="29">
        <v>0.4</v>
      </c>
      <c r="O21" s="29">
        <v>0</v>
      </c>
      <c r="P21" s="30">
        <f t="shared" si="2"/>
        <v>0</v>
      </c>
      <c r="Q21" s="30">
        <f t="shared" si="3"/>
        <v>0</v>
      </c>
      <c r="R21" s="30">
        <f t="shared" si="4"/>
        <v>0</v>
      </c>
      <c r="S21" s="30">
        <f t="shared" si="5"/>
        <v>0</v>
      </c>
    </row>
    <row r="22" spans="1:19" x14ac:dyDescent="0.3">
      <c r="A22" s="27">
        <v>2025</v>
      </c>
      <c r="B22" s="28">
        <v>6</v>
      </c>
      <c r="C22" s="29">
        <v>0.47</v>
      </c>
      <c r="D22" s="29">
        <v>1.3</v>
      </c>
      <c r="E22" s="29">
        <v>0.25</v>
      </c>
      <c r="F22" s="29">
        <v>0</v>
      </c>
      <c r="G22" s="29">
        <v>0</v>
      </c>
      <c r="H22" s="30">
        <f t="shared" si="0"/>
        <v>0</v>
      </c>
      <c r="I22" s="29">
        <v>0</v>
      </c>
      <c r="J22" s="31">
        <v>73</v>
      </c>
      <c r="K22" s="29">
        <v>0.1</v>
      </c>
      <c r="L22" s="29">
        <f t="shared" si="1"/>
        <v>0</v>
      </c>
      <c r="M22" s="29">
        <v>0.47</v>
      </c>
      <c r="N22" s="29">
        <v>0.4</v>
      </c>
      <c r="O22" s="29">
        <v>0</v>
      </c>
      <c r="P22" s="30">
        <f t="shared" si="2"/>
        <v>0</v>
      </c>
      <c r="Q22" s="30">
        <f t="shared" si="3"/>
        <v>0</v>
      </c>
      <c r="R22" s="30">
        <f t="shared" si="4"/>
        <v>0</v>
      </c>
      <c r="S22" s="30">
        <f t="shared" si="5"/>
        <v>0</v>
      </c>
    </row>
  </sheetData>
  <mergeCells count="1">
    <mergeCell ref="A14:A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F2C6-1CCE-42DE-B751-A3972A8903D0}">
  <dimension ref="A5:AY34"/>
  <sheetViews>
    <sheetView zoomScale="95" zoomScaleNormal="95" workbookViewId="0">
      <selection activeCell="J10" sqref="J10"/>
    </sheetView>
  </sheetViews>
  <sheetFormatPr defaultColWidth="8.88671875" defaultRowHeight="14.4" x14ac:dyDescent="0.3"/>
  <cols>
    <col min="2" max="2" width="29" customWidth="1"/>
    <col min="3" max="4" width="11.6640625" customWidth="1"/>
    <col min="5" max="5" width="17" customWidth="1"/>
    <col min="6" max="6" width="21" bestFit="1" customWidth="1"/>
    <col min="7" max="7" width="11.109375" customWidth="1"/>
    <col min="8" max="8" width="12.33203125" customWidth="1"/>
    <col min="9" max="9" width="12" customWidth="1"/>
    <col min="10" max="50" width="11.109375" customWidth="1"/>
    <col min="51" max="51" width="22.88671875" customWidth="1"/>
    <col min="52" max="52" width="11.109375" customWidth="1"/>
    <col min="56" max="56" width="9.44140625" customWidth="1"/>
    <col min="57" max="57" width="13.44140625" customWidth="1"/>
  </cols>
  <sheetData>
    <row r="5" spans="1:51" x14ac:dyDescent="0.3">
      <c r="F5" s="33"/>
    </row>
    <row r="6" spans="1:51" ht="15.6" x14ac:dyDescent="0.35">
      <c r="A6" s="34" t="s">
        <v>85</v>
      </c>
      <c r="B6" s="34" t="s">
        <v>86</v>
      </c>
      <c r="C6" s="34" t="s">
        <v>656</v>
      </c>
      <c r="D6" s="34" t="s">
        <v>94</v>
      </c>
      <c r="E6" s="34" t="s">
        <v>87</v>
      </c>
      <c r="F6" s="34" t="s">
        <v>88</v>
      </c>
      <c r="G6" s="34" t="s">
        <v>89</v>
      </c>
      <c r="H6" s="34" t="s">
        <v>90</v>
      </c>
      <c r="I6" s="34" t="s">
        <v>91</v>
      </c>
      <c r="J6" s="34" t="s">
        <v>92</v>
      </c>
    </row>
    <row r="7" spans="1:51" ht="39.6" customHeight="1" x14ac:dyDescent="0.3">
      <c r="A7" s="38" t="s">
        <v>93</v>
      </c>
      <c r="B7" s="42">
        <v>38</v>
      </c>
      <c r="C7" s="319" t="s">
        <v>657</v>
      </c>
      <c r="D7" s="320" t="s">
        <v>95</v>
      </c>
      <c r="E7" s="39">
        <v>0.48</v>
      </c>
      <c r="F7" s="40">
        <v>1</v>
      </c>
      <c r="G7" s="41">
        <v>1</v>
      </c>
      <c r="H7" s="1">
        <f>B7*E7*F7*G7</f>
        <v>18.239999999999998</v>
      </c>
      <c r="I7" s="1">
        <v>0</v>
      </c>
      <c r="J7" s="38">
        <f xml:space="preserve"> IF(((B7-(H7-I7))/20)&gt;0.8,0.8,((B7-(H7-I7))/20))</f>
        <v>0.8</v>
      </c>
    </row>
    <row r="8" spans="1:51" ht="39.6" x14ac:dyDescent="0.3">
      <c r="A8" s="38" t="s">
        <v>374</v>
      </c>
      <c r="B8" s="42">
        <v>38</v>
      </c>
      <c r="C8" s="319" t="s">
        <v>657</v>
      </c>
      <c r="D8" s="321"/>
      <c r="E8" s="39">
        <v>0.48</v>
      </c>
      <c r="F8" s="40">
        <v>1</v>
      </c>
      <c r="G8" s="41">
        <v>1</v>
      </c>
      <c r="H8" s="1">
        <f>B8*E8*F8*G8</f>
        <v>18.239999999999998</v>
      </c>
      <c r="I8" s="1">
        <v>0</v>
      </c>
      <c r="J8" s="38">
        <f xml:space="preserve"> IF(((B8-(H8-I8))/20)&gt;0.8,0.8,((B8-(H8-I8))/20))</f>
        <v>0.8</v>
      </c>
    </row>
    <row r="9" spans="1:51" ht="52.8" x14ac:dyDescent="0.3">
      <c r="A9" s="38" t="s">
        <v>375</v>
      </c>
      <c r="B9" s="42">
        <v>65</v>
      </c>
      <c r="C9" s="319" t="s">
        <v>658</v>
      </c>
      <c r="D9" s="321"/>
      <c r="E9" s="39">
        <v>0.48</v>
      </c>
      <c r="F9" s="40">
        <v>1</v>
      </c>
      <c r="G9" s="41">
        <v>1</v>
      </c>
      <c r="H9" s="1">
        <f>B9*E9*F9*G9</f>
        <v>31.2</v>
      </c>
      <c r="I9" s="1">
        <v>0</v>
      </c>
      <c r="J9" s="38">
        <f xml:space="preserve"> IF(((B9-(H9-I9))/20)&gt;0.8,0.8,((B9-(H9-I9))/20))</f>
        <v>0.8</v>
      </c>
    </row>
    <row r="10" spans="1:51" ht="52.8" x14ac:dyDescent="0.3">
      <c r="A10" s="38" t="s">
        <v>376</v>
      </c>
      <c r="B10" s="42">
        <v>65</v>
      </c>
      <c r="C10" s="319" t="s">
        <v>658</v>
      </c>
      <c r="D10" s="322"/>
      <c r="E10" s="39">
        <v>0.48</v>
      </c>
      <c r="F10" s="40">
        <v>1</v>
      </c>
      <c r="G10" s="41">
        <v>1</v>
      </c>
      <c r="H10" s="1">
        <f>B10*E10*F10*G10</f>
        <v>31.2</v>
      </c>
      <c r="I10" s="1">
        <v>0</v>
      </c>
      <c r="J10" s="38">
        <f xml:space="preserve"> IF(((B10-(H10-I10))/20)&gt;0.8,0.8,((B10-(H10-I10))/20))</f>
        <v>0.8</v>
      </c>
    </row>
    <row r="11" spans="1:51" x14ac:dyDescent="0.3">
      <c r="A11" s="38"/>
      <c r="B11" s="43"/>
      <c r="E11" s="1" t="s">
        <v>96</v>
      </c>
      <c r="F11" s="1" t="s">
        <v>97</v>
      </c>
      <c r="G11" s="1" t="s">
        <v>98</v>
      </c>
      <c r="H11" s="1"/>
      <c r="I11" s="1"/>
      <c r="J11" s="1"/>
    </row>
    <row r="13" spans="1:51" ht="15" thickBot="1" x14ac:dyDescent="0.35"/>
    <row r="14" spans="1:51" s="35" customFormat="1" ht="144" x14ac:dyDescent="0.3">
      <c r="B14" s="276" t="s">
        <v>99</v>
      </c>
      <c r="C14" s="59" t="s">
        <v>100</v>
      </c>
      <c r="D14" s="59" t="s">
        <v>101</v>
      </c>
      <c r="E14" s="59" t="s">
        <v>102</v>
      </c>
      <c r="F14" s="59" t="s">
        <v>103</v>
      </c>
      <c r="G14" s="59" t="s">
        <v>104</v>
      </c>
      <c r="H14" s="59" t="s">
        <v>105</v>
      </c>
      <c r="I14" s="59" t="s">
        <v>106</v>
      </c>
      <c r="J14" s="59" t="s">
        <v>107</v>
      </c>
      <c r="K14" s="59" t="s">
        <v>108</v>
      </c>
      <c r="L14" s="59" t="s">
        <v>109</v>
      </c>
      <c r="M14" s="59" t="s">
        <v>110</v>
      </c>
      <c r="N14" s="59" t="s">
        <v>522</v>
      </c>
      <c r="O14" s="59" t="s">
        <v>523</v>
      </c>
      <c r="P14" s="59" t="s">
        <v>659</v>
      </c>
      <c r="Q14" s="59" t="s">
        <v>660</v>
      </c>
      <c r="R14" s="59" t="s">
        <v>661</v>
      </c>
      <c r="S14" s="59" t="s">
        <v>662</v>
      </c>
      <c r="T14" s="59" t="s">
        <v>663</v>
      </c>
      <c r="U14" s="59" t="s">
        <v>664</v>
      </c>
      <c r="V14" s="59" t="s">
        <v>665</v>
      </c>
      <c r="W14" s="59" t="s">
        <v>666</v>
      </c>
      <c r="X14" s="59" t="s">
        <v>667</v>
      </c>
      <c r="Y14" s="59" t="s">
        <v>668</v>
      </c>
      <c r="Z14" s="59" t="s">
        <v>669</v>
      </c>
      <c r="AA14" s="59" t="s">
        <v>111</v>
      </c>
      <c r="AB14" s="59" t="s">
        <v>112</v>
      </c>
      <c r="AC14" s="59" t="s">
        <v>113</v>
      </c>
      <c r="AD14" s="59" t="s">
        <v>114</v>
      </c>
      <c r="AE14" s="59" t="s">
        <v>115</v>
      </c>
      <c r="AF14" s="59" t="s">
        <v>116</v>
      </c>
      <c r="AG14" s="59" t="s">
        <v>117</v>
      </c>
      <c r="AH14" s="59" t="s">
        <v>118</v>
      </c>
      <c r="AI14" s="59" t="s">
        <v>119</v>
      </c>
      <c r="AJ14" s="59" t="s">
        <v>120</v>
      </c>
      <c r="AK14" s="59" t="s">
        <v>121</v>
      </c>
      <c r="AL14" s="59" t="s">
        <v>530</v>
      </c>
      <c r="AM14" s="59" t="s">
        <v>531</v>
      </c>
      <c r="AN14" s="59" t="s">
        <v>532</v>
      </c>
      <c r="AO14" s="59" t="s">
        <v>533</v>
      </c>
      <c r="AP14" s="59" t="s">
        <v>534</v>
      </c>
      <c r="AQ14" s="59" t="s">
        <v>535</v>
      </c>
      <c r="AR14" s="59" t="s">
        <v>670</v>
      </c>
      <c r="AS14" s="59" t="s">
        <v>671</v>
      </c>
      <c r="AT14" s="59" t="s">
        <v>672</v>
      </c>
      <c r="AU14" s="59" t="s">
        <v>673</v>
      </c>
      <c r="AV14" s="59" t="s">
        <v>674</v>
      </c>
      <c r="AW14" s="59" t="s">
        <v>675</v>
      </c>
      <c r="AX14" s="59" t="s">
        <v>676</v>
      </c>
      <c r="AY14" s="323" t="s">
        <v>122</v>
      </c>
    </row>
    <row r="15" spans="1:51" s="9" customFormat="1" ht="15.6" x14ac:dyDescent="0.35">
      <c r="B15" s="324"/>
      <c r="C15" s="36" t="s">
        <v>123</v>
      </c>
      <c r="D15" s="36" t="s">
        <v>124</v>
      </c>
      <c r="E15" s="36" t="s">
        <v>125</v>
      </c>
      <c r="F15" s="36" t="s">
        <v>126</v>
      </c>
      <c r="G15" s="36" t="s">
        <v>127</v>
      </c>
      <c r="H15" s="36" t="s">
        <v>128</v>
      </c>
      <c r="I15" s="36" t="s">
        <v>129</v>
      </c>
      <c r="J15" s="36" t="s">
        <v>130</v>
      </c>
      <c r="K15" s="36" t="s">
        <v>131</v>
      </c>
      <c r="L15" s="36" t="s">
        <v>132</v>
      </c>
      <c r="M15" s="36" t="s">
        <v>133</v>
      </c>
      <c r="N15" s="36" t="s">
        <v>677</v>
      </c>
      <c r="O15" s="36" t="s">
        <v>517</v>
      </c>
      <c r="P15" s="36" t="s">
        <v>518</v>
      </c>
      <c r="Q15" s="36" t="s">
        <v>519</v>
      </c>
      <c r="R15" s="36" t="s">
        <v>520</v>
      </c>
      <c r="S15" s="36" t="s">
        <v>521</v>
      </c>
      <c r="T15" s="36" t="s">
        <v>678</v>
      </c>
      <c r="U15" s="36" t="s">
        <v>679</v>
      </c>
      <c r="V15" s="36" t="s">
        <v>680</v>
      </c>
      <c r="W15" s="36" t="s">
        <v>681</v>
      </c>
      <c r="X15" s="36" t="s">
        <v>682</v>
      </c>
      <c r="Y15" s="36" t="s">
        <v>683</v>
      </c>
      <c r="Z15" s="36" t="s">
        <v>684</v>
      </c>
      <c r="AA15" s="36" t="s">
        <v>134</v>
      </c>
      <c r="AB15" s="36" t="s">
        <v>135</v>
      </c>
      <c r="AC15" s="36" t="s">
        <v>136</v>
      </c>
      <c r="AD15" s="36" t="s">
        <v>137</v>
      </c>
      <c r="AE15" s="36" t="s">
        <v>138</v>
      </c>
      <c r="AF15" s="36" t="s">
        <v>139</v>
      </c>
      <c r="AG15" s="36" t="s">
        <v>140</v>
      </c>
      <c r="AH15" s="36" t="s">
        <v>141</v>
      </c>
      <c r="AI15" s="36" t="s">
        <v>142</v>
      </c>
      <c r="AJ15" s="36" t="s">
        <v>143</v>
      </c>
      <c r="AK15" s="36" t="s">
        <v>144</v>
      </c>
      <c r="AL15" s="36" t="s">
        <v>524</v>
      </c>
      <c r="AM15" s="36" t="s">
        <v>525</v>
      </c>
      <c r="AN15" s="36" t="s">
        <v>526</v>
      </c>
      <c r="AO15" s="36" t="s">
        <v>527</v>
      </c>
      <c r="AP15" s="36" t="s">
        <v>528</v>
      </c>
      <c r="AQ15" s="36" t="s">
        <v>529</v>
      </c>
      <c r="AR15" s="36" t="s">
        <v>685</v>
      </c>
      <c r="AS15" s="36" t="s">
        <v>686</v>
      </c>
      <c r="AT15" s="36" t="s">
        <v>687</v>
      </c>
      <c r="AU15" s="36" t="s">
        <v>688</v>
      </c>
      <c r="AV15" s="36" t="s">
        <v>689</v>
      </c>
      <c r="AW15" s="36" t="s">
        <v>690</v>
      </c>
      <c r="AX15" s="36" t="s">
        <v>691</v>
      </c>
      <c r="AY15" s="325" t="s">
        <v>692</v>
      </c>
    </row>
    <row r="16" spans="1:51" s="37" customFormat="1" ht="15" x14ac:dyDescent="0.3">
      <c r="B16" s="326" t="s">
        <v>377</v>
      </c>
      <c r="C16" s="327">
        <f>$J$7</f>
        <v>0.8</v>
      </c>
      <c r="D16" s="327">
        <f t="shared" ref="D16:H22" si="0">$J$7</f>
        <v>0.8</v>
      </c>
      <c r="E16" s="327">
        <f t="shared" si="0"/>
        <v>0.8</v>
      </c>
      <c r="F16" s="327">
        <f t="shared" si="0"/>
        <v>0.8</v>
      </c>
      <c r="G16" s="327">
        <f t="shared" si="0"/>
        <v>0.8</v>
      </c>
      <c r="H16" s="327">
        <f t="shared" si="0"/>
        <v>0.8</v>
      </c>
      <c r="I16" s="328">
        <f>$J$8</f>
        <v>0.8</v>
      </c>
      <c r="J16" s="328">
        <f t="shared" ref="J16:N22" si="1">$J$8</f>
        <v>0.8</v>
      </c>
      <c r="K16" s="328">
        <f t="shared" si="1"/>
        <v>0.8</v>
      </c>
      <c r="L16" s="328">
        <f t="shared" si="1"/>
        <v>0.8</v>
      </c>
      <c r="M16" s="328">
        <f t="shared" si="1"/>
        <v>0.8</v>
      </c>
      <c r="N16" s="328">
        <f t="shared" si="1"/>
        <v>0.8</v>
      </c>
      <c r="O16" s="329">
        <f>$J$9</f>
        <v>0.8</v>
      </c>
      <c r="P16" s="329">
        <f t="shared" ref="P16:T22" si="2">$J$9</f>
        <v>0.8</v>
      </c>
      <c r="Q16" s="329">
        <f t="shared" si="2"/>
        <v>0.8</v>
      </c>
      <c r="R16" s="329">
        <f t="shared" si="2"/>
        <v>0.8</v>
      </c>
      <c r="S16" s="329">
        <f t="shared" si="2"/>
        <v>0.8</v>
      </c>
      <c r="T16" s="329">
        <f t="shared" si="2"/>
        <v>0.8</v>
      </c>
      <c r="U16" s="330">
        <f>$J$10</f>
        <v>0.8</v>
      </c>
      <c r="V16" s="330">
        <f t="shared" ref="V16:Z22" si="3">$J$10</f>
        <v>0.8</v>
      </c>
      <c r="W16" s="330">
        <f t="shared" si="3"/>
        <v>0.8</v>
      </c>
      <c r="X16" s="330">
        <f t="shared" si="3"/>
        <v>0.8</v>
      </c>
      <c r="Y16" s="330">
        <f t="shared" si="3"/>
        <v>0.8</v>
      </c>
      <c r="Z16" s="330">
        <f t="shared" si="3"/>
        <v>0.8</v>
      </c>
      <c r="AA16" s="331">
        <f>$C$28</f>
        <v>120.36</v>
      </c>
      <c r="AB16" s="331">
        <v>0</v>
      </c>
      <c r="AC16" s="331">
        <v>0</v>
      </c>
      <c r="AD16" s="331">
        <v>0</v>
      </c>
      <c r="AE16" s="331">
        <v>0</v>
      </c>
      <c r="AF16" s="331">
        <v>0</v>
      </c>
      <c r="AG16" s="331">
        <f t="shared" ref="AG16:AG22" si="4">$F$28</f>
        <v>121.11</v>
      </c>
      <c r="AH16" s="331">
        <v>0</v>
      </c>
      <c r="AI16" s="331">
        <v>0</v>
      </c>
      <c r="AJ16" s="331">
        <v>0</v>
      </c>
      <c r="AK16" s="331">
        <v>0</v>
      </c>
      <c r="AL16" s="331">
        <v>0</v>
      </c>
      <c r="AM16" s="332">
        <f t="shared" ref="AM16:AM22" si="5">$E$28</f>
        <v>9.1999999999999993</v>
      </c>
      <c r="AN16" s="332">
        <v>0</v>
      </c>
      <c r="AO16" s="332">
        <v>0</v>
      </c>
      <c r="AP16" s="332">
        <v>0</v>
      </c>
      <c r="AQ16" s="332">
        <v>0</v>
      </c>
      <c r="AR16" s="332">
        <v>0</v>
      </c>
      <c r="AS16" s="332">
        <f>$D$28</f>
        <v>15.159999999999998</v>
      </c>
      <c r="AT16" s="332"/>
      <c r="AU16" s="332"/>
      <c r="AV16" s="332"/>
      <c r="AW16" s="332"/>
      <c r="AX16" s="332"/>
      <c r="AY16" s="333">
        <f>44/12*(C16*AA16+D16*AB16+E16*AC16+F16*AD16+G16*AE16+H16*AF16+I16*AG16+J16*AH16+K16*AI16+L16*AJ16+M16*AK16+N16*AL16+O16*AM16+P16*AN16+Q16*AO16+R16*AP16+S16*AQ16+T16*AR16+U16*AS16+V16*AT16+W16*AU16+X16*AV16+Y16*AW16+Z16*AX16)*0.50137</f>
        <v>390.95228215999992</v>
      </c>
    </row>
    <row r="17" spans="2:51" ht="15" x14ac:dyDescent="0.3">
      <c r="B17" s="326" t="s">
        <v>145</v>
      </c>
      <c r="C17" s="327">
        <f t="shared" ref="C17:C22" si="6">$J$7</f>
        <v>0.8</v>
      </c>
      <c r="D17" s="327">
        <f t="shared" si="0"/>
        <v>0.8</v>
      </c>
      <c r="E17" s="327">
        <f t="shared" si="0"/>
        <v>0.8</v>
      </c>
      <c r="F17" s="327">
        <f t="shared" si="0"/>
        <v>0.8</v>
      </c>
      <c r="G17" s="327">
        <f t="shared" si="0"/>
        <v>0.8</v>
      </c>
      <c r="H17" s="327">
        <f t="shared" si="0"/>
        <v>0.8</v>
      </c>
      <c r="I17" s="328">
        <f>$J$8</f>
        <v>0.8</v>
      </c>
      <c r="J17" s="328">
        <f t="shared" si="1"/>
        <v>0.8</v>
      </c>
      <c r="K17" s="328">
        <f t="shared" si="1"/>
        <v>0.8</v>
      </c>
      <c r="L17" s="328">
        <f t="shared" si="1"/>
        <v>0.8</v>
      </c>
      <c r="M17" s="328">
        <f t="shared" si="1"/>
        <v>0.8</v>
      </c>
      <c r="N17" s="328">
        <f t="shared" si="1"/>
        <v>0.8</v>
      </c>
      <c r="O17" s="329">
        <f t="shared" ref="O17:O22" si="7">$J$9</f>
        <v>0.8</v>
      </c>
      <c r="P17" s="329">
        <f t="shared" si="2"/>
        <v>0.8</v>
      </c>
      <c r="Q17" s="329">
        <f t="shared" si="2"/>
        <v>0.8</v>
      </c>
      <c r="R17" s="329">
        <f t="shared" si="2"/>
        <v>0.8</v>
      </c>
      <c r="S17" s="329">
        <f t="shared" si="2"/>
        <v>0.8</v>
      </c>
      <c r="T17" s="329">
        <f t="shared" si="2"/>
        <v>0.8</v>
      </c>
      <c r="U17" s="330">
        <f t="shared" ref="U17:U22" si="8">$J$10</f>
        <v>0.8</v>
      </c>
      <c r="V17" s="330">
        <f t="shared" si="3"/>
        <v>0.8</v>
      </c>
      <c r="W17" s="330">
        <f t="shared" si="3"/>
        <v>0.8</v>
      </c>
      <c r="X17" s="330">
        <f t="shared" si="3"/>
        <v>0.8</v>
      </c>
      <c r="Y17" s="330">
        <f t="shared" si="3"/>
        <v>0.8</v>
      </c>
      <c r="Z17" s="330">
        <f t="shared" si="3"/>
        <v>0.8</v>
      </c>
      <c r="AA17" s="331">
        <f t="shared" ref="AA17:AA22" si="9">$C$28</f>
        <v>120.36</v>
      </c>
      <c r="AB17" s="331">
        <f>$C$29</f>
        <v>156.94999999999999</v>
      </c>
      <c r="AC17" s="331">
        <v>0</v>
      </c>
      <c r="AD17" s="331">
        <v>0</v>
      </c>
      <c r="AE17" s="331">
        <v>0</v>
      </c>
      <c r="AF17" s="331">
        <v>0</v>
      </c>
      <c r="AG17" s="331">
        <f t="shared" si="4"/>
        <v>121.11</v>
      </c>
      <c r="AH17" s="331">
        <f t="shared" ref="AH17:AH22" si="10">$F$29</f>
        <v>154.08000000000001</v>
      </c>
      <c r="AI17" s="331">
        <v>0</v>
      </c>
      <c r="AJ17" s="331">
        <v>0</v>
      </c>
      <c r="AK17" s="331">
        <v>0</v>
      </c>
      <c r="AL17" s="331">
        <v>0</v>
      </c>
      <c r="AM17" s="332">
        <f t="shared" si="5"/>
        <v>9.1999999999999993</v>
      </c>
      <c r="AN17" s="332">
        <f t="shared" ref="AN17:AN22" si="11">$E$29</f>
        <v>26.84</v>
      </c>
      <c r="AO17" s="332">
        <v>0</v>
      </c>
      <c r="AP17" s="332">
        <v>0</v>
      </c>
      <c r="AQ17" s="332">
        <v>0</v>
      </c>
      <c r="AR17" s="332">
        <v>0</v>
      </c>
      <c r="AS17" s="332">
        <f t="shared" ref="AS17:AS22" si="12">$D$28</f>
        <v>15.159999999999998</v>
      </c>
      <c r="AT17" s="332">
        <f>$D$29</f>
        <v>21.15</v>
      </c>
      <c r="AU17" s="332"/>
      <c r="AV17" s="332"/>
      <c r="AW17" s="332"/>
      <c r="AX17" s="332"/>
      <c r="AY17" s="333">
        <f>44/12*(C17*AA17+D17*AB17+E17*AC17+F17*AD17+G17*AE17+H17*AF17+I17*AG17+J17*AH17+K17*AI17+L17*AJ17+M17*AK17+N17*AL17+O17*AM17+P17*AN17+Q17*AO17+R17*AP17+S17*AQ17+T17*AR17+U17*AS17+V17*AT17+W17*AU17+X17*AV17+Y17*AW17+Z17*AX17)*1</f>
        <v>1832.8933333333332</v>
      </c>
    </row>
    <row r="18" spans="2:51" ht="15" x14ac:dyDescent="0.3">
      <c r="B18" s="326" t="s">
        <v>146</v>
      </c>
      <c r="C18" s="327">
        <f t="shared" si="6"/>
        <v>0.8</v>
      </c>
      <c r="D18" s="327">
        <f t="shared" si="0"/>
        <v>0.8</v>
      </c>
      <c r="E18" s="327">
        <f t="shared" si="0"/>
        <v>0.8</v>
      </c>
      <c r="F18" s="327">
        <f t="shared" si="0"/>
        <v>0.8</v>
      </c>
      <c r="G18" s="327">
        <f t="shared" si="0"/>
        <v>0.8</v>
      </c>
      <c r="H18" s="327">
        <f t="shared" si="0"/>
        <v>0.8</v>
      </c>
      <c r="I18" s="328">
        <f t="shared" ref="I18:I22" si="13">$J$8</f>
        <v>0.8</v>
      </c>
      <c r="J18" s="328">
        <f t="shared" si="1"/>
        <v>0.8</v>
      </c>
      <c r="K18" s="328">
        <f t="shared" si="1"/>
        <v>0.8</v>
      </c>
      <c r="L18" s="328">
        <f t="shared" si="1"/>
        <v>0.8</v>
      </c>
      <c r="M18" s="328">
        <f t="shared" si="1"/>
        <v>0.8</v>
      </c>
      <c r="N18" s="328">
        <f t="shared" si="1"/>
        <v>0.8</v>
      </c>
      <c r="O18" s="329">
        <f t="shared" si="7"/>
        <v>0.8</v>
      </c>
      <c r="P18" s="329">
        <f t="shared" si="2"/>
        <v>0.8</v>
      </c>
      <c r="Q18" s="329">
        <f t="shared" si="2"/>
        <v>0.8</v>
      </c>
      <c r="R18" s="329">
        <f t="shared" si="2"/>
        <v>0.8</v>
      </c>
      <c r="S18" s="329">
        <f t="shared" si="2"/>
        <v>0.8</v>
      </c>
      <c r="T18" s="329">
        <f t="shared" si="2"/>
        <v>0.8</v>
      </c>
      <c r="U18" s="330">
        <f t="shared" si="8"/>
        <v>0.8</v>
      </c>
      <c r="V18" s="330">
        <f t="shared" si="3"/>
        <v>0.8</v>
      </c>
      <c r="W18" s="330">
        <f t="shared" si="3"/>
        <v>0.8</v>
      </c>
      <c r="X18" s="330">
        <f t="shared" si="3"/>
        <v>0.8</v>
      </c>
      <c r="Y18" s="330">
        <f t="shared" si="3"/>
        <v>0.8</v>
      </c>
      <c r="Z18" s="330">
        <f t="shared" si="3"/>
        <v>0.8</v>
      </c>
      <c r="AA18" s="331">
        <f t="shared" si="9"/>
        <v>120.36</v>
      </c>
      <c r="AB18" s="331">
        <f t="shared" ref="AB18:AB22" si="14">$C$29</f>
        <v>156.94999999999999</v>
      </c>
      <c r="AC18" s="331">
        <f>$C$30</f>
        <v>152.35</v>
      </c>
      <c r="AD18" s="331">
        <v>0</v>
      </c>
      <c r="AE18" s="331">
        <v>0</v>
      </c>
      <c r="AF18" s="331">
        <v>0</v>
      </c>
      <c r="AG18" s="331">
        <f t="shared" si="4"/>
        <v>121.11</v>
      </c>
      <c r="AH18" s="331">
        <f t="shared" si="10"/>
        <v>154.08000000000001</v>
      </c>
      <c r="AI18" s="331">
        <f>$F$30</f>
        <v>253.26</v>
      </c>
      <c r="AJ18" s="331">
        <v>0</v>
      </c>
      <c r="AK18" s="331">
        <v>0</v>
      </c>
      <c r="AL18" s="331">
        <v>0</v>
      </c>
      <c r="AM18" s="332">
        <f t="shared" si="5"/>
        <v>9.1999999999999993</v>
      </c>
      <c r="AN18" s="332">
        <f t="shared" si="11"/>
        <v>26.84</v>
      </c>
      <c r="AO18" s="332">
        <f>$E$30</f>
        <v>4.24</v>
      </c>
      <c r="AP18" s="332">
        <v>0</v>
      </c>
      <c r="AQ18" s="332">
        <v>0</v>
      </c>
      <c r="AR18" s="332">
        <v>0</v>
      </c>
      <c r="AS18" s="332">
        <f t="shared" si="12"/>
        <v>15.159999999999998</v>
      </c>
      <c r="AT18" s="332">
        <f t="shared" ref="AT18:AT22" si="15">$D$29</f>
        <v>21.15</v>
      </c>
      <c r="AU18" s="332">
        <f>$D$30</f>
        <v>31.239999999999995</v>
      </c>
      <c r="AV18" s="332"/>
      <c r="AW18" s="332"/>
      <c r="AX18" s="332"/>
      <c r="AY18" s="333">
        <f t="shared" ref="AY18:AY21" si="16">44/12*(C18*AA18+D18*AB18+E18*AC18+F18*AD18+G18*AE18+H18*AF18+I18*AG18+J18*AH18+K18*AI18+L18*AJ18+M18*AK18+N18*AL18+O18*AM18+P18*AN18+Q18*AO18+R18*AP18+S18*AQ18+T18*AR18+U18*AS18+V18*AT18+W18*AU18+X18*AV18+Y18*AW18+Z18*AX18)*1</f>
        <v>3126.7573333333335</v>
      </c>
    </row>
    <row r="19" spans="2:51" ht="15" x14ac:dyDescent="0.3">
      <c r="B19" s="326" t="s">
        <v>147</v>
      </c>
      <c r="C19" s="327">
        <f t="shared" si="6"/>
        <v>0.8</v>
      </c>
      <c r="D19" s="327">
        <f t="shared" si="0"/>
        <v>0.8</v>
      </c>
      <c r="E19" s="327">
        <f t="shared" si="0"/>
        <v>0.8</v>
      </c>
      <c r="F19" s="327">
        <f t="shared" si="0"/>
        <v>0.8</v>
      </c>
      <c r="G19" s="327">
        <f t="shared" si="0"/>
        <v>0.8</v>
      </c>
      <c r="H19" s="327">
        <f t="shared" si="0"/>
        <v>0.8</v>
      </c>
      <c r="I19" s="328">
        <f t="shared" si="13"/>
        <v>0.8</v>
      </c>
      <c r="J19" s="328">
        <f t="shared" si="1"/>
        <v>0.8</v>
      </c>
      <c r="K19" s="328">
        <f t="shared" si="1"/>
        <v>0.8</v>
      </c>
      <c r="L19" s="328">
        <f t="shared" si="1"/>
        <v>0.8</v>
      </c>
      <c r="M19" s="328">
        <f t="shared" si="1"/>
        <v>0.8</v>
      </c>
      <c r="N19" s="328">
        <f t="shared" si="1"/>
        <v>0.8</v>
      </c>
      <c r="O19" s="329">
        <f t="shared" si="7"/>
        <v>0.8</v>
      </c>
      <c r="P19" s="329">
        <f t="shared" si="2"/>
        <v>0.8</v>
      </c>
      <c r="Q19" s="329">
        <f t="shared" si="2"/>
        <v>0.8</v>
      </c>
      <c r="R19" s="329">
        <f t="shared" si="2"/>
        <v>0.8</v>
      </c>
      <c r="S19" s="329">
        <f t="shared" si="2"/>
        <v>0.8</v>
      </c>
      <c r="T19" s="329">
        <f t="shared" si="2"/>
        <v>0.8</v>
      </c>
      <c r="U19" s="330">
        <f t="shared" si="8"/>
        <v>0.8</v>
      </c>
      <c r="V19" s="330">
        <f t="shared" si="3"/>
        <v>0.8</v>
      </c>
      <c r="W19" s="330">
        <f t="shared" si="3"/>
        <v>0.8</v>
      </c>
      <c r="X19" s="330">
        <f t="shared" si="3"/>
        <v>0.8</v>
      </c>
      <c r="Y19" s="330">
        <f t="shared" si="3"/>
        <v>0.8</v>
      </c>
      <c r="Z19" s="330">
        <f t="shared" si="3"/>
        <v>0.8</v>
      </c>
      <c r="AA19" s="331">
        <f t="shared" si="9"/>
        <v>120.36</v>
      </c>
      <c r="AB19" s="331">
        <f t="shared" si="14"/>
        <v>156.94999999999999</v>
      </c>
      <c r="AC19" s="331">
        <f t="shared" ref="AC19:AC21" si="17">$C$30</f>
        <v>152.35</v>
      </c>
      <c r="AD19" s="331">
        <f>$C$31</f>
        <v>312.92</v>
      </c>
      <c r="AE19" s="331">
        <v>0</v>
      </c>
      <c r="AF19" s="331">
        <v>0</v>
      </c>
      <c r="AG19" s="331">
        <f t="shared" si="4"/>
        <v>121.11</v>
      </c>
      <c r="AH19" s="331">
        <f t="shared" si="10"/>
        <v>154.08000000000001</v>
      </c>
      <c r="AI19" s="331">
        <f>$F$30</f>
        <v>253.26</v>
      </c>
      <c r="AJ19" s="331">
        <f>$F$31</f>
        <v>206.75</v>
      </c>
      <c r="AK19" s="331">
        <v>0</v>
      </c>
      <c r="AL19" s="331">
        <v>0</v>
      </c>
      <c r="AM19" s="332">
        <f t="shared" si="5"/>
        <v>9.1999999999999993</v>
      </c>
      <c r="AN19" s="332">
        <f t="shared" si="11"/>
        <v>26.84</v>
      </c>
      <c r="AO19" s="332">
        <f>$E$30</f>
        <v>4.24</v>
      </c>
      <c r="AP19" s="332">
        <f>$E$31</f>
        <v>27.85</v>
      </c>
      <c r="AQ19" s="332">
        <v>0</v>
      </c>
      <c r="AR19" s="332">
        <v>0</v>
      </c>
      <c r="AS19" s="332">
        <f t="shared" si="12"/>
        <v>15.159999999999998</v>
      </c>
      <c r="AT19" s="332">
        <f t="shared" si="15"/>
        <v>21.15</v>
      </c>
      <c r="AU19" s="332">
        <f t="shared" ref="AU19:AU22" si="18">$D$30</f>
        <v>31.239999999999995</v>
      </c>
      <c r="AV19" s="332">
        <f>$D$31</f>
        <v>39.700000000000003</v>
      </c>
      <c r="AW19" s="332"/>
      <c r="AX19" s="332"/>
      <c r="AY19" s="333">
        <f t="shared" si="16"/>
        <v>4849.2693333333336</v>
      </c>
    </row>
    <row r="20" spans="2:51" ht="15" x14ac:dyDescent="0.3">
      <c r="B20" s="326" t="s">
        <v>148</v>
      </c>
      <c r="C20" s="327">
        <f t="shared" si="6"/>
        <v>0.8</v>
      </c>
      <c r="D20" s="327">
        <f t="shared" si="0"/>
        <v>0.8</v>
      </c>
      <c r="E20" s="327">
        <f t="shared" si="0"/>
        <v>0.8</v>
      </c>
      <c r="F20" s="327">
        <f t="shared" si="0"/>
        <v>0.8</v>
      </c>
      <c r="G20" s="327">
        <f t="shared" si="0"/>
        <v>0.8</v>
      </c>
      <c r="H20" s="327">
        <f t="shared" si="0"/>
        <v>0.8</v>
      </c>
      <c r="I20" s="328">
        <f t="shared" si="13"/>
        <v>0.8</v>
      </c>
      <c r="J20" s="328">
        <f t="shared" si="1"/>
        <v>0.8</v>
      </c>
      <c r="K20" s="328">
        <f t="shared" si="1"/>
        <v>0.8</v>
      </c>
      <c r="L20" s="328">
        <f t="shared" si="1"/>
        <v>0.8</v>
      </c>
      <c r="M20" s="328">
        <f t="shared" si="1"/>
        <v>0.8</v>
      </c>
      <c r="N20" s="328">
        <f t="shared" si="1"/>
        <v>0.8</v>
      </c>
      <c r="O20" s="329">
        <f t="shared" si="7"/>
        <v>0.8</v>
      </c>
      <c r="P20" s="329">
        <f t="shared" si="2"/>
        <v>0.8</v>
      </c>
      <c r="Q20" s="329">
        <f t="shared" si="2"/>
        <v>0.8</v>
      </c>
      <c r="R20" s="329">
        <f t="shared" si="2"/>
        <v>0.8</v>
      </c>
      <c r="S20" s="329">
        <f t="shared" si="2"/>
        <v>0.8</v>
      </c>
      <c r="T20" s="329">
        <f t="shared" si="2"/>
        <v>0.8</v>
      </c>
      <c r="U20" s="330">
        <f t="shared" si="8"/>
        <v>0.8</v>
      </c>
      <c r="V20" s="330">
        <f t="shared" si="3"/>
        <v>0.8</v>
      </c>
      <c r="W20" s="330">
        <f t="shared" si="3"/>
        <v>0.8</v>
      </c>
      <c r="X20" s="330">
        <f t="shared" si="3"/>
        <v>0.8</v>
      </c>
      <c r="Y20" s="330">
        <f t="shared" si="3"/>
        <v>0.8</v>
      </c>
      <c r="Z20" s="330">
        <f t="shared" si="3"/>
        <v>0.8</v>
      </c>
      <c r="AA20" s="331">
        <f t="shared" si="9"/>
        <v>120.36</v>
      </c>
      <c r="AB20" s="331">
        <f t="shared" si="14"/>
        <v>156.94999999999999</v>
      </c>
      <c r="AC20" s="331">
        <f t="shared" si="17"/>
        <v>152.35</v>
      </c>
      <c r="AD20" s="331">
        <f t="shared" ref="AD20:AD22" si="19">$C$31</f>
        <v>312.92</v>
      </c>
      <c r="AE20" s="331">
        <f>$C$32</f>
        <v>184.41</v>
      </c>
      <c r="AF20" s="331">
        <v>0</v>
      </c>
      <c r="AG20" s="331">
        <f t="shared" si="4"/>
        <v>121.11</v>
      </c>
      <c r="AH20" s="331">
        <f t="shared" si="10"/>
        <v>154.08000000000001</v>
      </c>
      <c r="AI20" s="331">
        <f>$F$30</f>
        <v>253.26</v>
      </c>
      <c r="AJ20" s="331">
        <f>$F$31</f>
        <v>206.75</v>
      </c>
      <c r="AK20" s="331">
        <f>$F$32</f>
        <v>23.88</v>
      </c>
      <c r="AL20" s="331">
        <v>0</v>
      </c>
      <c r="AM20" s="332">
        <f t="shared" si="5"/>
        <v>9.1999999999999993</v>
      </c>
      <c r="AN20" s="332">
        <f t="shared" si="11"/>
        <v>26.84</v>
      </c>
      <c r="AO20" s="332">
        <f>$E$30</f>
        <v>4.24</v>
      </c>
      <c r="AP20" s="332">
        <f>$E$31</f>
        <v>27.85</v>
      </c>
      <c r="AQ20" s="332">
        <f>$E$32</f>
        <v>0.1</v>
      </c>
      <c r="AR20" s="332">
        <v>0</v>
      </c>
      <c r="AS20" s="332">
        <f t="shared" si="12"/>
        <v>15.159999999999998</v>
      </c>
      <c r="AT20" s="332">
        <f t="shared" si="15"/>
        <v>21.15</v>
      </c>
      <c r="AU20" s="332">
        <f t="shared" si="18"/>
        <v>31.239999999999995</v>
      </c>
      <c r="AV20" s="332">
        <f t="shared" ref="AV20:AV22" si="20">$D$31</f>
        <v>39.700000000000003</v>
      </c>
      <c r="AW20" s="332">
        <f>$D$32</f>
        <v>22.68</v>
      </c>
      <c r="AX20" s="332"/>
      <c r="AY20" s="333">
        <f t="shared" si="16"/>
        <v>5527.0746666666664</v>
      </c>
    </row>
    <row r="21" spans="2:51" ht="15" x14ac:dyDescent="0.3">
      <c r="B21" s="326" t="s">
        <v>378</v>
      </c>
      <c r="C21" s="327">
        <f t="shared" si="6"/>
        <v>0.8</v>
      </c>
      <c r="D21" s="327">
        <f t="shared" si="0"/>
        <v>0.8</v>
      </c>
      <c r="E21" s="327">
        <f t="shared" si="0"/>
        <v>0.8</v>
      </c>
      <c r="F21" s="327">
        <f t="shared" si="0"/>
        <v>0.8</v>
      </c>
      <c r="G21" s="327">
        <f t="shared" si="0"/>
        <v>0.8</v>
      </c>
      <c r="H21" s="327">
        <f t="shared" si="0"/>
        <v>0.8</v>
      </c>
      <c r="I21" s="328">
        <f t="shared" si="13"/>
        <v>0.8</v>
      </c>
      <c r="J21" s="328">
        <f t="shared" si="1"/>
        <v>0.8</v>
      </c>
      <c r="K21" s="328">
        <f t="shared" si="1"/>
        <v>0.8</v>
      </c>
      <c r="L21" s="328">
        <f t="shared" si="1"/>
        <v>0.8</v>
      </c>
      <c r="M21" s="328">
        <f t="shared" si="1"/>
        <v>0.8</v>
      </c>
      <c r="N21" s="328">
        <f t="shared" si="1"/>
        <v>0.8</v>
      </c>
      <c r="O21" s="329">
        <f t="shared" si="7"/>
        <v>0.8</v>
      </c>
      <c r="P21" s="329">
        <f t="shared" si="2"/>
        <v>0.8</v>
      </c>
      <c r="Q21" s="329">
        <f t="shared" si="2"/>
        <v>0.8</v>
      </c>
      <c r="R21" s="329">
        <f t="shared" si="2"/>
        <v>0.8</v>
      </c>
      <c r="S21" s="329">
        <f t="shared" si="2"/>
        <v>0.8</v>
      </c>
      <c r="T21" s="329">
        <f t="shared" si="2"/>
        <v>0.8</v>
      </c>
      <c r="U21" s="330">
        <f t="shared" si="8"/>
        <v>0.8</v>
      </c>
      <c r="V21" s="330">
        <f t="shared" si="3"/>
        <v>0.8</v>
      </c>
      <c r="W21" s="330">
        <f t="shared" si="3"/>
        <v>0.8</v>
      </c>
      <c r="X21" s="330">
        <f t="shared" si="3"/>
        <v>0.8</v>
      </c>
      <c r="Y21" s="330">
        <f t="shared" si="3"/>
        <v>0.8</v>
      </c>
      <c r="Z21" s="330">
        <f t="shared" si="3"/>
        <v>0.8</v>
      </c>
      <c r="AA21" s="331">
        <f t="shared" si="9"/>
        <v>120.36</v>
      </c>
      <c r="AB21" s="331">
        <f t="shared" si="14"/>
        <v>156.94999999999999</v>
      </c>
      <c r="AC21" s="331">
        <f t="shared" si="17"/>
        <v>152.35</v>
      </c>
      <c r="AD21" s="331">
        <f t="shared" si="19"/>
        <v>312.92</v>
      </c>
      <c r="AE21" s="331">
        <f t="shared" ref="AE21:AE22" si="21">$C$32</f>
        <v>184.41</v>
      </c>
      <c r="AF21" s="331">
        <f>$C$33</f>
        <v>37.04</v>
      </c>
      <c r="AG21" s="331">
        <f t="shared" si="4"/>
        <v>121.11</v>
      </c>
      <c r="AH21" s="331">
        <f t="shared" si="10"/>
        <v>154.08000000000001</v>
      </c>
      <c r="AI21" s="331">
        <f>$F$30</f>
        <v>253.26</v>
      </c>
      <c r="AJ21" s="331">
        <f>$F$31</f>
        <v>206.75</v>
      </c>
      <c r="AK21" s="331">
        <f>$F$32</f>
        <v>23.88</v>
      </c>
      <c r="AL21" s="331">
        <f>$F$33</f>
        <v>9.26</v>
      </c>
      <c r="AM21" s="332">
        <f t="shared" si="5"/>
        <v>9.1999999999999993</v>
      </c>
      <c r="AN21" s="332">
        <f t="shared" si="11"/>
        <v>26.84</v>
      </c>
      <c r="AO21" s="332">
        <f>$E$30</f>
        <v>4.24</v>
      </c>
      <c r="AP21" s="332">
        <f>$E$31</f>
        <v>27.85</v>
      </c>
      <c r="AQ21" s="332">
        <f>$E$32</f>
        <v>0.1</v>
      </c>
      <c r="AR21" s="332">
        <f>$E$33</f>
        <v>12.06</v>
      </c>
      <c r="AS21" s="332">
        <f t="shared" si="12"/>
        <v>15.159999999999998</v>
      </c>
      <c r="AT21" s="332">
        <f t="shared" si="15"/>
        <v>21.15</v>
      </c>
      <c r="AU21" s="332">
        <f t="shared" si="18"/>
        <v>31.239999999999995</v>
      </c>
      <c r="AV21" s="332">
        <f t="shared" si="20"/>
        <v>39.700000000000003</v>
      </c>
      <c r="AW21" s="332">
        <f t="shared" ref="AW21:AW22" si="22">$D$32</f>
        <v>22.68</v>
      </c>
      <c r="AX21" s="332">
        <f>$D$33</f>
        <v>5.8199999999999994</v>
      </c>
      <c r="AY21" s="333">
        <f t="shared" si="16"/>
        <v>5715.3359999999993</v>
      </c>
    </row>
    <row r="22" spans="2:51" ht="15" x14ac:dyDescent="0.3">
      <c r="B22" s="326" t="s">
        <v>379</v>
      </c>
      <c r="C22" s="327">
        <f t="shared" si="6"/>
        <v>0.8</v>
      </c>
      <c r="D22" s="327">
        <f t="shared" si="0"/>
        <v>0.8</v>
      </c>
      <c r="E22" s="327">
        <f t="shared" si="0"/>
        <v>0.8</v>
      </c>
      <c r="F22" s="327">
        <f t="shared" si="0"/>
        <v>0.8</v>
      </c>
      <c r="G22" s="327">
        <f t="shared" si="0"/>
        <v>0.8</v>
      </c>
      <c r="H22" s="327">
        <f t="shared" si="0"/>
        <v>0.8</v>
      </c>
      <c r="I22" s="328">
        <f t="shared" si="13"/>
        <v>0.8</v>
      </c>
      <c r="J22" s="328">
        <f t="shared" si="1"/>
        <v>0.8</v>
      </c>
      <c r="K22" s="328">
        <f t="shared" si="1"/>
        <v>0.8</v>
      </c>
      <c r="L22" s="328">
        <f t="shared" si="1"/>
        <v>0.8</v>
      </c>
      <c r="M22" s="328">
        <f t="shared" si="1"/>
        <v>0.8</v>
      </c>
      <c r="N22" s="328">
        <f t="shared" si="1"/>
        <v>0.8</v>
      </c>
      <c r="O22" s="329">
        <f t="shared" si="7"/>
        <v>0.8</v>
      </c>
      <c r="P22" s="329">
        <f t="shared" si="2"/>
        <v>0.8</v>
      </c>
      <c r="Q22" s="329">
        <f t="shared" si="2"/>
        <v>0.8</v>
      </c>
      <c r="R22" s="329">
        <f t="shared" si="2"/>
        <v>0.8</v>
      </c>
      <c r="S22" s="329">
        <f t="shared" si="2"/>
        <v>0.8</v>
      </c>
      <c r="T22" s="329">
        <f t="shared" si="2"/>
        <v>0.8</v>
      </c>
      <c r="U22" s="330">
        <f t="shared" si="8"/>
        <v>0.8</v>
      </c>
      <c r="V22" s="330">
        <f t="shared" si="3"/>
        <v>0.8</v>
      </c>
      <c r="W22" s="330">
        <f t="shared" si="3"/>
        <v>0.8</v>
      </c>
      <c r="X22" s="330">
        <f t="shared" si="3"/>
        <v>0.8</v>
      </c>
      <c r="Y22" s="330">
        <f t="shared" si="3"/>
        <v>0.8</v>
      </c>
      <c r="Z22" s="330">
        <f t="shared" si="3"/>
        <v>0.8</v>
      </c>
      <c r="AA22" s="331">
        <f t="shared" si="9"/>
        <v>120.36</v>
      </c>
      <c r="AB22" s="331">
        <f t="shared" si="14"/>
        <v>156.94999999999999</v>
      </c>
      <c r="AC22" s="331">
        <f>$C$30</f>
        <v>152.35</v>
      </c>
      <c r="AD22" s="331">
        <f t="shared" si="19"/>
        <v>312.92</v>
      </c>
      <c r="AE22" s="331">
        <f t="shared" si="21"/>
        <v>184.41</v>
      </c>
      <c r="AF22" s="331">
        <f>$C$33</f>
        <v>37.04</v>
      </c>
      <c r="AG22" s="331">
        <f t="shared" si="4"/>
        <v>121.11</v>
      </c>
      <c r="AH22" s="331">
        <f t="shared" si="10"/>
        <v>154.08000000000001</v>
      </c>
      <c r="AI22" s="331">
        <f>$F$30</f>
        <v>253.26</v>
      </c>
      <c r="AJ22" s="331">
        <f>$F$31</f>
        <v>206.75</v>
      </c>
      <c r="AK22" s="331">
        <f>$F$32</f>
        <v>23.88</v>
      </c>
      <c r="AL22" s="331">
        <f>$F$33</f>
        <v>9.26</v>
      </c>
      <c r="AM22" s="332">
        <f t="shared" si="5"/>
        <v>9.1999999999999993</v>
      </c>
      <c r="AN22" s="332">
        <f t="shared" si="11"/>
        <v>26.84</v>
      </c>
      <c r="AO22" s="332">
        <f>$E$30</f>
        <v>4.24</v>
      </c>
      <c r="AP22" s="332">
        <f>$E$31</f>
        <v>27.85</v>
      </c>
      <c r="AQ22" s="332">
        <f>$E$32</f>
        <v>0.1</v>
      </c>
      <c r="AR22" s="332">
        <f>$E$33</f>
        <v>12.06</v>
      </c>
      <c r="AS22" s="332">
        <f t="shared" si="12"/>
        <v>15.159999999999998</v>
      </c>
      <c r="AT22" s="332">
        <f t="shared" si="15"/>
        <v>21.15</v>
      </c>
      <c r="AU22" s="332">
        <f t="shared" si="18"/>
        <v>31.239999999999995</v>
      </c>
      <c r="AV22" s="332">
        <f t="shared" si="20"/>
        <v>39.700000000000003</v>
      </c>
      <c r="AW22" s="332">
        <f t="shared" si="22"/>
        <v>22.68</v>
      </c>
      <c r="AX22" s="332">
        <f>$D$33</f>
        <v>5.8199999999999994</v>
      </c>
      <c r="AY22" s="333">
        <f>44/12*(C22*AA22+D22*AB22+E22*AC22+F22*AD22+G22*AE22+H22*AF22+I22*AG22+J22*AH22+K22*AI22+L22*AJ22+M22*AK22+N22*AL22+O22*AM22+P22*AN22+Q22*AO22+R22*AP22+S22*AQ22+T22*AR22+U22*AS22+V22*AT22+W22*AU22+X22*AV22+Y22*AW22+Z22*AX22)*0.246575</f>
        <v>1409.2589741999998</v>
      </c>
    </row>
    <row r="23" spans="2:51" x14ac:dyDescent="0.3">
      <c r="AY23" s="334">
        <f>SUM(AY16:AY22)</f>
        <v>22851.541923026663</v>
      </c>
    </row>
    <row r="25" spans="2:51" x14ac:dyDescent="0.3">
      <c r="B25" s="1"/>
      <c r="C25" s="1"/>
      <c r="D25" s="1"/>
      <c r="E25" s="1"/>
      <c r="F25" s="1"/>
      <c r="G25" s="1"/>
      <c r="H25" s="1"/>
    </row>
    <row r="26" spans="2:51" x14ac:dyDescent="0.3">
      <c r="B26" s="1" t="s">
        <v>693</v>
      </c>
      <c r="C26" s="361" t="s">
        <v>44</v>
      </c>
      <c r="D26" s="361"/>
      <c r="E26" s="361"/>
      <c r="F26" s="361"/>
      <c r="G26" s="361"/>
      <c r="H26" s="361"/>
    </row>
    <row r="27" spans="2:51" x14ac:dyDescent="0.3">
      <c r="B27" s="1" t="s">
        <v>694</v>
      </c>
      <c r="C27" s="1" t="s">
        <v>695</v>
      </c>
      <c r="D27" s="1" t="s">
        <v>376</v>
      </c>
      <c r="E27" s="1" t="s">
        <v>375</v>
      </c>
      <c r="F27" s="1" t="s">
        <v>374</v>
      </c>
      <c r="G27" s="1" t="s">
        <v>696</v>
      </c>
      <c r="H27" s="1"/>
    </row>
    <row r="28" spans="2:51" x14ac:dyDescent="0.3">
      <c r="B28" s="1">
        <v>2019</v>
      </c>
      <c r="C28" s="179">
        <v>120.36</v>
      </c>
      <c r="D28" s="1">
        <v>15.159999999999998</v>
      </c>
      <c r="E28" s="335">
        <v>9.1999999999999993</v>
      </c>
      <c r="F28" s="336">
        <v>121.11</v>
      </c>
      <c r="G28" s="1">
        <v>265.83</v>
      </c>
      <c r="H28" s="1"/>
    </row>
    <row r="29" spans="2:51" x14ac:dyDescent="0.3">
      <c r="B29" s="1">
        <v>2020</v>
      </c>
      <c r="C29" s="179">
        <v>156.94999999999999</v>
      </c>
      <c r="D29" s="1">
        <v>21.15</v>
      </c>
      <c r="E29" s="335">
        <v>26.84</v>
      </c>
      <c r="F29" s="336">
        <v>154.08000000000001</v>
      </c>
      <c r="G29" s="1">
        <v>359.02</v>
      </c>
      <c r="H29" s="1"/>
    </row>
    <row r="30" spans="2:51" x14ac:dyDescent="0.3">
      <c r="B30" s="1">
        <v>2021</v>
      </c>
      <c r="C30" s="179">
        <v>152.35</v>
      </c>
      <c r="D30" s="1">
        <v>31.239999999999995</v>
      </c>
      <c r="E30" s="335">
        <v>4.24</v>
      </c>
      <c r="F30" s="336">
        <v>253.26</v>
      </c>
      <c r="G30" s="1">
        <v>441.09</v>
      </c>
      <c r="H30" s="1"/>
    </row>
    <row r="31" spans="2:51" x14ac:dyDescent="0.3">
      <c r="B31" s="1">
        <v>2022</v>
      </c>
      <c r="C31" s="179">
        <v>312.92</v>
      </c>
      <c r="D31" s="1">
        <v>39.700000000000003</v>
      </c>
      <c r="E31" s="335">
        <v>27.85</v>
      </c>
      <c r="F31" s="336">
        <v>206.75</v>
      </c>
      <c r="G31" s="1">
        <v>587.22</v>
      </c>
      <c r="H31" s="1"/>
    </row>
    <row r="32" spans="2:51" x14ac:dyDescent="0.3">
      <c r="B32" s="1">
        <v>2023</v>
      </c>
      <c r="C32" s="179">
        <v>184.41</v>
      </c>
      <c r="D32" s="1">
        <v>22.68</v>
      </c>
      <c r="E32" s="335">
        <v>0.1</v>
      </c>
      <c r="F32" s="336">
        <v>23.88</v>
      </c>
      <c r="G32" s="1">
        <v>231.07</v>
      </c>
      <c r="H32" s="1"/>
    </row>
    <row r="33" spans="2:9" x14ac:dyDescent="0.3">
      <c r="B33" s="1">
        <v>2024</v>
      </c>
      <c r="C33" s="179">
        <v>37.04</v>
      </c>
      <c r="D33" s="1">
        <v>5.8199999999999994</v>
      </c>
      <c r="E33" s="335">
        <v>12.06</v>
      </c>
      <c r="F33" s="336">
        <v>9.26</v>
      </c>
      <c r="G33" s="1">
        <v>64.180000000000007</v>
      </c>
      <c r="H33" s="1"/>
    </row>
    <row r="34" spans="2:9" x14ac:dyDescent="0.3">
      <c r="B34" s="1" t="s">
        <v>696</v>
      </c>
      <c r="C34" s="179">
        <f>SUM(C28:C33)</f>
        <v>964.02999999999986</v>
      </c>
      <c r="D34" s="1">
        <f t="shared" ref="D34:I34" si="23">SUM(D28:D33)</f>
        <v>135.74999999999997</v>
      </c>
      <c r="E34" s="335">
        <f>SUM(E28:E33)</f>
        <v>80.289999999999992</v>
      </c>
      <c r="F34" s="336">
        <f>SUM(F28:F33)</f>
        <v>768.34</v>
      </c>
      <c r="G34" s="1">
        <f>SUM(G28:G33)</f>
        <v>1948.4099999999999</v>
      </c>
      <c r="H34" s="1"/>
      <c r="I34">
        <f t="shared" si="23"/>
        <v>0</v>
      </c>
    </row>
  </sheetData>
  <mergeCells count="1">
    <mergeCell ref="C26:H26"/>
  </mergeCells>
  <phoneticPr fontId="11" type="noConversion"/>
  <dataValidations count="3">
    <dataValidation type="list" allowBlank="1" showInputMessage="1" showErrorMessage="1" sqref="C11" xr:uid="{736E2A2A-980F-494C-812A-B992FED29952}">
      <formula1>FLU</formula1>
    </dataValidation>
    <dataValidation type="list" allowBlank="1" showInputMessage="1" showErrorMessage="1" sqref="D11" xr:uid="{E3F2A7A5-FD3A-4A86-BAD5-593EE73B2A1F}">
      <formula1>IF(#REF!&lt;&gt;"3. Grassland",FMG_Cropland,FMG_Grassland)</formula1>
    </dataValidation>
    <dataValidation type="list" allowBlank="1" showInputMessage="1" showErrorMessage="1" sqref="E11" xr:uid="{1F8B167C-1F32-4250-B822-9134E8F75EF4}">
      <formula1>IF(#REF!&lt;&gt;"3. Grassland",FI_Cropland,FI_Grassland)</formula1>
    </dataValidation>
  </dataValidations>
  <hyperlinks>
    <hyperlink ref="D7" r:id="rId1" xr:uid="{389AFF60-5526-4602-A3E2-66405859AE95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EAF1-0AD7-4161-89B5-E62611086D12}">
  <dimension ref="B1:S20"/>
  <sheetViews>
    <sheetView showGridLines="0" zoomScale="85" zoomScaleNormal="100" workbookViewId="0">
      <selection activeCell="E13" sqref="E13"/>
    </sheetView>
  </sheetViews>
  <sheetFormatPr defaultColWidth="9.109375" defaultRowHeight="14.4" x14ac:dyDescent="0.3"/>
  <cols>
    <col min="1" max="1" width="6.6640625" customWidth="1"/>
    <col min="2" max="2" width="7.44140625" customWidth="1"/>
    <col min="3" max="3" width="12.109375" customWidth="1"/>
    <col min="4" max="4" width="10.33203125" bestFit="1" customWidth="1"/>
    <col min="5" max="5" width="10.5546875" customWidth="1"/>
    <col min="6" max="6" width="9.5546875" bestFit="1" customWidth="1"/>
    <col min="16" max="16" width="15" bestFit="1" customWidth="1"/>
    <col min="17" max="17" width="15" customWidth="1"/>
  </cols>
  <sheetData>
    <row r="1" spans="2:19" ht="15" thickBot="1" x14ac:dyDescent="0.35"/>
    <row r="2" spans="2:19" ht="58.8" x14ac:dyDescent="0.3">
      <c r="B2" s="302" t="s">
        <v>166</v>
      </c>
      <c r="C2" s="303" t="s">
        <v>49</v>
      </c>
      <c r="D2" s="304" t="s">
        <v>556</v>
      </c>
      <c r="E2" s="305" t="s">
        <v>557</v>
      </c>
    </row>
    <row r="3" spans="2:19" x14ac:dyDescent="0.3">
      <c r="B3" s="270">
        <v>1</v>
      </c>
      <c r="C3" s="5">
        <v>2019</v>
      </c>
      <c r="D3" s="279">
        <f>44/12*(((1.1*$J$12*(1+$J$13)+$J$14*(1+$J$15))*$L$14*(P14*(3.141*0.5^2)/10000))+Leakage!$J$11)</f>
        <v>195.9288363907875</v>
      </c>
      <c r="E3" s="280">
        <f>D3</f>
        <v>195.9288363907875</v>
      </c>
      <c r="G3" s="4"/>
      <c r="H3" s="4"/>
      <c r="I3" s="4"/>
    </row>
    <row r="4" spans="2:19" x14ac:dyDescent="0.3">
      <c r="B4" s="270">
        <v>2</v>
      </c>
      <c r="C4" s="5">
        <v>2020</v>
      </c>
      <c r="D4" s="279">
        <f>D3+44/12*(((1.1*$J$12*(1+$J$13)+$J$14*(1+$J$15))*$L$14*(P15*(3.141*0.5^2)/10000))+Leakage!$J$11)</f>
        <v>319.01475645789748</v>
      </c>
      <c r="E4" s="280">
        <f>D4+E3</f>
        <v>514.94359284868494</v>
      </c>
    </row>
    <row r="5" spans="2:19" x14ac:dyDescent="0.3">
      <c r="B5" s="270">
        <v>3</v>
      </c>
      <c r="C5" s="5">
        <v>2021</v>
      </c>
      <c r="D5" s="279">
        <f>D4+44/12*(((1.1*$J$12*(1+$J$13)+$J$14*(1+$J$15))*$L$14*(P16*(3.141*0.5^2)/10000))+Leakage!$J$11)</f>
        <v>548.97623153777249</v>
      </c>
      <c r="E5" s="280">
        <f t="shared" ref="E5:E9" si="0">D5+E4</f>
        <v>1063.9198243864575</v>
      </c>
    </row>
    <row r="6" spans="2:19" x14ac:dyDescent="0.3">
      <c r="B6" s="270">
        <v>4</v>
      </c>
      <c r="C6" s="5">
        <v>2022</v>
      </c>
      <c r="D6" s="279">
        <f>D5+44/12*(((1.1*$J$12*(1+$J$13)+$J$14*(1+$J$15))*$L$14*(P17*(3.141*0.5^2)/10000))+Leakage!$J$11)</f>
        <v>1507.4394783490347</v>
      </c>
      <c r="E6" s="280">
        <f t="shared" si="0"/>
        <v>2571.3593027354923</v>
      </c>
    </row>
    <row r="7" spans="2:19" x14ac:dyDescent="0.3">
      <c r="B7" s="270">
        <v>5</v>
      </c>
      <c r="C7" s="5">
        <v>2023</v>
      </c>
      <c r="D7" s="279">
        <f>D6+44/12*(((1.1*$J$12*(1+$J$13)+$J$14*(1+$J$15))*$L$14*(P18*(3.141*0.5^2)/10000))+Leakage!$J$11)</f>
        <v>1589.5513876421023</v>
      </c>
      <c r="E7" s="280">
        <f t="shared" si="0"/>
        <v>4160.9106903775946</v>
      </c>
    </row>
    <row r="8" spans="2:19" x14ac:dyDescent="0.3">
      <c r="B8" s="270">
        <v>6</v>
      </c>
      <c r="C8" s="5">
        <v>2024</v>
      </c>
      <c r="D8" s="279">
        <f>D7+44/12*(((1.1*$J$12*(1+$J$13)+$J$14*(1+$J$15))*$L$14*(P19*(3.141*0.5^2)/10000))+Leakage!$J$11)</f>
        <v>1609.3036642145923</v>
      </c>
      <c r="E8" s="280">
        <f t="shared" si="0"/>
        <v>5770.2143545921872</v>
      </c>
    </row>
    <row r="9" spans="2:19" x14ac:dyDescent="0.3">
      <c r="B9" s="1">
        <v>7</v>
      </c>
      <c r="C9" s="5">
        <v>2025</v>
      </c>
      <c r="D9" s="279">
        <f>D8+44/12*(((1.1*$J$12*(1+$J$13)+$J$14*(1+$J$15))*$L$14*(P20*(3.141*0.5^2)/10000))+Leakage!$J$11)</f>
        <v>1609.3036642145923</v>
      </c>
      <c r="E9" s="280">
        <f t="shared" si="0"/>
        <v>7379.5180188067798</v>
      </c>
    </row>
    <row r="10" spans="2:19" ht="15" thickBot="1" x14ac:dyDescent="0.35"/>
    <row r="11" spans="2:19" ht="15.6" x14ac:dyDescent="0.35">
      <c r="I11" s="281" t="s">
        <v>558</v>
      </c>
      <c r="J11" s="282">
        <v>0</v>
      </c>
      <c r="K11" s="283" t="s">
        <v>559</v>
      </c>
      <c r="L11" s="284">
        <v>0.1</v>
      </c>
    </row>
    <row r="12" spans="2:19" ht="15.6" x14ac:dyDescent="0.35">
      <c r="I12" s="285" t="s">
        <v>560</v>
      </c>
      <c r="J12" s="1">
        <v>0</v>
      </c>
      <c r="K12" s="1" t="s">
        <v>561</v>
      </c>
      <c r="L12" s="286">
        <v>73</v>
      </c>
    </row>
    <row r="13" spans="2:19" ht="15.6" x14ac:dyDescent="0.35">
      <c r="I13" s="285" t="s">
        <v>562</v>
      </c>
      <c r="J13" s="1">
        <v>0.25</v>
      </c>
      <c r="K13" s="1" t="s">
        <v>563</v>
      </c>
      <c r="L13" s="286">
        <v>0.5</v>
      </c>
      <c r="O13" s="1" t="s">
        <v>49</v>
      </c>
      <c r="P13" s="1" t="s">
        <v>485</v>
      </c>
      <c r="Q13" s="1" t="s">
        <v>564</v>
      </c>
      <c r="R13" s="361" t="s">
        <v>486</v>
      </c>
      <c r="S13" s="361"/>
    </row>
    <row r="14" spans="2:19" ht="15" customHeight="1" x14ac:dyDescent="0.35">
      <c r="I14" s="287" t="s">
        <v>565</v>
      </c>
      <c r="J14" s="1">
        <f>L11*L12*L13</f>
        <v>3.6500000000000004</v>
      </c>
      <c r="K14" s="1" t="s">
        <v>483</v>
      </c>
      <c r="L14" s="286">
        <v>0.47</v>
      </c>
      <c r="O14" s="1">
        <v>2019</v>
      </c>
      <c r="P14" s="1">
        <v>283335</v>
      </c>
      <c r="Q14" s="277">
        <v>22.248880875000001</v>
      </c>
      <c r="R14" s="362" t="s">
        <v>487</v>
      </c>
      <c r="S14" s="362"/>
    </row>
    <row r="15" spans="2:19" ht="15" thickBot="1" x14ac:dyDescent="0.35">
      <c r="I15" s="288" t="s">
        <v>484</v>
      </c>
      <c r="J15" s="289">
        <v>0.4</v>
      </c>
      <c r="K15" s="289"/>
      <c r="L15" s="290"/>
      <c r="O15" s="1">
        <v>2020</v>
      </c>
      <c r="P15" s="1">
        <v>177996</v>
      </c>
      <c r="Q15" s="277">
        <v>13.9771359</v>
      </c>
      <c r="R15" s="362"/>
      <c r="S15" s="362"/>
    </row>
    <row r="16" spans="2:19" x14ac:dyDescent="0.3">
      <c r="O16" s="1">
        <v>2021</v>
      </c>
      <c r="P16" s="1">
        <v>332550</v>
      </c>
      <c r="Q16" s="277">
        <v>26.113488750000002</v>
      </c>
      <c r="R16" s="362"/>
      <c r="S16" s="362"/>
    </row>
    <row r="17" spans="15:19" x14ac:dyDescent="0.3">
      <c r="O17" s="1">
        <v>2022</v>
      </c>
      <c r="P17" s="1">
        <v>1386045</v>
      </c>
      <c r="Q17" s="277">
        <v>108.83918362499999</v>
      </c>
      <c r="R17" s="362"/>
      <c r="S17" s="362"/>
    </row>
    <row r="18" spans="15:19" x14ac:dyDescent="0.3">
      <c r="O18" s="1">
        <v>2023</v>
      </c>
      <c r="P18" s="1">
        <v>118743</v>
      </c>
      <c r="Q18" s="277">
        <v>9.3242940749999992</v>
      </c>
      <c r="R18" s="362"/>
      <c r="S18" s="362"/>
    </row>
    <row r="19" spans="15:19" x14ac:dyDescent="0.3">
      <c r="O19" s="1">
        <v>2024</v>
      </c>
      <c r="P19" s="1">
        <v>28564</v>
      </c>
      <c r="Q19" s="277">
        <v>2.2429881000000003</v>
      </c>
      <c r="R19" s="362"/>
      <c r="S19" s="362"/>
    </row>
    <row r="20" spans="15:19" ht="15" customHeight="1" x14ac:dyDescent="0.3"/>
  </sheetData>
  <mergeCells count="2">
    <mergeCell ref="R14:S19"/>
    <mergeCell ref="R13:S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32777" r:id="rId4">
          <objectPr defaultSize="0" r:id="rId5">
            <anchor moveWithCells="1">
              <from>
                <xdr:col>19</xdr:col>
                <xdr:colOff>38100</xdr:colOff>
                <xdr:row>14</xdr:row>
                <xdr:rowOff>99060</xdr:rowOff>
              </from>
              <to>
                <xdr:col>20</xdr:col>
                <xdr:colOff>327660</xdr:colOff>
                <xdr:row>18</xdr:row>
                <xdr:rowOff>68580</xdr:rowOff>
              </to>
            </anchor>
          </objectPr>
        </oleObject>
      </mc:Choice>
      <mc:Fallback>
        <oleObject progId="Worksheet" dvAspect="DVASPECT_ICON" shapeId="3277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C4BA-BCAD-4008-9ED8-38A858359E99}">
  <dimension ref="A5:J34"/>
  <sheetViews>
    <sheetView showGridLines="0" topLeftCell="D1" workbookViewId="0">
      <selection activeCell="P35" sqref="P34:P35"/>
    </sheetView>
  </sheetViews>
  <sheetFormatPr defaultColWidth="8.88671875" defaultRowHeight="14.4" x14ac:dyDescent="0.3"/>
  <cols>
    <col min="1" max="1" width="17.33203125" bestFit="1" customWidth="1"/>
    <col min="2" max="2" width="28.44140625" customWidth="1"/>
    <col min="4" max="4" width="20.33203125" customWidth="1"/>
    <col min="5" max="5" width="18.109375" customWidth="1"/>
    <col min="6" max="6" width="23.6640625" customWidth="1"/>
    <col min="7" max="7" width="17" customWidth="1"/>
    <col min="10" max="10" width="19" customWidth="1"/>
  </cols>
  <sheetData>
    <row r="5" spans="1:10" ht="15.6" x14ac:dyDescent="0.35">
      <c r="B5" t="s">
        <v>566</v>
      </c>
    </row>
    <row r="9" spans="1:10" ht="15.6" x14ac:dyDescent="0.35">
      <c r="B9" t="s">
        <v>567</v>
      </c>
    </row>
    <row r="10" spans="1:10" ht="15.6" x14ac:dyDescent="0.35">
      <c r="B10" t="s">
        <v>568</v>
      </c>
    </row>
    <row r="14" spans="1:10" ht="15" thickBot="1" x14ac:dyDescent="0.35"/>
    <row r="15" spans="1:10" s="44" customFormat="1" ht="115.2" x14ac:dyDescent="0.3">
      <c r="A15" s="276" t="s">
        <v>149</v>
      </c>
      <c r="B15" s="291" t="s">
        <v>150</v>
      </c>
      <c r="C15" s="291" t="s">
        <v>151</v>
      </c>
      <c r="D15" s="291" t="s">
        <v>152</v>
      </c>
      <c r="E15" s="291" t="s">
        <v>153</v>
      </c>
      <c r="F15" s="291" t="s">
        <v>154</v>
      </c>
      <c r="G15" s="291" t="s">
        <v>155</v>
      </c>
      <c r="H15" s="291" t="s">
        <v>156</v>
      </c>
      <c r="I15" s="291" t="s">
        <v>157</v>
      </c>
      <c r="J15" s="292" t="s">
        <v>569</v>
      </c>
    </row>
    <row r="16" spans="1:10" ht="15.6" x14ac:dyDescent="0.35">
      <c r="A16" s="293" t="s">
        <v>570</v>
      </c>
      <c r="B16" s="294"/>
      <c r="C16" s="294" t="s">
        <v>571</v>
      </c>
      <c r="D16" s="294" t="s">
        <v>572</v>
      </c>
      <c r="E16" s="294" t="s">
        <v>573</v>
      </c>
      <c r="F16" s="294" t="s">
        <v>574</v>
      </c>
      <c r="G16" s="294" t="s">
        <v>575</v>
      </c>
      <c r="H16" s="294" t="s">
        <v>576</v>
      </c>
      <c r="I16" s="294" t="s">
        <v>577</v>
      </c>
      <c r="J16" s="295" t="s">
        <v>578</v>
      </c>
    </row>
    <row r="17" spans="1:10" x14ac:dyDescent="0.3">
      <c r="A17" s="1" t="s">
        <v>30</v>
      </c>
      <c r="B17" s="1" t="s">
        <v>158</v>
      </c>
      <c r="C17" s="1">
        <v>0</v>
      </c>
      <c r="D17" s="277">
        <v>0</v>
      </c>
      <c r="E17" s="1">
        <v>0.67</v>
      </c>
      <c r="F17" s="1">
        <v>6.8</v>
      </c>
      <c r="G17" s="1">
        <v>21</v>
      </c>
      <c r="H17" s="1">
        <v>0.2</v>
      </c>
      <c r="I17" s="1">
        <v>310</v>
      </c>
      <c r="J17" s="278">
        <f>0.001*C17*D17*E17*(F17*G17+H17*I17)</f>
        <v>0</v>
      </c>
    </row>
    <row r="18" spans="1:10" x14ac:dyDescent="0.3">
      <c r="A18" s="1" t="s">
        <v>32</v>
      </c>
      <c r="B18" s="1" t="s">
        <v>159</v>
      </c>
      <c r="C18" s="1">
        <v>0</v>
      </c>
      <c r="D18" s="277">
        <v>0</v>
      </c>
      <c r="E18" s="1">
        <v>0.67</v>
      </c>
      <c r="F18" s="1">
        <v>6.8</v>
      </c>
      <c r="G18" s="1">
        <v>21</v>
      </c>
      <c r="H18" s="1">
        <v>0.2</v>
      </c>
      <c r="I18" s="1">
        <v>310</v>
      </c>
      <c r="J18" s="278">
        <f>0.001*C18*D18*E18*(F18*G18+H18*I18)</f>
        <v>0</v>
      </c>
    </row>
    <row r="19" spans="1:10" x14ac:dyDescent="0.3">
      <c r="A19" s="1" t="s">
        <v>34</v>
      </c>
      <c r="B19" s="1" t="s">
        <v>160</v>
      </c>
      <c r="C19" s="1">
        <v>0</v>
      </c>
      <c r="D19" s="277">
        <v>0</v>
      </c>
      <c r="E19" s="1">
        <v>0.67</v>
      </c>
      <c r="F19" s="1">
        <v>6.8</v>
      </c>
      <c r="G19" s="1">
        <v>21</v>
      </c>
      <c r="H19" s="1">
        <v>0.2</v>
      </c>
      <c r="I19" s="1">
        <v>310</v>
      </c>
      <c r="J19" s="278">
        <f t="shared" ref="J19:J28" si="0">0.001*C19*D19*E19*(F19*G19+H19*I19)</f>
        <v>0</v>
      </c>
    </row>
    <row r="20" spans="1:10" x14ac:dyDescent="0.3">
      <c r="A20" s="1" t="s">
        <v>382</v>
      </c>
      <c r="B20" s="1" t="s">
        <v>161</v>
      </c>
      <c r="C20" s="1">
        <v>0</v>
      </c>
      <c r="D20" s="277">
        <v>0</v>
      </c>
      <c r="E20" s="1">
        <v>0.67</v>
      </c>
      <c r="F20" s="1">
        <v>6.8</v>
      </c>
      <c r="G20" s="1">
        <v>21</v>
      </c>
      <c r="H20" s="1">
        <v>0.2</v>
      </c>
      <c r="I20" s="1">
        <v>310</v>
      </c>
      <c r="J20" s="278">
        <f t="shared" si="0"/>
        <v>0</v>
      </c>
    </row>
    <row r="21" spans="1:10" x14ac:dyDescent="0.3">
      <c r="A21" s="1" t="s">
        <v>37</v>
      </c>
      <c r="B21" s="1" t="s">
        <v>162</v>
      </c>
      <c r="C21" s="1">
        <v>0</v>
      </c>
      <c r="D21" s="277">
        <v>0</v>
      </c>
      <c r="E21" s="1">
        <v>0.67</v>
      </c>
      <c r="F21" s="1">
        <v>6.8</v>
      </c>
      <c r="G21" s="1">
        <v>21</v>
      </c>
      <c r="H21" s="1">
        <v>0.2</v>
      </c>
      <c r="I21" s="1">
        <v>310</v>
      </c>
      <c r="J21" s="278">
        <f t="shared" si="0"/>
        <v>0</v>
      </c>
    </row>
    <row r="22" spans="1:10" x14ac:dyDescent="0.3">
      <c r="A22" s="1" t="s">
        <v>383</v>
      </c>
      <c r="B22" s="1" t="s">
        <v>163</v>
      </c>
      <c r="C22" s="1">
        <v>0</v>
      </c>
      <c r="D22" s="277">
        <v>0</v>
      </c>
      <c r="E22" s="1">
        <v>0.67</v>
      </c>
      <c r="F22" s="1">
        <v>6.8</v>
      </c>
      <c r="G22" s="1">
        <v>21</v>
      </c>
      <c r="H22" s="1">
        <v>0.2</v>
      </c>
      <c r="I22" s="1">
        <v>310</v>
      </c>
      <c r="J22" s="278">
        <f t="shared" si="0"/>
        <v>0</v>
      </c>
    </row>
    <row r="23" spans="1:10" x14ac:dyDescent="0.3">
      <c r="A23" s="1" t="s">
        <v>384</v>
      </c>
      <c r="B23" s="1" t="s">
        <v>159</v>
      </c>
      <c r="C23" s="1">
        <v>0</v>
      </c>
      <c r="D23" s="277">
        <v>0</v>
      </c>
      <c r="E23" s="1">
        <v>0.67</v>
      </c>
      <c r="F23" s="1">
        <v>6.8</v>
      </c>
      <c r="G23" s="1">
        <v>21</v>
      </c>
      <c r="H23" s="1">
        <v>0.2</v>
      </c>
      <c r="I23" s="1">
        <v>310</v>
      </c>
      <c r="J23" s="278">
        <f t="shared" si="0"/>
        <v>0</v>
      </c>
    </row>
    <row r="24" spans="1:10" x14ac:dyDescent="0.3">
      <c r="A24" s="1" t="s">
        <v>385</v>
      </c>
      <c r="B24" s="1" t="s">
        <v>160</v>
      </c>
      <c r="C24" s="1">
        <v>0</v>
      </c>
      <c r="D24" s="277">
        <v>0</v>
      </c>
      <c r="E24" s="1">
        <v>0.67</v>
      </c>
      <c r="F24" s="1">
        <v>6.8</v>
      </c>
      <c r="G24" s="1">
        <v>21</v>
      </c>
      <c r="H24" s="1">
        <v>0.2</v>
      </c>
      <c r="I24" s="1">
        <v>310</v>
      </c>
      <c r="J24" s="278">
        <f t="shared" si="0"/>
        <v>0</v>
      </c>
    </row>
    <row r="25" spans="1:10" x14ac:dyDescent="0.3">
      <c r="A25" s="1" t="s">
        <v>386</v>
      </c>
      <c r="B25" s="1" t="s">
        <v>161</v>
      </c>
      <c r="C25" s="1">
        <v>0</v>
      </c>
      <c r="D25" s="277">
        <v>0</v>
      </c>
      <c r="E25" s="1">
        <v>0.67</v>
      </c>
      <c r="F25" s="1">
        <v>6.8</v>
      </c>
      <c r="G25" s="1">
        <v>21</v>
      </c>
      <c r="H25" s="1">
        <v>0.2</v>
      </c>
      <c r="I25" s="1">
        <v>310</v>
      </c>
      <c r="J25" s="278">
        <f t="shared" si="0"/>
        <v>0</v>
      </c>
    </row>
    <row r="26" spans="1:10" x14ac:dyDescent="0.3">
      <c r="A26" s="1" t="s">
        <v>387</v>
      </c>
      <c r="B26" s="1" t="s">
        <v>162</v>
      </c>
      <c r="C26" s="1">
        <v>0</v>
      </c>
      <c r="D26" s="277">
        <v>0</v>
      </c>
      <c r="E26" s="1">
        <v>0.67</v>
      </c>
      <c r="F26" s="1">
        <v>6.8</v>
      </c>
      <c r="G26" s="1">
        <v>21</v>
      </c>
      <c r="H26" s="1">
        <v>0.2</v>
      </c>
      <c r="I26" s="1">
        <v>310</v>
      </c>
      <c r="J26" s="278">
        <f t="shared" si="0"/>
        <v>0</v>
      </c>
    </row>
    <row r="27" spans="1:10" x14ac:dyDescent="0.3">
      <c r="A27" s="1" t="s">
        <v>388</v>
      </c>
      <c r="B27" s="1" t="s">
        <v>158</v>
      </c>
      <c r="C27" s="1">
        <v>0</v>
      </c>
      <c r="D27" s="277">
        <v>0</v>
      </c>
      <c r="E27" s="1">
        <v>0.67</v>
      </c>
      <c r="F27" s="1">
        <v>6.8</v>
      </c>
      <c r="G27" s="1">
        <v>21</v>
      </c>
      <c r="H27" s="1">
        <v>0.2</v>
      </c>
      <c r="I27" s="1">
        <v>310</v>
      </c>
      <c r="J27" s="278">
        <f t="shared" si="0"/>
        <v>0</v>
      </c>
    </row>
    <row r="28" spans="1:10" x14ac:dyDescent="0.3">
      <c r="A28" s="1" t="s">
        <v>389</v>
      </c>
      <c r="B28" s="1" t="s">
        <v>159</v>
      </c>
      <c r="C28" s="1">
        <v>0</v>
      </c>
      <c r="D28" s="277">
        <v>0</v>
      </c>
      <c r="E28" s="1">
        <v>0.67</v>
      </c>
      <c r="F28" s="1">
        <v>6.8</v>
      </c>
      <c r="G28" s="1">
        <v>21</v>
      </c>
      <c r="H28" s="1">
        <v>0.2</v>
      </c>
      <c r="I28" s="1">
        <v>310</v>
      </c>
      <c r="J28" s="278">
        <f t="shared" si="0"/>
        <v>0</v>
      </c>
    </row>
    <row r="29" spans="1:10" x14ac:dyDescent="0.3">
      <c r="A29" s="296"/>
    </row>
    <row r="30" spans="1:10" ht="145.19999999999999" x14ac:dyDescent="0.3">
      <c r="A30" s="300"/>
      <c r="B30" s="298" t="s">
        <v>49</v>
      </c>
      <c r="C30" s="298" t="s">
        <v>164</v>
      </c>
      <c r="D30" s="297" t="s">
        <v>579</v>
      </c>
      <c r="E30" s="297" t="s">
        <v>580</v>
      </c>
      <c r="F30" s="297" t="s">
        <v>165</v>
      </c>
      <c r="G30" s="297" t="s">
        <v>581</v>
      </c>
    </row>
    <row r="31" spans="1:10" ht="15.6" x14ac:dyDescent="0.3">
      <c r="A31" s="299"/>
      <c r="B31" s="298"/>
      <c r="C31" s="298" t="s">
        <v>67</v>
      </c>
      <c r="D31" s="297" t="s">
        <v>582</v>
      </c>
      <c r="E31" s="297" t="s">
        <v>583</v>
      </c>
      <c r="F31" s="297" t="s">
        <v>584</v>
      </c>
      <c r="G31" s="297" t="s">
        <v>585</v>
      </c>
    </row>
    <row r="32" spans="1:10" x14ac:dyDescent="0.3">
      <c r="A32" s="299"/>
      <c r="B32" s="301" t="s">
        <v>390</v>
      </c>
      <c r="C32" s="1">
        <v>6.5</v>
      </c>
      <c r="D32" s="1">
        <v>0</v>
      </c>
      <c r="E32" s="1">
        <v>0</v>
      </c>
      <c r="F32" s="277">
        <f>SUM(J17:J28)</f>
        <v>0</v>
      </c>
      <c r="G32" s="1">
        <f>SUM(D32:F32)</f>
        <v>0</v>
      </c>
    </row>
    <row r="33" spans="1:1" x14ac:dyDescent="0.3">
      <c r="A33" s="299"/>
    </row>
    <row r="34" spans="1:1" x14ac:dyDescent="0.3">
      <c r="A34" s="299"/>
    </row>
  </sheetData>
  <phoneticPr fontId="1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6AC7-2D07-467A-B165-E83ED7637DBF}">
  <dimension ref="A7:BE13"/>
  <sheetViews>
    <sheetView showGridLines="0" topLeftCell="AV7" zoomScale="116" zoomScaleNormal="80" workbookViewId="0">
      <selection activeCell="BD9" sqref="BD9"/>
    </sheetView>
  </sheetViews>
  <sheetFormatPr defaultColWidth="8.88671875" defaultRowHeight="14.4" x14ac:dyDescent="0.3"/>
  <cols>
    <col min="1" max="1" width="22.44140625" bestFit="1" customWidth="1"/>
    <col min="2" max="2" width="14" customWidth="1"/>
    <col min="3" max="3" width="12.44140625" customWidth="1"/>
    <col min="4" max="4" width="14.44140625" customWidth="1"/>
    <col min="5" max="5" width="12.33203125" customWidth="1"/>
    <col min="6" max="6" width="14.109375" customWidth="1"/>
    <col min="7" max="7" width="12.109375" customWidth="1"/>
    <col min="8" max="37" width="13.44140625" customWidth="1"/>
    <col min="38" max="38" width="16.109375" customWidth="1"/>
    <col min="39" max="39" width="12" customWidth="1"/>
    <col min="40" max="40" width="13.109375" customWidth="1"/>
    <col min="41" max="41" width="11.88671875" customWidth="1"/>
    <col min="42" max="42" width="13.88671875" customWidth="1"/>
    <col min="43" max="43" width="14.44140625" customWidth="1"/>
    <col min="44" max="44" width="13.33203125" customWidth="1"/>
    <col min="45" max="45" width="12.44140625" customWidth="1"/>
    <col min="46" max="46" width="11.88671875" customWidth="1"/>
    <col min="47" max="47" width="12" customWidth="1"/>
    <col min="48" max="48" width="11.88671875" customWidth="1"/>
    <col min="49" max="49" width="15.109375" customWidth="1"/>
    <col min="50" max="50" width="22.88671875" customWidth="1"/>
    <col min="51" max="51" width="12.88671875" customWidth="1"/>
    <col min="52" max="52" width="11.6640625" customWidth="1"/>
    <col min="53" max="53" width="12.44140625" customWidth="1"/>
    <col min="54" max="54" width="11" customWidth="1"/>
    <col min="55" max="55" width="12.109375" customWidth="1"/>
    <col min="56" max="56" width="10.5546875" bestFit="1" customWidth="1"/>
    <col min="57" max="57" width="10.33203125" customWidth="1"/>
    <col min="58" max="58" width="13.33203125" bestFit="1" customWidth="1"/>
    <col min="59" max="59" width="9.5546875" customWidth="1"/>
    <col min="60" max="60" width="9" bestFit="1" customWidth="1"/>
    <col min="61" max="61" width="10.88671875" bestFit="1" customWidth="1"/>
    <col min="62" max="63" width="9" bestFit="1" customWidth="1"/>
  </cols>
  <sheetData>
    <row r="7" spans="1:57" s="311" customFormat="1" ht="151.80000000000001" x14ac:dyDescent="0.3">
      <c r="A7" s="307" t="s">
        <v>99</v>
      </c>
      <c r="B7" s="307" t="s">
        <v>164</v>
      </c>
      <c r="C7" s="308" t="s">
        <v>588</v>
      </c>
      <c r="D7" s="308" t="s">
        <v>589</v>
      </c>
      <c r="E7" s="308" t="s">
        <v>590</v>
      </c>
      <c r="F7" s="308" t="s">
        <v>591</v>
      </c>
      <c r="G7" s="308" t="s">
        <v>592</v>
      </c>
      <c r="H7" s="308" t="s">
        <v>593</v>
      </c>
      <c r="I7" s="308" t="s">
        <v>594</v>
      </c>
      <c r="J7" s="308" t="s">
        <v>595</v>
      </c>
      <c r="K7" s="308" t="s">
        <v>596</v>
      </c>
      <c r="L7" s="308" t="s">
        <v>597</v>
      </c>
      <c r="M7" s="308" t="s">
        <v>598</v>
      </c>
      <c r="N7" s="308" t="s">
        <v>599</v>
      </c>
      <c r="O7" s="308" t="s">
        <v>600</v>
      </c>
      <c r="P7" s="308" t="s">
        <v>601</v>
      </c>
      <c r="Q7" s="308" t="s">
        <v>602</v>
      </c>
      <c r="R7" s="308" t="s">
        <v>603</v>
      </c>
      <c r="S7" s="308" t="s">
        <v>604</v>
      </c>
      <c r="T7" s="308" t="s">
        <v>605</v>
      </c>
      <c r="U7" s="308" t="s">
        <v>606</v>
      </c>
      <c r="V7" s="308" t="s">
        <v>607</v>
      </c>
      <c r="W7" s="308" t="s">
        <v>608</v>
      </c>
      <c r="X7" s="308" t="s">
        <v>609</v>
      </c>
      <c r="Y7" s="308" t="s">
        <v>610</v>
      </c>
      <c r="Z7" s="308" t="s">
        <v>611</v>
      </c>
      <c r="AA7" s="308" t="s">
        <v>612</v>
      </c>
      <c r="AB7" s="308" t="s">
        <v>613</v>
      </c>
      <c r="AC7" s="308" t="s">
        <v>614</v>
      </c>
      <c r="AD7" s="308" t="s">
        <v>615</v>
      </c>
      <c r="AE7" s="308" t="s">
        <v>616</v>
      </c>
      <c r="AF7" s="308" t="s">
        <v>617</v>
      </c>
      <c r="AG7" s="308" t="s">
        <v>618</v>
      </c>
      <c r="AH7" s="308" t="s">
        <v>619</v>
      </c>
      <c r="AI7" s="308" t="s">
        <v>620</v>
      </c>
      <c r="AJ7" s="308" t="s">
        <v>621</v>
      </c>
      <c r="AK7" s="308" t="s">
        <v>622</v>
      </c>
      <c r="AL7" s="309" t="s">
        <v>167</v>
      </c>
      <c r="AM7" s="308" t="s">
        <v>168</v>
      </c>
      <c r="AN7" s="308" t="s">
        <v>169</v>
      </c>
      <c r="AO7" s="308" t="s">
        <v>170</v>
      </c>
      <c r="AP7" s="308" t="s">
        <v>171</v>
      </c>
      <c r="AQ7" s="308" t="s">
        <v>172</v>
      </c>
      <c r="AR7" s="308" t="s">
        <v>173</v>
      </c>
      <c r="AS7" s="308" t="s">
        <v>174</v>
      </c>
      <c r="AT7" s="308" t="s">
        <v>175</v>
      </c>
      <c r="AU7" s="308" t="s">
        <v>176</v>
      </c>
      <c r="AV7" s="308" t="s">
        <v>122</v>
      </c>
      <c r="AW7" s="308" t="s">
        <v>177</v>
      </c>
      <c r="AX7" s="308" t="s">
        <v>178</v>
      </c>
      <c r="AY7" s="310" t="s">
        <v>179</v>
      </c>
      <c r="AZ7" s="310" t="s">
        <v>180</v>
      </c>
      <c r="BA7" s="310" t="s">
        <v>181</v>
      </c>
      <c r="BB7" s="310" t="s">
        <v>182</v>
      </c>
      <c r="BC7" s="310" t="s">
        <v>183</v>
      </c>
      <c r="BD7" s="310" t="s">
        <v>184</v>
      </c>
    </row>
    <row r="8" spans="1:57" s="45" customFormat="1" ht="16.2" x14ac:dyDescent="0.35">
      <c r="A8" s="312"/>
      <c r="B8" s="312" t="s">
        <v>67</v>
      </c>
      <c r="C8" s="313" t="s">
        <v>623</v>
      </c>
      <c r="D8" s="313" t="s">
        <v>624</v>
      </c>
      <c r="E8" s="313" t="s">
        <v>623</v>
      </c>
      <c r="F8" s="313" t="s">
        <v>625</v>
      </c>
      <c r="G8" s="313" t="s">
        <v>623</v>
      </c>
      <c r="H8" s="313" t="s">
        <v>626</v>
      </c>
      <c r="I8" s="313" t="s">
        <v>623</v>
      </c>
      <c r="J8" s="313" t="s">
        <v>627</v>
      </c>
      <c r="K8" s="313" t="s">
        <v>623</v>
      </c>
      <c r="L8" s="313" t="s">
        <v>628</v>
      </c>
      <c r="M8" s="313" t="s">
        <v>623</v>
      </c>
      <c r="N8" s="313" t="s">
        <v>629</v>
      </c>
      <c r="O8" s="313" t="s">
        <v>623</v>
      </c>
      <c r="P8" s="313" t="s">
        <v>630</v>
      </c>
      <c r="Q8" s="313" t="s">
        <v>623</v>
      </c>
      <c r="R8" s="313" t="s">
        <v>631</v>
      </c>
      <c r="S8" s="313" t="s">
        <v>623</v>
      </c>
      <c r="T8" s="313" t="s">
        <v>632</v>
      </c>
      <c r="U8" s="313" t="s">
        <v>623</v>
      </c>
      <c r="V8" s="313" t="s">
        <v>633</v>
      </c>
      <c r="W8" s="313" t="s">
        <v>623</v>
      </c>
      <c r="X8" s="313" t="s">
        <v>634</v>
      </c>
      <c r="Y8" s="313" t="s">
        <v>623</v>
      </c>
      <c r="Z8" s="313" t="s">
        <v>635</v>
      </c>
      <c r="AA8" s="313" t="s">
        <v>623</v>
      </c>
      <c r="AB8" s="313" t="s">
        <v>636</v>
      </c>
      <c r="AC8" s="313" t="s">
        <v>623</v>
      </c>
      <c r="AD8" s="313" t="s">
        <v>637</v>
      </c>
      <c r="AE8" s="313" t="s">
        <v>623</v>
      </c>
      <c r="AF8" s="313" t="s">
        <v>638</v>
      </c>
      <c r="AG8" s="313" t="s">
        <v>623</v>
      </c>
      <c r="AH8" s="313" t="s">
        <v>639</v>
      </c>
      <c r="AI8" s="313" t="s">
        <v>623</v>
      </c>
      <c r="AJ8" s="313" t="s">
        <v>640</v>
      </c>
      <c r="AK8" s="313" t="s">
        <v>623</v>
      </c>
      <c r="AL8" s="314" t="s">
        <v>185</v>
      </c>
      <c r="AM8" s="313" t="s">
        <v>641</v>
      </c>
      <c r="AN8" s="313" t="s">
        <v>186</v>
      </c>
      <c r="AO8" s="313" t="s">
        <v>642</v>
      </c>
      <c r="AP8" s="313" t="s">
        <v>643</v>
      </c>
      <c r="AQ8" s="313" t="s">
        <v>644</v>
      </c>
      <c r="AR8" s="313" t="s">
        <v>645</v>
      </c>
      <c r="AS8" s="313" t="s">
        <v>646</v>
      </c>
      <c r="AT8" s="313" t="s">
        <v>647</v>
      </c>
      <c r="AU8" s="313" t="s">
        <v>648</v>
      </c>
      <c r="AV8" s="313" t="s">
        <v>649</v>
      </c>
      <c r="AW8" s="313" t="s">
        <v>650</v>
      </c>
      <c r="AX8" s="313" t="s">
        <v>651</v>
      </c>
      <c r="AY8" s="313" t="s">
        <v>652</v>
      </c>
      <c r="AZ8" s="315" t="s">
        <v>653</v>
      </c>
      <c r="BA8" s="313" t="s">
        <v>654</v>
      </c>
      <c r="BB8" s="316" t="s">
        <v>655</v>
      </c>
      <c r="BC8" s="316"/>
      <c r="BD8" s="316"/>
    </row>
    <row r="9" spans="1:57" s="50" customFormat="1" x14ac:dyDescent="0.3">
      <c r="A9" s="317" t="s">
        <v>390</v>
      </c>
      <c r="B9" s="46">
        <v>1</v>
      </c>
      <c r="C9" s="46">
        <f>Database!B6</f>
        <v>26.963800626883152</v>
      </c>
      <c r="D9" s="46">
        <f>'Key Data'!E21</f>
        <v>8.9072628450890701E-2</v>
      </c>
      <c r="E9" s="46">
        <f>Database!B7</f>
        <v>21.67681988064102</v>
      </c>
      <c r="F9" s="46">
        <f>'Key Data'!E22</f>
        <v>0.11195282307111949</v>
      </c>
      <c r="G9" s="46">
        <f>Database!B8</f>
        <v>26.977019395183728</v>
      </c>
      <c r="H9" s="46">
        <f>'Key Data'!E23</f>
        <v>9.8454637370984505E-2</v>
      </c>
      <c r="I9" s="46">
        <f>Database!B9</f>
        <v>17.730020412528397</v>
      </c>
      <c r="J9" s="46">
        <f>'Key Data'!E24</f>
        <v>0.14425608573144255</v>
      </c>
      <c r="K9" s="46">
        <f>Database!B10</f>
        <v>7.8668458445190916</v>
      </c>
      <c r="L9" s="46">
        <f>'Key Data'!E25</f>
        <v>7.3054439260730519E-2</v>
      </c>
      <c r="M9" s="46">
        <f>Database!B11</f>
        <v>3.6841764762116558</v>
      </c>
      <c r="N9" s="46">
        <f>'Key Data'!E26</f>
        <v>2.7396697820273961E-2</v>
      </c>
      <c r="O9" s="46">
        <f>Database!B12</f>
        <v>23.399634039074201</v>
      </c>
      <c r="P9" s="46">
        <f>'Key Data'!E27</f>
        <v>1.6490369070164896E-2</v>
      </c>
      <c r="Q9" s="46">
        <f>Database!B13</f>
        <v>61.536394842559183</v>
      </c>
      <c r="R9" s="46">
        <f>'Key Data'!E28</f>
        <v>2.5928834280259279E-2</v>
      </c>
      <c r="S9" s="46">
        <f>Database!B14</f>
        <v>36.543837214757914</v>
      </c>
      <c r="T9" s="46">
        <f>'Key Data'!E29</f>
        <v>2.7453154110274526E-2</v>
      </c>
      <c r="U9" s="46">
        <f>Database!B15</f>
        <v>18.516103133277241</v>
      </c>
      <c r="V9" s="46">
        <f>'Key Data'!E30</f>
        <v>7.608768175076086E-2</v>
      </c>
      <c r="W9" s="46">
        <f>Database!B16</f>
        <v>13.265357996958214</v>
      </c>
      <c r="X9" s="46">
        <f>'Key Data'!E31</f>
        <v>2.1319948060213194E-2</v>
      </c>
      <c r="Y9" s="46">
        <f>Database!B17</f>
        <v>15.024406834908806</v>
      </c>
      <c r="Z9" s="46">
        <f>'Key Data'!E32</f>
        <v>2.3336977330233367E-2</v>
      </c>
      <c r="AA9" s="46">
        <f>Database!B18</f>
        <v>12.644145853325591</v>
      </c>
      <c r="AB9" s="46">
        <f>'Key Data'!E33</f>
        <v>4.4744176020447425E-2</v>
      </c>
      <c r="AC9" s="46">
        <f>Database!B19</f>
        <v>11.09347984374466</v>
      </c>
      <c r="AD9" s="46">
        <f>'Key Data'!E34</f>
        <v>0.10437741543104374</v>
      </c>
      <c r="AE9" s="46">
        <f>Database!B20</f>
        <v>10.038183828381914</v>
      </c>
      <c r="AF9" s="46">
        <f>'Key Data'!E35</f>
        <v>8.4766553240847656E-2</v>
      </c>
      <c r="AG9" s="46">
        <f>Database!B21</f>
        <v>11.757499923188865</v>
      </c>
      <c r="AH9" s="46">
        <f>'Key Data'!E36</f>
        <v>2.6452338060264521E-2</v>
      </c>
      <c r="AI9" s="46">
        <f>Database!B22</f>
        <v>2.9549013949665754</v>
      </c>
      <c r="AJ9" s="46">
        <f>'Key Data'!E37</f>
        <v>4.8552409400485505E-3</v>
      </c>
      <c r="AK9" s="46">
        <f>(C9*D9)+(E9*F9)+(G9*H9)+(I9*J9)+(K9*L9)+(M9*N9)+(O9*P9)+(Q9*R9)+(S9*T9)+(U9*V9)+(W9*X9)+(Y9*Z9)+(AA9*AB9)+(AC9*AD9)+(AE9*AF9)+(AG9*AH9)+(AI9*AJ9)</f>
        <v>18.644726598595206</v>
      </c>
      <c r="AL9" s="47">
        <f>SUM('Key Data'!D21:D37)</f>
        <v>1948.4100000000005</v>
      </c>
      <c r="AM9" s="47">
        <f>AL9*AK9</f>
        <v>36327.571751968891</v>
      </c>
      <c r="AN9" s="46">
        <f>Database!K5</f>
        <v>1.670665882638485</v>
      </c>
      <c r="AO9" s="47">
        <f>'Key Data'!$G$3</f>
        <v>0.47</v>
      </c>
      <c r="AP9" s="47">
        <f>AM9*AO9*(44/12)</f>
        <v>62604.515319226382</v>
      </c>
      <c r="AQ9" s="47">
        <f>(AP9-0)/1*1</f>
        <v>62604.515319226382</v>
      </c>
      <c r="AR9" s="47">
        <f>AQ9</f>
        <v>62604.515319226382</v>
      </c>
      <c r="AS9" s="48">
        <v>0</v>
      </c>
      <c r="AT9" s="48">
        <f>AP9*'Key Data'!$J$3</f>
        <v>0</v>
      </c>
      <c r="AU9" s="48">
        <f>AP9*'Key Data'!$H$3</f>
        <v>0</v>
      </c>
      <c r="AV9" s="48">
        <f>SOC!AY23</f>
        <v>22851.541923026663</v>
      </c>
      <c r="AW9" s="48">
        <f>SUM(AR9:AV9)</f>
        <v>85456.057242253039</v>
      </c>
      <c r="AX9" s="48">
        <f>'GHG Emission'!G32</f>
        <v>0</v>
      </c>
      <c r="AY9" s="48">
        <f>AW9-AX9</f>
        <v>85456.057242253039</v>
      </c>
      <c r="AZ9" s="48">
        <f>Leakage!E9</f>
        <v>7379.5180188067798</v>
      </c>
      <c r="BA9" s="48">
        <f>SUM(Baseline!S16:S22)</f>
        <v>0</v>
      </c>
      <c r="BB9" s="48">
        <f>AY9-BA9-AZ9</f>
        <v>78076.539223446263</v>
      </c>
      <c r="BC9" s="48">
        <f>AY9*20%</f>
        <v>17091.211448450609</v>
      </c>
      <c r="BD9" s="48">
        <f>BB9-BC9</f>
        <v>60985.327774995654</v>
      </c>
      <c r="BE9" s="49"/>
    </row>
    <row r="10" spans="1:57" x14ac:dyDescent="0.3">
      <c r="H10" s="4"/>
      <c r="BB10" s="11"/>
      <c r="BC10" s="11"/>
      <c r="BD10" s="11"/>
    </row>
    <row r="11" spans="1:57" x14ac:dyDescent="0.3">
      <c r="AP11" s="4"/>
      <c r="AY11" s="11"/>
      <c r="BB11" s="11"/>
      <c r="BC11" s="11"/>
      <c r="BD11" s="11"/>
    </row>
    <row r="12" spans="1:57" x14ac:dyDescent="0.3">
      <c r="BC12" s="318"/>
    </row>
    <row r="13" spans="1:57" x14ac:dyDescent="0.3">
      <c r="G13" s="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29AD-29CC-4769-8651-47E8AA849094}">
  <dimension ref="B2:P26"/>
  <sheetViews>
    <sheetView topLeftCell="B1" zoomScaleNormal="100" workbookViewId="0">
      <selection activeCell="K4" sqref="K4"/>
    </sheetView>
  </sheetViews>
  <sheetFormatPr defaultRowHeight="14.4" x14ac:dyDescent="0.3"/>
  <cols>
    <col min="2" max="2" width="40.6640625" customWidth="1"/>
    <col min="3" max="3" width="11.5546875" customWidth="1"/>
    <col min="4" max="4" width="12" customWidth="1"/>
    <col min="5" max="5" width="12.5546875" customWidth="1"/>
    <col min="6" max="6" width="10.5546875" bestFit="1" customWidth="1"/>
    <col min="7" max="8" width="12.88671875" customWidth="1"/>
    <col min="9" max="9" width="11" customWidth="1"/>
    <col min="10" max="10" width="12.6640625" customWidth="1"/>
    <col min="11" max="11" width="13" customWidth="1"/>
    <col min="14" max="14" width="14.44140625" customWidth="1"/>
    <col min="15" max="15" width="16.88671875" customWidth="1"/>
    <col min="16" max="16" width="24.44140625" customWidth="1"/>
  </cols>
  <sheetData>
    <row r="2" spans="2:16" x14ac:dyDescent="0.3">
      <c r="B2" s="363" t="s">
        <v>381</v>
      </c>
      <c r="C2" s="363"/>
      <c r="D2" s="363"/>
      <c r="E2" s="363"/>
      <c r="F2" s="363"/>
      <c r="G2" s="363"/>
      <c r="H2" s="363"/>
      <c r="I2" s="363"/>
      <c r="J2" s="363"/>
      <c r="K2" s="363"/>
    </row>
    <row r="3" spans="2:16" ht="54" x14ac:dyDescent="0.3">
      <c r="B3" s="51" t="s">
        <v>187</v>
      </c>
      <c r="C3" s="51" t="s">
        <v>188</v>
      </c>
      <c r="D3" s="51" t="s">
        <v>189</v>
      </c>
      <c r="E3" s="51" t="s">
        <v>190</v>
      </c>
      <c r="F3" s="51" t="s">
        <v>191</v>
      </c>
      <c r="G3" s="51" t="s">
        <v>192</v>
      </c>
      <c r="H3" s="51" t="s">
        <v>193</v>
      </c>
      <c r="I3" s="51" t="s">
        <v>194</v>
      </c>
      <c r="J3" s="51" t="s">
        <v>195</v>
      </c>
      <c r="K3" s="51" t="s">
        <v>196</v>
      </c>
      <c r="N3" s="51" t="s">
        <v>197</v>
      </c>
      <c r="O3" s="51" t="s">
        <v>198</v>
      </c>
      <c r="P3" s="51" t="s">
        <v>199</v>
      </c>
    </row>
    <row r="4" spans="2:16" x14ac:dyDescent="0.3">
      <c r="B4" s="10" t="s">
        <v>377</v>
      </c>
      <c r="C4" s="8">
        <v>184</v>
      </c>
      <c r="D4" s="61">
        <f>ROUNDUP(('Final Calculation'!$BA$9)*('Vintage Period '!C4/'Vintage Period '!$C$11),0)</f>
        <v>0</v>
      </c>
      <c r="E4" s="61">
        <f>('Final Calculation'!$AW$9)*('Vintage Period '!C4/'Vintage Period '!$C$11)</f>
        <v>7491.1455610169405</v>
      </c>
      <c r="F4" s="61">
        <f>E4</f>
        <v>7491.1455610169405</v>
      </c>
      <c r="G4" s="61">
        <f>('Final Calculation'!$AZ$9)*('Vintage Period '!C4/'Vintage Period '!$C$11)</f>
        <v>646.89438564099453</v>
      </c>
      <c r="H4" s="61">
        <f>E4*20%</f>
        <v>1498.2291122033882</v>
      </c>
      <c r="I4" s="61">
        <v>0</v>
      </c>
      <c r="J4" s="61">
        <f>E4-G4-D4</f>
        <v>6844.2511753759463</v>
      </c>
      <c r="K4" s="61">
        <f>ROUNDDOWN(J4-I4-H4,0)</f>
        <v>5346</v>
      </c>
      <c r="N4" s="280">
        <f>D23</f>
        <v>80533.811107144284</v>
      </c>
      <c r="O4" s="65">
        <f>E11</f>
        <v>85456.057242253024</v>
      </c>
      <c r="P4" s="339">
        <f>(O4-N4)/N4</f>
        <v>6.1120243379020715E-2</v>
      </c>
    </row>
    <row r="5" spans="2:16" x14ac:dyDescent="0.3">
      <c r="B5" s="10" t="s">
        <v>145</v>
      </c>
      <c r="C5" s="8">
        <v>365</v>
      </c>
      <c r="D5" s="61">
        <f>ROUNDUP(('Final Calculation'!$BA$9)*('Vintage Period '!C5/'Vintage Period '!$C$11),0)</f>
        <v>0</v>
      </c>
      <c r="E5" s="61">
        <f>('Final Calculation'!$AW$9)*('Vintage Period '!C5/'Vintage Period '!$C$11)</f>
        <v>14860.152879191213</v>
      </c>
      <c r="F5" s="61">
        <f>E5+F4</f>
        <v>22351.298440208153</v>
      </c>
      <c r="G5" s="61">
        <f>('Final Calculation'!$AZ$9)*('Vintage Period '!C5/'Vintage Period '!$C$11)</f>
        <v>1283.2415802117553</v>
      </c>
      <c r="H5" s="61">
        <f t="shared" ref="H5:H10" si="0">E5*20%</f>
        <v>2972.0305758382428</v>
      </c>
      <c r="I5" s="61">
        <v>0</v>
      </c>
      <c r="J5" s="61">
        <f>E5-G5-D5</f>
        <v>13576.911298979458</v>
      </c>
      <c r="K5" s="61">
        <f t="shared" ref="K5:K10" si="1">ROUNDDOWN(J5-I5-H5,0)</f>
        <v>10604</v>
      </c>
    </row>
    <row r="6" spans="2:16" x14ac:dyDescent="0.3">
      <c r="B6" s="10" t="s">
        <v>146</v>
      </c>
      <c r="C6" s="8">
        <v>365</v>
      </c>
      <c r="D6" s="61">
        <f>ROUNDUP(('Final Calculation'!$BA$9)*('Vintage Period '!C6/'Vintage Period '!$C$11),0)</f>
        <v>0</v>
      </c>
      <c r="E6" s="61">
        <f>('Final Calculation'!$AW$9)*('Vintage Period '!C6/'Vintage Period '!$C$11)</f>
        <v>14860.152879191213</v>
      </c>
      <c r="F6" s="61">
        <f t="shared" ref="F6:F10" si="2">E6+F5</f>
        <v>37211.451319399363</v>
      </c>
      <c r="G6" s="61">
        <f>('Final Calculation'!$AZ$9)*('Vintage Period '!C6/'Vintage Period '!$C$11)</f>
        <v>1283.2415802117553</v>
      </c>
      <c r="H6" s="61">
        <f t="shared" si="0"/>
        <v>2972.0305758382428</v>
      </c>
      <c r="I6" s="61">
        <v>0</v>
      </c>
      <c r="J6" s="61">
        <f t="shared" ref="J6:J10" si="3">E6-G6-D6</f>
        <v>13576.911298979458</v>
      </c>
      <c r="K6" s="61">
        <f t="shared" si="1"/>
        <v>10604</v>
      </c>
    </row>
    <row r="7" spans="2:16" x14ac:dyDescent="0.3">
      <c r="B7" s="10" t="s">
        <v>147</v>
      </c>
      <c r="C7" s="8">
        <v>365</v>
      </c>
      <c r="D7" s="61">
        <f>ROUNDUP(('Final Calculation'!$BA$9)*('Vintage Period '!C7/'Vintage Period '!$C$11),0)</f>
        <v>0</v>
      </c>
      <c r="E7" s="61">
        <f>('Final Calculation'!$AW$9)*('Vintage Period '!C7/'Vintage Period '!$C$11)</f>
        <v>14860.152879191213</v>
      </c>
      <c r="F7" s="61">
        <f t="shared" si="2"/>
        <v>52071.604198590576</v>
      </c>
      <c r="G7" s="61">
        <f>('Final Calculation'!$AZ$9)*('Vintage Period '!C7/'Vintage Period '!$C$11)</f>
        <v>1283.2415802117553</v>
      </c>
      <c r="H7" s="61">
        <f t="shared" si="0"/>
        <v>2972.0305758382428</v>
      </c>
      <c r="I7" s="61">
        <v>0</v>
      </c>
      <c r="J7" s="61">
        <f t="shared" si="3"/>
        <v>13576.911298979458</v>
      </c>
      <c r="K7" s="61">
        <f t="shared" si="1"/>
        <v>10604</v>
      </c>
    </row>
    <row r="8" spans="2:16" x14ac:dyDescent="0.3">
      <c r="B8" s="10" t="s">
        <v>148</v>
      </c>
      <c r="C8" s="8">
        <v>365</v>
      </c>
      <c r="D8" s="61">
        <f>ROUNDUP(('Final Calculation'!$BA$9)*('Vintage Period '!C8/'Vintage Period '!$C$11),0)</f>
        <v>0</v>
      </c>
      <c r="E8" s="61">
        <f>('Final Calculation'!$AW$9)*('Vintage Period '!C8/'Vintage Period '!$C$11)</f>
        <v>14860.152879191213</v>
      </c>
      <c r="F8" s="61">
        <f t="shared" si="2"/>
        <v>66931.757077781789</v>
      </c>
      <c r="G8" s="61">
        <f>('Final Calculation'!$AZ$9)*('Vintage Period '!C8/'Vintage Period '!$C$11)</f>
        <v>1283.2415802117553</v>
      </c>
      <c r="H8" s="61">
        <f t="shared" si="0"/>
        <v>2972.0305758382428</v>
      </c>
      <c r="I8" s="61">
        <v>0</v>
      </c>
      <c r="J8" s="61">
        <f t="shared" si="3"/>
        <v>13576.911298979458</v>
      </c>
      <c r="K8" s="61">
        <f t="shared" si="1"/>
        <v>10604</v>
      </c>
    </row>
    <row r="9" spans="2:16" x14ac:dyDescent="0.3">
      <c r="B9" s="10" t="s">
        <v>378</v>
      </c>
      <c r="C9" s="8">
        <v>365</v>
      </c>
      <c r="D9" s="61">
        <f>ROUNDUP(('Final Calculation'!$BA$9)*('Vintage Period '!C9/'Vintage Period '!$C$11),0)</f>
        <v>0</v>
      </c>
      <c r="E9" s="61">
        <f>('Final Calculation'!$AW$9)*('Vintage Period '!C9/'Vintage Period '!$C$11)</f>
        <v>14860.152879191213</v>
      </c>
      <c r="F9" s="61">
        <f t="shared" si="2"/>
        <v>81791.909956973002</v>
      </c>
      <c r="G9" s="61">
        <f>('Final Calculation'!$AZ$9)*('Vintage Period '!C9/'Vintage Period '!$C$11)</f>
        <v>1283.2415802117553</v>
      </c>
      <c r="H9" s="61">
        <f t="shared" si="0"/>
        <v>2972.0305758382428</v>
      </c>
      <c r="I9" s="61">
        <v>0</v>
      </c>
      <c r="J9" s="61">
        <f t="shared" si="3"/>
        <v>13576.911298979458</v>
      </c>
      <c r="K9" s="61">
        <f t="shared" si="1"/>
        <v>10604</v>
      </c>
      <c r="L9" s="338"/>
    </row>
    <row r="10" spans="2:16" x14ac:dyDescent="0.3">
      <c r="B10" s="10" t="s">
        <v>379</v>
      </c>
      <c r="C10" s="8">
        <v>90</v>
      </c>
      <c r="D10" s="61">
        <f>ROUNDUP(('Final Calculation'!$BA$9)*('Vintage Period '!C10/'Vintage Period '!$C$11),0)</f>
        <v>0</v>
      </c>
      <c r="E10" s="61">
        <f>('Final Calculation'!$AW$9)*('Vintage Period '!C10/'Vintage Period '!$C$11)</f>
        <v>3664.1472852800252</v>
      </c>
      <c r="F10" s="61">
        <f t="shared" si="2"/>
        <v>85456.057242253024</v>
      </c>
      <c r="G10" s="61">
        <f>('Final Calculation'!$AZ$9)*('Vintage Period '!C10/'Vintage Period '!$C$11)</f>
        <v>316.41573210700818</v>
      </c>
      <c r="H10" s="61">
        <f t="shared" si="0"/>
        <v>732.82945705600514</v>
      </c>
      <c r="I10" s="61">
        <v>0</v>
      </c>
      <c r="J10" s="61">
        <f t="shared" si="3"/>
        <v>3347.7315531730169</v>
      </c>
      <c r="K10" s="61">
        <f t="shared" si="1"/>
        <v>2614</v>
      </c>
    </row>
    <row r="11" spans="2:16" x14ac:dyDescent="0.3">
      <c r="B11" s="52" t="s">
        <v>200</v>
      </c>
      <c r="C11" s="62">
        <f>SUM(C4:C10)</f>
        <v>2099</v>
      </c>
      <c r="D11" s="62">
        <f>SUM(D4:D10)</f>
        <v>0</v>
      </c>
      <c r="E11" s="62">
        <f>SUM(E4:E10)</f>
        <v>85456.057242253024</v>
      </c>
      <c r="F11" s="62"/>
      <c r="G11" s="62">
        <f>SUM(G4:G10)</f>
        <v>7379.5180188067798</v>
      </c>
      <c r="H11" s="62">
        <f>SUM(H4:H10)</f>
        <v>17091.211448450609</v>
      </c>
      <c r="I11" s="62">
        <f>SUM(I4:I10)</f>
        <v>0</v>
      </c>
      <c r="J11" s="62">
        <f>SUM(J4:J10)</f>
        <v>78076.539223446249</v>
      </c>
      <c r="K11" s="62">
        <f>SUM(K4:K10)</f>
        <v>60980</v>
      </c>
    </row>
    <row r="12" spans="2:16" x14ac:dyDescent="0.3">
      <c r="K12" s="107"/>
    </row>
    <row r="13" spans="2:16" x14ac:dyDescent="0.3">
      <c r="G13" s="11"/>
    </row>
    <row r="14" spans="2:16" x14ac:dyDescent="0.3">
      <c r="B14" s="363" t="s">
        <v>380</v>
      </c>
      <c r="C14" s="363"/>
      <c r="D14" s="363"/>
      <c r="E14" s="363"/>
      <c r="F14" s="363"/>
      <c r="G14" s="363"/>
      <c r="H14" s="363"/>
      <c r="I14" s="363"/>
    </row>
    <row r="15" spans="2:16" ht="85.2" x14ac:dyDescent="0.3">
      <c r="B15" s="81" t="s">
        <v>201</v>
      </c>
      <c r="C15" s="82" t="s">
        <v>202</v>
      </c>
      <c r="D15" s="81" t="s">
        <v>203</v>
      </c>
      <c r="E15" s="82" t="s">
        <v>204</v>
      </c>
      <c r="F15" s="82" t="s">
        <v>205</v>
      </c>
      <c r="G15" s="82" t="s">
        <v>206</v>
      </c>
      <c r="H15" s="82" t="s">
        <v>207</v>
      </c>
      <c r="I15" s="82" t="s">
        <v>208</v>
      </c>
      <c r="P15" s="84"/>
    </row>
    <row r="16" spans="2:16" x14ac:dyDescent="0.3">
      <c r="B16" s="83" t="s">
        <v>474</v>
      </c>
      <c r="C16" s="279">
        <v>0</v>
      </c>
      <c r="D16" s="279">
        <v>668.48039804225152</v>
      </c>
      <c r="E16" s="279">
        <v>98.128803258832505</v>
      </c>
      <c r="F16" s="279">
        <v>133.6960796084503</v>
      </c>
      <c r="G16" s="279">
        <v>0</v>
      </c>
      <c r="H16" s="337">
        <v>668.48039804225152</v>
      </c>
      <c r="I16" s="91">
        <v>534.78431843380122</v>
      </c>
    </row>
    <row r="17" spans="2:12" x14ac:dyDescent="0.3">
      <c r="B17" s="83" t="s">
        <v>475</v>
      </c>
      <c r="C17" s="279">
        <v>0</v>
      </c>
      <c r="D17" s="279">
        <v>3089.0563217952908</v>
      </c>
      <c r="E17" s="279">
        <v>257.43295443199952</v>
      </c>
      <c r="F17" s="279">
        <v>585.84318953069919</v>
      </c>
      <c r="G17" s="279">
        <v>0</v>
      </c>
      <c r="H17" s="337">
        <v>2929.2159476534962</v>
      </c>
      <c r="I17" s="91">
        <v>2343.3727581227968</v>
      </c>
    </row>
    <row r="18" spans="2:12" x14ac:dyDescent="0.3">
      <c r="B18" s="83" t="s">
        <v>476</v>
      </c>
      <c r="C18" s="279">
        <v>0</v>
      </c>
      <c r="D18" s="279">
        <v>7198.5080957322907</v>
      </c>
      <c r="E18" s="279">
        <v>434.08225475480253</v>
      </c>
      <c r="F18" s="279">
        <v>1352.8851681954977</v>
      </c>
      <c r="G18" s="279">
        <v>0</v>
      </c>
      <c r="H18" s="337">
        <v>6764.4258409774884</v>
      </c>
      <c r="I18" s="91">
        <v>5411.5406727819909</v>
      </c>
    </row>
    <row r="19" spans="2:12" x14ac:dyDescent="0.3">
      <c r="B19" s="83" t="s">
        <v>477</v>
      </c>
      <c r="C19" s="279">
        <v>0</v>
      </c>
      <c r="D19" s="279">
        <v>14004.370048969242</v>
      </c>
      <c r="E19" s="279">
        <v>1029.0985238803501</v>
      </c>
      <c r="F19" s="279">
        <v>2595.0543050177785</v>
      </c>
      <c r="G19" s="279">
        <v>0</v>
      </c>
      <c r="H19" s="337">
        <v>12975.27152508889</v>
      </c>
      <c r="I19" s="91">
        <v>10380.217220071114</v>
      </c>
    </row>
    <row r="20" spans="2:12" x14ac:dyDescent="0.3">
      <c r="B20" s="83" t="s">
        <v>478</v>
      </c>
      <c r="C20" s="279">
        <v>0</v>
      </c>
      <c r="D20" s="279">
        <v>21056.946707144933</v>
      </c>
      <c r="E20" s="279">
        <v>1548.0132169167432</v>
      </c>
      <c r="F20" s="279">
        <v>3901.7866980456374</v>
      </c>
      <c r="G20" s="279">
        <v>0</v>
      </c>
      <c r="H20" s="337">
        <v>19508.933490228184</v>
      </c>
      <c r="I20" s="91">
        <v>15607.14679218255</v>
      </c>
    </row>
    <row r="21" spans="2:12" x14ac:dyDescent="0.3">
      <c r="B21" s="83" t="s">
        <v>479</v>
      </c>
      <c r="C21" s="279">
        <v>0</v>
      </c>
      <c r="D21" s="279">
        <v>27420.857591095893</v>
      </c>
      <c r="E21" s="279">
        <v>1598.8598856951105</v>
      </c>
      <c r="F21" s="279">
        <v>5164.3995410801572</v>
      </c>
      <c r="G21" s="279">
        <v>0</v>
      </c>
      <c r="H21" s="337">
        <v>25821.997705400783</v>
      </c>
      <c r="I21" s="91">
        <v>20657.598164320625</v>
      </c>
    </row>
    <row r="22" spans="2:12" x14ac:dyDescent="0.3">
      <c r="B22" s="83" t="s">
        <v>473</v>
      </c>
      <c r="C22" s="279">
        <v>0</v>
      </c>
      <c r="D22" s="279">
        <v>7095.5919443643788</v>
      </c>
      <c r="E22" s="279">
        <v>396.66796423600499</v>
      </c>
      <c r="F22" s="279">
        <v>1338.9033116607061</v>
      </c>
      <c r="G22" s="279">
        <v>0</v>
      </c>
      <c r="H22" s="337">
        <v>6694.5165583035305</v>
      </c>
      <c r="I22" s="91">
        <v>5355.6132466428244</v>
      </c>
    </row>
    <row r="23" spans="2:12" x14ac:dyDescent="0.3">
      <c r="B23" s="63" t="s">
        <v>200</v>
      </c>
      <c r="C23" s="64">
        <v>0</v>
      </c>
      <c r="D23" s="64">
        <f>SUM(D16:D22)</f>
        <v>80533.811107144284</v>
      </c>
      <c r="E23" s="64">
        <f t="shared" ref="E23:I23" si="4">SUM(E16:E22)</f>
        <v>5362.2836031738434</v>
      </c>
      <c r="F23" s="64">
        <f t="shared" si="4"/>
        <v>15072.568293138927</v>
      </c>
      <c r="G23" s="64">
        <f t="shared" si="4"/>
        <v>0</v>
      </c>
      <c r="H23" s="64">
        <f t="shared" si="4"/>
        <v>75362.841465694626</v>
      </c>
      <c r="I23" s="64">
        <f t="shared" si="4"/>
        <v>60290.273172555702</v>
      </c>
    </row>
    <row r="25" spans="2:12" x14ac:dyDescent="0.3">
      <c r="L25" s="2"/>
    </row>
    <row r="26" spans="2:12" x14ac:dyDescent="0.3">
      <c r="K26" s="2"/>
    </row>
  </sheetData>
  <mergeCells count="2">
    <mergeCell ref="B14:I14"/>
    <mergeCell ref="B2:K2"/>
  </mergeCells>
  <phoneticPr fontId="1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D915-05D0-4312-8DA3-D4BB5C1A3AC0}">
  <dimension ref="A2:Q43"/>
  <sheetViews>
    <sheetView tabSelected="1" topLeftCell="A21" zoomScale="92" workbookViewId="0">
      <selection activeCell="L34" sqref="L34"/>
    </sheetView>
  </sheetViews>
  <sheetFormatPr defaultRowHeight="14.4" x14ac:dyDescent="0.3"/>
  <cols>
    <col min="1" max="1" width="33.21875" customWidth="1"/>
    <col min="3" max="4" width="10.33203125" bestFit="1" customWidth="1"/>
    <col min="7" max="7" width="9" bestFit="1" customWidth="1"/>
    <col min="8" max="8" width="20.5546875" customWidth="1"/>
    <col min="9" max="9" width="21.88671875" customWidth="1"/>
    <col min="13" max="13" width="14.6640625" bestFit="1" customWidth="1"/>
    <col min="14" max="14" width="9.6640625" bestFit="1" customWidth="1"/>
    <col min="15" max="15" width="10.6640625" bestFit="1" customWidth="1"/>
  </cols>
  <sheetData>
    <row r="2" spans="1:17" x14ac:dyDescent="0.3">
      <c r="C2" s="364" t="s">
        <v>209</v>
      </c>
      <c r="D2" s="364"/>
      <c r="E2" s="364"/>
      <c r="F2" s="364"/>
      <c r="G2" s="364"/>
      <c r="H2" s="365" t="s">
        <v>210</v>
      </c>
      <c r="I2" s="365"/>
    </row>
    <row r="3" spans="1:17" ht="108" x14ac:dyDescent="0.3">
      <c r="A3" t="s">
        <v>211</v>
      </c>
      <c r="B3" s="53" t="s">
        <v>49</v>
      </c>
      <c r="C3" s="53" t="s">
        <v>212</v>
      </c>
      <c r="D3" s="53" t="s">
        <v>213</v>
      </c>
      <c r="E3" s="53" t="s">
        <v>214</v>
      </c>
      <c r="F3" s="53" t="s">
        <v>215</v>
      </c>
      <c r="G3" s="53" t="s">
        <v>216</v>
      </c>
      <c r="H3" s="53" t="s">
        <v>217</v>
      </c>
      <c r="I3" s="53" t="s">
        <v>218</v>
      </c>
      <c r="J3" s="54" t="s">
        <v>219</v>
      </c>
    </row>
    <row r="4" spans="1:17" x14ac:dyDescent="0.3">
      <c r="A4" s="1" t="s">
        <v>377</v>
      </c>
      <c r="B4" s="6">
        <f>0.50411</f>
        <v>0.50410999999999995</v>
      </c>
      <c r="C4" s="6">
        <f>'Vintage Period '!D4</f>
        <v>0</v>
      </c>
      <c r="D4" s="8">
        <f>'Vintage Period '!F4</f>
        <v>7491.1455610169405</v>
      </c>
      <c r="E4" s="8">
        <f>D4-0</f>
        <v>7491.1455610169405</v>
      </c>
      <c r="F4" s="8">
        <f>D4-C4</f>
        <v>7491.1455610169405</v>
      </c>
      <c r="G4" s="8">
        <f>F4-0</f>
        <v>7491.1455610169405</v>
      </c>
      <c r="H4" s="8">
        <f>G4*20%</f>
        <v>1498.2291122033882</v>
      </c>
      <c r="I4" s="8">
        <f>G4-H4</f>
        <v>5992.9164488135521</v>
      </c>
      <c r="J4" s="8">
        <f t="shared" ref="J4:J35" si="0">F$43</f>
        <v>198109.88284592924</v>
      </c>
      <c r="N4" s="2"/>
      <c r="O4" s="2"/>
      <c r="Q4" s="4"/>
    </row>
    <row r="5" spans="1:17" x14ac:dyDescent="0.3">
      <c r="A5" s="1" t="s">
        <v>145</v>
      </c>
      <c r="B5" s="6">
        <f>B4+1</f>
        <v>1.5041099999999998</v>
      </c>
      <c r="C5" s="6">
        <f>'Vintage Period '!D5</f>
        <v>0</v>
      </c>
      <c r="D5" s="8">
        <f>'Vintage Period '!F5</f>
        <v>22351.298440208153</v>
      </c>
      <c r="E5" s="8">
        <f>D5-D4</f>
        <v>14860.152879191213</v>
      </c>
      <c r="F5" s="8">
        <f>D5-C5</f>
        <v>22351.298440208153</v>
      </c>
      <c r="G5" s="60">
        <f>F5-F4</f>
        <v>14860.152879191213</v>
      </c>
      <c r="H5" s="8">
        <f t="shared" ref="H5:H41" si="1">G5*20%</f>
        <v>2972.0305758382428</v>
      </c>
      <c r="I5" s="8">
        <f t="shared" ref="I5:I41" si="2">G5-H5</f>
        <v>11888.122303352971</v>
      </c>
      <c r="J5" s="8">
        <f t="shared" si="0"/>
        <v>198109.88284592924</v>
      </c>
    </row>
    <row r="6" spans="1:17" x14ac:dyDescent="0.3">
      <c r="A6" s="1" t="s">
        <v>146</v>
      </c>
      <c r="B6" s="6">
        <f>B5+1</f>
        <v>2.5041099999999998</v>
      </c>
      <c r="C6" s="6">
        <f>'Vintage Period '!D6</f>
        <v>0</v>
      </c>
      <c r="D6" s="8">
        <f>'Vintage Period '!F6</f>
        <v>37211.451319399363</v>
      </c>
      <c r="E6" s="8">
        <f>D6-D5</f>
        <v>14860.15287919121</v>
      </c>
      <c r="F6" s="8">
        <f>D6-C6</f>
        <v>37211.451319399363</v>
      </c>
      <c r="G6" s="60">
        <f t="shared" ref="G6:G22" si="3">F6-F5</f>
        <v>14860.15287919121</v>
      </c>
      <c r="H6" s="8">
        <f t="shared" si="1"/>
        <v>2972.0305758382419</v>
      </c>
      <c r="I6" s="8">
        <f t="shared" si="2"/>
        <v>11888.122303352968</v>
      </c>
      <c r="J6" s="8">
        <f t="shared" si="0"/>
        <v>198109.88284592924</v>
      </c>
    </row>
    <row r="7" spans="1:17" x14ac:dyDescent="0.3">
      <c r="A7" s="1" t="s">
        <v>147</v>
      </c>
      <c r="B7" s="6">
        <f>B6+1</f>
        <v>3.5041099999999998</v>
      </c>
      <c r="C7" s="6">
        <f>'Vintage Period '!D7</f>
        <v>0</v>
      </c>
      <c r="D7" s="8">
        <f>'Vintage Period '!F7</f>
        <v>52071.604198590576</v>
      </c>
      <c r="E7" s="8">
        <f>D7-D6</f>
        <v>14860.152879191213</v>
      </c>
      <c r="F7" s="8">
        <f t="shared" ref="F7:F34" si="4">D7-C7</f>
        <v>52071.604198590576</v>
      </c>
      <c r="G7" s="60">
        <f t="shared" si="3"/>
        <v>14860.152879191213</v>
      </c>
      <c r="H7" s="8">
        <f t="shared" si="1"/>
        <v>2972.0305758382428</v>
      </c>
      <c r="I7" s="8">
        <f t="shared" si="2"/>
        <v>11888.122303352971</v>
      </c>
      <c r="J7" s="8">
        <f t="shared" si="0"/>
        <v>198109.88284592924</v>
      </c>
    </row>
    <row r="8" spans="1:17" x14ac:dyDescent="0.3">
      <c r="A8" s="1" t="s">
        <v>148</v>
      </c>
      <c r="B8" s="6">
        <f>B7+1</f>
        <v>4.5041099999999998</v>
      </c>
      <c r="C8" s="6">
        <f>'Vintage Period '!D8</f>
        <v>0</v>
      </c>
      <c r="D8" s="8">
        <f>'Vintage Period '!F8</f>
        <v>66931.757077781789</v>
      </c>
      <c r="E8" s="8">
        <f t="shared" ref="E8:E41" si="5">D8-D7</f>
        <v>14860.152879191213</v>
      </c>
      <c r="F8" s="8">
        <f t="shared" si="4"/>
        <v>66931.757077781789</v>
      </c>
      <c r="G8" s="60">
        <f t="shared" si="3"/>
        <v>14860.152879191213</v>
      </c>
      <c r="H8" s="8">
        <f t="shared" si="1"/>
        <v>2972.0305758382428</v>
      </c>
      <c r="I8" s="8">
        <f t="shared" si="2"/>
        <v>11888.122303352971</v>
      </c>
      <c r="J8" s="8">
        <f t="shared" si="0"/>
        <v>198109.88284592924</v>
      </c>
    </row>
    <row r="9" spans="1:17" x14ac:dyDescent="0.3">
      <c r="A9" s="1" t="s">
        <v>378</v>
      </c>
      <c r="B9" s="6">
        <f>B8+1</f>
        <v>5.5041099999999998</v>
      </c>
      <c r="C9" s="6">
        <f>'Vintage Period '!D9</f>
        <v>0</v>
      </c>
      <c r="D9" s="8">
        <f>'Vintage Period '!F9</f>
        <v>81791.909956973002</v>
      </c>
      <c r="E9" s="8">
        <f t="shared" si="5"/>
        <v>14860.152879191213</v>
      </c>
      <c r="F9" s="8">
        <f t="shared" si="4"/>
        <v>81791.909956973002</v>
      </c>
      <c r="G9" s="60">
        <f t="shared" si="3"/>
        <v>14860.152879191213</v>
      </c>
      <c r="H9" s="8">
        <f t="shared" si="1"/>
        <v>2972.0305758382428</v>
      </c>
      <c r="I9" s="8">
        <f t="shared" si="2"/>
        <v>11888.122303352971</v>
      </c>
      <c r="J9" s="8">
        <f t="shared" si="0"/>
        <v>198109.88284592924</v>
      </c>
    </row>
    <row r="10" spans="1:17" x14ac:dyDescent="0.3">
      <c r="A10" s="1" t="s">
        <v>379</v>
      </c>
      <c r="B10" s="6">
        <v>5.9232899999999997</v>
      </c>
      <c r="C10" s="6">
        <f>'Vintage Period '!D10</f>
        <v>0</v>
      </c>
      <c r="D10" s="8">
        <f>'Vintage Period '!F10</f>
        <v>85456.057242253024</v>
      </c>
      <c r="E10" s="8">
        <f t="shared" si="5"/>
        <v>3664.1472852800216</v>
      </c>
      <c r="F10" s="8">
        <f t="shared" si="4"/>
        <v>85456.057242253024</v>
      </c>
      <c r="G10" s="60">
        <f t="shared" si="3"/>
        <v>3664.1472852800216</v>
      </c>
      <c r="H10" s="8">
        <f t="shared" si="1"/>
        <v>732.82945705600434</v>
      </c>
      <c r="I10" s="8">
        <f t="shared" si="2"/>
        <v>2931.3178282240174</v>
      </c>
      <c r="J10" s="8">
        <f t="shared" si="0"/>
        <v>198109.88284592924</v>
      </c>
    </row>
    <row r="11" spans="1:17" x14ac:dyDescent="0.3">
      <c r="A11" s="10" t="s">
        <v>391</v>
      </c>
      <c r="B11" s="6">
        <v>6.84</v>
      </c>
      <c r="C11" s="6">
        <f>TREND(C9:C10,B9:B10,B11:B$35,TRUE)</f>
        <v>0</v>
      </c>
      <c r="D11" s="8">
        <f>TREND(D9:D10,B9:B10,B11:B$35,TRUE)</f>
        <v>93469.226901800372</v>
      </c>
      <c r="E11" s="8">
        <f t="shared" si="5"/>
        <v>8013.1696595473477</v>
      </c>
      <c r="F11" s="8">
        <f>D11-C11</f>
        <v>93469.226901800372</v>
      </c>
      <c r="G11" s="60">
        <f t="shared" si="3"/>
        <v>8013.1696595473477</v>
      </c>
      <c r="H11" s="8">
        <f t="shared" si="1"/>
        <v>1602.6339319094695</v>
      </c>
      <c r="I11" s="8">
        <f t="shared" si="2"/>
        <v>6410.5357276378782</v>
      </c>
      <c r="J11" s="8">
        <f t="shared" si="0"/>
        <v>198109.88284592924</v>
      </c>
    </row>
    <row r="12" spans="1:17" x14ac:dyDescent="0.3">
      <c r="A12" s="12" t="s">
        <v>220</v>
      </c>
      <c r="B12" s="6">
        <f>B11+1</f>
        <v>7.84</v>
      </c>
      <c r="C12" s="6">
        <f>TREND(C10:C11,B10:B11,B12:B$35,TRUE)</f>
        <v>0</v>
      </c>
      <c r="D12" s="8">
        <f>TREND(D10:D11,B10:B11,B12:B$35,TRUE)</f>
        <v>102210.45330878551</v>
      </c>
      <c r="E12" s="8">
        <f t="shared" si="5"/>
        <v>8741.2264069851371</v>
      </c>
      <c r="F12" s="8">
        <f t="shared" si="4"/>
        <v>102210.45330878551</v>
      </c>
      <c r="G12" s="60">
        <f t="shared" si="3"/>
        <v>8741.2264069851371</v>
      </c>
      <c r="H12" s="8">
        <f t="shared" si="1"/>
        <v>1748.2452813970276</v>
      </c>
      <c r="I12" s="8">
        <f t="shared" si="2"/>
        <v>6992.9811255881095</v>
      </c>
      <c r="J12" s="8">
        <f t="shared" si="0"/>
        <v>198109.88284592924</v>
      </c>
    </row>
    <row r="13" spans="1:17" x14ac:dyDescent="0.3">
      <c r="A13" s="12" t="s">
        <v>221</v>
      </c>
      <c r="B13" s="6">
        <f t="shared" ref="B13:B41" si="6">B12+1</f>
        <v>8.84</v>
      </c>
      <c r="C13" s="6">
        <f>TREND(C11:C12,B11:B12,B13:B$35,TRUE)</f>
        <v>0</v>
      </c>
      <c r="D13" s="8">
        <f>TREND(D11:D12,B11:B12,B13:B$35,TRUE)</f>
        <v>110951.67971577065</v>
      </c>
      <c r="E13" s="8">
        <f t="shared" si="5"/>
        <v>8741.2264069851371</v>
      </c>
      <c r="F13" s="8">
        <f t="shared" si="4"/>
        <v>110951.67971577065</v>
      </c>
      <c r="G13" s="60">
        <f t="shared" si="3"/>
        <v>8741.2264069851371</v>
      </c>
      <c r="H13" s="8">
        <f t="shared" si="1"/>
        <v>1748.2452813970276</v>
      </c>
      <c r="I13" s="8">
        <f t="shared" si="2"/>
        <v>6992.9811255881095</v>
      </c>
      <c r="J13" s="8">
        <f t="shared" si="0"/>
        <v>198109.88284592924</v>
      </c>
    </row>
    <row r="14" spans="1:17" x14ac:dyDescent="0.3">
      <c r="A14" s="12" t="s">
        <v>222</v>
      </c>
      <c r="B14" s="6">
        <f t="shared" si="6"/>
        <v>9.84</v>
      </c>
      <c r="C14" s="6">
        <f>TREND(C12:C13,B12:B13,B14:B$35,TRUE)</f>
        <v>0</v>
      </c>
      <c r="D14" s="8">
        <f>TREND(D12:D13,B12:B13,B14:B$35,TRUE)</f>
        <v>119692.9061227558</v>
      </c>
      <c r="E14" s="8">
        <f t="shared" si="5"/>
        <v>8741.2264069851517</v>
      </c>
      <c r="F14" s="8">
        <f t="shared" si="4"/>
        <v>119692.9061227558</v>
      </c>
      <c r="G14" s="60">
        <f t="shared" si="3"/>
        <v>8741.2264069851517</v>
      </c>
      <c r="H14" s="8">
        <f t="shared" si="1"/>
        <v>1748.2452813970303</v>
      </c>
      <c r="I14" s="8">
        <f t="shared" si="2"/>
        <v>6992.9811255881214</v>
      </c>
      <c r="J14" s="8">
        <f t="shared" si="0"/>
        <v>198109.88284592924</v>
      </c>
    </row>
    <row r="15" spans="1:17" x14ac:dyDescent="0.3">
      <c r="A15" s="12" t="s">
        <v>223</v>
      </c>
      <c r="B15" s="6">
        <f t="shared" si="6"/>
        <v>10.84</v>
      </c>
      <c r="C15" s="6">
        <f>TREND(C13:C14,B13:B14,B15:B$35,TRUE)</f>
        <v>0</v>
      </c>
      <c r="D15" s="8">
        <f>TREND(D13:D14,B13:B14,B15:B$35,TRUE)</f>
        <v>128434.13252974095</v>
      </c>
      <c r="E15" s="8">
        <f t="shared" si="5"/>
        <v>8741.2264069851517</v>
      </c>
      <c r="F15" s="8">
        <f t="shared" si="4"/>
        <v>128434.13252974095</v>
      </c>
      <c r="G15" s="60">
        <f t="shared" si="3"/>
        <v>8741.2264069851517</v>
      </c>
      <c r="H15" s="8">
        <f t="shared" si="1"/>
        <v>1748.2452813970303</v>
      </c>
      <c r="I15" s="8">
        <f t="shared" si="2"/>
        <v>6992.9811255881214</v>
      </c>
      <c r="J15" s="8">
        <f t="shared" si="0"/>
        <v>198109.88284592924</v>
      </c>
    </row>
    <row r="16" spans="1:17" x14ac:dyDescent="0.3">
      <c r="A16" s="12" t="s">
        <v>224</v>
      </c>
      <c r="B16" s="6">
        <f t="shared" si="6"/>
        <v>11.84</v>
      </c>
      <c r="C16" s="6">
        <f>TREND(C14:C15,B14:B15,B16:B$35,TRUE)</f>
        <v>0</v>
      </c>
      <c r="D16" s="8">
        <f>TREND(D14:D15,B14:B15,B16:B$35,TRUE)</f>
        <v>137175.35893672612</v>
      </c>
      <c r="E16" s="8">
        <f t="shared" si="5"/>
        <v>8741.2264069851662</v>
      </c>
      <c r="F16" s="8">
        <f t="shared" si="4"/>
        <v>137175.35893672612</v>
      </c>
      <c r="G16" s="60">
        <f t="shared" si="3"/>
        <v>8741.2264069851662</v>
      </c>
      <c r="H16" s="8">
        <f t="shared" si="1"/>
        <v>1748.2452813970333</v>
      </c>
      <c r="I16" s="8">
        <f t="shared" si="2"/>
        <v>6992.9811255881332</v>
      </c>
      <c r="J16" s="8">
        <f t="shared" si="0"/>
        <v>198109.88284592924</v>
      </c>
    </row>
    <row r="17" spans="1:10" x14ac:dyDescent="0.3">
      <c r="A17" s="12" t="s">
        <v>225</v>
      </c>
      <c r="B17" s="6">
        <f t="shared" si="6"/>
        <v>12.84</v>
      </c>
      <c r="C17" s="6">
        <f>TREND(C15:C16,B15:B16,B17:B$35,TRUE)</f>
        <v>0</v>
      </c>
      <c r="D17" s="8">
        <f>TREND(D15:D16,B15:B16,B17:B$35,TRUE)</f>
        <v>145916.58534371125</v>
      </c>
      <c r="E17" s="8">
        <f t="shared" si="5"/>
        <v>8741.2264069851371</v>
      </c>
      <c r="F17" s="8">
        <f t="shared" si="4"/>
        <v>145916.58534371125</v>
      </c>
      <c r="G17" s="60">
        <f t="shared" si="3"/>
        <v>8741.2264069851371</v>
      </c>
      <c r="H17" s="8">
        <f t="shared" si="1"/>
        <v>1748.2452813970276</v>
      </c>
      <c r="I17" s="8">
        <f t="shared" si="2"/>
        <v>6992.9811255881095</v>
      </c>
      <c r="J17" s="8">
        <f t="shared" si="0"/>
        <v>198109.88284592924</v>
      </c>
    </row>
    <row r="18" spans="1:10" x14ac:dyDescent="0.3">
      <c r="A18" s="12" t="s">
        <v>226</v>
      </c>
      <c r="B18" s="6">
        <f t="shared" si="6"/>
        <v>13.84</v>
      </c>
      <c r="C18" s="6">
        <f>TREND(C16:C17,B16:B17,B18:B$35,TRUE)</f>
        <v>0</v>
      </c>
      <c r="D18" s="8">
        <f>TREND(D16:D17,B16:B17,B18:B$35,TRUE)</f>
        <v>154657.81175069639</v>
      </c>
      <c r="E18" s="8">
        <f t="shared" si="5"/>
        <v>8741.2264069851371</v>
      </c>
      <c r="F18" s="8">
        <f t="shared" si="4"/>
        <v>154657.81175069639</v>
      </c>
      <c r="G18" s="60">
        <f t="shared" si="3"/>
        <v>8741.2264069851371</v>
      </c>
      <c r="H18" s="8">
        <f t="shared" si="1"/>
        <v>1748.2452813970276</v>
      </c>
      <c r="I18" s="8">
        <f t="shared" si="2"/>
        <v>6992.9811255881095</v>
      </c>
      <c r="J18" s="8">
        <f t="shared" si="0"/>
        <v>198109.88284592924</v>
      </c>
    </row>
    <row r="19" spans="1:10" x14ac:dyDescent="0.3">
      <c r="A19" s="12" t="s">
        <v>227</v>
      </c>
      <c r="B19" s="6">
        <f t="shared" si="6"/>
        <v>14.84</v>
      </c>
      <c r="C19" s="6">
        <f>TREND(C17:C18,B17:B18,B19:B$35,TRUE)</f>
        <v>0</v>
      </c>
      <c r="D19" s="8">
        <f>TREND(D17:D18,B17:B18,B19:B$35,TRUE)</f>
        <v>163399.03815768153</v>
      </c>
      <c r="E19" s="8">
        <f t="shared" si="5"/>
        <v>8741.2264069851371</v>
      </c>
      <c r="F19" s="8">
        <f t="shared" si="4"/>
        <v>163399.03815768153</v>
      </c>
      <c r="G19" s="60">
        <f t="shared" si="3"/>
        <v>8741.2264069851371</v>
      </c>
      <c r="H19" s="8">
        <f t="shared" si="1"/>
        <v>1748.2452813970276</v>
      </c>
      <c r="I19" s="8">
        <f t="shared" si="2"/>
        <v>6992.9811255881095</v>
      </c>
      <c r="J19" s="8">
        <f t="shared" si="0"/>
        <v>198109.88284592924</v>
      </c>
    </row>
    <row r="20" spans="1:10" x14ac:dyDescent="0.3">
      <c r="A20" s="12" t="s">
        <v>228</v>
      </c>
      <c r="B20" s="6">
        <f t="shared" si="6"/>
        <v>15.84</v>
      </c>
      <c r="C20" s="6">
        <f>TREND(C18:C19,B18:B19,B20:B$35,TRUE)</f>
        <v>0</v>
      </c>
      <c r="D20" s="8">
        <f>TREND(D18:D19,B18:B19,B20:B$35,TRUE)</f>
        <v>172140.26456466666</v>
      </c>
      <c r="E20" s="8">
        <f t="shared" si="5"/>
        <v>8741.2264069851371</v>
      </c>
      <c r="F20" s="8">
        <f t="shared" si="4"/>
        <v>172140.26456466666</v>
      </c>
      <c r="G20" s="60">
        <f t="shared" si="3"/>
        <v>8741.2264069851371</v>
      </c>
      <c r="H20" s="8">
        <f t="shared" si="1"/>
        <v>1748.2452813970276</v>
      </c>
      <c r="I20" s="8">
        <f t="shared" si="2"/>
        <v>6992.9811255881095</v>
      </c>
      <c r="J20" s="8">
        <f t="shared" si="0"/>
        <v>198109.88284592924</v>
      </c>
    </row>
    <row r="21" spans="1:10" x14ac:dyDescent="0.3">
      <c r="A21" s="12" t="s">
        <v>229</v>
      </c>
      <c r="B21" s="6">
        <f t="shared" si="6"/>
        <v>16.84</v>
      </c>
      <c r="C21" s="6">
        <f>TREND(C19:C20,B19:B20,B21:B$35,TRUE)</f>
        <v>0</v>
      </c>
      <c r="D21" s="8">
        <f>TREND(D19:D20,B19:B20,B21:B$35,TRUE)</f>
        <v>180881.4909716518</v>
      </c>
      <c r="E21" s="8">
        <f t="shared" si="5"/>
        <v>8741.2264069851371</v>
      </c>
      <c r="F21" s="8">
        <f t="shared" si="4"/>
        <v>180881.4909716518</v>
      </c>
      <c r="G21" s="60">
        <f t="shared" si="3"/>
        <v>8741.2264069851371</v>
      </c>
      <c r="H21" s="8">
        <f t="shared" si="1"/>
        <v>1748.2452813970276</v>
      </c>
      <c r="I21" s="8">
        <f t="shared" si="2"/>
        <v>6992.9811255881095</v>
      </c>
      <c r="J21" s="8">
        <f t="shared" si="0"/>
        <v>198109.88284592924</v>
      </c>
    </row>
    <row r="22" spans="1:10" x14ac:dyDescent="0.3">
      <c r="A22" s="12" t="s">
        <v>230</v>
      </c>
      <c r="B22" s="6">
        <f t="shared" si="6"/>
        <v>17.84</v>
      </c>
      <c r="C22" s="6">
        <f>TREND(C20:C21,B20:B21,B22:B$35,TRUE)</f>
        <v>0</v>
      </c>
      <c r="D22" s="8">
        <f>TREND(D20:D21,B20:B21,B22:B$35,TRUE)</f>
        <v>189622.71737863694</v>
      </c>
      <c r="E22" s="8">
        <f t="shared" si="5"/>
        <v>8741.2264069851371</v>
      </c>
      <c r="F22" s="8">
        <f t="shared" si="4"/>
        <v>189622.71737863694</v>
      </c>
      <c r="G22" s="60">
        <f t="shared" si="3"/>
        <v>8741.2264069851371</v>
      </c>
      <c r="H22" s="8">
        <f t="shared" si="1"/>
        <v>1748.2452813970276</v>
      </c>
      <c r="I22" s="8">
        <f t="shared" si="2"/>
        <v>6992.9811255881095</v>
      </c>
      <c r="J22" s="8">
        <f t="shared" si="0"/>
        <v>198109.88284592924</v>
      </c>
    </row>
    <row r="23" spans="1:10" x14ac:dyDescent="0.3">
      <c r="A23" s="12" t="s">
        <v>231</v>
      </c>
      <c r="B23" s="6">
        <f t="shared" si="6"/>
        <v>18.84</v>
      </c>
      <c r="C23" s="6">
        <f>TREND(C21:C22,B21:B22,B23:B$35,TRUE)</f>
        <v>0</v>
      </c>
      <c r="D23" s="8">
        <f>TREND(D21:D22,B21:B22,B23:B$35,TRUE)</f>
        <v>198363.94378562208</v>
      </c>
      <c r="E23" s="8">
        <f t="shared" si="5"/>
        <v>8741.2264069851371</v>
      </c>
      <c r="F23" s="8">
        <f t="shared" si="4"/>
        <v>198363.94378562208</v>
      </c>
      <c r="G23" s="60">
        <f>F43-SUM(G4:G22)</f>
        <v>8487.1654672923032</v>
      </c>
      <c r="H23" s="8">
        <f t="shared" si="1"/>
        <v>1697.4330934584607</v>
      </c>
      <c r="I23" s="8">
        <f t="shared" si="2"/>
        <v>6789.7323738338428</v>
      </c>
      <c r="J23" s="8">
        <f t="shared" si="0"/>
        <v>198109.88284592924</v>
      </c>
    </row>
    <row r="24" spans="1:10" x14ac:dyDescent="0.3">
      <c r="A24" s="12" t="s">
        <v>232</v>
      </c>
      <c r="B24" s="6">
        <f t="shared" si="6"/>
        <v>19.84</v>
      </c>
      <c r="C24" s="6">
        <f>TREND(C22:C23,B22:B23,B24:B$35,TRUE)</f>
        <v>0</v>
      </c>
      <c r="D24" s="8">
        <f>TREND(D22:D23,B22:B23,B24:B$35,TRUE)</f>
        <v>207105.17019260724</v>
      </c>
      <c r="E24" s="8">
        <f t="shared" si="5"/>
        <v>8741.2264069851662</v>
      </c>
      <c r="F24" s="8">
        <f t="shared" si="4"/>
        <v>207105.17019260724</v>
      </c>
      <c r="G24" s="60">
        <v>0</v>
      </c>
      <c r="H24" s="8">
        <f t="shared" si="1"/>
        <v>0</v>
      </c>
      <c r="I24" s="8">
        <f t="shared" si="2"/>
        <v>0</v>
      </c>
      <c r="J24" s="8">
        <f t="shared" si="0"/>
        <v>198109.88284592924</v>
      </c>
    </row>
    <row r="25" spans="1:10" x14ac:dyDescent="0.3">
      <c r="A25" s="12" t="s">
        <v>233</v>
      </c>
      <c r="B25" s="6">
        <f t="shared" si="6"/>
        <v>20.84</v>
      </c>
      <c r="C25" s="6">
        <f>TREND(C23:C24,B23:B24,B25:B$35,TRUE)</f>
        <v>0</v>
      </c>
      <c r="D25" s="8">
        <f>TREND(D23:D24,B23:B24,B25:B$35,TRUE)</f>
        <v>215846.39659959244</v>
      </c>
      <c r="E25" s="8">
        <f t="shared" si="5"/>
        <v>8741.2264069851954</v>
      </c>
      <c r="F25" s="8">
        <f t="shared" si="4"/>
        <v>215846.39659959244</v>
      </c>
      <c r="G25" s="7">
        <v>0</v>
      </c>
      <c r="H25" s="8">
        <f t="shared" si="1"/>
        <v>0</v>
      </c>
      <c r="I25" s="8">
        <f t="shared" si="2"/>
        <v>0</v>
      </c>
      <c r="J25" s="8">
        <f t="shared" si="0"/>
        <v>198109.88284592924</v>
      </c>
    </row>
    <row r="26" spans="1:10" x14ac:dyDescent="0.3">
      <c r="A26" s="12" t="s">
        <v>234</v>
      </c>
      <c r="B26" s="6">
        <f t="shared" si="6"/>
        <v>21.84</v>
      </c>
      <c r="C26" s="6">
        <f>TREND(C24:C25,B24:B25,B26:B$35,TRUE)</f>
        <v>0</v>
      </c>
      <c r="D26" s="8">
        <f>TREND(D24:D25,B24:B25,B26:B$35,TRUE)</f>
        <v>224587.62300657763</v>
      </c>
      <c r="E26" s="8">
        <f t="shared" si="5"/>
        <v>8741.2264069851954</v>
      </c>
      <c r="F26" s="8">
        <f t="shared" si="4"/>
        <v>224587.62300657763</v>
      </c>
      <c r="G26" s="7">
        <v>0</v>
      </c>
      <c r="H26" s="8">
        <f t="shared" si="1"/>
        <v>0</v>
      </c>
      <c r="I26" s="8">
        <f t="shared" si="2"/>
        <v>0</v>
      </c>
      <c r="J26" s="8">
        <f t="shared" si="0"/>
        <v>198109.88284592924</v>
      </c>
    </row>
    <row r="27" spans="1:10" x14ac:dyDescent="0.3">
      <c r="A27" s="12" t="s">
        <v>235</v>
      </c>
      <c r="B27" s="6">
        <f t="shared" si="6"/>
        <v>22.84</v>
      </c>
      <c r="C27" s="6">
        <f>TREND(C25:C26,B25:B26,B27:B$35,TRUE)</f>
        <v>0</v>
      </c>
      <c r="D27" s="8">
        <f>TREND(D25:D26,B25:B26,B27:B$35,TRUE)</f>
        <v>233328.84941356286</v>
      </c>
      <c r="E27" s="8">
        <f t="shared" si="5"/>
        <v>8741.2264069852245</v>
      </c>
      <c r="F27" s="8">
        <f t="shared" si="4"/>
        <v>233328.84941356286</v>
      </c>
      <c r="G27" s="7">
        <v>0</v>
      </c>
      <c r="H27" s="8">
        <f t="shared" si="1"/>
        <v>0</v>
      </c>
      <c r="I27" s="8">
        <f t="shared" si="2"/>
        <v>0</v>
      </c>
      <c r="J27" s="8">
        <f t="shared" si="0"/>
        <v>198109.88284592924</v>
      </c>
    </row>
    <row r="28" spans="1:10" x14ac:dyDescent="0.3">
      <c r="A28" s="12" t="s">
        <v>236</v>
      </c>
      <c r="B28" s="6">
        <f t="shared" si="6"/>
        <v>23.84</v>
      </c>
      <c r="C28" s="6">
        <f>TREND(C26:C27,B26:B27,B28:B$35,TRUE)</f>
        <v>0</v>
      </c>
      <c r="D28" s="8">
        <f>TREND(D26:D27,B26:B27,B28:B$35,TRUE)</f>
        <v>242070.07582054811</v>
      </c>
      <c r="E28" s="8">
        <f t="shared" si="5"/>
        <v>8741.2264069852536</v>
      </c>
      <c r="F28" s="8">
        <f t="shared" si="4"/>
        <v>242070.07582054811</v>
      </c>
      <c r="G28" s="7">
        <v>0</v>
      </c>
      <c r="H28" s="8">
        <f t="shared" si="1"/>
        <v>0</v>
      </c>
      <c r="I28" s="8">
        <f t="shared" si="2"/>
        <v>0</v>
      </c>
      <c r="J28" s="8">
        <f t="shared" si="0"/>
        <v>198109.88284592924</v>
      </c>
    </row>
    <row r="29" spans="1:10" x14ac:dyDescent="0.3">
      <c r="A29" s="12" t="s">
        <v>237</v>
      </c>
      <c r="B29" s="6">
        <f t="shared" si="6"/>
        <v>24.84</v>
      </c>
      <c r="C29" s="6">
        <f>TREND(C27:C28,B27:B28,B29:B$35,TRUE)</f>
        <v>0</v>
      </c>
      <c r="D29" s="8">
        <f>TREND(D27:D28,B27:B28,B29:B$35,TRUE)</f>
        <v>250811.30222753336</v>
      </c>
      <c r="E29" s="8">
        <f t="shared" si="5"/>
        <v>8741.2264069852536</v>
      </c>
      <c r="F29" s="8">
        <f t="shared" si="4"/>
        <v>250811.30222753336</v>
      </c>
      <c r="G29" s="7">
        <v>0</v>
      </c>
      <c r="H29" s="8">
        <f t="shared" si="1"/>
        <v>0</v>
      </c>
      <c r="I29" s="8">
        <f t="shared" si="2"/>
        <v>0</v>
      </c>
      <c r="J29" s="8">
        <f t="shared" si="0"/>
        <v>198109.88284592924</v>
      </c>
    </row>
    <row r="30" spans="1:10" x14ac:dyDescent="0.3">
      <c r="A30" s="12" t="s">
        <v>238</v>
      </c>
      <c r="B30" s="6">
        <f t="shared" si="6"/>
        <v>25.84</v>
      </c>
      <c r="C30" s="6">
        <f>TREND(C28:C29,B28:B29,B30:B$35,TRUE)</f>
        <v>0</v>
      </c>
      <c r="D30" s="8">
        <f>TREND(D28:D29,B28:B29,B30:B$35,TRUE)</f>
        <v>259552.52863451862</v>
      </c>
      <c r="E30" s="8">
        <f t="shared" si="5"/>
        <v>8741.2264069852536</v>
      </c>
      <c r="F30" s="8">
        <f t="shared" si="4"/>
        <v>259552.52863451862</v>
      </c>
      <c r="G30" s="7">
        <v>0</v>
      </c>
      <c r="H30" s="8">
        <f t="shared" si="1"/>
        <v>0</v>
      </c>
      <c r="I30" s="8">
        <f t="shared" si="2"/>
        <v>0</v>
      </c>
      <c r="J30" s="8">
        <f t="shared" si="0"/>
        <v>198109.88284592924</v>
      </c>
    </row>
    <row r="31" spans="1:10" x14ac:dyDescent="0.3">
      <c r="A31" s="12" t="s">
        <v>239</v>
      </c>
      <c r="B31" s="6">
        <f t="shared" si="6"/>
        <v>26.84</v>
      </c>
      <c r="C31" s="6">
        <f>TREND(C29:C30,B29:B30,B31:B$35,TRUE)</f>
        <v>0</v>
      </c>
      <c r="D31" s="8">
        <f>TREND(D29:D30,B29:B30,B31:B$35,TRUE)</f>
        <v>268293.75504150387</v>
      </c>
      <c r="E31" s="8">
        <f t="shared" si="5"/>
        <v>8741.2264069852536</v>
      </c>
      <c r="F31" s="8">
        <f t="shared" si="4"/>
        <v>268293.75504150387</v>
      </c>
      <c r="G31" s="7">
        <v>0</v>
      </c>
      <c r="H31" s="8">
        <f t="shared" si="1"/>
        <v>0</v>
      </c>
      <c r="I31" s="8">
        <f t="shared" si="2"/>
        <v>0</v>
      </c>
      <c r="J31" s="8">
        <f t="shared" si="0"/>
        <v>198109.88284592924</v>
      </c>
    </row>
    <row r="32" spans="1:10" x14ac:dyDescent="0.3">
      <c r="A32" s="12" t="s">
        <v>240</v>
      </c>
      <c r="B32" s="6">
        <f t="shared" si="6"/>
        <v>27.84</v>
      </c>
      <c r="C32" s="6">
        <f>TREND(C30:C31,B30:B31,B32:B$35,TRUE)</f>
        <v>0</v>
      </c>
      <c r="D32" s="8">
        <f>TREND(D30:D31,B30:B31,B32:B$35,TRUE)</f>
        <v>277034.98144848912</v>
      </c>
      <c r="E32" s="8">
        <f t="shared" si="5"/>
        <v>8741.2264069852536</v>
      </c>
      <c r="F32" s="8">
        <f t="shared" si="4"/>
        <v>277034.98144848912</v>
      </c>
      <c r="G32" s="7">
        <v>0</v>
      </c>
      <c r="H32" s="8">
        <f t="shared" si="1"/>
        <v>0</v>
      </c>
      <c r="I32" s="8">
        <f t="shared" si="2"/>
        <v>0</v>
      </c>
      <c r="J32" s="8">
        <f t="shared" si="0"/>
        <v>198109.88284592924</v>
      </c>
    </row>
    <row r="33" spans="1:10" x14ac:dyDescent="0.3">
      <c r="A33" s="12" t="s">
        <v>241</v>
      </c>
      <c r="B33" s="6">
        <f t="shared" si="6"/>
        <v>28.84</v>
      </c>
      <c r="C33" s="6">
        <f>TREND(C31:C32,B31:B32,B33:B$35,TRUE)</f>
        <v>0</v>
      </c>
      <c r="D33" s="8">
        <f>TREND(D31:D32,B31:B32,B33:B$35,TRUE)</f>
        <v>285776.20785547444</v>
      </c>
      <c r="E33" s="8">
        <f t="shared" si="5"/>
        <v>8741.2264069853118</v>
      </c>
      <c r="F33" s="8">
        <f t="shared" si="4"/>
        <v>285776.20785547444</v>
      </c>
      <c r="G33" s="7">
        <v>0</v>
      </c>
      <c r="H33" s="8">
        <f t="shared" si="1"/>
        <v>0</v>
      </c>
      <c r="I33" s="8">
        <f t="shared" si="2"/>
        <v>0</v>
      </c>
      <c r="J33" s="8">
        <f t="shared" si="0"/>
        <v>198109.88284592924</v>
      </c>
    </row>
    <row r="34" spans="1:10" x14ac:dyDescent="0.3">
      <c r="A34" s="12" t="s">
        <v>242</v>
      </c>
      <c r="B34" s="6">
        <f t="shared" si="6"/>
        <v>29.84</v>
      </c>
      <c r="C34" s="6">
        <f>TREND(C32:C33,B32:B33,B34:B$35,TRUE)</f>
        <v>0</v>
      </c>
      <c r="D34" s="8">
        <f>TREND(D32:D33,B32:B33,B34:B$35,TRUE)</f>
        <v>294517.43426245975</v>
      </c>
      <c r="E34" s="8">
        <f t="shared" si="5"/>
        <v>8741.2264069853118</v>
      </c>
      <c r="F34" s="8">
        <f t="shared" si="4"/>
        <v>294517.43426245975</v>
      </c>
      <c r="G34" s="7">
        <v>0</v>
      </c>
      <c r="H34" s="8">
        <f t="shared" si="1"/>
        <v>0</v>
      </c>
      <c r="I34" s="8">
        <f t="shared" si="2"/>
        <v>0</v>
      </c>
      <c r="J34" s="8">
        <f t="shared" si="0"/>
        <v>198109.88284592924</v>
      </c>
    </row>
    <row r="35" spans="1:10" x14ac:dyDescent="0.3">
      <c r="A35" s="12" t="s">
        <v>243</v>
      </c>
      <c r="B35" s="6">
        <f t="shared" si="6"/>
        <v>30.84</v>
      </c>
      <c r="C35" s="6">
        <f>TREND(C33:C34,B33:B34,B35:B$35,TRUE)</f>
        <v>0</v>
      </c>
      <c r="D35" s="8">
        <f>TREND(D33:D34,B33:B34,B35:B$35,TRUE)</f>
        <v>303258.66066944506</v>
      </c>
      <c r="E35" s="8">
        <f t="shared" si="5"/>
        <v>8741.2264069853118</v>
      </c>
      <c r="F35" s="8">
        <f>D35-C35</f>
        <v>303258.66066944506</v>
      </c>
      <c r="G35" s="8">
        <v>0</v>
      </c>
      <c r="H35" s="8">
        <f t="shared" si="1"/>
        <v>0</v>
      </c>
      <c r="I35" s="8">
        <f t="shared" si="2"/>
        <v>0</v>
      </c>
      <c r="J35" s="8">
        <f t="shared" si="0"/>
        <v>198109.88284592924</v>
      </c>
    </row>
    <row r="36" spans="1:10" x14ac:dyDescent="0.3">
      <c r="A36" s="12" t="s">
        <v>244</v>
      </c>
      <c r="B36" s="6">
        <f t="shared" si="6"/>
        <v>31.84</v>
      </c>
      <c r="C36" s="6">
        <f>TREND(C34:C35,B34:B35,B$35:B36,TRUE)</f>
        <v>0</v>
      </c>
      <c r="D36" s="8">
        <f>TREND(D34:D35,B34:B35,B$35:B36,TRUE)</f>
        <v>303258.66066944506</v>
      </c>
      <c r="E36" s="8">
        <f t="shared" si="5"/>
        <v>0</v>
      </c>
      <c r="F36" s="8">
        <f t="shared" ref="F36:F41" si="7">D36-C36</f>
        <v>303258.66066944506</v>
      </c>
      <c r="G36" s="8">
        <v>0</v>
      </c>
      <c r="H36" s="8">
        <f t="shared" si="1"/>
        <v>0</v>
      </c>
      <c r="I36" s="8">
        <f t="shared" si="2"/>
        <v>0</v>
      </c>
      <c r="J36" s="8">
        <f t="shared" ref="J36:J41" si="8">F$43</f>
        <v>198109.88284592924</v>
      </c>
    </row>
    <row r="37" spans="1:10" x14ac:dyDescent="0.3">
      <c r="A37" s="12" t="s">
        <v>245</v>
      </c>
      <c r="B37" s="6">
        <f t="shared" si="6"/>
        <v>32.840000000000003</v>
      </c>
      <c r="C37" s="6">
        <f>TREND(C35:C36,B35:B36,B$35:B37,TRUE)</f>
        <v>0</v>
      </c>
      <c r="D37" s="8">
        <f>TREND(D35:D36,B35:B36,B$35:B37,TRUE)</f>
        <v>303258.66066944506</v>
      </c>
      <c r="E37" s="8">
        <f t="shared" si="5"/>
        <v>0</v>
      </c>
      <c r="F37" s="8">
        <f t="shared" si="7"/>
        <v>303258.66066944506</v>
      </c>
      <c r="G37" s="8">
        <v>0</v>
      </c>
      <c r="H37" s="8">
        <f t="shared" si="1"/>
        <v>0</v>
      </c>
      <c r="I37" s="8">
        <f t="shared" si="2"/>
        <v>0</v>
      </c>
      <c r="J37" s="8">
        <f t="shared" si="8"/>
        <v>198109.88284592924</v>
      </c>
    </row>
    <row r="38" spans="1:10" x14ac:dyDescent="0.3">
      <c r="A38" s="12" t="s">
        <v>246</v>
      </c>
      <c r="B38" s="6">
        <f t="shared" si="6"/>
        <v>33.840000000000003</v>
      </c>
      <c r="C38" s="6">
        <f>TREND(C36:C37,B36:B37,B$35:B38,TRUE)</f>
        <v>0</v>
      </c>
      <c r="D38" s="8">
        <f>TREND(D36:D37,B36:B37,B$35:B38,TRUE)</f>
        <v>303258.66066944506</v>
      </c>
      <c r="E38" s="8">
        <f t="shared" si="5"/>
        <v>0</v>
      </c>
      <c r="F38" s="8">
        <f t="shared" si="7"/>
        <v>303258.66066944506</v>
      </c>
      <c r="G38" s="8">
        <v>0</v>
      </c>
      <c r="H38" s="8">
        <f t="shared" si="1"/>
        <v>0</v>
      </c>
      <c r="I38" s="8">
        <f t="shared" si="2"/>
        <v>0</v>
      </c>
      <c r="J38" s="8">
        <f t="shared" si="8"/>
        <v>198109.88284592924</v>
      </c>
    </row>
    <row r="39" spans="1:10" x14ac:dyDescent="0.3">
      <c r="A39" s="12" t="s">
        <v>392</v>
      </c>
      <c r="B39" s="6">
        <f t="shared" si="6"/>
        <v>34.840000000000003</v>
      </c>
      <c r="C39" s="6">
        <f>TREND(C37:C38,B37:B38,B$35:B39,TRUE)</f>
        <v>0</v>
      </c>
      <c r="D39" s="8">
        <f>TREND(D37:D38,B37:B38,B$35:B39,TRUE)</f>
        <v>303258.66066944506</v>
      </c>
      <c r="E39" s="8">
        <f t="shared" si="5"/>
        <v>0</v>
      </c>
      <c r="F39" s="8">
        <f t="shared" si="7"/>
        <v>303258.66066944506</v>
      </c>
      <c r="G39" s="8">
        <v>0</v>
      </c>
      <c r="H39" s="8">
        <f t="shared" si="1"/>
        <v>0</v>
      </c>
      <c r="I39" s="8">
        <f t="shared" si="2"/>
        <v>0</v>
      </c>
      <c r="J39" s="8">
        <f t="shared" si="8"/>
        <v>198109.88284592924</v>
      </c>
    </row>
    <row r="40" spans="1:10" x14ac:dyDescent="0.3">
      <c r="A40" s="12" t="s">
        <v>698</v>
      </c>
      <c r="B40" s="6">
        <f t="shared" si="6"/>
        <v>35.840000000000003</v>
      </c>
      <c r="C40" s="6">
        <f>TREND(C38:C39,B38:B39,B$35:B40,TRUE)</f>
        <v>0</v>
      </c>
      <c r="D40" s="8">
        <f>TREND(D38:D39,B38:B39,B$35:B40,TRUE)</f>
        <v>303258.66066944506</v>
      </c>
      <c r="E40" s="8">
        <f t="shared" si="5"/>
        <v>0</v>
      </c>
      <c r="F40" s="8">
        <f t="shared" si="7"/>
        <v>303258.66066944506</v>
      </c>
      <c r="G40" s="8">
        <v>0</v>
      </c>
      <c r="H40" s="8">
        <f t="shared" si="1"/>
        <v>0</v>
      </c>
      <c r="I40" s="8">
        <f t="shared" si="2"/>
        <v>0</v>
      </c>
      <c r="J40" s="8">
        <f t="shared" si="8"/>
        <v>198109.88284592924</v>
      </c>
    </row>
    <row r="41" spans="1:10" x14ac:dyDescent="0.3">
      <c r="A41" s="12" t="s">
        <v>699</v>
      </c>
      <c r="B41" s="6">
        <f t="shared" si="6"/>
        <v>36.840000000000003</v>
      </c>
      <c r="C41" s="6">
        <f>TREND(C39:C40,B39:B40,B$35:B41,TRUE)</f>
        <v>0</v>
      </c>
      <c r="D41" s="8">
        <f>TREND(D39:D40,B39:B40,B$35:B41,TRUE)</f>
        <v>303258.66066944506</v>
      </c>
      <c r="E41" s="8">
        <f t="shared" si="5"/>
        <v>0</v>
      </c>
      <c r="F41" s="8">
        <f t="shared" si="7"/>
        <v>303258.66066944506</v>
      </c>
      <c r="G41" s="8">
        <v>0</v>
      </c>
      <c r="H41" s="8">
        <f t="shared" si="1"/>
        <v>0</v>
      </c>
      <c r="I41" s="8">
        <f t="shared" si="2"/>
        <v>0</v>
      </c>
      <c r="J41" s="8">
        <f t="shared" si="8"/>
        <v>198109.88284592924</v>
      </c>
    </row>
    <row r="42" spans="1:10" x14ac:dyDescent="0.3">
      <c r="A42" s="3"/>
      <c r="E42" s="55" t="s">
        <v>247</v>
      </c>
      <c r="F42" s="56">
        <f>SUM(F4:F41)</f>
        <v>7131955.7824534522</v>
      </c>
    </row>
    <row r="43" spans="1:10" x14ac:dyDescent="0.3">
      <c r="E43" s="57" t="s">
        <v>248</v>
      </c>
      <c r="F43" s="58">
        <f>F42/36</f>
        <v>198109.88284592924</v>
      </c>
    </row>
  </sheetData>
  <mergeCells count="2">
    <mergeCell ref="C2:G2"/>
    <mergeCell ref="H2:I2"/>
  </mergeCells>
  <phoneticPr fontId="11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20" ma:contentTypeDescription="Create a new document." ma:contentTypeScope="" ma:versionID="33310114c5e1c5d78470c21a1dd26b32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29eb7b3a6bc09b2ca563c5b9d4504c50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a820af-9c36-47fb-8383-9944acc4573c" xsi:nil="true"/>
    <lcf76f155ced4ddcb4097134ff3c332f xmlns="5944c9fc-9421-4c39-b608-61ce317886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FA5256-9F5B-4086-83EC-CCC13F983FF8}"/>
</file>

<file path=customXml/itemProps2.xml><?xml version="1.0" encoding="utf-8"?>
<ds:datastoreItem xmlns:ds="http://schemas.openxmlformats.org/officeDocument/2006/customXml" ds:itemID="{B58ADA37-7A4B-4B76-98AF-1F41503FA3C6}"/>
</file>

<file path=customXml/itemProps3.xml><?xml version="1.0" encoding="utf-8"?>
<ds:datastoreItem xmlns:ds="http://schemas.openxmlformats.org/officeDocument/2006/customXml" ds:itemID="{549363DD-1C7E-48A3-95F5-8C661618B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Key Data</vt:lpstr>
      <vt:lpstr>Database</vt:lpstr>
      <vt:lpstr>Baseline</vt:lpstr>
      <vt:lpstr>SOC</vt:lpstr>
      <vt:lpstr>Leakage</vt:lpstr>
      <vt:lpstr>GHG Emission</vt:lpstr>
      <vt:lpstr>Final Calculation</vt:lpstr>
      <vt:lpstr>Vintage Period </vt:lpstr>
      <vt:lpstr>LTA</vt:lpstr>
      <vt:lpstr>i=17 2024 Non Harvesting</vt:lpstr>
      <vt:lpstr>i=16 2023 Non Harvesting</vt:lpstr>
      <vt:lpstr>i=15 2022 Non Harvesting</vt:lpstr>
      <vt:lpstr>i=14 2021 Non Harvesting</vt:lpstr>
      <vt:lpstr>i=13 2020 Non Harvesting</vt:lpstr>
      <vt:lpstr>i=12 2019Non Harvesting</vt:lpstr>
      <vt:lpstr>i=11 (2023 Harvesting)</vt:lpstr>
      <vt:lpstr>i=10 (2022 Harvesting)</vt:lpstr>
      <vt:lpstr>i=9 2021 Harvesting</vt:lpstr>
      <vt:lpstr>i=8 2020 Harvesting</vt:lpstr>
      <vt:lpstr>i=7 2019 Harvesting</vt:lpstr>
      <vt:lpstr>i=6 2024 Mango</vt:lpstr>
      <vt:lpstr>i=5 2023 Mango</vt:lpstr>
      <vt:lpstr>i=4 (2022 Mango</vt:lpstr>
      <vt:lpstr>i=3 2021 Mango</vt:lpstr>
      <vt:lpstr>i=2 2020 Mango</vt:lpstr>
      <vt:lpstr>i=1 2019 Mango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Sahil Pathan</dc:creator>
  <cp:keywords/>
  <dc:description/>
  <cp:lastModifiedBy>Anuradha Thakur</cp:lastModifiedBy>
  <cp:revision/>
  <dcterms:created xsi:type="dcterms:W3CDTF">2024-11-19T06:51:13Z</dcterms:created>
  <dcterms:modified xsi:type="dcterms:W3CDTF">2025-10-27T05:39:07Z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</Properties>
</file>