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e_local\Desktop\Paul\Paul - myclimate\Improved Cookstoves\Bolivia\05 Monitoring\2020\VPA 1-GS1221\2nd send GS\"/>
    </mc:Choice>
  </mc:AlternateContent>
  <xr:revisionPtr revIDLastSave="0" documentId="13_ncr:1_{7A3C53A8-9558-471A-B4E9-CAB15FAA21FB}" xr6:coauthVersionLast="46" xr6:coauthVersionMax="46" xr10:uidLastSave="{00000000-0000-0000-0000-000000000000}"/>
  <bookViews>
    <workbookView xWindow="-110" yWindow="-110" windowWidth="19420" windowHeight="10560" firstSheet="1" activeTab="1" xr2:uid="{00000000-000D-0000-FFFF-FFFF00000000}"/>
  </bookViews>
  <sheets>
    <sheet name="ER Summary VPA1" sheetId="1" r:id="rId1"/>
    <sheet name="Scenario r-d" sheetId="4" r:id="rId2"/>
    <sheet name="Scenario r-ic" sheetId="5" r:id="rId3"/>
    <sheet name="ER-exante" sheetId="6" r:id="rId4"/>
    <sheet name="SDGs" sheetId="7" r:id="rId5"/>
    <sheet name="LPG assess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9" i="5" l="1"/>
  <c r="N29" i="5"/>
  <c r="O29" i="4"/>
  <c r="N29" i="4"/>
  <c r="O23" i="4"/>
  <c r="N23" i="4"/>
  <c r="O23" i="5"/>
  <c r="N23" i="5"/>
  <c r="E15" i="7"/>
  <c r="E7" i="7"/>
  <c r="C27" i="8" l="1"/>
  <c r="C23" i="8"/>
  <c r="C22" i="8"/>
  <c r="C21" i="8"/>
  <c r="G6" i="8"/>
  <c r="C15" i="7" l="1"/>
  <c r="T23" i="5" l="1"/>
  <c r="E6" i="6"/>
  <c r="E7" i="6"/>
  <c r="C7" i="6"/>
  <c r="C6" i="6"/>
  <c r="E5" i="6"/>
  <c r="E4" i="6"/>
  <c r="P23" i="5"/>
  <c r="P23" i="4"/>
  <c r="P21" i="4"/>
  <c r="G4" i="8" l="1"/>
  <c r="C12" i="8" s="1"/>
  <c r="C13" i="8" s="1"/>
  <c r="C14" i="8" s="1"/>
  <c r="C16" i="8" s="1"/>
  <c r="C29" i="8" s="1"/>
  <c r="C32" i="8" l="1"/>
  <c r="E9" i="1" s="1"/>
  <c r="C31" i="8"/>
  <c r="E56" i="7"/>
  <c r="E31" i="7"/>
  <c r="E23" i="7"/>
  <c r="E19" i="7"/>
  <c r="E12" i="7"/>
  <c r="E4" i="7"/>
  <c r="C33" i="8" l="1"/>
  <c r="E8" i="1"/>
  <c r="E10" i="1" s="1"/>
  <c r="S23" i="5"/>
  <c r="G8" i="4" l="1"/>
  <c r="C45" i="7" l="1"/>
  <c r="C36" i="7"/>
  <c r="C35" i="7"/>
  <c r="C44" i="7"/>
  <c r="G8" i="5"/>
  <c r="G7" i="5"/>
  <c r="F22" i="4"/>
  <c r="G22" i="4"/>
  <c r="H22" i="4" s="1"/>
  <c r="I22" i="4" s="1"/>
  <c r="J22" i="4" s="1"/>
  <c r="K22" i="4" s="1"/>
  <c r="L22" i="4" s="1"/>
  <c r="M22" i="4" s="1"/>
  <c r="G16" i="5"/>
  <c r="F22" i="5"/>
  <c r="G7" i="4"/>
  <c r="G16" i="4"/>
  <c r="G21" i="5"/>
  <c r="P21" i="5" s="1"/>
  <c r="O27" i="4" l="1"/>
  <c r="D45" i="7"/>
  <c r="E45" i="7" s="1"/>
  <c r="O26" i="4"/>
  <c r="D49" i="7"/>
  <c r="O26" i="5"/>
  <c r="O27" i="5"/>
  <c r="C49" i="7"/>
  <c r="C53" i="7" s="1"/>
  <c r="N22" i="4"/>
  <c r="G22" i="5"/>
  <c r="H22" i="5" s="1"/>
  <c r="I22" i="5" s="1"/>
  <c r="J22" i="5" s="1"/>
  <c r="K22" i="5" s="1"/>
  <c r="L22" i="5" s="1"/>
  <c r="M22" i="5" s="1"/>
  <c r="N22" i="5" s="1"/>
  <c r="O22" i="5" s="1"/>
  <c r="D48" i="7"/>
  <c r="C48" i="7"/>
  <c r="C52" i="7" s="1"/>
  <c r="D36" i="7"/>
  <c r="E36" i="7" s="1"/>
  <c r="D44" i="7"/>
  <c r="D35" i="7"/>
  <c r="E35" i="7" s="1"/>
  <c r="N26" i="4"/>
  <c r="G6" i="4"/>
  <c r="E31" i="4" s="1"/>
  <c r="N27" i="4"/>
  <c r="N27" i="5"/>
  <c r="N26" i="5"/>
  <c r="P26" i="4" l="1"/>
  <c r="P27" i="4"/>
  <c r="O25" i="4"/>
  <c r="F9" i="1" s="1"/>
  <c r="D9" i="1"/>
  <c r="C41" i="7" s="1"/>
  <c r="P26" i="5"/>
  <c r="P27" i="5"/>
  <c r="O22" i="4"/>
  <c r="C27" i="7"/>
  <c r="E27" i="7" s="1"/>
  <c r="D53" i="7"/>
  <c r="E53" i="7" s="1"/>
  <c r="E49" i="7"/>
  <c r="O25" i="5"/>
  <c r="G9" i="1" s="1"/>
  <c r="C9" i="1"/>
  <c r="D41" i="7" s="1"/>
  <c r="E48" i="7"/>
  <c r="D8" i="1"/>
  <c r="D52" i="7"/>
  <c r="E52" i="7" s="1"/>
  <c r="E44" i="7"/>
  <c r="G6" i="5"/>
  <c r="N25" i="4"/>
  <c r="C8" i="1"/>
  <c r="N25" i="5"/>
  <c r="H9" i="1" l="1"/>
  <c r="E41" i="7"/>
  <c r="D10" i="1"/>
  <c r="C40" i="7"/>
  <c r="C10" i="1"/>
  <c r="D40" i="7"/>
  <c r="F8" i="1"/>
  <c r="P25" i="4"/>
  <c r="G8" i="1"/>
  <c r="P25" i="5"/>
  <c r="H8" i="1" l="1"/>
  <c r="H10" i="1" s="1"/>
  <c r="E40" i="7"/>
  <c r="F10" i="1"/>
  <c r="G10" i="1"/>
</calcChain>
</file>

<file path=xl/sharedStrings.xml><?xml version="1.0" encoding="utf-8"?>
<sst xmlns="http://schemas.openxmlformats.org/spreadsheetml/2006/main" count="321" uniqueCount="143">
  <si>
    <t>EF_wood_CH4</t>
  </si>
  <si>
    <t>tCH4/TJ</t>
  </si>
  <si>
    <t>EF_wood_N2O</t>
  </si>
  <si>
    <t>tN2O/TJ</t>
  </si>
  <si>
    <t>Pp,b,y</t>
  </si>
  <si>
    <t>t_wood/day/unit</t>
  </si>
  <si>
    <t>GWP CH4</t>
  </si>
  <si>
    <t>fNRB</t>
  </si>
  <si>
    <t>Default CDM</t>
  </si>
  <si>
    <t>GWP N2O</t>
  </si>
  <si>
    <t>NCVwood</t>
  </si>
  <si>
    <t>TJ/t_wood</t>
  </si>
  <si>
    <t>tCO2/TJ</t>
  </si>
  <si>
    <t>LE</t>
  </si>
  <si>
    <t>tCO2/yr</t>
  </si>
  <si>
    <t>days per year</t>
  </si>
  <si>
    <t>Cummulated stoves</t>
  </si>
  <si>
    <t>days</t>
  </si>
  <si>
    <t>TPDDTEC Meth</t>
  </si>
  <si>
    <t>IPCC</t>
  </si>
  <si>
    <t>Emission Reduction ER r-d,y</t>
  </si>
  <si>
    <t>Project technology days N r-d,y</t>
  </si>
  <si>
    <t>Estimated Usage rate U r-d,y</t>
  </si>
  <si>
    <t>Implemented stoves per year</t>
  </si>
  <si>
    <t>Year</t>
  </si>
  <si>
    <t>Average</t>
  </si>
  <si>
    <t>Total</t>
  </si>
  <si>
    <t>total</t>
  </si>
  <si>
    <t>Fuel Savings</t>
  </si>
  <si>
    <t>Non renewable biomass fraction</t>
  </si>
  <si>
    <t>Net calorific value</t>
  </si>
  <si>
    <t>Emission Factor for wood</t>
  </si>
  <si>
    <t>Global warming potential Methane</t>
  </si>
  <si>
    <t>Global warming potential Nitrous oxide</t>
  </si>
  <si>
    <t>Project Year</t>
  </si>
  <si>
    <t>Leackage (tCO2e)</t>
  </si>
  <si>
    <t>ERy inst./com. (tCO2e)</t>
  </si>
  <si>
    <t>ERy 
VPA1 
 (tCO2e)</t>
  </si>
  <si>
    <t>ERy domestic (tCO2e)</t>
  </si>
  <si>
    <t>Emission Reductions per stove per year</t>
  </si>
  <si>
    <t>tCO2e</t>
  </si>
  <si>
    <t>Project technology days N r-ic,y</t>
  </si>
  <si>
    <t>Estimated Usage rate U r-ic,y</t>
  </si>
  <si>
    <t>Emission Reduction ER r-ic,y</t>
  </si>
  <si>
    <t>EF_b, fuel, CO2</t>
  </si>
  <si>
    <t>EF_b,fuel,monCO2</t>
  </si>
  <si>
    <t>VPA DD</t>
  </si>
  <si>
    <t>EF_b,fuel,nonCO2</t>
  </si>
  <si>
    <t>Emission Reduction Calculation - VPA1</t>
  </si>
  <si>
    <t>Field Test</t>
  </si>
  <si>
    <t>Field Test (domestic stoves)</t>
  </si>
  <si>
    <t>Emission Reduction Calculation - Scenario Rocket Domestic VPA1</t>
  </si>
  <si>
    <t>Emission Reduction Calculation - Scenario Rocket Institutional/Commercial VPA1</t>
  </si>
  <si>
    <t>BL Emission</t>
  </si>
  <si>
    <t>PS Emission</t>
  </si>
  <si>
    <t>Consumption baseline scenario</t>
  </si>
  <si>
    <t>Consumption project scenario</t>
  </si>
  <si>
    <t>Baseline Emissions (tCO2e)</t>
  </si>
  <si>
    <t>Project Emissions (tCO2e)</t>
  </si>
  <si>
    <t>Source</t>
  </si>
  <si>
    <t>Sales Record</t>
  </si>
  <si>
    <t>NA</t>
  </si>
  <si>
    <t>-</t>
  </si>
  <si>
    <t>PDD informaton</t>
  </si>
  <si>
    <t>SDG1: No Poverty</t>
  </si>
  <si>
    <t>Proportion of families confirming the reduction in time or money since the use of ecological stove</t>
  </si>
  <si>
    <t>Proportion of families confirming the increasing of their income since the use of ecological stove</t>
  </si>
  <si>
    <t>SDG3: Good health and well-being</t>
  </si>
  <si>
    <t xml:space="preserve">Proportion of families confirming the reduction on smoke in households </t>
  </si>
  <si>
    <t>Proportion of families confirming a better health and less medical problems because the introduction of an ecological stove</t>
  </si>
  <si>
    <t>SDG4: Quality Education</t>
  </si>
  <si>
    <t>Number of folks completing the Modular Environmental Training (MET)</t>
  </si>
  <si>
    <t>SDG5: Gender equality</t>
  </si>
  <si>
    <t>Number of innovative leaders women.</t>
  </si>
  <si>
    <t>SDG7: Affordable and clean energy</t>
  </si>
  <si>
    <t>Number of persons that benefit from efficient and clean technologies</t>
  </si>
  <si>
    <t>SDG8: Decent work and economic growth</t>
  </si>
  <si>
    <t>Number of local people employed due to the project activity (permanent and temporary).</t>
  </si>
  <si>
    <t>SDG12: Responsible consumption and production</t>
  </si>
  <si>
    <t>SDG13: Climate Action</t>
  </si>
  <si>
    <t>SDG15: Life on Land</t>
  </si>
  <si>
    <t>SDG17: Partnership for the goals</t>
  </si>
  <si>
    <t>Number of ecological stove units produced and disseminated in Bolivia.</t>
  </si>
  <si>
    <t>Project Values</t>
  </si>
  <si>
    <t>Baseline Value</t>
  </si>
  <si>
    <t>Net benefit</t>
  </si>
  <si>
    <t>Source: CEDESOL training data</t>
  </si>
  <si>
    <r>
      <t xml:space="preserve">Wood saved domestic stoves </t>
    </r>
    <r>
      <rPr>
        <vertAlign val="subscript"/>
        <sz val="11"/>
        <color theme="1"/>
        <rFont val="Avenir Book"/>
      </rPr>
      <t>2019</t>
    </r>
  </si>
  <si>
    <r>
      <t xml:space="preserve">Wood saved commercial/institutional rocket stoves </t>
    </r>
    <r>
      <rPr>
        <vertAlign val="subscript"/>
        <sz val="11"/>
        <color theme="1"/>
        <rFont val="Avenir Book"/>
      </rPr>
      <t>2019</t>
    </r>
  </si>
  <si>
    <t>tonnes</t>
  </si>
  <si>
    <t>Source: CEDESOL job information</t>
  </si>
  <si>
    <r>
      <t xml:space="preserve">Fuel savings in % </t>
    </r>
    <r>
      <rPr>
        <vertAlign val="subscript"/>
        <sz val="11"/>
        <color theme="1"/>
        <rFont val="Avenir Book"/>
      </rPr>
      <t>2019</t>
    </r>
  </si>
  <si>
    <t>Source: CEDESOL sales record</t>
  </si>
  <si>
    <t>Source: Project Field Test 2019, CEDESOL sales record</t>
  </si>
  <si>
    <r>
      <t xml:space="preserve">Wood saved </t>
    </r>
    <r>
      <rPr>
        <vertAlign val="subscript"/>
        <sz val="11"/>
        <color theme="1"/>
        <rFont val="Avenir Book"/>
      </rPr>
      <t>2019</t>
    </r>
  </si>
  <si>
    <t>garrafa 10kg /month</t>
  </si>
  <si>
    <t>Monitoring Survey (domestic stoves)</t>
  </si>
  <si>
    <t>LPG Assessment</t>
  </si>
  <si>
    <t>months per year</t>
  </si>
  <si>
    <t>months</t>
  </si>
  <si>
    <t>Level A - Mandatory requirements ---&gt;</t>
  </si>
  <si>
    <t>Number of days between December 1st, 2019 and December 31th, 2019</t>
  </si>
  <si>
    <t>Ex-ante</t>
  </si>
  <si>
    <r>
      <t xml:space="preserve">Emissions reduction </t>
    </r>
    <r>
      <rPr>
        <vertAlign val="subscript"/>
        <sz val="11"/>
        <color theme="1"/>
        <rFont val="Avenir Book"/>
      </rPr>
      <t>2019</t>
    </r>
    <r>
      <rPr>
        <sz val="11"/>
        <color theme="1"/>
        <rFont val="Avenir Book"/>
      </rPr>
      <t xml:space="preserve"> </t>
    </r>
  </si>
  <si>
    <r>
      <t xml:space="preserve">Emissions reduction </t>
    </r>
    <r>
      <rPr>
        <vertAlign val="subscript"/>
        <sz val="11"/>
        <color theme="1"/>
        <rFont val="Avenir Book"/>
      </rPr>
      <t>2020</t>
    </r>
  </si>
  <si>
    <r>
      <t xml:space="preserve">Wood saved domestic stoves </t>
    </r>
    <r>
      <rPr>
        <vertAlign val="subscript"/>
        <sz val="11"/>
        <color theme="1"/>
        <rFont val="Avenir Book"/>
      </rPr>
      <t>2020</t>
    </r>
  </si>
  <si>
    <r>
      <t xml:space="preserve">Wood saved commercial/institutional rocket stoves </t>
    </r>
    <r>
      <rPr>
        <vertAlign val="subscript"/>
        <sz val="11"/>
        <color theme="1"/>
        <rFont val="Avenir Book"/>
      </rPr>
      <t>2020</t>
    </r>
  </si>
  <si>
    <r>
      <t xml:space="preserve">Wood saved </t>
    </r>
    <r>
      <rPr>
        <vertAlign val="subscript"/>
        <sz val="11"/>
        <color theme="1"/>
        <rFont val="Avenir Book"/>
      </rPr>
      <t>2020</t>
    </r>
  </si>
  <si>
    <t>Source: Monitoring Survey 2020 - cell B185 (Data Analysis)</t>
  </si>
  <si>
    <t>Source: Monitoring Survey 2020 - cell B202 (Data Analysis)</t>
  </si>
  <si>
    <t>Source: Monitoring Survey 2020 - cell B195 (Data Analysis)</t>
  </si>
  <si>
    <r>
      <t xml:space="preserve">Fuel savings in % </t>
    </r>
    <r>
      <rPr>
        <vertAlign val="subscript"/>
        <sz val="11"/>
        <color theme="1"/>
        <rFont val="Avenir Book"/>
      </rPr>
      <t>2020</t>
    </r>
  </si>
  <si>
    <t>Source: Project Field Test 2019</t>
  </si>
  <si>
    <t>Source: CEDESOL sales record, Monitoring Survey 2020 - cell B47 (Data Analysis)</t>
  </si>
  <si>
    <t>Baseline and Project Survey 2011/2012</t>
  </si>
  <si>
    <t>Monitoring Survey 2020</t>
  </si>
  <si>
    <t>TJ/tn</t>
  </si>
  <si>
    <t>tCO2/y</t>
  </si>
  <si>
    <t>Unit</t>
  </si>
  <si>
    <t>kg of LPG</t>
  </si>
  <si>
    <t>1 Garrafa =</t>
  </si>
  <si>
    <t>Fuel increasing =</t>
  </si>
  <si>
    <t>garrafa/month/hh</t>
  </si>
  <si>
    <t>kg of LPG/month/hh</t>
  </si>
  <si>
    <t>kg of LPG/year/hh</t>
  </si>
  <si>
    <t>tn of LPG/year</t>
  </si>
  <si>
    <t>-&gt;</t>
  </si>
  <si>
    <t>GWP_CH4</t>
  </si>
  <si>
    <t>GWP_N2O</t>
  </si>
  <si>
    <t>EF_LPG_CO2</t>
  </si>
  <si>
    <t>EF_LPG_CH4</t>
  </si>
  <si>
    <t>EF_LPG_N2O</t>
  </si>
  <si>
    <t>NCV_LPG</t>
  </si>
  <si>
    <t>LE for additonal LPG use</t>
  </si>
  <si>
    <r>
      <t>LE</t>
    </r>
    <r>
      <rPr>
        <b/>
        <vertAlign val="subscript"/>
        <sz val="11"/>
        <color theme="1"/>
        <rFont val="Calibri"/>
        <family val="2"/>
        <scheme val="minor"/>
      </rPr>
      <t>2019</t>
    </r>
  </si>
  <si>
    <r>
      <t>LE</t>
    </r>
    <r>
      <rPr>
        <b/>
        <vertAlign val="subscript"/>
        <sz val="11"/>
        <color theme="1"/>
        <rFont val="Calibri"/>
        <family val="2"/>
        <scheme val="minor"/>
      </rPr>
      <t>2020</t>
    </r>
  </si>
  <si>
    <t>Estimation of leakage emissions because LPG increasing</t>
  </si>
  <si>
    <t>Fuel increasing for the entire 832 users</t>
  </si>
  <si>
    <t>Source: Monitoring Survey 2020 - cell B198 (Data Analysis)</t>
  </si>
  <si>
    <t>Value</t>
  </si>
  <si>
    <t>Conclusion: The consumption of LPG has been increased in the last year (COVID pandemic) something that have not happened in the first 7 years of the project (comparison between BS and PS), therefore in search of a conservative approach this LPG increasing will be accounted as leakage.</t>
  </si>
  <si>
    <t>Parameter</t>
  </si>
  <si>
    <t>ER/stove/year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</si>
</sst>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000"/>
    <numFmt numFmtId="166" formatCode="0.000"/>
    <numFmt numFmtId="167" formatCode="_ * #,##0_ ;_ * \-#,##0_ ;_ * &quot;-&quot;??_ ;_ @_ "/>
    <numFmt numFmtId="168" formatCode="0.0"/>
    <numFmt numFmtId="169" formatCode="#,##0.0"/>
  </numFmts>
  <fonts count="3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20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venir Book"/>
    </font>
    <font>
      <sz val="11"/>
      <color theme="1"/>
      <name val="Avenir Book"/>
    </font>
    <font>
      <vertAlign val="subscript"/>
      <sz val="11"/>
      <color theme="1"/>
      <name val="Avenir Book"/>
    </font>
    <font>
      <i/>
      <sz val="10"/>
      <color theme="1"/>
      <name val="Avenir Book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21" borderId="6" applyNumberFormat="0" applyAlignment="0" applyProtection="0"/>
    <xf numFmtId="0" fontId="12" fillId="0" borderId="0" applyNumberFormat="0" applyFill="0" applyBorder="0" applyAlignment="0" applyProtection="0"/>
    <xf numFmtId="164" fontId="17" fillId="0" borderId="0" applyFont="0" applyFill="0" applyBorder="0" applyAlignment="0" applyProtection="0"/>
    <xf numFmtId="9" fontId="19" fillId="0" borderId="0" applyFill="0" applyBorder="0" applyAlignment="0" applyProtection="0"/>
  </cellStyleXfs>
  <cellXfs count="105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3" fillId="2" borderId="1" xfId="1" applyFont="1" applyFill="1" applyBorder="1"/>
    <xf numFmtId="0" fontId="1" fillId="0" borderId="1" xfId="1" applyFont="1" applyBorder="1"/>
    <xf numFmtId="0" fontId="15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3" fillId="2" borderId="1" xfId="1" applyFont="1" applyFill="1" applyBorder="1" applyAlignment="1">
      <alignment horizontal="right"/>
    </xf>
    <xf numFmtId="0" fontId="1" fillId="2" borderId="1" xfId="1" applyFont="1" applyFill="1" applyBorder="1" applyAlignment="1">
      <alignment horizontal="right"/>
    </xf>
    <xf numFmtId="0" fontId="15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horizontal="right"/>
    </xf>
    <xf numFmtId="1" fontId="1" fillId="0" borderId="0" xfId="1" applyNumberFormat="1"/>
    <xf numFmtId="2" fontId="3" fillId="0" borderId="0" xfId="1" applyNumberFormat="1" applyFont="1"/>
    <xf numFmtId="165" fontId="16" fillId="0" borderId="0" xfId="1" applyNumberFormat="1" applyFont="1" applyFill="1"/>
    <xf numFmtId="165" fontId="16" fillId="0" borderId="0" xfId="1" applyNumberFormat="1" applyFont="1"/>
    <xf numFmtId="166" fontId="3" fillId="0" borderId="0" xfId="1" applyNumberFormat="1" applyFont="1"/>
    <xf numFmtId="1" fontId="1" fillId="2" borderId="1" xfId="1" applyNumberFormat="1" applyFont="1" applyFill="1" applyBorder="1" applyAlignment="1">
      <alignment horizontal="right"/>
    </xf>
    <xf numFmtId="1" fontId="0" fillId="0" borderId="0" xfId="0" applyNumberFormat="1"/>
    <xf numFmtId="167" fontId="13" fillId="2" borderId="1" xfId="34" applyNumberFormat="1" applyFont="1" applyFill="1" applyBorder="1" applyAlignment="1">
      <alignment horizontal="right"/>
    </xf>
    <xf numFmtId="167" fontId="1" fillId="0" borderId="0" xfId="1" applyNumberFormat="1"/>
    <xf numFmtId="167" fontId="13" fillId="23" borderId="1" xfId="34" applyNumberFormat="1" applyFont="1" applyFill="1" applyBorder="1"/>
    <xf numFmtId="167" fontId="3" fillId="2" borderId="1" xfId="34" applyNumberFormat="1" applyFont="1" applyFill="1" applyBorder="1" applyAlignment="1">
      <alignment horizontal="right"/>
    </xf>
    <xf numFmtId="0" fontId="18" fillId="0" borderId="0" xfId="1" applyFont="1"/>
    <xf numFmtId="165" fontId="1" fillId="0" borderId="0" xfId="1" applyNumberFormat="1"/>
    <xf numFmtId="0" fontId="1" fillId="0" borderId="0" xfId="1" applyFill="1"/>
    <xf numFmtId="1" fontId="18" fillId="0" borderId="0" xfId="1" applyNumberFormat="1" applyFont="1"/>
    <xf numFmtId="1" fontId="3" fillId="0" borderId="1" xfId="1" applyNumberFormat="1" applyFont="1" applyFill="1" applyBorder="1"/>
    <xf numFmtId="0" fontId="3" fillId="0" borderId="1" xfId="1" applyFont="1" applyFill="1" applyBorder="1"/>
    <xf numFmtId="1" fontId="1" fillId="0" borderId="1" xfId="1" applyNumberFormat="1" applyFont="1" applyBorder="1"/>
    <xf numFmtId="0" fontId="1" fillId="0" borderId="0" xfId="1"/>
    <xf numFmtId="0" fontId="1" fillId="0" borderId="1" xfId="1" applyFont="1" applyBorder="1"/>
    <xf numFmtId="167" fontId="13" fillId="22" borderId="1" xfId="34" quotePrefix="1" applyNumberFormat="1" applyFont="1" applyFill="1" applyBorder="1" applyAlignment="1">
      <alignment horizontal="center"/>
    </xf>
    <xf numFmtId="167" fontId="13" fillId="23" borderId="1" xfId="34" quotePrefix="1" applyNumberFormat="1" applyFont="1" applyFill="1" applyBorder="1" applyAlignment="1">
      <alignment horizontal="center"/>
    </xf>
    <xf numFmtId="17" fontId="1" fillId="0" borderId="0" xfId="1" applyNumberFormat="1"/>
    <xf numFmtId="0" fontId="1" fillId="0" borderId="1" xfId="1" quotePrefix="1" applyFont="1" applyBorder="1" applyAlignment="1">
      <alignment horizontal="center"/>
    </xf>
    <xf numFmtId="1" fontId="22" fillId="22" borderId="1" xfId="1" applyNumberFormat="1" applyFont="1" applyFill="1" applyBorder="1"/>
    <xf numFmtId="167" fontId="22" fillId="22" borderId="1" xfId="34" applyNumberFormat="1" applyFont="1" applyFill="1" applyBorder="1"/>
    <xf numFmtId="3" fontId="14" fillId="0" borderId="1" xfId="0" applyNumberFormat="1" applyFont="1" applyBorder="1" applyAlignment="1">
      <alignment horizontal="center"/>
    </xf>
    <xf numFmtId="3" fontId="20" fillId="0" borderId="1" xfId="0" applyNumberFormat="1" applyFont="1" applyBorder="1" applyAlignment="1">
      <alignment horizontal="center"/>
    </xf>
    <xf numFmtId="3" fontId="21" fillId="0" borderId="1" xfId="0" applyNumberFormat="1" applyFont="1" applyBorder="1" applyAlignment="1">
      <alignment horizontal="center"/>
    </xf>
    <xf numFmtId="3" fontId="14" fillId="2" borderId="1" xfId="0" applyNumberFormat="1" applyFont="1" applyFill="1" applyBorder="1" applyAlignment="1">
      <alignment horizontal="center"/>
    </xf>
    <xf numFmtId="3" fontId="15" fillId="2" borderId="1" xfId="0" applyNumberFormat="1" applyFont="1" applyFill="1" applyBorder="1" applyAlignment="1">
      <alignment horizontal="center"/>
    </xf>
    <xf numFmtId="3" fontId="0" fillId="0" borderId="0" xfId="0" applyNumberFormat="1"/>
    <xf numFmtId="2" fontId="23" fillId="0" borderId="1" xfId="1" applyNumberFormat="1" applyFont="1" applyBorder="1"/>
    <xf numFmtId="167" fontId="3" fillId="2" borderId="1" xfId="1" applyNumberFormat="1" applyFont="1" applyFill="1" applyBorder="1" applyAlignment="1">
      <alignment horizontal="right"/>
    </xf>
    <xf numFmtId="15" fontId="0" fillId="0" borderId="0" xfId="0" applyNumberFormat="1"/>
    <xf numFmtId="0" fontId="24" fillId="0" borderId="0" xfId="0" applyFont="1"/>
    <xf numFmtId="0" fontId="0" fillId="24" borderId="0" xfId="0" applyFill="1"/>
    <xf numFmtId="0" fontId="26" fillId="24" borderId="0" xfId="0" applyFont="1" applyFill="1" applyAlignment="1">
      <alignment vertical="center" wrapText="1"/>
    </xf>
    <xf numFmtId="0" fontId="0" fillId="24" borderId="0" xfId="0" applyFill="1" applyAlignment="1">
      <alignment wrapText="1"/>
    </xf>
    <xf numFmtId="0" fontId="0" fillId="24" borderId="0" xfId="0" applyFill="1" applyAlignment="1">
      <alignment horizontal="center"/>
    </xf>
    <xf numFmtId="0" fontId="25" fillId="2" borderId="0" xfId="0" applyFont="1" applyFill="1" applyAlignment="1">
      <alignment horizontal="center"/>
    </xf>
    <xf numFmtId="0" fontId="25" fillId="24" borderId="7" xfId="0" applyFont="1" applyFill="1" applyBorder="1" applyAlignment="1">
      <alignment vertical="center" wrapText="1"/>
    </xf>
    <xf numFmtId="0" fontId="0" fillId="24" borderId="8" xfId="0" applyFill="1" applyBorder="1"/>
    <xf numFmtId="0" fontId="0" fillId="24" borderId="9" xfId="0" applyFill="1" applyBorder="1"/>
    <xf numFmtId="0" fontId="26" fillId="24" borderId="10" xfId="0" applyFont="1" applyFill="1" applyBorder="1" applyAlignment="1">
      <alignment vertical="center" wrapText="1"/>
    </xf>
    <xf numFmtId="9" fontId="0" fillId="24" borderId="0" xfId="0" applyNumberFormat="1" applyFill="1" applyBorder="1" applyAlignment="1">
      <alignment horizontal="center"/>
    </xf>
    <xf numFmtId="9" fontId="0" fillId="24" borderId="11" xfId="0" applyNumberFormat="1" applyFill="1" applyBorder="1" applyAlignment="1">
      <alignment horizontal="center"/>
    </xf>
    <xf numFmtId="0" fontId="28" fillId="24" borderId="10" xfId="0" applyFont="1" applyFill="1" applyBorder="1" applyAlignment="1">
      <alignment vertical="center" wrapText="1"/>
    </xf>
    <xf numFmtId="0" fontId="0" fillId="24" borderId="0" xfId="0" applyFill="1" applyBorder="1" applyAlignment="1">
      <alignment horizontal="center"/>
    </xf>
    <xf numFmtId="0" fontId="0" fillId="24" borderId="11" xfId="0" applyFill="1" applyBorder="1" applyAlignment="1">
      <alignment horizontal="center"/>
    </xf>
    <xf numFmtId="0" fontId="28" fillId="24" borderId="12" xfId="0" applyFont="1" applyFill="1" applyBorder="1" applyAlignment="1">
      <alignment vertical="center" wrapText="1"/>
    </xf>
    <xf numFmtId="0" fontId="0" fillId="24" borderId="13" xfId="0" applyFill="1" applyBorder="1" applyAlignment="1">
      <alignment horizontal="center"/>
    </xf>
    <xf numFmtId="0" fontId="0" fillId="24" borderId="14" xfId="0" applyFill="1" applyBorder="1" applyAlignment="1">
      <alignment horizontal="center"/>
    </xf>
    <xf numFmtId="0" fontId="0" fillId="24" borderId="8" xfId="0" applyFill="1" applyBorder="1" applyAlignment="1">
      <alignment horizontal="center"/>
    </xf>
    <xf numFmtId="0" fontId="0" fillId="24" borderId="9" xfId="0" applyFill="1" applyBorder="1" applyAlignment="1">
      <alignment horizontal="center"/>
    </xf>
    <xf numFmtId="1" fontId="0" fillId="24" borderId="0" xfId="0" applyNumberFormat="1" applyFill="1" applyBorder="1" applyAlignment="1">
      <alignment horizontal="center"/>
    </xf>
    <xf numFmtId="1" fontId="0" fillId="24" borderId="11" xfId="0" applyNumberFormat="1" applyFill="1" applyBorder="1" applyAlignment="1">
      <alignment horizontal="center"/>
    </xf>
    <xf numFmtId="165" fontId="0" fillId="24" borderId="0" xfId="0" applyNumberFormat="1" applyFill="1" applyBorder="1" applyAlignment="1">
      <alignment horizontal="center"/>
    </xf>
    <xf numFmtId="10" fontId="0" fillId="24" borderId="11" xfId="0" applyNumberFormat="1" applyFill="1" applyBorder="1" applyAlignment="1">
      <alignment horizontal="center" vertical="center"/>
    </xf>
    <xf numFmtId="3" fontId="0" fillId="24" borderId="0" xfId="0" applyNumberFormat="1" applyFill="1" applyBorder="1" applyAlignment="1">
      <alignment horizontal="center"/>
    </xf>
    <xf numFmtId="0" fontId="0" fillId="24" borderId="11" xfId="0" applyFill="1" applyBorder="1" applyAlignment="1">
      <alignment horizontal="left"/>
    </xf>
    <xf numFmtId="0" fontId="26" fillId="24" borderId="12" xfId="0" applyFont="1" applyFill="1" applyBorder="1" applyAlignment="1">
      <alignment vertical="center" wrapText="1"/>
    </xf>
    <xf numFmtId="3" fontId="0" fillId="24" borderId="13" xfId="0" applyNumberFormat="1" applyFill="1" applyBorder="1" applyAlignment="1">
      <alignment horizontal="center"/>
    </xf>
    <xf numFmtId="0" fontId="0" fillId="24" borderId="14" xfId="0" applyFill="1" applyBorder="1" applyAlignment="1">
      <alignment horizontal="left"/>
    </xf>
    <xf numFmtId="0" fontId="26" fillId="24" borderId="10" xfId="0" applyFont="1" applyFill="1" applyBorder="1" applyAlignment="1">
      <alignment vertical="center"/>
    </xf>
    <xf numFmtId="0" fontId="0" fillId="24" borderId="11" xfId="0" applyFill="1" applyBorder="1"/>
    <xf numFmtId="0" fontId="0" fillId="24" borderId="14" xfId="0" applyFill="1" applyBorder="1"/>
    <xf numFmtId="0" fontId="26" fillId="24" borderId="12" xfId="0" applyFont="1" applyFill="1" applyBorder="1" applyAlignment="1">
      <alignment vertical="center"/>
    </xf>
    <xf numFmtId="3" fontId="29" fillId="2" borderId="1" xfId="0" applyNumberFormat="1" applyFont="1" applyFill="1" applyBorder="1" applyAlignment="1">
      <alignment horizontal="center"/>
    </xf>
    <xf numFmtId="0" fontId="31" fillId="0" borderId="0" xfId="1" applyFont="1" applyAlignment="1">
      <alignment horizontal="right"/>
    </xf>
    <xf numFmtId="0" fontId="15" fillId="2" borderId="1" xfId="0" applyFont="1" applyFill="1" applyBorder="1" applyAlignment="1">
      <alignment horizontal="center" vertical="center" wrapText="1"/>
    </xf>
    <xf numFmtId="165" fontId="16" fillId="25" borderId="0" xfId="1" applyNumberFormat="1" applyFont="1" applyFill="1"/>
    <xf numFmtId="0" fontId="30" fillId="24" borderId="0" xfId="0" applyFont="1" applyFill="1"/>
    <xf numFmtId="0" fontId="1" fillId="24" borderId="0" xfId="1" applyFill="1"/>
    <xf numFmtId="0" fontId="3" fillId="24" borderId="0" xfId="1" applyFont="1" applyFill="1"/>
    <xf numFmtId="0" fontId="18" fillId="24" borderId="0" xfId="1" applyFont="1" applyFill="1"/>
    <xf numFmtId="165" fontId="16" fillId="24" borderId="0" xfId="1" applyNumberFormat="1" applyFont="1" applyFill="1"/>
    <xf numFmtId="165" fontId="1" fillId="24" borderId="0" xfId="1" applyNumberFormat="1" applyFill="1"/>
    <xf numFmtId="0" fontId="32" fillId="24" borderId="0" xfId="0" applyFont="1" applyFill="1"/>
    <xf numFmtId="165" fontId="0" fillId="24" borderId="0" xfId="0" applyNumberFormat="1" applyFill="1"/>
    <xf numFmtId="0" fontId="33" fillId="24" borderId="0" xfId="0" quotePrefix="1" applyFont="1" applyFill="1" applyAlignment="1">
      <alignment horizontal="right"/>
    </xf>
    <xf numFmtId="2" fontId="0" fillId="24" borderId="0" xfId="0" applyNumberFormat="1" applyFill="1"/>
    <xf numFmtId="0" fontId="0" fillId="24" borderId="0" xfId="0" applyFill="1" applyAlignment="1">
      <alignment horizontal="right"/>
    </xf>
    <xf numFmtId="0" fontId="1" fillId="24" borderId="0" xfId="1" applyFill="1" applyAlignment="1">
      <alignment horizontal="right"/>
    </xf>
    <xf numFmtId="0" fontId="24" fillId="24" borderId="0" xfId="0" applyFont="1" applyFill="1" applyAlignment="1">
      <alignment horizontal="right"/>
    </xf>
    <xf numFmtId="168" fontId="0" fillId="24" borderId="0" xfId="0" applyNumberFormat="1" applyFill="1"/>
    <xf numFmtId="168" fontId="24" fillId="24" borderId="0" xfId="0" applyNumberFormat="1" applyFont="1" applyFill="1"/>
    <xf numFmtId="0" fontId="24" fillId="24" borderId="0" xfId="0" applyFont="1" applyFill="1"/>
    <xf numFmtId="0" fontId="1" fillId="24" borderId="0" xfId="1" applyFont="1" applyFill="1"/>
    <xf numFmtId="0" fontId="3" fillId="24" borderId="0" xfId="1" applyFont="1" applyFill="1" applyAlignment="1">
      <alignment horizontal="left" wrapText="1"/>
    </xf>
    <xf numFmtId="0" fontId="3" fillId="0" borderId="0" xfId="1" applyFont="1" applyAlignment="1">
      <alignment horizontal="right"/>
    </xf>
    <xf numFmtId="169" fontId="1" fillId="0" borderId="0" xfId="1" applyNumberFormat="1"/>
  </cellXfs>
  <cellStyles count="36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omma" xfId="34" builtinId="3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Normal" xfId="0" builtinId="0"/>
    <cellStyle name="Output" xfId="32" xr:uid="{00000000-0005-0000-0000-000020000000}"/>
    <cellStyle name="Prozent 2" xfId="35" xr:uid="{00000000-0005-0000-0000-000022000000}"/>
    <cellStyle name="Standard 2" xfId="1" xr:uid="{00000000-0005-0000-0000-000023000000}"/>
    <cellStyle name="Title" xfId="33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180975</xdr:rowOff>
    </xdr:from>
    <xdr:to>
      <xdr:col>8</xdr:col>
      <xdr:colOff>606425</xdr:colOff>
      <xdr:row>4</xdr:row>
      <xdr:rowOff>393065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95350"/>
          <a:ext cx="5940425" cy="40259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383117</xdr:colOff>
      <xdr:row>29</xdr:row>
      <xdr:rowOff>82550</xdr:rowOff>
    </xdr:from>
    <xdr:to>
      <xdr:col>8</xdr:col>
      <xdr:colOff>21520</xdr:colOff>
      <xdr:row>31</xdr:row>
      <xdr:rowOff>104140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6617" y="5592939"/>
          <a:ext cx="6256514" cy="388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212725</xdr:colOff>
      <xdr:row>28</xdr:row>
      <xdr:rowOff>15874</xdr:rowOff>
    </xdr:from>
    <xdr:to>
      <xdr:col>6</xdr:col>
      <xdr:colOff>307798</xdr:colOff>
      <xdr:row>30</xdr:row>
      <xdr:rowOff>37464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725" y="5326062"/>
          <a:ext cx="6262511" cy="38671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B3:K15"/>
  <sheetViews>
    <sheetView zoomScale="80" zoomScaleNormal="80" workbookViewId="0">
      <selection activeCell="H14" sqref="H14"/>
    </sheetView>
  </sheetViews>
  <sheetFormatPr defaultColWidth="11.453125" defaultRowHeight="14.5"/>
  <sheetData>
    <row r="3" spans="2:11" ht="26">
      <c r="B3" s="1" t="s">
        <v>48</v>
      </c>
      <c r="C3" s="1"/>
      <c r="D3" s="1"/>
    </row>
    <row r="5" spans="2:11" ht="34.5" customHeight="1"/>
    <row r="7" spans="2:11" s="11" customFormat="1" ht="46.5">
      <c r="B7" s="10" t="s">
        <v>34</v>
      </c>
      <c r="C7" s="10" t="s">
        <v>57</v>
      </c>
      <c r="D7" s="10" t="s">
        <v>58</v>
      </c>
      <c r="E7" s="10" t="s">
        <v>35</v>
      </c>
      <c r="F7" s="10" t="s">
        <v>38</v>
      </c>
      <c r="G7" s="10" t="s">
        <v>36</v>
      </c>
      <c r="H7" s="10" t="s">
        <v>37</v>
      </c>
    </row>
    <row r="8" spans="2:11" ht="15.5">
      <c r="B8" s="6">
        <v>2019</v>
      </c>
      <c r="C8" s="39">
        <f>ROUNDDOWN('Scenario r-d'!N26+'Scenario r-ic'!N26,0)</f>
        <v>360</v>
      </c>
      <c r="D8" s="39">
        <f>ROUNDUP('Scenario r-d'!N27+'Scenario r-ic'!N27, 0)</f>
        <v>196</v>
      </c>
      <c r="E8" s="39">
        <f>'LPG assess'!C31</f>
        <v>5</v>
      </c>
      <c r="F8" s="40">
        <f>ROUNDDOWN('Scenario r-d'!N25,0)</f>
        <v>162</v>
      </c>
      <c r="G8" s="40">
        <f>ROUNDDOWN('Scenario r-ic'!N25,0)</f>
        <v>2</v>
      </c>
      <c r="H8" s="41">
        <f>IF(F8+G8&gt;10000,10000,F8+G8-E8)</f>
        <v>159</v>
      </c>
      <c r="J8" s="19"/>
      <c r="K8" s="44"/>
    </row>
    <row r="9" spans="2:11" ht="15.5">
      <c r="B9" s="6">
        <v>2020</v>
      </c>
      <c r="C9" s="39">
        <f>ROUNDDOWN('Scenario r-d'!O26+'Scenario r-ic'!O26,0)</f>
        <v>4249</v>
      </c>
      <c r="D9" s="39">
        <f>ROUNDUP('Scenario r-d'!O27+'Scenario r-ic'!O27, 0)</f>
        <v>2293</v>
      </c>
      <c r="E9" s="39">
        <f>'LPG assess'!C32</f>
        <v>50</v>
      </c>
      <c r="F9" s="40">
        <f>ROUNDDOWN('Scenario r-d'!O25,0)</f>
        <v>1915</v>
      </c>
      <c r="G9" s="40">
        <f>ROUNDDOWN('Scenario r-ic'!O25,0)</f>
        <v>41</v>
      </c>
      <c r="H9" s="41">
        <f>IF(F9+G9&gt;10000,10000,F9+G9-E9)</f>
        <v>1906</v>
      </c>
      <c r="J9" s="19"/>
      <c r="K9" s="44"/>
    </row>
    <row r="10" spans="2:11" ht="15.5">
      <c r="B10" s="7" t="s">
        <v>26</v>
      </c>
      <c r="C10" s="42">
        <f>SUM(C8:C9)</f>
        <v>4609</v>
      </c>
      <c r="D10" s="42">
        <f t="shared" ref="D10:H10" si="0">SUM(D8:D9)</f>
        <v>2489</v>
      </c>
      <c r="E10" s="42">
        <f t="shared" si="0"/>
        <v>55</v>
      </c>
      <c r="F10" s="42">
        <f t="shared" si="0"/>
        <v>2077</v>
      </c>
      <c r="G10" s="42">
        <f t="shared" si="0"/>
        <v>43</v>
      </c>
      <c r="H10" s="43">
        <f t="shared" si="0"/>
        <v>2065</v>
      </c>
    </row>
    <row r="11" spans="2:11">
      <c r="F11" s="44"/>
      <c r="J11" s="19"/>
    </row>
    <row r="12" spans="2:11">
      <c r="I12" s="44"/>
    </row>
    <row r="15" spans="2:11">
      <c r="H15" s="4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32"/>
  <sheetViews>
    <sheetView tabSelected="1" topLeftCell="D5" zoomScale="80" zoomScaleNormal="80" workbookViewId="0">
      <selection activeCell="M29" sqref="M29:O29"/>
    </sheetView>
  </sheetViews>
  <sheetFormatPr defaultColWidth="11.453125" defaultRowHeight="14.5"/>
  <cols>
    <col min="1" max="1" width="19.08984375" style="2" customWidth="1"/>
    <col min="2" max="2" width="11.453125" style="2"/>
    <col min="3" max="3" width="23.1796875" style="2" customWidth="1"/>
    <col min="4" max="4" width="18" style="2" customWidth="1"/>
    <col min="5" max="5" width="19.81640625" style="2" customWidth="1"/>
    <col min="6" max="7" width="7.54296875" style="2" customWidth="1"/>
    <col min="8" max="10" width="7.1796875" style="2" customWidth="1"/>
    <col min="11" max="11" width="7.1796875" style="31" customWidth="1"/>
    <col min="12" max="12" width="8.1796875" style="2" customWidth="1"/>
    <col min="13" max="13" width="7.1796875" style="2" customWidth="1"/>
    <col min="14" max="14" width="7.453125" style="2" customWidth="1"/>
    <col min="15" max="15" width="7.453125" style="31" customWidth="1"/>
    <col min="16" max="16" width="7" style="2" bestFit="1" customWidth="1"/>
    <col min="17" max="19" width="7.1796875" style="2" customWidth="1"/>
    <col min="20" max="20" width="10.26953125" style="2" customWidth="1"/>
    <col min="21" max="22" width="11.453125" style="2"/>
    <col min="23" max="23" width="17.453125" style="2" customWidth="1"/>
    <col min="24" max="33" width="7.1796875" style="2" customWidth="1"/>
    <col min="34" max="16384" width="11.453125" style="2"/>
  </cols>
  <sheetData>
    <row r="2" spans="2:18" ht="26">
      <c r="B2" s="1" t="s">
        <v>51</v>
      </c>
    </row>
    <row r="4" spans="2:18">
      <c r="M4" s="24" t="s">
        <v>59</v>
      </c>
    </row>
    <row r="5" spans="2:18">
      <c r="B5" s="2" t="s">
        <v>15</v>
      </c>
      <c r="G5" s="3">
        <v>365</v>
      </c>
      <c r="H5" s="2" t="s">
        <v>17</v>
      </c>
      <c r="M5" s="24"/>
    </row>
    <row r="6" spans="2:18">
      <c r="B6" s="2" t="s">
        <v>28</v>
      </c>
      <c r="E6" s="3" t="s">
        <v>4</v>
      </c>
      <c r="F6" s="3"/>
      <c r="G6" s="16">
        <f>G7-G8</f>
        <v>5.5791082251082187E-3</v>
      </c>
      <c r="H6" s="2" t="s">
        <v>5</v>
      </c>
      <c r="M6" s="24" t="s">
        <v>50</v>
      </c>
    </row>
    <row r="7" spans="2:18">
      <c r="B7" s="24" t="s">
        <v>55</v>
      </c>
      <c r="E7" s="3"/>
      <c r="F7" s="3"/>
      <c r="G7" s="16">
        <f>12.1060606060606/1000</f>
        <v>1.2106060606060599E-2</v>
      </c>
      <c r="H7" s="2" t="s">
        <v>5</v>
      </c>
      <c r="M7" s="24" t="s">
        <v>49</v>
      </c>
    </row>
    <row r="8" spans="2:18">
      <c r="B8" s="24" t="s">
        <v>56</v>
      </c>
      <c r="E8" s="3"/>
      <c r="F8" s="3"/>
      <c r="G8" s="15">
        <f>6.52695238095238/1000</f>
        <v>6.5269523809523807E-3</v>
      </c>
      <c r="H8" s="2" t="s">
        <v>5</v>
      </c>
      <c r="M8" s="24" t="s">
        <v>49</v>
      </c>
      <c r="R8" s="25"/>
    </row>
    <row r="9" spans="2:18">
      <c r="B9" s="2" t="s">
        <v>29</v>
      </c>
      <c r="E9" s="3" t="s">
        <v>7</v>
      </c>
      <c r="F9" s="3"/>
      <c r="G9" s="3">
        <v>0.84</v>
      </c>
      <c r="M9" s="24" t="s">
        <v>8</v>
      </c>
    </row>
    <row r="10" spans="2:18">
      <c r="B10" s="2" t="s">
        <v>30</v>
      </c>
      <c r="E10" s="3" t="s">
        <v>10</v>
      </c>
      <c r="F10" s="3"/>
      <c r="G10" s="3">
        <v>1.4999999999999999E-2</v>
      </c>
      <c r="H10" s="2" t="s">
        <v>11</v>
      </c>
      <c r="M10" s="24" t="s">
        <v>18</v>
      </c>
    </row>
    <row r="11" spans="2:18">
      <c r="B11" s="2" t="s">
        <v>31</v>
      </c>
      <c r="E11" s="3" t="s">
        <v>44</v>
      </c>
      <c r="F11" s="3"/>
      <c r="G11" s="3">
        <v>112</v>
      </c>
      <c r="H11" s="2" t="s">
        <v>12</v>
      </c>
      <c r="M11" s="24" t="s">
        <v>18</v>
      </c>
    </row>
    <row r="12" spans="2:18">
      <c r="E12" s="12" t="s">
        <v>0</v>
      </c>
      <c r="F12" s="12"/>
      <c r="G12" s="2">
        <v>0.3</v>
      </c>
      <c r="H12" s="2" t="s">
        <v>1</v>
      </c>
      <c r="M12" s="24" t="s">
        <v>19</v>
      </c>
    </row>
    <row r="13" spans="2:18">
      <c r="E13" s="12" t="s">
        <v>2</v>
      </c>
      <c r="F13" s="12"/>
      <c r="G13" s="2">
        <v>4.0000000000000001E-3</v>
      </c>
      <c r="H13" s="2" t="s">
        <v>3</v>
      </c>
      <c r="M13" s="24" t="s">
        <v>19</v>
      </c>
    </row>
    <row r="14" spans="2:18">
      <c r="B14" s="2" t="s">
        <v>32</v>
      </c>
      <c r="E14" s="12" t="s">
        <v>6</v>
      </c>
      <c r="F14" s="12"/>
      <c r="G14" s="26">
        <v>25</v>
      </c>
      <c r="H14" s="26"/>
      <c r="I14" s="26"/>
      <c r="J14" s="26"/>
      <c r="K14" s="26"/>
      <c r="L14" s="26"/>
      <c r="M14" s="24" t="s">
        <v>19</v>
      </c>
    </row>
    <row r="15" spans="2:18">
      <c r="B15" s="2" t="s">
        <v>33</v>
      </c>
      <c r="E15" s="12" t="s">
        <v>9</v>
      </c>
      <c r="F15" s="12"/>
      <c r="G15" s="2">
        <v>298</v>
      </c>
      <c r="M15" s="24" t="s">
        <v>19</v>
      </c>
    </row>
    <row r="16" spans="2:18">
      <c r="E16" s="3" t="s">
        <v>47</v>
      </c>
      <c r="F16" s="3"/>
      <c r="G16" s="17">
        <f>G12*G14+G13*G15</f>
        <v>8.6920000000000002</v>
      </c>
      <c r="H16" s="2" t="s">
        <v>12</v>
      </c>
      <c r="M16" s="24" t="s">
        <v>19</v>
      </c>
    </row>
    <row r="17" spans="3:21">
      <c r="E17" s="3" t="s">
        <v>13</v>
      </c>
      <c r="F17" s="3"/>
      <c r="G17" s="3">
        <v>0</v>
      </c>
      <c r="H17" s="2" t="s">
        <v>14</v>
      </c>
      <c r="M17" s="24" t="s">
        <v>46</v>
      </c>
    </row>
    <row r="18" spans="3:21">
      <c r="M18" s="24"/>
    </row>
    <row r="19" spans="3:21">
      <c r="M19" s="24"/>
    </row>
    <row r="20" spans="3:21">
      <c r="D20" s="2" t="s">
        <v>24</v>
      </c>
      <c r="F20" s="4">
        <v>2011</v>
      </c>
      <c r="G20" s="4">
        <v>2012</v>
      </c>
      <c r="H20" s="4">
        <v>2013</v>
      </c>
      <c r="I20" s="4">
        <v>2014</v>
      </c>
      <c r="J20" s="4">
        <v>2015</v>
      </c>
      <c r="K20" s="4">
        <v>2016</v>
      </c>
      <c r="L20" s="4">
        <v>2017</v>
      </c>
      <c r="M20" s="4">
        <v>2018</v>
      </c>
      <c r="N20" s="4">
        <v>2019</v>
      </c>
      <c r="O20" s="4">
        <v>2020</v>
      </c>
      <c r="P20" s="8" t="s">
        <v>27</v>
      </c>
      <c r="Q20" s="24"/>
    </row>
    <row r="21" spans="3:21">
      <c r="D21" s="2" t="s">
        <v>23</v>
      </c>
      <c r="F21" s="28">
        <v>38</v>
      </c>
      <c r="G21" s="28">
        <v>741</v>
      </c>
      <c r="H21" s="29">
        <v>0</v>
      </c>
      <c r="I21" s="29">
        <v>26</v>
      </c>
      <c r="J21" s="29">
        <v>9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18">
        <f>SUM(F21:O21)</f>
        <v>814</v>
      </c>
      <c r="Q21" s="24" t="s">
        <v>60</v>
      </c>
    </row>
    <row r="22" spans="3:21">
      <c r="D22" s="2" t="s">
        <v>16</v>
      </c>
      <c r="F22" s="5">
        <f>F21</f>
        <v>38</v>
      </c>
      <c r="G22" s="30">
        <f>SUM(F21:G21)</f>
        <v>779</v>
      </c>
      <c r="H22" s="30">
        <f>G22+H21</f>
        <v>779</v>
      </c>
      <c r="I22" s="5">
        <f t="shared" ref="I22" si="0">H22+I21</f>
        <v>805</v>
      </c>
      <c r="J22" s="5">
        <f t="shared" ref="J22:O22" si="1">I22+J21</f>
        <v>814</v>
      </c>
      <c r="K22" s="32">
        <f t="shared" si="1"/>
        <v>814</v>
      </c>
      <c r="L22" s="32">
        <f t="shared" si="1"/>
        <v>814</v>
      </c>
      <c r="M22" s="32">
        <f t="shared" si="1"/>
        <v>814</v>
      </c>
      <c r="N22" s="32">
        <f t="shared" si="1"/>
        <v>814</v>
      </c>
      <c r="O22" s="32">
        <f t="shared" si="1"/>
        <v>814</v>
      </c>
      <c r="P22" s="9"/>
      <c r="Q22" s="24" t="s">
        <v>60</v>
      </c>
    </row>
    <row r="23" spans="3:21">
      <c r="D23" s="2" t="s">
        <v>21</v>
      </c>
      <c r="F23" s="36" t="s">
        <v>62</v>
      </c>
      <c r="G23" s="36" t="s">
        <v>62</v>
      </c>
      <c r="H23" s="36" t="s">
        <v>62</v>
      </c>
      <c r="I23" s="36" t="s">
        <v>62</v>
      </c>
      <c r="J23" s="36" t="s">
        <v>62</v>
      </c>
      <c r="K23" s="36" t="s">
        <v>62</v>
      </c>
      <c r="L23" s="36" t="s">
        <v>62</v>
      </c>
      <c r="M23" s="36" t="s">
        <v>62</v>
      </c>
      <c r="N23" s="32">
        <f>N22*31</f>
        <v>25234</v>
      </c>
      <c r="O23" s="32">
        <f>O22*365</f>
        <v>297110</v>
      </c>
      <c r="P23" s="18">
        <f>SUM(N23:O23)</f>
        <v>322344</v>
      </c>
      <c r="Q23" s="24" t="s">
        <v>60</v>
      </c>
    </row>
    <row r="24" spans="3:21">
      <c r="C24" s="82" t="s">
        <v>100</v>
      </c>
      <c r="D24" s="2" t="s">
        <v>22</v>
      </c>
      <c r="F24" s="36" t="s">
        <v>62</v>
      </c>
      <c r="G24" s="36" t="s">
        <v>62</v>
      </c>
      <c r="H24" s="36" t="s">
        <v>62</v>
      </c>
      <c r="I24" s="36" t="s">
        <v>62</v>
      </c>
      <c r="J24" s="36" t="s">
        <v>62</v>
      </c>
      <c r="K24" s="36" t="s">
        <v>62</v>
      </c>
      <c r="L24" s="36" t="s">
        <v>62</v>
      </c>
      <c r="M24" s="36" t="s">
        <v>62</v>
      </c>
      <c r="N24" s="45">
        <v>0.75</v>
      </c>
      <c r="O24" s="45">
        <v>0.75</v>
      </c>
      <c r="P24" s="9"/>
      <c r="Q24" s="24" t="s">
        <v>61</v>
      </c>
    </row>
    <row r="25" spans="3:21" ht="15.5">
      <c r="D25" s="2" t="s">
        <v>20</v>
      </c>
      <c r="F25" s="33" t="s">
        <v>62</v>
      </c>
      <c r="G25" s="33" t="s">
        <v>62</v>
      </c>
      <c r="H25" s="33" t="s">
        <v>62</v>
      </c>
      <c r="I25" s="33" t="s">
        <v>62</v>
      </c>
      <c r="J25" s="33" t="s">
        <v>62</v>
      </c>
      <c r="K25" s="33" t="s">
        <v>62</v>
      </c>
      <c r="L25" s="33" t="s">
        <v>62</v>
      </c>
      <c r="M25" s="33" t="s">
        <v>62</v>
      </c>
      <c r="N25" s="38">
        <f>N26-N27</f>
        <v>162</v>
      </c>
      <c r="O25" s="38">
        <f>O26-O27</f>
        <v>1915</v>
      </c>
      <c r="P25" s="23">
        <f>SUM(N25:O25)</f>
        <v>2077</v>
      </c>
      <c r="Q25" s="27"/>
      <c r="U25" s="13"/>
    </row>
    <row r="26" spans="3:21" ht="15.5">
      <c r="D26" s="2" t="s">
        <v>53</v>
      </c>
      <c r="F26" s="34" t="s">
        <v>62</v>
      </c>
      <c r="G26" s="34" t="s">
        <v>62</v>
      </c>
      <c r="H26" s="34" t="s">
        <v>62</v>
      </c>
      <c r="I26" s="34" t="s">
        <v>62</v>
      </c>
      <c r="J26" s="34" t="s">
        <v>62</v>
      </c>
      <c r="K26" s="34" t="s">
        <v>62</v>
      </c>
      <c r="L26" s="34" t="s">
        <v>62</v>
      </c>
      <c r="M26" s="34" t="s">
        <v>62</v>
      </c>
      <c r="N26" s="22">
        <f>ROUNDDOWN(N23*N24*$G$7*$G$10*($G$9*$G$11+$G$16)-$G$17,0)</f>
        <v>353</v>
      </c>
      <c r="O26" s="22">
        <f>ROUNDDOWN(O23*O24*$G$7*$G$10*($G$9*$G$11+$G$16)-$G$17,0)</f>
        <v>4158</v>
      </c>
      <c r="P26" s="23">
        <f>SUM(N26:O26)</f>
        <v>4511</v>
      </c>
      <c r="Q26" s="24"/>
    </row>
    <row r="27" spans="3:21" ht="15.5">
      <c r="D27" s="2" t="s">
        <v>54</v>
      </c>
      <c r="F27" s="34" t="s">
        <v>62</v>
      </c>
      <c r="G27" s="34" t="s">
        <v>62</v>
      </c>
      <c r="H27" s="34" t="s">
        <v>62</v>
      </c>
      <c r="I27" s="34" t="s">
        <v>62</v>
      </c>
      <c r="J27" s="34" t="s">
        <v>62</v>
      </c>
      <c r="K27" s="34" t="s">
        <v>62</v>
      </c>
      <c r="L27" s="34" t="s">
        <v>62</v>
      </c>
      <c r="M27" s="34" t="s">
        <v>62</v>
      </c>
      <c r="N27" s="22">
        <f>ROUNDUP(N23*N24*$G$8*$G$10*($G$9*$G$11+$G$16)-$G$17,0)</f>
        <v>191</v>
      </c>
      <c r="O27" s="22">
        <f>ROUNDUP(O23*O24*$G$8*$G$10*($G$9*$G$11+$G$16)-$G$17,0)</f>
        <v>2243</v>
      </c>
      <c r="P27" s="23">
        <f>SUM(N27:O27)</f>
        <v>2434</v>
      </c>
      <c r="Q27" s="21"/>
    </row>
    <row r="29" spans="3:21">
      <c r="K29" s="21"/>
      <c r="M29" s="103" t="s">
        <v>142</v>
      </c>
      <c r="N29" s="104">
        <f>ROUNDDOWN(365*N24*$G$6*$G$10*($G$9*$G$11+$G$16)-$G$17,0)</f>
        <v>2</v>
      </c>
      <c r="O29" s="104">
        <f>ROUNDDOWN(365*O24*$G$6*$G$10*($G$9*$G$11+$G$16)-$G$17,0)</f>
        <v>2</v>
      </c>
    </row>
    <row r="30" spans="3:21">
      <c r="N30" s="31"/>
    </row>
    <row r="31" spans="3:21">
      <c r="D31" s="12" t="s">
        <v>39</v>
      </c>
      <c r="E31" s="14">
        <f>G5*N24*G6*G10*(G9*G11+G16)</f>
        <v>2.3544256537850621</v>
      </c>
      <c r="F31" s="14"/>
      <c r="G31" s="3" t="s">
        <v>40</v>
      </c>
      <c r="K31" s="35"/>
      <c r="L31" s="35"/>
      <c r="N31" s="31"/>
    </row>
    <row r="32" spans="3:21">
      <c r="N32" s="31"/>
      <c r="P32" s="31"/>
    </row>
  </sheetData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T38"/>
  <sheetViews>
    <sheetView topLeftCell="E4" zoomScale="80" zoomScaleNormal="80" workbookViewId="0">
      <selection activeCell="O30" sqref="O30"/>
    </sheetView>
  </sheetViews>
  <sheetFormatPr defaultColWidth="11.453125" defaultRowHeight="14.5"/>
  <cols>
    <col min="1" max="1" width="16.54296875" style="2" customWidth="1"/>
    <col min="2" max="2" width="11.453125" style="2"/>
    <col min="3" max="3" width="23.1796875" style="2" customWidth="1"/>
    <col min="4" max="4" width="9.26953125" style="2" customWidth="1"/>
    <col min="5" max="5" width="20" style="2" customWidth="1"/>
    <col min="6" max="6" width="7.7265625" style="31" customWidth="1"/>
    <col min="7" max="10" width="7.1796875" style="2" customWidth="1"/>
    <col min="11" max="11" width="7.1796875" style="31" customWidth="1"/>
    <col min="12" max="12" width="7.1796875" style="2" customWidth="1"/>
    <col min="13" max="13" width="8.453125" style="2" customWidth="1"/>
    <col min="14" max="14" width="10.1796875" style="2" customWidth="1"/>
    <col min="15" max="15" width="10.1796875" style="31" customWidth="1"/>
    <col min="16" max="16384" width="11.453125" style="2"/>
  </cols>
  <sheetData>
    <row r="2" spans="2:13" ht="26">
      <c r="B2" s="1" t="s">
        <v>52</v>
      </c>
    </row>
    <row r="4" spans="2:13">
      <c r="M4" s="24" t="s">
        <v>59</v>
      </c>
    </row>
    <row r="5" spans="2:13">
      <c r="B5" s="2" t="s">
        <v>15</v>
      </c>
      <c r="G5" s="3">
        <v>365</v>
      </c>
      <c r="H5" s="2" t="s">
        <v>17</v>
      </c>
      <c r="M5" s="24"/>
    </row>
    <row r="6" spans="2:13">
      <c r="B6" s="2" t="s">
        <v>28</v>
      </c>
      <c r="E6" s="2" t="s">
        <v>4</v>
      </c>
      <c r="G6" s="15">
        <f>'Scenario r-d'!G6</f>
        <v>5.5791082251082187E-3</v>
      </c>
      <c r="H6" s="2" t="s">
        <v>5</v>
      </c>
      <c r="M6" s="24" t="s">
        <v>50</v>
      </c>
    </row>
    <row r="7" spans="2:13">
      <c r="B7" s="24" t="s">
        <v>55</v>
      </c>
      <c r="E7" s="3"/>
      <c r="F7" s="3"/>
      <c r="G7" s="16">
        <f>'Scenario r-d'!G7</f>
        <v>1.2106060606060599E-2</v>
      </c>
      <c r="H7" s="2" t="s">
        <v>5</v>
      </c>
      <c r="M7" s="24" t="s">
        <v>49</v>
      </c>
    </row>
    <row r="8" spans="2:13">
      <c r="B8" s="24" t="s">
        <v>56</v>
      </c>
      <c r="E8" s="3"/>
      <c r="F8" s="3"/>
      <c r="G8" s="15">
        <f>'Scenario r-d'!G8</f>
        <v>6.5269523809523807E-3</v>
      </c>
      <c r="H8" s="2" t="s">
        <v>5</v>
      </c>
      <c r="M8" s="24" t="s">
        <v>49</v>
      </c>
    </row>
    <row r="9" spans="2:13">
      <c r="B9" s="2" t="s">
        <v>29</v>
      </c>
      <c r="E9" s="2" t="s">
        <v>7</v>
      </c>
      <c r="G9" s="3">
        <v>0.84</v>
      </c>
      <c r="M9" s="24" t="s">
        <v>8</v>
      </c>
    </row>
    <row r="10" spans="2:13">
      <c r="B10" s="2" t="s">
        <v>30</v>
      </c>
      <c r="E10" s="3" t="s">
        <v>10</v>
      </c>
      <c r="F10" s="3"/>
      <c r="G10" s="3">
        <v>1.4999999999999999E-2</v>
      </c>
      <c r="H10" s="2" t="s">
        <v>11</v>
      </c>
      <c r="M10" s="24" t="s">
        <v>18</v>
      </c>
    </row>
    <row r="11" spans="2:13">
      <c r="B11" s="2" t="s">
        <v>31</v>
      </c>
      <c r="E11" s="3" t="s">
        <v>44</v>
      </c>
      <c r="F11" s="3"/>
      <c r="G11" s="3">
        <v>112</v>
      </c>
      <c r="H11" s="2" t="s">
        <v>12</v>
      </c>
      <c r="M11" s="24" t="s">
        <v>18</v>
      </c>
    </row>
    <row r="12" spans="2:13">
      <c r="E12" s="12" t="s">
        <v>0</v>
      </c>
      <c r="F12" s="12"/>
      <c r="G12" s="2">
        <v>0.3</v>
      </c>
      <c r="H12" s="2" t="s">
        <v>1</v>
      </c>
      <c r="M12" s="24" t="s">
        <v>19</v>
      </c>
    </row>
    <row r="13" spans="2:13">
      <c r="E13" s="12" t="s">
        <v>2</v>
      </c>
      <c r="F13" s="12"/>
      <c r="G13" s="2">
        <v>4.0000000000000001E-3</v>
      </c>
      <c r="H13" s="2" t="s">
        <v>3</v>
      </c>
      <c r="M13" s="24" t="s">
        <v>19</v>
      </c>
    </row>
    <row r="14" spans="2:13">
      <c r="B14" s="2" t="s">
        <v>32</v>
      </c>
      <c r="E14" s="12" t="s">
        <v>6</v>
      </c>
      <c r="F14" s="12"/>
      <c r="G14" s="2">
        <v>25</v>
      </c>
      <c r="M14" s="24" t="s">
        <v>19</v>
      </c>
    </row>
    <row r="15" spans="2:13">
      <c r="B15" s="2" t="s">
        <v>33</v>
      </c>
      <c r="E15" s="12" t="s">
        <v>9</v>
      </c>
      <c r="F15" s="12"/>
      <c r="G15" s="2">
        <v>298</v>
      </c>
      <c r="M15" s="24" t="s">
        <v>19</v>
      </c>
    </row>
    <row r="16" spans="2:13">
      <c r="E16" s="3" t="s">
        <v>45</v>
      </c>
      <c r="F16" s="3"/>
      <c r="G16" s="17">
        <f>G12*G14+G13*G15</f>
        <v>8.6920000000000002</v>
      </c>
      <c r="H16" s="2" t="s">
        <v>12</v>
      </c>
      <c r="M16" s="24" t="s">
        <v>19</v>
      </c>
    </row>
    <row r="17" spans="3:20">
      <c r="E17" s="3" t="s">
        <v>13</v>
      </c>
      <c r="F17" s="3"/>
      <c r="G17" s="3">
        <v>0</v>
      </c>
      <c r="H17" s="2" t="s">
        <v>14</v>
      </c>
      <c r="M17" s="24" t="s">
        <v>46</v>
      </c>
    </row>
    <row r="18" spans="3:20">
      <c r="M18" s="24"/>
    </row>
    <row r="19" spans="3:20">
      <c r="M19" s="24"/>
    </row>
    <row r="20" spans="3:20">
      <c r="D20" s="2" t="s">
        <v>24</v>
      </c>
      <c r="F20" s="4">
        <v>2011</v>
      </c>
      <c r="G20" s="4">
        <v>2012</v>
      </c>
      <c r="H20" s="4">
        <v>2013</v>
      </c>
      <c r="I20" s="4">
        <v>2014</v>
      </c>
      <c r="J20" s="4">
        <v>2015</v>
      </c>
      <c r="K20" s="4">
        <v>2016</v>
      </c>
      <c r="L20" s="4">
        <v>2017</v>
      </c>
      <c r="M20" s="4">
        <v>2018</v>
      </c>
      <c r="N20" s="4">
        <v>2019</v>
      </c>
      <c r="O20" s="4">
        <v>2020</v>
      </c>
      <c r="P20" s="8" t="s">
        <v>27</v>
      </c>
      <c r="Q20" s="24"/>
    </row>
    <row r="21" spans="3:20">
      <c r="D21" s="2" t="s">
        <v>23</v>
      </c>
      <c r="F21" s="29">
        <v>0</v>
      </c>
      <c r="G21" s="29">
        <f>COUNTA(#REF!,#REF!,#REF!,#REF!,#REF!,#REF!,#REF!,#REF!,#REF!,#REF!,#REF!,#REF!,#REF!,#REF!,#REF!,#REF!,#REF!,#REF!)</f>
        <v>18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9">
        <f>SUM(G21:O21)</f>
        <v>18</v>
      </c>
      <c r="Q21" s="24" t="s">
        <v>60</v>
      </c>
    </row>
    <row r="22" spans="3:20">
      <c r="D22" s="2" t="s">
        <v>16</v>
      </c>
      <c r="F22" s="32">
        <f>F21</f>
        <v>0</v>
      </c>
      <c r="G22" s="5">
        <f>G21</f>
        <v>18</v>
      </c>
      <c r="H22" s="5">
        <f t="shared" ref="H22:O22" si="0">G22+H21</f>
        <v>18</v>
      </c>
      <c r="I22" s="5">
        <f t="shared" si="0"/>
        <v>18</v>
      </c>
      <c r="J22" s="5">
        <f t="shared" si="0"/>
        <v>18</v>
      </c>
      <c r="K22" s="32">
        <f t="shared" si="0"/>
        <v>18</v>
      </c>
      <c r="L22" s="32">
        <f t="shared" si="0"/>
        <v>18</v>
      </c>
      <c r="M22" s="32">
        <f t="shared" si="0"/>
        <v>18</v>
      </c>
      <c r="N22" s="32">
        <f t="shared" si="0"/>
        <v>18</v>
      </c>
      <c r="O22" s="32">
        <f t="shared" si="0"/>
        <v>18</v>
      </c>
      <c r="P22" s="9"/>
      <c r="Q22" s="24" t="s">
        <v>60</v>
      </c>
    </row>
    <row r="23" spans="3:20">
      <c r="D23" s="2" t="s">
        <v>41</v>
      </c>
      <c r="F23" s="36" t="s">
        <v>62</v>
      </c>
      <c r="G23" s="36" t="s">
        <v>62</v>
      </c>
      <c r="H23" s="36" t="s">
        <v>62</v>
      </c>
      <c r="I23" s="36" t="s">
        <v>62</v>
      </c>
      <c r="J23" s="36" t="s">
        <v>62</v>
      </c>
      <c r="K23" s="36" t="s">
        <v>62</v>
      </c>
      <c r="L23" s="36" t="s">
        <v>62</v>
      </c>
      <c r="M23" s="36" t="s">
        <v>62</v>
      </c>
      <c r="N23" s="32">
        <f>N22*31</f>
        <v>558</v>
      </c>
      <c r="O23" s="32">
        <f>O22*365</f>
        <v>6570</v>
      </c>
      <c r="P23" s="9">
        <f>SUM(G23:O23)</f>
        <v>7128</v>
      </c>
      <c r="Q23" s="24" t="s">
        <v>60</v>
      </c>
      <c r="S23" s="2">
        <f>N23+'Scenario r-d'!N23</f>
        <v>25792</v>
      </c>
      <c r="T23" s="31">
        <f>O23+'Scenario r-d'!O23</f>
        <v>303680</v>
      </c>
    </row>
    <row r="24" spans="3:20">
      <c r="C24" s="82" t="s">
        <v>100</v>
      </c>
      <c r="D24" s="2" t="s">
        <v>42</v>
      </c>
      <c r="F24" s="36" t="s">
        <v>62</v>
      </c>
      <c r="G24" s="36" t="s">
        <v>62</v>
      </c>
      <c r="H24" s="36" t="s">
        <v>62</v>
      </c>
      <c r="I24" s="36" t="s">
        <v>62</v>
      </c>
      <c r="J24" s="36" t="s">
        <v>62</v>
      </c>
      <c r="K24" s="36" t="s">
        <v>62</v>
      </c>
      <c r="L24" s="36" t="s">
        <v>62</v>
      </c>
      <c r="M24" s="36" t="s">
        <v>62</v>
      </c>
      <c r="N24" s="45">
        <v>0.75</v>
      </c>
      <c r="O24" s="45">
        <v>0.75</v>
      </c>
      <c r="P24" s="9"/>
      <c r="Q24" s="24" t="s">
        <v>61</v>
      </c>
    </row>
    <row r="25" spans="3:20" ht="15.5">
      <c r="D25" s="2" t="s">
        <v>43</v>
      </c>
      <c r="F25" s="33" t="s">
        <v>62</v>
      </c>
      <c r="G25" s="33" t="s">
        <v>62</v>
      </c>
      <c r="H25" s="33" t="s">
        <v>62</v>
      </c>
      <c r="I25" s="33" t="s">
        <v>62</v>
      </c>
      <c r="J25" s="33" t="s">
        <v>62</v>
      </c>
      <c r="K25" s="33" t="s">
        <v>62</v>
      </c>
      <c r="L25" s="33" t="s">
        <v>62</v>
      </c>
      <c r="M25" s="33" t="s">
        <v>62</v>
      </c>
      <c r="N25" s="37">
        <f>N26-N27</f>
        <v>2</v>
      </c>
      <c r="O25" s="37">
        <f>O26-O27</f>
        <v>41</v>
      </c>
      <c r="P25" s="46">
        <f>SUM(G25:O25)</f>
        <v>43</v>
      </c>
      <c r="Q25" s="27"/>
      <c r="R25" s="31"/>
    </row>
    <row r="26" spans="3:20" ht="15.5">
      <c r="D26" s="2" t="s">
        <v>53</v>
      </c>
      <c r="F26" s="34" t="s">
        <v>62</v>
      </c>
      <c r="G26" s="34" t="s">
        <v>62</v>
      </c>
      <c r="H26" s="34" t="s">
        <v>62</v>
      </c>
      <c r="I26" s="34" t="s">
        <v>62</v>
      </c>
      <c r="J26" s="34" t="s">
        <v>62</v>
      </c>
      <c r="K26" s="34" t="s">
        <v>62</v>
      </c>
      <c r="L26" s="34" t="s">
        <v>62</v>
      </c>
      <c r="M26" s="34" t="s">
        <v>62</v>
      </c>
      <c r="N26" s="20">
        <f>ROUNDDOWN(N23*N24*$G$7*$G$10*($G$9*$G$11+$G$16)-$G$17,0)</f>
        <v>7</v>
      </c>
      <c r="O26" s="20">
        <f>ROUNDDOWN(O23*O24*$G$7*$G$10*($G$9*$G$11+$G$16)-$G$17,0)</f>
        <v>91</v>
      </c>
      <c r="P26" s="46">
        <f>SUM(G26:O26)</f>
        <v>98</v>
      </c>
      <c r="Q26" s="24"/>
    </row>
    <row r="27" spans="3:20" ht="15.5">
      <c r="D27" s="2" t="s">
        <v>54</v>
      </c>
      <c r="F27" s="34" t="s">
        <v>62</v>
      </c>
      <c r="G27" s="34" t="s">
        <v>62</v>
      </c>
      <c r="H27" s="34" t="s">
        <v>62</v>
      </c>
      <c r="I27" s="34" t="s">
        <v>62</v>
      </c>
      <c r="J27" s="34" t="s">
        <v>62</v>
      </c>
      <c r="K27" s="34" t="s">
        <v>62</v>
      </c>
      <c r="L27" s="34" t="s">
        <v>62</v>
      </c>
      <c r="M27" s="34" t="s">
        <v>62</v>
      </c>
      <c r="N27" s="20">
        <f>ROUNDUP(N23*N24*$G$8*$G$10*($G$9*$G$11+$G$16)-$G$17,0)</f>
        <v>5</v>
      </c>
      <c r="O27" s="20">
        <f>ROUNDUP(O23*O24*$G$8*$G$10*($G$9*$G$11+$G$16)-$G$17,0)</f>
        <v>50</v>
      </c>
      <c r="P27" s="46">
        <f>SUM(G27:O27)</f>
        <v>55</v>
      </c>
      <c r="Q27" s="24"/>
      <c r="R27" s="31"/>
    </row>
    <row r="28" spans="3:20">
      <c r="M28" s="24"/>
    </row>
    <row r="29" spans="3:20">
      <c r="K29" s="21"/>
      <c r="M29" s="103" t="s">
        <v>142</v>
      </c>
      <c r="N29" s="104">
        <f>ROUNDDOWN(365*N24*$G$6*$G$10*($G$9*$G$11+$G$16)-$G$17,0)</f>
        <v>2</v>
      </c>
      <c r="O29" s="104">
        <f>ROUNDDOWN(365*O24*$G$6*$G$10*($G$9*$G$11+$G$16)-$G$17,0)</f>
        <v>2</v>
      </c>
    </row>
    <row r="30" spans="3:20">
      <c r="M30" s="24"/>
    </row>
    <row r="31" spans="3:20">
      <c r="D31" s="12"/>
      <c r="E31" s="14"/>
      <c r="F31" s="14"/>
      <c r="G31" s="3"/>
      <c r="M31" s="24"/>
    </row>
    <row r="32" spans="3:20">
      <c r="M32" s="24"/>
    </row>
    <row r="36" spans="4:12">
      <c r="D36" s="31"/>
      <c r="E36" s="31"/>
      <c r="G36" s="31"/>
      <c r="H36" s="31"/>
      <c r="I36" s="31"/>
      <c r="J36" s="31"/>
      <c r="L36" s="31"/>
    </row>
    <row r="37" spans="4:12">
      <c r="D37" s="31"/>
      <c r="E37" s="31"/>
      <c r="G37" s="31"/>
      <c r="H37" s="31"/>
      <c r="I37" s="31"/>
      <c r="J37" s="31"/>
      <c r="L37" s="31"/>
    </row>
    <row r="38" spans="4:12">
      <c r="D38" s="31"/>
      <c r="E38" s="31"/>
      <c r="G38" s="31"/>
      <c r="H38" s="31"/>
      <c r="I38" s="31"/>
      <c r="J38" s="31"/>
      <c r="L38" s="31"/>
    </row>
  </sheetData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12"/>
  <sheetViews>
    <sheetView workbookViewId="0">
      <selection activeCell="E7" sqref="E7"/>
    </sheetView>
  </sheetViews>
  <sheetFormatPr defaultRowHeight="14.5"/>
  <cols>
    <col min="2" max="2" width="9.26953125" customWidth="1"/>
    <col min="3" max="3" width="13.90625" customWidth="1"/>
    <col min="6" max="6" width="9.1796875" bestFit="1" customWidth="1"/>
  </cols>
  <sheetData>
    <row r="2" spans="2:5" ht="31">
      <c r="C2" s="10" t="s">
        <v>63</v>
      </c>
      <c r="E2" s="83" t="s">
        <v>102</v>
      </c>
    </row>
    <row r="3" spans="2:5" ht="46.5">
      <c r="B3" s="10" t="s">
        <v>34</v>
      </c>
      <c r="C3" s="10" t="s">
        <v>37</v>
      </c>
      <c r="E3" s="10" t="s">
        <v>37</v>
      </c>
    </row>
    <row r="4" spans="2:5" ht="15.5">
      <c r="B4" s="6">
        <v>2019</v>
      </c>
      <c r="C4" s="41">
        <v>8874</v>
      </c>
      <c r="E4" s="41">
        <f>C4*D11/365</f>
        <v>753.68219178082188</v>
      </c>
    </row>
    <row r="5" spans="2:5" ht="15.5">
      <c r="B5" s="6">
        <v>2020</v>
      </c>
      <c r="C5" s="41">
        <v>8240</v>
      </c>
      <c r="E5" s="41">
        <f>C5</f>
        <v>8240</v>
      </c>
    </row>
    <row r="6" spans="2:5" ht="15.5">
      <c r="B6" s="7" t="s">
        <v>25</v>
      </c>
      <c r="C6" s="43">
        <f>AVERAGE(C4:C5)</f>
        <v>8557</v>
      </c>
      <c r="E6" s="81">
        <f>AVERAGE(C4,E5)</f>
        <v>8557</v>
      </c>
    </row>
    <row r="7" spans="2:5" ht="15.5">
      <c r="B7" s="7" t="s">
        <v>26</v>
      </c>
      <c r="C7" s="43">
        <f>SUM(C4:C5)</f>
        <v>17114</v>
      </c>
      <c r="E7" s="43">
        <f>SUM(E4:E5)</f>
        <v>8993.6821917808211</v>
      </c>
    </row>
    <row r="10" spans="2:5">
      <c r="B10" t="s">
        <v>101</v>
      </c>
    </row>
    <row r="11" spans="2:5">
      <c r="B11" s="47">
        <v>43800</v>
      </c>
      <c r="D11" s="48">
        <v>31</v>
      </c>
    </row>
    <row r="12" spans="2:5">
      <c r="B12" s="47">
        <v>43830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B2:F58"/>
  <sheetViews>
    <sheetView topLeftCell="B23" zoomScale="80" zoomScaleNormal="80" workbookViewId="0">
      <selection activeCell="D47" sqref="D47"/>
    </sheetView>
  </sheetViews>
  <sheetFormatPr defaultRowHeight="14.5"/>
  <cols>
    <col min="1" max="1" width="8.7265625" style="49"/>
    <col min="2" max="2" width="52.1796875" style="51" customWidth="1"/>
    <col min="3" max="3" width="15.54296875" style="52" bestFit="1" customWidth="1"/>
    <col min="4" max="4" width="16" style="52" bestFit="1" customWidth="1"/>
    <col min="5" max="5" width="11.90625" style="52" bestFit="1" customWidth="1"/>
    <col min="6" max="16384" width="8.7265625" style="49"/>
  </cols>
  <sheetData>
    <row r="2" spans="2:5">
      <c r="C2" s="53" t="s">
        <v>83</v>
      </c>
      <c r="D2" s="53" t="s">
        <v>84</v>
      </c>
      <c r="E2" s="53" t="s">
        <v>85</v>
      </c>
    </row>
    <row r="3" spans="2:5">
      <c r="B3" s="54" t="s">
        <v>64</v>
      </c>
      <c r="C3" s="55"/>
      <c r="D3" s="55"/>
      <c r="E3" s="56"/>
    </row>
    <row r="4" spans="2:5" ht="28">
      <c r="B4" s="57" t="s">
        <v>65</v>
      </c>
      <c r="C4" s="58">
        <v>1</v>
      </c>
      <c r="D4" s="58">
        <v>0</v>
      </c>
      <c r="E4" s="59">
        <f>C4-D4</f>
        <v>1</v>
      </c>
    </row>
    <row r="5" spans="2:5">
      <c r="B5" s="60" t="s">
        <v>110</v>
      </c>
      <c r="C5" s="61"/>
      <c r="D5" s="61"/>
      <c r="E5" s="62"/>
    </row>
    <row r="6" spans="2:5">
      <c r="B6" s="57"/>
      <c r="C6" s="61"/>
      <c r="D6" s="61"/>
      <c r="E6" s="62"/>
    </row>
    <row r="7" spans="2:5" ht="28">
      <c r="B7" s="57" t="s">
        <v>66</v>
      </c>
      <c r="C7" s="58">
        <v>0.18</v>
      </c>
      <c r="D7" s="58">
        <v>0</v>
      </c>
      <c r="E7" s="59">
        <f>C7-D7</f>
        <v>0.18</v>
      </c>
    </row>
    <row r="8" spans="2:5">
      <c r="B8" s="57"/>
      <c r="C8" s="61"/>
      <c r="D8" s="61"/>
      <c r="E8" s="62"/>
    </row>
    <row r="9" spans="2:5">
      <c r="B9" s="63" t="s">
        <v>138</v>
      </c>
      <c r="C9" s="64"/>
      <c r="D9" s="64"/>
      <c r="E9" s="65"/>
    </row>
    <row r="10" spans="2:5">
      <c r="B10" s="50"/>
    </row>
    <row r="11" spans="2:5">
      <c r="B11" s="54" t="s">
        <v>67</v>
      </c>
      <c r="C11" s="66"/>
      <c r="D11" s="66"/>
      <c r="E11" s="67"/>
    </row>
    <row r="12" spans="2:5" ht="28">
      <c r="B12" s="57" t="s">
        <v>68</v>
      </c>
      <c r="C12" s="58">
        <v>0.92</v>
      </c>
      <c r="D12" s="58">
        <v>0</v>
      </c>
      <c r="E12" s="59">
        <f>C12-D12</f>
        <v>0.92</v>
      </c>
    </row>
    <row r="13" spans="2:5">
      <c r="B13" s="60" t="s">
        <v>108</v>
      </c>
      <c r="C13" s="61"/>
      <c r="D13" s="61"/>
      <c r="E13" s="62"/>
    </row>
    <row r="14" spans="2:5">
      <c r="B14" s="57"/>
      <c r="C14" s="61"/>
      <c r="D14" s="61"/>
      <c r="E14" s="62"/>
    </row>
    <row r="15" spans="2:5" ht="42">
      <c r="B15" s="57" t="s">
        <v>69</v>
      </c>
      <c r="C15" s="58">
        <f>68/108</f>
        <v>0.62962962962962965</v>
      </c>
      <c r="D15" s="58">
        <v>0</v>
      </c>
      <c r="E15" s="59">
        <f>C15-D15</f>
        <v>0.62962962962962965</v>
      </c>
    </row>
    <row r="16" spans="2:5">
      <c r="B16" s="63" t="s">
        <v>109</v>
      </c>
      <c r="C16" s="64"/>
      <c r="D16" s="64"/>
      <c r="E16" s="65"/>
    </row>
    <row r="17" spans="2:5">
      <c r="B17" s="50"/>
    </row>
    <row r="18" spans="2:5">
      <c r="B18" s="54" t="s">
        <v>70</v>
      </c>
      <c r="C18" s="66"/>
      <c r="D18" s="66"/>
      <c r="E18" s="67"/>
    </row>
    <row r="19" spans="2:5" ht="28">
      <c r="B19" s="57" t="s">
        <v>71</v>
      </c>
      <c r="C19" s="61">
        <v>832</v>
      </c>
      <c r="D19" s="61">
        <v>0</v>
      </c>
      <c r="E19" s="62">
        <f>C19-D19</f>
        <v>832</v>
      </c>
    </row>
    <row r="20" spans="2:5">
      <c r="B20" s="63" t="s">
        <v>86</v>
      </c>
      <c r="C20" s="64"/>
      <c r="D20" s="64"/>
      <c r="E20" s="65"/>
    </row>
    <row r="21" spans="2:5">
      <c r="B21" s="50"/>
    </row>
    <row r="22" spans="2:5">
      <c r="B22" s="54" t="s">
        <v>72</v>
      </c>
      <c r="C22" s="66"/>
      <c r="D22" s="66"/>
      <c r="E22" s="67"/>
    </row>
    <row r="23" spans="2:5">
      <c r="B23" s="57" t="s">
        <v>73</v>
      </c>
      <c r="C23" s="61">
        <v>41</v>
      </c>
      <c r="D23" s="61">
        <v>0</v>
      </c>
      <c r="E23" s="62">
        <f>C23-D23</f>
        <v>41</v>
      </c>
    </row>
    <row r="24" spans="2:5">
      <c r="B24" s="63" t="s">
        <v>86</v>
      </c>
      <c r="C24" s="64"/>
      <c r="D24" s="64"/>
      <c r="E24" s="65"/>
    </row>
    <row r="25" spans="2:5">
      <c r="B25" s="50"/>
    </row>
    <row r="26" spans="2:5">
      <c r="B26" s="54" t="s">
        <v>74</v>
      </c>
      <c r="C26" s="66"/>
      <c r="D26" s="66"/>
      <c r="E26" s="67"/>
    </row>
    <row r="27" spans="2:5" ht="28">
      <c r="B27" s="57" t="s">
        <v>75</v>
      </c>
      <c r="C27" s="68">
        <f>4.02777777777778*'Scenario r-d'!N22*'Scenario r-d'!N24</f>
        <v>2458.9583333333348</v>
      </c>
      <c r="D27" s="61">
        <v>0</v>
      </c>
      <c r="E27" s="69">
        <f>C27-D27</f>
        <v>2458.9583333333348</v>
      </c>
    </row>
    <row r="28" spans="2:5" ht="26">
      <c r="B28" s="63" t="s">
        <v>113</v>
      </c>
      <c r="C28" s="64"/>
      <c r="D28" s="64"/>
      <c r="E28" s="65"/>
    </row>
    <row r="29" spans="2:5">
      <c r="B29" s="50"/>
    </row>
    <row r="30" spans="2:5">
      <c r="B30" s="54" t="s">
        <v>76</v>
      </c>
      <c r="C30" s="66"/>
      <c r="D30" s="66"/>
      <c r="E30" s="67"/>
    </row>
    <row r="31" spans="2:5" ht="28">
      <c r="B31" s="57" t="s">
        <v>77</v>
      </c>
      <c r="C31" s="61">
        <v>4</v>
      </c>
      <c r="D31" s="61">
        <v>0</v>
      </c>
      <c r="E31" s="62">
        <f>C31-D31</f>
        <v>4</v>
      </c>
    </row>
    <row r="32" spans="2:5">
      <c r="B32" s="63" t="s">
        <v>90</v>
      </c>
      <c r="C32" s="64"/>
      <c r="D32" s="64"/>
      <c r="E32" s="65"/>
    </row>
    <row r="33" spans="2:6">
      <c r="B33" s="50"/>
    </row>
    <row r="34" spans="2:6">
      <c r="B34" s="54" t="s">
        <v>78</v>
      </c>
      <c r="C34" s="66"/>
      <c r="D34" s="66"/>
      <c r="E34" s="67"/>
    </row>
    <row r="35" spans="2:6" ht="16">
      <c r="B35" s="57" t="s">
        <v>91</v>
      </c>
      <c r="C35" s="70">
        <f>'Scenario r-d'!$G$8</f>
        <v>6.5269523809523807E-3</v>
      </c>
      <c r="D35" s="70">
        <f>'Scenario r-d'!$G$7</f>
        <v>1.2106060606060599E-2</v>
      </c>
      <c r="E35" s="71">
        <f>(D35-C35)/D35</f>
        <v>0.46085249418916474</v>
      </c>
    </row>
    <row r="36" spans="2:6" ht="16">
      <c r="B36" s="57" t="s">
        <v>111</v>
      </c>
      <c r="C36" s="70">
        <f>'Scenario r-d'!$G$8</f>
        <v>6.5269523809523807E-3</v>
      </c>
      <c r="D36" s="70">
        <f>'Scenario r-d'!$G$7</f>
        <v>1.2106060606060599E-2</v>
      </c>
      <c r="E36" s="71">
        <f>(D36-C36)/D36</f>
        <v>0.46085249418916474</v>
      </c>
    </row>
    <row r="37" spans="2:6">
      <c r="B37" s="63" t="s">
        <v>112</v>
      </c>
      <c r="C37" s="64"/>
      <c r="D37" s="64"/>
      <c r="E37" s="65"/>
    </row>
    <row r="38" spans="2:6">
      <c r="B38" s="50"/>
    </row>
    <row r="39" spans="2:6">
      <c r="B39" s="54" t="s">
        <v>79</v>
      </c>
      <c r="C39" s="66"/>
      <c r="D39" s="66"/>
      <c r="E39" s="66"/>
      <c r="F39" s="56"/>
    </row>
    <row r="40" spans="2:6" ht="16">
      <c r="B40" s="57" t="s">
        <v>103</v>
      </c>
      <c r="C40" s="72">
        <f>'ER Summary VPA1'!D8+'ER Summary VPA1'!E8</f>
        <v>201</v>
      </c>
      <c r="D40" s="72">
        <f>'ER Summary VPA1'!C8</f>
        <v>360</v>
      </c>
      <c r="E40" s="72">
        <f>D40-C40</f>
        <v>159</v>
      </c>
      <c r="F40" s="73" t="s">
        <v>40</v>
      </c>
    </row>
    <row r="41" spans="2:6" ht="16">
      <c r="B41" s="74" t="s">
        <v>104</v>
      </c>
      <c r="C41" s="75">
        <f>'ER Summary VPA1'!D9+'ER Summary VPA1'!E9</f>
        <v>2343</v>
      </c>
      <c r="D41" s="75">
        <f>'ER Summary VPA1'!C9</f>
        <v>4249</v>
      </c>
      <c r="E41" s="75">
        <f>D41-C41</f>
        <v>1906</v>
      </c>
      <c r="F41" s="76" t="s">
        <v>40</v>
      </c>
    </row>
    <row r="42" spans="2:6">
      <c r="B42" s="50"/>
    </row>
    <row r="43" spans="2:6">
      <c r="B43" s="54" t="s">
        <v>80</v>
      </c>
      <c r="C43" s="66"/>
      <c r="D43" s="66"/>
      <c r="E43" s="66"/>
      <c r="F43" s="56"/>
    </row>
    <row r="44" spans="2:6" ht="16">
      <c r="B44" s="77" t="s">
        <v>87</v>
      </c>
      <c r="C44" s="72">
        <f>'Scenario r-d'!$G$8*'Scenario r-d'!N23</f>
        <v>164.70111638095239</v>
      </c>
      <c r="D44" s="72">
        <f>'Scenario r-d'!$G$7*'Scenario r-d'!N23</f>
        <v>305.48433333333315</v>
      </c>
      <c r="E44" s="72">
        <f>D44-C44</f>
        <v>140.78321695238077</v>
      </c>
      <c r="F44" s="78" t="s">
        <v>89</v>
      </c>
    </row>
    <row r="45" spans="2:6" ht="16">
      <c r="B45" s="77" t="s">
        <v>105</v>
      </c>
      <c r="C45" s="72">
        <f>'Scenario r-d'!$G$8*'Scenario r-d'!O23</f>
        <v>1939.2228219047618</v>
      </c>
      <c r="D45" s="72">
        <f>'Scenario r-d'!$G$7*'Scenario r-d'!O23</f>
        <v>3596.8316666666647</v>
      </c>
      <c r="E45" s="72">
        <f>D45-C45</f>
        <v>1657.6088447619029</v>
      </c>
      <c r="F45" s="78" t="s">
        <v>89</v>
      </c>
    </row>
    <row r="46" spans="2:6">
      <c r="B46" s="60" t="s">
        <v>93</v>
      </c>
      <c r="C46" s="61"/>
      <c r="D46" s="61"/>
      <c r="E46" s="61"/>
      <c r="F46" s="78"/>
    </row>
    <row r="47" spans="2:6">
      <c r="B47" s="60"/>
      <c r="C47" s="61"/>
      <c r="D47" s="61"/>
      <c r="E47" s="61"/>
      <c r="F47" s="78"/>
    </row>
    <row r="48" spans="2:6" ht="16">
      <c r="B48" s="57" t="s">
        <v>88</v>
      </c>
      <c r="C48" s="68">
        <f>'Scenario r-ic'!$G$8*'Scenario r-ic'!N23</f>
        <v>3.6420394285714286</v>
      </c>
      <c r="D48" s="68">
        <f>'Scenario r-ic'!$G$7*'Scenario r-ic'!N23</f>
        <v>6.7551818181818142</v>
      </c>
      <c r="E48" s="72">
        <f>D48-C48</f>
        <v>3.1131423896103856</v>
      </c>
      <c r="F48" s="78" t="s">
        <v>89</v>
      </c>
    </row>
    <row r="49" spans="2:6" ht="16">
      <c r="B49" s="57" t="s">
        <v>106</v>
      </c>
      <c r="C49" s="68">
        <f>'Scenario r-ic'!$G$8*'Scenario r-ic'!O23</f>
        <v>42.882077142857142</v>
      </c>
      <c r="D49" s="68">
        <f>'Scenario r-ic'!$G$7*'Scenario r-ic'!O23</f>
        <v>79.536818181818134</v>
      </c>
      <c r="E49" s="72">
        <f>D49-C49</f>
        <v>36.654741038960992</v>
      </c>
      <c r="F49" s="78" t="s">
        <v>89</v>
      </c>
    </row>
    <row r="50" spans="2:6">
      <c r="B50" s="60" t="s">
        <v>93</v>
      </c>
      <c r="C50" s="61"/>
      <c r="D50" s="61"/>
      <c r="E50" s="61"/>
      <c r="F50" s="78"/>
    </row>
    <row r="51" spans="2:6">
      <c r="B51" s="57"/>
      <c r="C51" s="61"/>
      <c r="D51" s="61"/>
      <c r="E51" s="61"/>
      <c r="F51" s="78"/>
    </row>
    <row r="52" spans="2:6" ht="16">
      <c r="B52" s="77" t="s">
        <v>94</v>
      </c>
      <c r="C52" s="72">
        <f>C44+C48</f>
        <v>168.34315580952381</v>
      </c>
      <c r="D52" s="72">
        <f>D44+D48</f>
        <v>312.23951515151498</v>
      </c>
      <c r="E52" s="72">
        <f>D52-C52</f>
        <v>143.89635934199117</v>
      </c>
      <c r="F52" s="78" t="s">
        <v>89</v>
      </c>
    </row>
    <row r="53" spans="2:6" ht="16">
      <c r="B53" s="80" t="s">
        <v>107</v>
      </c>
      <c r="C53" s="75">
        <f>C45+C49</f>
        <v>1982.1048990476188</v>
      </c>
      <c r="D53" s="75">
        <f>D45+D49</f>
        <v>3676.3684848484827</v>
      </c>
      <c r="E53" s="75">
        <f>D53-C53</f>
        <v>1694.2635858008639</v>
      </c>
      <c r="F53" s="79" t="s">
        <v>89</v>
      </c>
    </row>
    <row r="54" spans="2:6">
      <c r="B54" s="50"/>
    </row>
    <row r="55" spans="2:6">
      <c r="B55" s="54" t="s">
        <v>81</v>
      </c>
      <c r="C55" s="66"/>
      <c r="D55" s="66"/>
      <c r="E55" s="67"/>
    </row>
    <row r="56" spans="2:6" ht="28">
      <c r="B56" s="57" t="s">
        <v>82</v>
      </c>
      <c r="C56" s="61">
        <v>832</v>
      </c>
      <c r="D56" s="61">
        <v>0</v>
      </c>
      <c r="E56" s="62">
        <f>C56-D56</f>
        <v>832</v>
      </c>
    </row>
    <row r="57" spans="2:6">
      <c r="B57" s="63" t="s">
        <v>92</v>
      </c>
      <c r="C57" s="64"/>
      <c r="D57" s="64"/>
      <c r="E57" s="65"/>
    </row>
    <row r="58" spans="2:6">
      <c r="B58" s="5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3"/>
  <sheetViews>
    <sheetView zoomScale="80" zoomScaleNormal="80" workbookViewId="0">
      <selection activeCell="L15" sqref="L15"/>
    </sheetView>
  </sheetViews>
  <sheetFormatPr defaultRowHeight="14.5"/>
  <cols>
    <col min="1" max="1" width="8.7265625" style="49"/>
    <col min="2" max="2" width="34" style="49" customWidth="1"/>
    <col min="3" max="3" width="8.7265625" style="49" customWidth="1"/>
    <col min="4" max="6" width="8.7265625" style="49"/>
    <col min="7" max="7" width="9.36328125" style="49" bestFit="1" customWidth="1"/>
    <col min="8" max="8" width="18.26953125" style="49" bestFit="1" customWidth="1"/>
    <col min="9" max="16384" width="8.7265625" style="49"/>
  </cols>
  <sheetData>
    <row r="1" spans="1:17">
      <c r="B1" s="85" t="s">
        <v>97</v>
      </c>
    </row>
    <row r="2" spans="1:17">
      <c r="B2" s="85"/>
      <c r="G2" s="100" t="s">
        <v>139</v>
      </c>
      <c r="H2" s="100" t="s">
        <v>118</v>
      </c>
      <c r="I2" s="100" t="s">
        <v>59</v>
      </c>
    </row>
    <row r="3" spans="1:17" s="86" customFormat="1">
      <c r="B3" s="86" t="s">
        <v>98</v>
      </c>
      <c r="G3" s="101">
        <v>12</v>
      </c>
      <c r="H3" s="86" t="s">
        <v>99</v>
      </c>
      <c r="M3" s="88"/>
    </row>
    <row r="4" spans="1:17" s="86" customFormat="1">
      <c r="B4" s="86" t="s">
        <v>28</v>
      </c>
      <c r="E4" s="87" t="s">
        <v>4</v>
      </c>
      <c r="F4" s="87"/>
      <c r="G4" s="89">
        <f>G5-G6</f>
        <v>-0.16715399610136472</v>
      </c>
      <c r="H4" s="86" t="s">
        <v>95</v>
      </c>
      <c r="I4" s="88" t="s">
        <v>96</v>
      </c>
    </row>
    <row r="5" spans="1:17" s="86" customFormat="1">
      <c r="B5" s="88" t="s">
        <v>55</v>
      </c>
      <c r="E5" s="87"/>
      <c r="F5" s="87"/>
      <c r="G5" s="89">
        <v>0.17543859649122806</v>
      </c>
      <c r="H5" s="86" t="s">
        <v>95</v>
      </c>
      <c r="I5" s="88" t="s">
        <v>114</v>
      </c>
    </row>
    <row r="6" spans="1:17" s="86" customFormat="1">
      <c r="B6" s="88" t="s">
        <v>56</v>
      </c>
      <c r="E6" s="87"/>
      <c r="F6" s="87"/>
      <c r="G6" s="84">
        <f>0.0856481481481482*4</f>
        <v>0.34259259259259278</v>
      </c>
      <c r="H6" s="86" t="s">
        <v>95</v>
      </c>
      <c r="I6" s="88" t="s">
        <v>115</v>
      </c>
      <c r="Q6" s="90"/>
    </row>
    <row r="7" spans="1:17" s="86" customFormat="1"/>
    <row r="8" spans="1:17" s="86" customFormat="1" ht="44.5" customHeight="1">
      <c r="B8" s="102" t="s">
        <v>140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</row>
    <row r="10" spans="1:17">
      <c r="B10" s="91" t="s">
        <v>118</v>
      </c>
    </row>
    <row r="11" spans="1:17">
      <c r="B11" s="49" t="s">
        <v>120</v>
      </c>
      <c r="C11" s="49">
        <v>10</v>
      </c>
      <c r="D11" s="49" t="s">
        <v>119</v>
      </c>
    </row>
    <row r="12" spans="1:17">
      <c r="B12" s="49" t="s">
        <v>121</v>
      </c>
      <c r="C12" s="92">
        <f>-G4</f>
        <v>0.16715399610136472</v>
      </c>
      <c r="D12" s="49" t="s">
        <v>122</v>
      </c>
    </row>
    <row r="13" spans="1:17">
      <c r="C13" s="92">
        <f>C12*C11</f>
        <v>1.6715399610136472</v>
      </c>
      <c r="D13" s="49" t="s">
        <v>123</v>
      </c>
    </row>
    <row r="14" spans="1:17">
      <c r="C14" s="92">
        <f>C13*12</f>
        <v>20.058479532163766</v>
      </c>
      <c r="D14" s="49" t="s">
        <v>124</v>
      </c>
    </row>
    <row r="16" spans="1:17" ht="18.5">
      <c r="A16" s="93" t="s">
        <v>126</v>
      </c>
      <c r="B16" s="49" t="s">
        <v>137</v>
      </c>
      <c r="C16" s="94">
        <f>C14*('Scenario r-d'!N22+'Scenario r-ic'!N22)/1000</f>
        <v>16.688654970760254</v>
      </c>
      <c r="D16" s="49" t="s">
        <v>125</v>
      </c>
    </row>
    <row r="18" spans="2:5">
      <c r="B18" s="85" t="s">
        <v>136</v>
      </c>
    </row>
    <row r="19" spans="2:5">
      <c r="B19" s="85"/>
    </row>
    <row r="20" spans="2:5">
      <c r="B20" s="97" t="s">
        <v>141</v>
      </c>
      <c r="C20" s="100" t="s">
        <v>139</v>
      </c>
      <c r="D20" s="100" t="s">
        <v>118</v>
      </c>
      <c r="E20" s="100" t="s">
        <v>59</v>
      </c>
    </row>
    <row r="21" spans="2:5">
      <c r="B21" s="95" t="s">
        <v>129</v>
      </c>
      <c r="C21" s="92">
        <f>63100/1000</f>
        <v>63.1</v>
      </c>
      <c r="D21" s="49" t="s">
        <v>12</v>
      </c>
      <c r="E21" s="88" t="s">
        <v>19</v>
      </c>
    </row>
    <row r="22" spans="2:5">
      <c r="B22" s="95" t="s">
        <v>130</v>
      </c>
      <c r="C22" s="92">
        <f>1/1000</f>
        <v>1E-3</v>
      </c>
      <c r="D22" s="49" t="s">
        <v>12</v>
      </c>
      <c r="E22" s="88" t="s">
        <v>19</v>
      </c>
    </row>
    <row r="23" spans="2:5">
      <c r="B23" s="95" t="s">
        <v>131</v>
      </c>
      <c r="C23" s="92">
        <f>0.1/1000</f>
        <v>1E-4</v>
      </c>
      <c r="D23" s="49" t="s">
        <v>12</v>
      </c>
      <c r="E23" s="88" t="s">
        <v>19</v>
      </c>
    </row>
    <row r="24" spans="2:5">
      <c r="B24" s="96" t="s">
        <v>127</v>
      </c>
      <c r="C24" s="86">
        <v>25</v>
      </c>
      <c r="E24" s="88" t="s">
        <v>19</v>
      </c>
    </row>
    <row r="25" spans="2:5">
      <c r="B25" s="96" t="s">
        <v>128</v>
      </c>
      <c r="C25" s="86">
        <v>298</v>
      </c>
      <c r="E25" s="88" t="s">
        <v>19</v>
      </c>
    </row>
    <row r="27" spans="2:5">
      <c r="B27" s="95" t="s">
        <v>132</v>
      </c>
      <c r="C27" s="49">
        <f>47.3/1000</f>
        <v>4.7299999999999995E-2</v>
      </c>
      <c r="D27" s="49" t="s">
        <v>116</v>
      </c>
      <c r="E27" s="88" t="s">
        <v>19</v>
      </c>
    </row>
    <row r="29" spans="2:5">
      <c r="B29" s="97" t="s">
        <v>133</v>
      </c>
      <c r="C29" s="94">
        <f>C16*C27*(C21+C22*C24+C23*C25)</f>
        <v>49.852717946610582</v>
      </c>
      <c r="D29" s="49" t="s">
        <v>117</v>
      </c>
    </row>
    <row r="31" spans="2:5" ht="16.5">
      <c r="B31" s="97" t="s">
        <v>134</v>
      </c>
      <c r="C31" s="98">
        <f>ROUNDUP(C29/12,0)</f>
        <v>5</v>
      </c>
      <c r="D31" s="49" t="s">
        <v>117</v>
      </c>
    </row>
    <row r="32" spans="2:5" ht="16.5">
      <c r="B32" s="97" t="s">
        <v>135</v>
      </c>
      <c r="C32" s="98">
        <f>ROUNDUP(C29,0)</f>
        <v>50</v>
      </c>
      <c r="D32" s="49" t="s">
        <v>117</v>
      </c>
    </row>
    <row r="33" spans="3:3">
      <c r="C33" s="99">
        <f>SUM(C31:C32)</f>
        <v>55</v>
      </c>
    </row>
  </sheetData>
  <mergeCells count="1">
    <mergeCell ref="B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ER Summary VPA1</vt:lpstr>
      <vt:lpstr>Scenario r-d</vt:lpstr>
      <vt:lpstr>Scenario r-ic</vt:lpstr>
      <vt:lpstr>ER-exante</vt:lpstr>
      <vt:lpstr>SDGs</vt:lpstr>
      <vt:lpstr>LPG assess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Jenk</dc:creator>
  <cp:lastModifiedBy>ple_local</cp:lastModifiedBy>
  <dcterms:created xsi:type="dcterms:W3CDTF">2012-09-17T12:50:14Z</dcterms:created>
  <dcterms:modified xsi:type="dcterms:W3CDTF">2021-05-24T17:55:52Z</dcterms:modified>
</cp:coreProperties>
</file>