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comments4.xml" ContentType="application/vnd.openxmlformats-officedocument.spreadsheetml.comments+xml"/>
  <Override PartName="/xl/threadedComments/threadedComment3.xml" ContentType="application/vnd.ms-excel.threadedcomments+xml"/>
  <Override PartName="/xl/comments5.xml" ContentType="application/vnd.openxmlformats-officedocument.spreadsheetml.comments+xml"/>
  <Override PartName="/xl/threadedComments/threadedComment4.xml" ContentType="application/vnd.ms-excel.threadedcomments+xml"/>
  <Override PartName="/xl/comments6.xml" ContentType="application/vnd.openxmlformats-officedocument.spreadsheetml.comments+xml"/>
  <Override PartName="/xl/threadedComments/threadedComment5.xml" ContentType="application/vnd.ms-excel.threadedcomments+xml"/>
  <Override PartName="/xl/comments7.xml" ContentType="application/vnd.openxmlformats-officedocument.spreadsheetml.comments+xml"/>
  <Override PartName="/xl/threadedComments/threadedComment6.xml" ContentType="application/vnd.ms-excel.threadedcomments+xml"/>
  <Override PartName="/xl/comments8.xml" ContentType="application/vnd.openxmlformats-officedocument.spreadsheetml.comments+xml"/>
  <Override PartName="/xl/threadedComments/threadedComment7.xml" ContentType="application/vnd.ms-excel.threadedcomments+xml"/>
  <Override PartName="/xl/comments9.xml" ContentType="application/vnd.openxmlformats-officedocument.spreadsheetml.comments+xml"/>
  <Override PartName="/xl/threadedComments/threadedComment8.xml" ContentType="application/vnd.ms-excel.threadedcomments+xml"/>
  <Override PartName="/xl/comments10.xml" ContentType="application/vnd.openxmlformats-officedocument.spreadsheetml.comments+xml"/>
  <Override PartName="/xl/threadedComments/threadedComment9.xml" ContentType="application/vnd.ms-excel.threadedcomments+xml"/>
  <Override PartName="/xl/comments11.xml" ContentType="application/vnd.openxmlformats-officedocument.spreadsheetml.comments+xml"/>
  <Override PartName="/xl/threadedComments/threadedComment10.xml" ContentType="application/vnd.ms-excel.threadedcomments+xml"/>
  <Override PartName="/xl/comments12.xml" ContentType="application/vnd.openxmlformats-officedocument.spreadsheetml.comments+xml"/>
  <Override PartName="/xl/threadedComments/threadedComment11.xml" ContentType="application/vnd.ms-excel.threadedcomments+xml"/>
  <Override PartName="/xl/comments13.xml" ContentType="application/vnd.openxmlformats-officedocument.spreadsheetml.comments+xml"/>
  <Override PartName="/xl/threadedComments/threadedComment12.xml" ContentType="application/vnd.ms-excel.threadedcomments+xml"/>
  <Override PartName="/xl/comments14.xml" ContentType="application/vnd.openxmlformats-officedocument.spreadsheetml.comments+xml"/>
  <Override PartName="/xl/threadedComments/threadedComment13.xml" ContentType="application/vnd.ms-excel.threadedcomments+xml"/>
  <Override PartName="/xl/comments15.xml" ContentType="application/vnd.openxmlformats-officedocument.spreadsheetml.comments+xml"/>
  <Override PartName="/xl/threadedComments/threadedComment14.xml" ContentType="application/vnd.ms-excel.threadedcomments+xml"/>
  <Override PartName="/xl/comments16.xml" ContentType="application/vnd.openxmlformats-officedocument.spreadsheetml.comments+xml"/>
  <Override PartName="/xl/threadedComments/threadedComment15.xml" ContentType="application/vnd.ms-excel.threadedcomments+xml"/>
  <Override PartName="/xl/comments17.xml" ContentType="application/vnd.openxmlformats-officedocument.spreadsheetml.comments+xml"/>
  <Override PartName="/xl/threadedComments/threadedComment16.xml" ContentType="application/vnd.ms-excel.threadedcomments+xml"/>
  <Override PartName="/xl/comments18.xml" ContentType="application/vnd.openxmlformats-officedocument.spreadsheetml.comments+xml"/>
  <Override PartName="/xl/threadedComments/threadedComment17.xml" ContentType="application/vnd.ms-excel.threadedcomments+xml"/>
  <Override PartName="/xl/comments19.xml" ContentType="application/vnd.openxmlformats-officedocument.spreadsheetml.comments+xml"/>
  <Override PartName="/xl/threadedComments/threadedComment18.xml" ContentType="application/vnd.ms-excel.threadedcomments+xml"/>
  <Override PartName="/xl/comments20.xml" ContentType="application/vnd.openxmlformats-officedocument.spreadsheetml.comments+xml"/>
  <Override PartName="/xl/threadedComments/threadedComment19.xml" ContentType="application/vnd.ms-excel.threadedcomments+xml"/>
  <Override PartName="/xl/comments21.xml" ContentType="application/vnd.openxmlformats-officedocument.spreadsheetml.comments+xml"/>
  <Override PartName="/xl/threadedComments/threadedComment20.xml" ContentType="application/vnd.ms-excel.threadedcomments+xml"/>
  <Override PartName="/xl/comments2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GS1247 - IKR/4. Malawi/1. Safe_Water/1. Unicef &amp; CharityWater BHs_P1,2,5,6/3 - Verification/MP7-MP6-MP5/R1/"/>
    </mc:Choice>
  </mc:AlternateContent>
  <xr:revisionPtr revIDLastSave="1475" documentId="8_{D29031FA-3EC1-4B10-8044-AE7840CA6A20}" xr6:coauthVersionLast="47" xr6:coauthVersionMax="47" xr10:uidLastSave="{4E5E77F1-FDB4-49ED-A17A-4C343A81F1F0}"/>
  <bookViews>
    <workbookView xWindow="-110" yWindow="-110" windowWidth="19420" windowHeight="10300" firstSheet="2" activeTab="3" xr2:uid="{61E83793-CC08-4545-8122-D3B1A67C63EA}"/>
  </bookViews>
  <sheets>
    <sheet name="Summary" sheetId="24" r:id="rId1"/>
    <sheet name="Total PTDs" sheetId="42" r:id="rId2"/>
    <sheet name="SDGs Calculations" sheetId="8" r:id="rId3"/>
    <sheet name="GS5329" sheetId="48" r:id="rId4"/>
    <sheet name="GS5330" sheetId="49" r:id="rId5"/>
    <sheet name="GS5331" sheetId="50" r:id="rId6"/>
    <sheet name="GS5332" sheetId="51" r:id="rId7"/>
    <sheet name="GS5335" sheetId="52" r:id="rId8"/>
    <sheet name="GS5336" sheetId="53" r:id="rId9"/>
    <sheet name="GS5337" sheetId="54" r:id="rId10"/>
    <sheet name="GS5338" sheetId="55" r:id="rId11"/>
    <sheet name="GS5339" sheetId="56" r:id="rId12"/>
    <sheet name="GS5340" sheetId="57" r:id="rId13"/>
    <sheet name="GS5341" sheetId="58" r:id="rId14"/>
    <sheet name="GS5342" sheetId="59" r:id="rId15"/>
    <sheet name="GS5343" sheetId="60" r:id="rId16"/>
    <sheet name="GS5344" sheetId="61" r:id="rId17"/>
    <sheet name="GS5437" sheetId="62" r:id="rId18"/>
    <sheet name="GS5438" sheetId="63" r:id="rId19"/>
    <sheet name="GS5439" sheetId="64" r:id="rId20"/>
    <sheet name="GS5440" sheetId="65" r:id="rId21"/>
    <sheet name="GS5441" sheetId="66" r:id="rId22"/>
    <sheet name="Water Supply Calculations (2)" sheetId="34" r:id="rId23"/>
    <sheet name="Sheet1" sheetId="67" r:id="rId24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8" l="1"/>
  <c r="C233" i="42"/>
  <c r="Q5" i="42"/>
  <c r="S34" i="42"/>
  <c r="S35" i="42"/>
  <c r="S56" i="42"/>
  <c r="S57" i="42"/>
  <c r="S78" i="42"/>
  <c r="S79" i="42"/>
  <c r="S90" i="42"/>
  <c r="S91" i="42"/>
  <c r="S92" i="42"/>
  <c r="S93" i="42"/>
  <c r="S104" i="42"/>
  <c r="S105" i="42"/>
  <c r="S106" i="42"/>
  <c r="S107" i="42"/>
  <c r="S115" i="42"/>
  <c r="S116" i="42"/>
  <c r="S117" i="42"/>
  <c r="S118" i="42"/>
  <c r="S119" i="42"/>
  <c r="S120" i="42"/>
  <c r="S121" i="42"/>
  <c r="S122" i="42"/>
  <c r="S123" i="42"/>
  <c r="S131" i="42"/>
  <c r="S132" i="42"/>
  <c r="S133" i="42"/>
  <c r="S134" i="42"/>
  <c r="S135" i="42"/>
  <c r="S136" i="42"/>
  <c r="S137" i="42"/>
  <c r="S138" i="42"/>
  <c r="S146" i="42"/>
  <c r="S147" i="42"/>
  <c r="S148" i="42"/>
  <c r="S149" i="42"/>
  <c r="S150" i="42"/>
  <c r="S151" i="42"/>
  <c r="S152" i="42"/>
  <c r="S160" i="42"/>
  <c r="S161" i="42"/>
  <c r="S162" i="42"/>
  <c r="S163" i="42"/>
  <c r="S164" i="42"/>
  <c r="S168" i="42" s="1"/>
  <c r="S165" i="42"/>
  <c r="S166" i="42"/>
  <c r="S167" i="42"/>
  <c r="S175" i="42"/>
  <c r="S176" i="42"/>
  <c r="S177" i="42"/>
  <c r="S178" i="42"/>
  <c r="S179" i="42"/>
  <c r="S180" i="42"/>
  <c r="S188" i="42"/>
  <c r="S190" i="42" s="1"/>
  <c r="S189" i="42"/>
  <c r="S197" i="42"/>
  <c r="S198" i="42"/>
  <c r="S199" i="42"/>
  <c r="S200" i="42"/>
  <c r="S208" i="42"/>
  <c r="S209" i="42"/>
  <c r="S212" i="42" s="1"/>
  <c r="S210" i="42"/>
  <c r="S211" i="42"/>
  <c r="S219" i="42"/>
  <c r="S220" i="42"/>
  <c r="S221" i="42"/>
  <c r="S229" i="42"/>
  <c r="S231" i="42" s="1"/>
  <c r="S230" i="42"/>
  <c r="S228" i="42"/>
  <c r="S227" i="42"/>
  <c r="S226" i="42"/>
  <c r="S225" i="42"/>
  <c r="S224" i="42"/>
  <c r="S218" i="42"/>
  <c r="S217" i="42"/>
  <c r="S216" i="42"/>
  <c r="S222" i="42" s="1"/>
  <c r="S215" i="42"/>
  <c r="S214" i="42"/>
  <c r="S207" i="42"/>
  <c r="S206" i="42"/>
  <c r="S205" i="42"/>
  <c r="S204" i="42"/>
  <c r="S203" i="42"/>
  <c r="S196" i="42"/>
  <c r="S195" i="42"/>
  <c r="S194" i="42"/>
  <c r="S193" i="42"/>
  <c r="S192" i="42"/>
  <c r="S201" i="42" s="1"/>
  <c r="S187" i="42"/>
  <c r="S186" i="42"/>
  <c r="S185" i="42"/>
  <c r="S184" i="42"/>
  <c r="S183" i="42"/>
  <c r="S174" i="42"/>
  <c r="S173" i="42"/>
  <c r="S172" i="42"/>
  <c r="S171" i="42"/>
  <c r="S170" i="42"/>
  <c r="S159" i="42"/>
  <c r="S158" i="42"/>
  <c r="S157" i="42"/>
  <c r="S156" i="42"/>
  <c r="S155" i="42"/>
  <c r="S145" i="42"/>
  <c r="S144" i="42"/>
  <c r="S143" i="42"/>
  <c r="S142" i="42"/>
  <c r="S141" i="42"/>
  <c r="S130" i="42"/>
  <c r="S129" i="42"/>
  <c r="S128" i="42"/>
  <c r="S127" i="42"/>
  <c r="S126" i="42"/>
  <c r="S114" i="42"/>
  <c r="S113" i="42"/>
  <c r="S112" i="42"/>
  <c r="S111" i="42"/>
  <c r="S110" i="42"/>
  <c r="S82" i="42"/>
  <c r="S103" i="42"/>
  <c r="S102" i="42"/>
  <c r="S101" i="42"/>
  <c r="S100" i="42"/>
  <c r="S99" i="42"/>
  <c r="S98" i="42"/>
  <c r="S97" i="42"/>
  <c r="S96" i="42"/>
  <c r="S108" i="42" s="1"/>
  <c r="S89" i="42"/>
  <c r="S88" i="42"/>
  <c r="S87" i="42"/>
  <c r="S86" i="42"/>
  <c r="S85" i="42"/>
  <c r="S84" i="42"/>
  <c r="S83" i="42"/>
  <c r="S94" i="42"/>
  <c r="S77" i="42"/>
  <c r="S76" i="42"/>
  <c r="S75" i="42"/>
  <c r="S80" i="42" s="1"/>
  <c r="S74" i="42"/>
  <c r="S73" i="42"/>
  <c r="S72" i="42"/>
  <c r="S71" i="42"/>
  <c r="S70" i="42"/>
  <c r="S67" i="42"/>
  <c r="S66" i="42"/>
  <c r="S65" i="42"/>
  <c r="S64" i="42"/>
  <c r="S63" i="42"/>
  <c r="S62" i="42"/>
  <c r="S61" i="42"/>
  <c r="S60" i="42"/>
  <c r="S68" i="42" s="1"/>
  <c r="S55" i="42"/>
  <c r="S54" i="42"/>
  <c r="S53" i="42"/>
  <c r="S52" i="42"/>
  <c r="S51" i="42"/>
  <c r="S50" i="42"/>
  <c r="S49" i="42"/>
  <c r="S48" i="42"/>
  <c r="S58" i="42" s="1"/>
  <c r="S45" i="42"/>
  <c r="S44" i="42"/>
  <c r="S43" i="42"/>
  <c r="S42" i="42"/>
  <c r="S41" i="42"/>
  <c r="S40" i="42"/>
  <c r="S39" i="42"/>
  <c r="S38" i="42"/>
  <c r="S33" i="42"/>
  <c r="S32" i="42"/>
  <c r="S31" i="42"/>
  <c r="S30" i="42"/>
  <c r="S29" i="42"/>
  <c r="S28" i="42"/>
  <c r="S27" i="42"/>
  <c r="S26" i="42"/>
  <c r="S21" i="42"/>
  <c r="S22" i="42"/>
  <c r="S23" i="42"/>
  <c r="S20" i="42"/>
  <c r="S19" i="42"/>
  <c r="S18" i="42"/>
  <c r="S17" i="42"/>
  <c r="S16" i="42"/>
  <c r="S24" i="42" s="1"/>
  <c r="S6" i="42"/>
  <c r="S7" i="42"/>
  <c r="S8" i="42"/>
  <c r="S9" i="42"/>
  <c r="S10" i="42"/>
  <c r="S14" i="42" s="1"/>
  <c r="S11" i="42"/>
  <c r="S12" i="42"/>
  <c r="S13" i="42"/>
  <c r="S5" i="42"/>
  <c r="S46" i="42"/>
  <c r="O230" i="42"/>
  <c r="O229" i="42"/>
  <c r="O228" i="42"/>
  <c r="O227" i="42"/>
  <c r="O226" i="42"/>
  <c r="O225" i="42"/>
  <c r="O221" i="42"/>
  <c r="O220" i="42"/>
  <c r="O219" i="42"/>
  <c r="O217" i="42"/>
  <c r="R217" i="42" s="1"/>
  <c r="O214" i="42"/>
  <c r="O211" i="42"/>
  <c r="O210" i="42"/>
  <c r="O209" i="42"/>
  <c r="O208" i="42"/>
  <c r="O207" i="42"/>
  <c r="O206" i="42"/>
  <c r="O205" i="42"/>
  <c r="R205" i="42" s="1"/>
  <c r="O204" i="42"/>
  <c r="O203" i="42"/>
  <c r="O200" i="42"/>
  <c r="O199" i="42"/>
  <c r="O198" i="42"/>
  <c r="O197" i="42"/>
  <c r="O196" i="42"/>
  <c r="O195" i="42"/>
  <c r="R195" i="42" s="1"/>
  <c r="O194" i="42"/>
  <c r="O193" i="42"/>
  <c r="O189" i="42"/>
  <c r="O188" i="42"/>
  <c r="O187" i="42"/>
  <c r="O186" i="42"/>
  <c r="O185" i="42"/>
  <c r="O184" i="42"/>
  <c r="R184" i="42" s="1"/>
  <c r="O180" i="42"/>
  <c r="O179" i="42"/>
  <c r="O178" i="42"/>
  <c r="R178" i="42" s="1"/>
  <c r="O177" i="42"/>
  <c r="O176" i="42"/>
  <c r="O175" i="42"/>
  <c r="O174" i="42"/>
  <c r="O173" i="42"/>
  <c r="R173" i="42" s="1"/>
  <c r="O172" i="42"/>
  <c r="O171" i="42"/>
  <c r="O170" i="42"/>
  <c r="O167" i="42"/>
  <c r="O165" i="42"/>
  <c r="O164" i="42"/>
  <c r="O163" i="42"/>
  <c r="O162" i="42"/>
  <c r="O161" i="42"/>
  <c r="O160" i="42"/>
  <c r="O159" i="42"/>
  <c r="R159" i="42" s="1"/>
  <c r="O158" i="42"/>
  <c r="O157" i="42"/>
  <c r="O156" i="42"/>
  <c r="O152" i="42"/>
  <c r="O151" i="42"/>
  <c r="O150" i="42"/>
  <c r="O149" i="42"/>
  <c r="O148" i="42"/>
  <c r="O147" i="42"/>
  <c r="O146" i="42"/>
  <c r="O145" i="42"/>
  <c r="O144" i="42"/>
  <c r="O143" i="42"/>
  <c r="O142" i="42"/>
  <c r="O138" i="42"/>
  <c r="O136" i="42"/>
  <c r="R136" i="42" s="1"/>
  <c r="O133" i="42"/>
  <c r="O132" i="42"/>
  <c r="O131" i="42"/>
  <c r="O130" i="42"/>
  <c r="O129" i="42"/>
  <c r="R129" i="42" s="1"/>
  <c r="O128" i="42"/>
  <c r="O127" i="42"/>
  <c r="O120" i="42"/>
  <c r="O118" i="42"/>
  <c r="O117" i="42"/>
  <c r="O116" i="42"/>
  <c r="O115" i="42"/>
  <c r="O114" i="42"/>
  <c r="R114" i="42" s="1"/>
  <c r="O113" i="42"/>
  <c r="O112" i="42"/>
  <c r="O99" i="42"/>
  <c r="R99" i="42" s="1"/>
  <c r="O98" i="42"/>
  <c r="O97" i="42"/>
  <c r="O96" i="42"/>
  <c r="O93" i="42"/>
  <c r="O92" i="42"/>
  <c r="O91" i="42"/>
  <c r="O87" i="42"/>
  <c r="O86" i="42"/>
  <c r="R86" i="42" s="1"/>
  <c r="O85" i="42"/>
  <c r="O84" i="42"/>
  <c r="O83" i="42"/>
  <c r="O82" i="42"/>
  <c r="O79" i="42"/>
  <c r="R79" i="42" s="1"/>
  <c r="O78" i="42"/>
  <c r="O75" i="42"/>
  <c r="O74" i="42"/>
  <c r="O73" i="42"/>
  <c r="O72" i="42"/>
  <c r="O71" i="42"/>
  <c r="O64" i="42"/>
  <c r="O63" i="42"/>
  <c r="R63" i="42" s="1"/>
  <c r="O62" i="42"/>
  <c r="O61" i="42"/>
  <c r="O60" i="42"/>
  <c r="O57" i="42"/>
  <c r="O56" i="42"/>
  <c r="O55" i="42"/>
  <c r="O54" i="42"/>
  <c r="O52" i="42"/>
  <c r="R52" i="42" s="1"/>
  <c r="O49" i="42"/>
  <c r="O48" i="42"/>
  <c r="O45" i="42"/>
  <c r="R45" i="42" s="1"/>
  <c r="O44" i="42"/>
  <c r="O43" i="42"/>
  <c r="O35" i="42"/>
  <c r="O18" i="42"/>
  <c r="O17" i="42"/>
  <c r="O12" i="42"/>
  <c r="O13" i="42"/>
  <c r="O5" i="42"/>
  <c r="Q13" i="42"/>
  <c r="Q6" i="42"/>
  <c r="O7" i="42"/>
  <c r="H13" i="8"/>
  <c r="M4" i="24"/>
  <c r="M5" i="24"/>
  <c r="M6" i="24"/>
  <c r="M7" i="24"/>
  <c r="M8" i="24"/>
  <c r="M9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Q230" i="42"/>
  <c r="Q229" i="42"/>
  <c r="Q228" i="42"/>
  <c r="Q227" i="42"/>
  <c r="Q226" i="42"/>
  <c r="Q231" i="42"/>
  <c r="Q225" i="42"/>
  <c r="Q224" i="42"/>
  <c r="Q221" i="42"/>
  <c r="Q220" i="42"/>
  <c r="Q219" i="42"/>
  <c r="Q218" i="42"/>
  <c r="Q217" i="42"/>
  <c r="Q216" i="42"/>
  <c r="Q215" i="42"/>
  <c r="Q214" i="42"/>
  <c r="Q211" i="42"/>
  <c r="Q210" i="42"/>
  <c r="Q209" i="42"/>
  <c r="Q208" i="42"/>
  <c r="Q207" i="42"/>
  <c r="Q206" i="42"/>
  <c r="Q212" i="42" s="1"/>
  <c r="Q205" i="42"/>
  <c r="Q204" i="42"/>
  <c r="Q203" i="42"/>
  <c r="Q200" i="42"/>
  <c r="Q199" i="42"/>
  <c r="Q198" i="42"/>
  <c r="Q197" i="42"/>
  <c r="Q196" i="42"/>
  <c r="Q195" i="42"/>
  <c r="Q194" i="42"/>
  <c r="Q193" i="42"/>
  <c r="Q192" i="42"/>
  <c r="Q189" i="42"/>
  <c r="Q188" i="42"/>
  <c r="Q187" i="42"/>
  <c r="Q186" i="42"/>
  <c r="Q185" i="42"/>
  <c r="Q184" i="42"/>
  <c r="Q183" i="42"/>
  <c r="Q180" i="42"/>
  <c r="Q179" i="42"/>
  <c r="Q178" i="42"/>
  <c r="Q177" i="42"/>
  <c r="Q176" i="42"/>
  <c r="Q181" i="42" s="1"/>
  <c r="Q175" i="42"/>
  <c r="Q174" i="42"/>
  <c r="Q173" i="42"/>
  <c r="Q172" i="42"/>
  <c r="Q171" i="42"/>
  <c r="Q170" i="42"/>
  <c r="Q167" i="42"/>
  <c r="Q166" i="42"/>
  <c r="Q165" i="42"/>
  <c r="Q164" i="42"/>
  <c r="Q163" i="42"/>
  <c r="Q162" i="42"/>
  <c r="Q161" i="42"/>
  <c r="Q160" i="42"/>
  <c r="Q159" i="42"/>
  <c r="Q158" i="42"/>
  <c r="Q168" i="42" s="1"/>
  <c r="Q157" i="42"/>
  <c r="Q156" i="42"/>
  <c r="Q155" i="42"/>
  <c r="Q152" i="42"/>
  <c r="Q151" i="42"/>
  <c r="Q150" i="42"/>
  <c r="Q149" i="42"/>
  <c r="Q148" i="42"/>
  <c r="Q153" i="42" s="1"/>
  <c r="Q147" i="42"/>
  <c r="Q146" i="42"/>
  <c r="Q145" i="42"/>
  <c r="Q144" i="42"/>
  <c r="Q143" i="42"/>
  <c r="Q142" i="42"/>
  <c r="Q141" i="42"/>
  <c r="Q138" i="42"/>
  <c r="Q137" i="42"/>
  <c r="Q136" i="42"/>
  <c r="Q135" i="42"/>
  <c r="Q134" i="42"/>
  <c r="Q133" i="42"/>
  <c r="Q132" i="42"/>
  <c r="Q131" i="42"/>
  <c r="Q130" i="42"/>
  <c r="Q139" i="42" s="1"/>
  <c r="Q129" i="42"/>
  <c r="Q128" i="42"/>
  <c r="Q127" i="42"/>
  <c r="Q126" i="42"/>
  <c r="Q123" i="42"/>
  <c r="Q122" i="42"/>
  <c r="Q121" i="42"/>
  <c r="Q120" i="42"/>
  <c r="Q119" i="42"/>
  <c r="Q118" i="42"/>
  <c r="Q117" i="42"/>
  <c r="Q116" i="42"/>
  <c r="Q115" i="42"/>
  <c r="Q114" i="42"/>
  <c r="Q113" i="42"/>
  <c r="Q112" i="42"/>
  <c r="Q124" i="42" s="1"/>
  <c r="Q111" i="42"/>
  <c r="Q110" i="42"/>
  <c r="Q107" i="42"/>
  <c r="Q106" i="42"/>
  <c r="Q105" i="42"/>
  <c r="Q104" i="42"/>
  <c r="Q103" i="42"/>
  <c r="Q102" i="42"/>
  <c r="Q108" i="42" s="1"/>
  <c r="Q101" i="42"/>
  <c r="Q100" i="42"/>
  <c r="Q99" i="42"/>
  <c r="Q98" i="42"/>
  <c r="Q97" i="42"/>
  <c r="Q96" i="42"/>
  <c r="Q93" i="42"/>
  <c r="Q92" i="42"/>
  <c r="Q91" i="42"/>
  <c r="Q90" i="42"/>
  <c r="Q89" i="42"/>
  <c r="Q88" i="42"/>
  <c r="Q87" i="42"/>
  <c r="Q86" i="42"/>
  <c r="Q85" i="42"/>
  <c r="Q84" i="42"/>
  <c r="Q94" i="42" s="1"/>
  <c r="Q83" i="42"/>
  <c r="Q82" i="42"/>
  <c r="Q79" i="42"/>
  <c r="Q78" i="42"/>
  <c r="Q77" i="42"/>
  <c r="Q76" i="42"/>
  <c r="Q75" i="42"/>
  <c r="Q74" i="42"/>
  <c r="Q73" i="42"/>
  <c r="Q72" i="42"/>
  <c r="Q71" i="42"/>
  <c r="Q70" i="42"/>
  <c r="Q67" i="42"/>
  <c r="Q66" i="42"/>
  <c r="Q65" i="42"/>
  <c r="Q64" i="42"/>
  <c r="Q68" i="42" s="1"/>
  <c r="Q63" i="42"/>
  <c r="Q62" i="42"/>
  <c r="Q61" i="42"/>
  <c r="Q60" i="42"/>
  <c r="Q57" i="42"/>
  <c r="Q56" i="42"/>
  <c r="Q55" i="42"/>
  <c r="Q54" i="42"/>
  <c r="Q58" i="42" s="1"/>
  <c r="Q53" i="42"/>
  <c r="Q52" i="42"/>
  <c r="Q51" i="42"/>
  <c r="Q50" i="42"/>
  <c r="Q49" i="42"/>
  <c r="Q48" i="42"/>
  <c r="Q45" i="42"/>
  <c r="Q44" i="42"/>
  <c r="Q46" i="42" s="1"/>
  <c r="Q43" i="42"/>
  <c r="Q42" i="42"/>
  <c r="Q41" i="42"/>
  <c r="Q40" i="42"/>
  <c r="Q39" i="42"/>
  <c r="Q38" i="42"/>
  <c r="Q35" i="42"/>
  <c r="Q34" i="42"/>
  <c r="Q33" i="42"/>
  <c r="Q32" i="42"/>
  <c r="Q31" i="42"/>
  <c r="Q30" i="42"/>
  <c r="Q29" i="42"/>
  <c r="Q28" i="42"/>
  <c r="Q27" i="42"/>
  <c r="Q26" i="42"/>
  <c r="Q36" i="42" s="1"/>
  <c r="Q23" i="42"/>
  <c r="Q22" i="42"/>
  <c r="Q21" i="42"/>
  <c r="Q20" i="42"/>
  <c r="Q19" i="42"/>
  <c r="Q18" i="42"/>
  <c r="Q17" i="42"/>
  <c r="Q16" i="42"/>
  <c r="Q12" i="42"/>
  <c r="Q11" i="42"/>
  <c r="Q10" i="42"/>
  <c r="Q9" i="42"/>
  <c r="Q8" i="42"/>
  <c r="Q7" i="42"/>
  <c r="D426" i="8"/>
  <c r="D403" i="8"/>
  <c r="D380" i="8"/>
  <c r="D357" i="8"/>
  <c r="D334" i="8"/>
  <c r="D311" i="8"/>
  <c r="D288" i="8"/>
  <c r="D265" i="8"/>
  <c r="D242" i="8"/>
  <c r="D219" i="8"/>
  <c r="D196" i="8"/>
  <c r="D173" i="8"/>
  <c r="D150" i="8"/>
  <c r="D127" i="8"/>
  <c r="D104" i="8"/>
  <c r="D81" i="8"/>
  <c r="D58" i="8"/>
  <c r="D35" i="8"/>
  <c r="D12" i="8"/>
  <c r="K11" i="8"/>
  <c r="J11" i="8"/>
  <c r="I11" i="8"/>
  <c r="I23" i="24"/>
  <c r="D427" i="8"/>
  <c r="D404" i="8"/>
  <c r="D381" i="8"/>
  <c r="D358" i="8"/>
  <c r="D335" i="8"/>
  <c r="D312" i="8"/>
  <c r="D289" i="8"/>
  <c r="D266" i="8"/>
  <c r="D243" i="8"/>
  <c r="D220" i="8"/>
  <c r="D197" i="8"/>
  <c r="D174" i="8"/>
  <c r="D151" i="8"/>
  <c r="D128" i="8"/>
  <c r="D105" i="8"/>
  <c r="D82" i="8"/>
  <c r="D59" i="8"/>
  <c r="D36" i="8"/>
  <c r="D13" i="8"/>
  <c r="O218" i="42"/>
  <c r="R218" i="42" s="1"/>
  <c r="O216" i="42"/>
  <c r="O215" i="42"/>
  <c r="R215" i="42" s="1"/>
  <c r="O166" i="42"/>
  <c r="O141" i="42"/>
  <c r="R141" i="42" s="1"/>
  <c r="O137" i="42"/>
  <c r="R137" i="42" s="1"/>
  <c r="O135" i="42"/>
  <c r="R135" i="42" s="1"/>
  <c r="O134" i="42"/>
  <c r="O123" i="42"/>
  <c r="O122" i="42"/>
  <c r="R122" i="42" s="1"/>
  <c r="O121" i="42"/>
  <c r="R121" i="42" s="1"/>
  <c r="O119" i="42"/>
  <c r="R119" i="42" s="1"/>
  <c r="O111" i="42"/>
  <c r="R111" i="42" s="1"/>
  <c r="O107" i="42"/>
  <c r="R107" i="42" s="1"/>
  <c r="O106" i="42"/>
  <c r="R106" i="42" s="1"/>
  <c r="O105" i="42"/>
  <c r="O104" i="42"/>
  <c r="R104" i="42" s="1"/>
  <c r="O103" i="42"/>
  <c r="R103" i="42" s="1"/>
  <c r="O102" i="42"/>
  <c r="O101" i="42"/>
  <c r="O100" i="42"/>
  <c r="R100" i="42" s="1"/>
  <c r="O90" i="42"/>
  <c r="R90" i="42" s="1"/>
  <c r="O89" i="42"/>
  <c r="R89" i="42" s="1"/>
  <c r="O88" i="42"/>
  <c r="O77" i="42"/>
  <c r="O76" i="42"/>
  <c r="R76" i="42" s="1"/>
  <c r="O70" i="42"/>
  <c r="R70" i="42" s="1"/>
  <c r="O67" i="42"/>
  <c r="R67" i="42" s="1"/>
  <c r="O66" i="42"/>
  <c r="R66" i="42" s="1"/>
  <c r="O65" i="42"/>
  <c r="R65" i="42" s="1"/>
  <c r="O53" i="42"/>
  <c r="R53" i="42" s="1"/>
  <c r="O51" i="42"/>
  <c r="R51" i="42" s="1"/>
  <c r="O50" i="42"/>
  <c r="O42" i="42"/>
  <c r="R42" i="42" s="1"/>
  <c r="O41" i="42"/>
  <c r="R41" i="42" s="1"/>
  <c r="O40" i="42"/>
  <c r="O39" i="42"/>
  <c r="O38" i="42"/>
  <c r="R38" i="42" s="1"/>
  <c r="O27" i="42"/>
  <c r="R27" i="42" s="1"/>
  <c r="O28" i="42"/>
  <c r="O29" i="42"/>
  <c r="R29" i="42" s="1"/>
  <c r="O30" i="42"/>
  <c r="O31" i="42"/>
  <c r="R31" i="42" s="1"/>
  <c r="O32" i="42"/>
  <c r="R32" i="42" s="1"/>
  <c r="O33" i="42"/>
  <c r="R33" i="42" s="1"/>
  <c r="O34" i="42"/>
  <c r="O26" i="42"/>
  <c r="O19" i="42"/>
  <c r="O20" i="42"/>
  <c r="R20" i="42" s="1"/>
  <c r="O21" i="42"/>
  <c r="R21" i="42" s="1"/>
  <c r="O22" i="42"/>
  <c r="O23" i="42"/>
  <c r="O16" i="42"/>
  <c r="R16" i="42" s="1"/>
  <c r="O6" i="42"/>
  <c r="R6" i="42" s="1"/>
  <c r="O8" i="42"/>
  <c r="O9" i="42"/>
  <c r="O10" i="42"/>
  <c r="R10" i="42" s="1"/>
  <c r="O11" i="42"/>
  <c r="R11" i="42" s="1"/>
  <c r="E13" i="66"/>
  <c r="E13" i="65"/>
  <c r="E13" i="64"/>
  <c r="E13" i="63"/>
  <c r="E13" i="62"/>
  <c r="E13" i="61"/>
  <c r="E13" i="60"/>
  <c r="E13" i="59"/>
  <c r="E13" i="58"/>
  <c r="E13" i="57"/>
  <c r="E13" i="56"/>
  <c r="E13" i="55"/>
  <c r="E13" i="54"/>
  <c r="E13" i="53"/>
  <c r="E13" i="52"/>
  <c r="E13" i="51"/>
  <c r="E13" i="50"/>
  <c r="E13" i="49"/>
  <c r="E13" i="48"/>
  <c r="C23" i="24"/>
  <c r="E34" i="66"/>
  <c r="E34" i="65"/>
  <c r="E34" i="64"/>
  <c r="E34" i="63"/>
  <c r="E34" i="62"/>
  <c r="E34" i="61"/>
  <c r="E34" i="60"/>
  <c r="E34" i="59"/>
  <c r="E34" i="58"/>
  <c r="E34" i="57"/>
  <c r="E34" i="56"/>
  <c r="E34" i="55"/>
  <c r="E34" i="54"/>
  <c r="E34" i="53"/>
  <c r="E34" i="52"/>
  <c r="E34" i="51"/>
  <c r="E34" i="50"/>
  <c r="E34" i="49"/>
  <c r="E34" i="48"/>
  <c r="R101" i="42"/>
  <c r="R28" i="42"/>
  <c r="R23" i="42"/>
  <c r="B6" i="34"/>
  <c r="B9" i="34"/>
  <c r="G23" i="24"/>
  <c r="Q24" i="42"/>
  <c r="Q190" i="42"/>
  <c r="Q201" i="42"/>
  <c r="Q14" i="42"/>
  <c r="Q80" i="42"/>
  <c r="Q222" i="42"/>
  <c r="R9" i="42"/>
  <c r="R22" i="42"/>
  <c r="S36" i="42" l="1"/>
  <c r="S124" i="42"/>
  <c r="S139" i="42"/>
  <c r="S153" i="42"/>
  <c r="S181" i="42"/>
  <c r="R19" i="42"/>
  <c r="R50" i="42"/>
  <c r="R216" i="42"/>
  <c r="R7" i="42"/>
  <c r="R35" i="42"/>
  <c r="R55" i="42"/>
  <c r="R71" i="42"/>
  <c r="R83" i="42"/>
  <c r="R116" i="42"/>
  <c r="R131" i="42"/>
  <c r="R145" i="42"/>
  <c r="R156" i="42"/>
  <c r="R164" i="42"/>
  <c r="R175" i="42"/>
  <c r="R186" i="42"/>
  <c r="R197" i="42"/>
  <c r="R207" i="42"/>
  <c r="R220" i="42"/>
  <c r="R8" i="42"/>
  <c r="R77" i="42"/>
  <c r="R123" i="42"/>
  <c r="R43" i="42"/>
  <c r="R56" i="42"/>
  <c r="R72" i="42"/>
  <c r="R80" i="42" s="1"/>
  <c r="F10" i="24" s="1"/>
  <c r="R84" i="42"/>
  <c r="R97" i="42"/>
  <c r="R117" i="42"/>
  <c r="R132" i="42"/>
  <c r="R146" i="42"/>
  <c r="R157" i="42"/>
  <c r="R165" i="42"/>
  <c r="R176" i="42"/>
  <c r="R187" i="42"/>
  <c r="R198" i="42"/>
  <c r="R208" i="42"/>
  <c r="R221" i="42"/>
  <c r="R34" i="42"/>
  <c r="R88" i="42"/>
  <c r="R105" i="42"/>
  <c r="R134" i="42"/>
  <c r="R44" i="42"/>
  <c r="R57" i="42"/>
  <c r="R73" i="42"/>
  <c r="R85" i="42"/>
  <c r="R98" i="42"/>
  <c r="R118" i="42"/>
  <c r="R133" i="42"/>
  <c r="R147" i="42"/>
  <c r="R158" i="42"/>
  <c r="R167" i="42"/>
  <c r="R177" i="42"/>
  <c r="R188" i="42"/>
  <c r="R199" i="42"/>
  <c r="R209" i="42"/>
  <c r="R225" i="42"/>
  <c r="R74" i="42"/>
  <c r="R120" i="42"/>
  <c r="R148" i="42"/>
  <c r="R189" i="42"/>
  <c r="R200" i="42"/>
  <c r="R210" i="42"/>
  <c r="R226" i="42"/>
  <c r="R40" i="42"/>
  <c r="R13" i="42"/>
  <c r="R61" i="42"/>
  <c r="R75" i="42"/>
  <c r="R87" i="42"/>
  <c r="R112" i="42"/>
  <c r="R127" i="42"/>
  <c r="R138" i="42"/>
  <c r="R149" i="42"/>
  <c r="R160" i="42"/>
  <c r="R171" i="42"/>
  <c r="R179" i="42"/>
  <c r="R193" i="42"/>
  <c r="R211" i="42"/>
  <c r="R227" i="42"/>
  <c r="R12" i="42"/>
  <c r="R49" i="42"/>
  <c r="R62" i="42"/>
  <c r="R78" i="42"/>
  <c r="R91" i="42"/>
  <c r="R113" i="42"/>
  <c r="R128" i="42"/>
  <c r="R142" i="42"/>
  <c r="R150" i="42"/>
  <c r="R161" i="42"/>
  <c r="R172" i="42"/>
  <c r="R180" i="42"/>
  <c r="R194" i="42"/>
  <c r="R204" i="42"/>
  <c r="R228" i="42"/>
  <c r="R30" i="42"/>
  <c r="R166" i="42"/>
  <c r="R92" i="42"/>
  <c r="R143" i="42"/>
  <c r="R153" i="42" s="1"/>
  <c r="F15" i="24" s="1"/>
  <c r="R151" i="42"/>
  <c r="R162" i="42"/>
  <c r="R229" i="42"/>
  <c r="R102" i="42"/>
  <c r="R18" i="42"/>
  <c r="R54" i="42"/>
  <c r="R64" i="42"/>
  <c r="R93" i="42"/>
  <c r="R115" i="42"/>
  <c r="R130" i="42"/>
  <c r="R144" i="42"/>
  <c r="R152" i="42"/>
  <c r="R163" i="42"/>
  <c r="R174" i="42"/>
  <c r="R185" i="42"/>
  <c r="R196" i="42"/>
  <c r="R206" i="42"/>
  <c r="R219" i="42"/>
  <c r="R230" i="42"/>
  <c r="O224" i="42"/>
  <c r="R214" i="42"/>
  <c r="R222" i="42" s="1"/>
  <c r="O222" i="42"/>
  <c r="R203" i="42"/>
  <c r="R212" i="42" s="1"/>
  <c r="O212" i="42"/>
  <c r="O192" i="42"/>
  <c r="O183" i="42"/>
  <c r="R170" i="42"/>
  <c r="O181" i="42"/>
  <c r="O155" i="42"/>
  <c r="O153" i="42"/>
  <c r="O126" i="42"/>
  <c r="O110" i="42"/>
  <c r="O108" i="42"/>
  <c r="R96" i="42"/>
  <c r="R82" i="42"/>
  <c r="O94" i="42"/>
  <c r="O80" i="42"/>
  <c r="P10" i="24" s="1"/>
  <c r="R60" i="42"/>
  <c r="R68" i="42" s="1"/>
  <c r="O68" i="42"/>
  <c r="O58" i="42"/>
  <c r="R48" i="42"/>
  <c r="O46" i="42"/>
  <c r="D74" i="8" s="1"/>
  <c r="D85" i="8" s="1"/>
  <c r="D88" i="8" s="1"/>
  <c r="O7" i="24" s="1"/>
  <c r="R39" i="42"/>
  <c r="O36" i="42"/>
  <c r="D51" i="8" s="1"/>
  <c r="R26" i="42"/>
  <c r="R36" i="42" s="1"/>
  <c r="O24" i="42"/>
  <c r="R17" i="42"/>
  <c r="O14" i="42"/>
  <c r="R5" i="42"/>
  <c r="R46" i="42" l="1"/>
  <c r="R14" i="42"/>
  <c r="R58" i="42"/>
  <c r="F8" i="24" s="1"/>
  <c r="R108" i="42"/>
  <c r="R181" i="42"/>
  <c r="E6" i="61" s="1"/>
  <c r="R94" i="42"/>
  <c r="F11" i="24" s="1"/>
  <c r="R24" i="42"/>
  <c r="R224" i="42"/>
  <c r="R231" i="42" s="1"/>
  <c r="O231" i="42"/>
  <c r="P21" i="24"/>
  <c r="D396" i="8"/>
  <c r="E6" i="65"/>
  <c r="F21" i="24"/>
  <c r="P20" i="24"/>
  <c r="D373" i="8"/>
  <c r="F20" i="24"/>
  <c r="E6" i="64"/>
  <c r="R192" i="42"/>
  <c r="R201" i="42" s="1"/>
  <c r="O201" i="42"/>
  <c r="O190" i="42"/>
  <c r="R183" i="42"/>
  <c r="R190" i="42" s="1"/>
  <c r="D304" i="8"/>
  <c r="P17" i="24"/>
  <c r="F17" i="24"/>
  <c r="R155" i="42"/>
  <c r="R168" i="42" s="1"/>
  <c r="O168" i="42"/>
  <c r="E6" i="59"/>
  <c r="E14" i="59" s="1"/>
  <c r="P15" i="24"/>
  <c r="D258" i="8"/>
  <c r="R126" i="42"/>
  <c r="R139" i="42" s="1"/>
  <c r="O139" i="42"/>
  <c r="R110" i="42"/>
  <c r="R124" i="42" s="1"/>
  <c r="O124" i="42"/>
  <c r="F12" i="24"/>
  <c r="E6" i="56"/>
  <c r="P12" i="24"/>
  <c r="D189" i="8"/>
  <c r="D166" i="8"/>
  <c r="P11" i="24"/>
  <c r="E6" i="54"/>
  <c r="E14" i="54" s="1"/>
  <c r="D143" i="8"/>
  <c r="D146" i="8" s="1"/>
  <c r="K10" i="24" s="1"/>
  <c r="P9" i="24"/>
  <c r="D120" i="8"/>
  <c r="E6" i="53"/>
  <c r="F9" i="24"/>
  <c r="D97" i="8"/>
  <c r="P8" i="24"/>
  <c r="P7" i="24"/>
  <c r="R7" i="24" s="1"/>
  <c r="D77" i="8"/>
  <c r="K7" i="24" s="1"/>
  <c r="F7" i="24"/>
  <c r="E6" i="51"/>
  <c r="P6" i="24"/>
  <c r="E6" i="50"/>
  <c r="F6" i="24"/>
  <c r="D62" i="8"/>
  <c r="D65" i="8" s="1"/>
  <c r="O6" i="24" s="1"/>
  <c r="R6" i="24" s="1"/>
  <c r="D54" i="8"/>
  <c r="K6" i="24" s="1"/>
  <c r="E6" i="49"/>
  <c r="F5" i="24"/>
  <c r="D28" i="8"/>
  <c r="P5" i="24"/>
  <c r="F4" i="24"/>
  <c r="E6" i="48"/>
  <c r="P4" i="24"/>
  <c r="D5" i="8"/>
  <c r="E6" i="52" l="1"/>
  <c r="E6" i="55"/>
  <c r="E14" i="51"/>
  <c r="E6" i="66"/>
  <c r="F22" i="24"/>
  <c r="D419" i="8"/>
  <c r="P22" i="24"/>
  <c r="E14" i="65"/>
  <c r="D407" i="8"/>
  <c r="D410" i="8" s="1"/>
  <c r="O21" i="24" s="1"/>
  <c r="R21" i="24" s="1"/>
  <c r="D399" i="8"/>
  <c r="K21" i="24" s="1"/>
  <c r="E14" i="64"/>
  <c r="D384" i="8"/>
  <c r="D387" i="8" s="1"/>
  <c r="O20" i="24" s="1"/>
  <c r="R20" i="24" s="1"/>
  <c r="D376" i="8"/>
  <c r="K20" i="24" s="1"/>
  <c r="F19" i="24"/>
  <c r="E6" i="63"/>
  <c r="P19" i="24"/>
  <c r="D350" i="8"/>
  <c r="P18" i="24"/>
  <c r="D327" i="8"/>
  <c r="E6" i="62"/>
  <c r="F18" i="24"/>
  <c r="E14" i="61"/>
  <c r="D307" i="8"/>
  <c r="K17" i="24" s="1"/>
  <c r="D315" i="8"/>
  <c r="D318" i="8" s="1"/>
  <c r="O17" i="24" s="1"/>
  <c r="R17" i="24" s="1"/>
  <c r="D281" i="8"/>
  <c r="P16" i="24"/>
  <c r="E6" i="60"/>
  <c r="F16" i="24"/>
  <c r="D261" i="8"/>
  <c r="K15" i="24" s="1"/>
  <c r="D269" i="8"/>
  <c r="D272" i="8" s="1"/>
  <c r="O15" i="24" s="1"/>
  <c r="R15" i="24" s="1"/>
  <c r="F14" i="24"/>
  <c r="E6" i="58"/>
  <c r="D235" i="8"/>
  <c r="P14" i="24"/>
  <c r="P13" i="24"/>
  <c r="D212" i="8"/>
  <c r="E6" i="57"/>
  <c r="F13" i="24"/>
  <c r="O233" i="42"/>
  <c r="D192" i="8"/>
  <c r="K12" i="24" s="1"/>
  <c r="D200" i="8"/>
  <c r="D203" i="8" s="1"/>
  <c r="O12" i="24" s="1"/>
  <c r="R12" i="24" s="1"/>
  <c r="E14" i="56"/>
  <c r="D177" i="8"/>
  <c r="D180" i="8" s="1"/>
  <c r="O11" i="24" s="1"/>
  <c r="R11" i="24" s="1"/>
  <c r="D169" i="8"/>
  <c r="K11" i="24" s="1"/>
  <c r="E14" i="55"/>
  <c r="D154" i="8"/>
  <c r="D157" i="8" s="1"/>
  <c r="O10" i="24" s="1"/>
  <c r="R10" i="24" s="1"/>
  <c r="E14" i="53"/>
  <c r="D131" i="8"/>
  <c r="D134" i="8" s="1"/>
  <c r="O9" i="24" s="1"/>
  <c r="R9" i="24" s="1"/>
  <c r="D123" i="8"/>
  <c r="K9" i="24" s="1"/>
  <c r="D108" i="8"/>
  <c r="D111" i="8" s="1"/>
  <c r="O8" i="24" s="1"/>
  <c r="R8" i="24" s="1"/>
  <c r="D100" i="8"/>
  <c r="K8" i="24" s="1"/>
  <c r="E14" i="52"/>
  <c r="E14" i="50"/>
  <c r="D31" i="8"/>
  <c r="K5" i="24" s="1"/>
  <c r="D39" i="8"/>
  <c r="D42" i="8" s="1"/>
  <c r="O5" i="24" s="1"/>
  <c r="R5" i="24" s="1"/>
  <c r="E14" i="49"/>
  <c r="D16" i="8"/>
  <c r="D19" i="8" s="1"/>
  <c r="O4" i="24" s="1"/>
  <c r="R4" i="24" s="1"/>
  <c r="D8" i="8"/>
  <c r="K4" i="24" s="1"/>
  <c r="E14" i="48"/>
  <c r="D430" i="8" l="1"/>
  <c r="D433" i="8" s="1"/>
  <c r="O22" i="24" s="1"/>
  <c r="R22" i="24" s="1"/>
  <c r="D422" i="8"/>
  <c r="K22" i="24" s="1"/>
  <c r="E14" i="66"/>
  <c r="D353" i="8"/>
  <c r="K19" i="24" s="1"/>
  <c r="D361" i="8"/>
  <c r="D364" i="8" s="1"/>
  <c r="O19" i="24" s="1"/>
  <c r="R19" i="24" s="1"/>
  <c r="E14" i="63"/>
  <c r="E14" i="62"/>
  <c r="D330" i="8"/>
  <c r="K18" i="24" s="1"/>
  <c r="D338" i="8"/>
  <c r="D341" i="8" s="1"/>
  <c r="O18" i="24" s="1"/>
  <c r="R18" i="24" s="1"/>
  <c r="E14" i="60"/>
  <c r="D284" i="8"/>
  <c r="K16" i="24" s="1"/>
  <c r="D292" i="8"/>
  <c r="D295" i="8" s="1"/>
  <c r="O16" i="24" s="1"/>
  <c r="R16" i="24" s="1"/>
  <c r="F23" i="24"/>
  <c r="P23" i="24"/>
  <c r="D246" i="8"/>
  <c r="D249" i="8" s="1"/>
  <c r="O14" i="24" s="1"/>
  <c r="R14" i="24" s="1"/>
  <c r="D238" i="8"/>
  <c r="K14" i="24" s="1"/>
  <c r="E14" i="58"/>
  <c r="E14" i="57"/>
  <c r="D223" i="8"/>
  <c r="D226" i="8" s="1"/>
  <c r="O13" i="24" s="1"/>
  <c r="R13" i="24" s="1"/>
  <c r="D215" i="8"/>
  <c r="K13" i="24" s="1"/>
  <c r="K23" i="24" l="1"/>
  <c r="O23" i="24"/>
  <c r="E17" i="24" l="1"/>
  <c r="E28" i="61"/>
  <c r="E18" i="61"/>
  <c r="E16" i="61"/>
  <c r="D7" i="24"/>
  <c r="H13" i="24"/>
  <c r="E31" i="57"/>
  <c r="E37" i="57"/>
  <c r="E38" i="57"/>
  <c r="D229" i="8"/>
  <c r="E10" i="24"/>
  <c r="E28" i="54"/>
  <c r="E18" i="54"/>
  <c r="E16" i="54"/>
  <c r="H23" i="24"/>
  <c r="H4" i="24"/>
  <c r="E15" i="24"/>
  <c r="E28" i="59"/>
  <c r="E18" i="59"/>
  <c r="E16" i="59"/>
  <c r="D15" i="24"/>
  <c r="E5" i="24"/>
  <c r="E28" i="49"/>
  <c r="E18" i="49"/>
  <c r="E16" i="49"/>
  <c r="D68" i="8"/>
  <c r="E31" i="50"/>
  <c r="E37" i="50"/>
  <c r="E38" i="50"/>
  <c r="H6" i="24"/>
  <c r="E16" i="55"/>
  <c r="E18" i="55"/>
  <c r="E28" i="55"/>
  <c r="E11" i="24"/>
  <c r="D206" i="8"/>
  <c r="E31" i="56"/>
  <c r="E37" i="56"/>
  <c r="E38" i="56"/>
  <c r="H12" i="24"/>
  <c r="D11" i="24"/>
  <c r="E16" i="60"/>
  <c r="E18" i="60"/>
  <c r="E28" i="60"/>
  <c r="E16" i="24"/>
  <c r="E10" i="50"/>
  <c r="E27" i="50"/>
  <c r="D6" i="24"/>
  <c r="E10" i="56"/>
  <c r="E27" i="56"/>
  <c r="D12" i="24"/>
  <c r="D321" i="8"/>
  <c r="E31" i="61"/>
  <c r="E37" i="61"/>
  <c r="E38" i="61"/>
  <c r="H17" i="24"/>
  <c r="D344" i="8"/>
  <c r="E31" i="62"/>
  <c r="E37" i="62"/>
  <c r="E38" i="62"/>
  <c r="H18" i="24"/>
  <c r="E9" i="50"/>
  <c r="E8" i="50"/>
  <c r="E16" i="50"/>
  <c r="E18" i="50"/>
  <c r="E28" i="50"/>
  <c r="E6" i="24"/>
  <c r="H11" i="24"/>
  <c r="E9" i="55"/>
  <c r="E8" i="55"/>
  <c r="E10" i="55"/>
  <c r="E27" i="55"/>
  <c r="E31" i="55"/>
  <c r="E37" i="55"/>
  <c r="E38" i="55"/>
  <c r="D183" i="8"/>
  <c r="D16" i="24"/>
  <c r="H7" i="24"/>
  <c r="E10" i="51"/>
  <c r="E27" i="51"/>
  <c r="E31" i="51"/>
  <c r="E37" i="51"/>
  <c r="E38" i="51"/>
  <c r="D91" i="8"/>
  <c r="D21" i="24"/>
  <c r="D9" i="24"/>
  <c r="E18" i="24"/>
  <c r="E28" i="62"/>
  <c r="E18" i="62"/>
  <c r="E16" i="62"/>
  <c r="E14" i="24"/>
  <c r="E28" i="58"/>
  <c r="E18" i="58"/>
  <c r="E16" i="58"/>
  <c r="E7" i="24"/>
  <c r="E9" i="51"/>
  <c r="E8" i="51"/>
  <c r="E16" i="51"/>
  <c r="E18" i="51"/>
  <c r="E28" i="51"/>
  <c r="D19" i="24"/>
  <c r="D23" i="24"/>
  <c r="D4" i="24"/>
  <c r="E19" i="24"/>
  <c r="E16" i="63"/>
  <c r="E18" i="63"/>
  <c r="E28" i="63"/>
  <c r="H20" i="24"/>
  <c r="E31" i="64"/>
  <c r="E37" i="64"/>
  <c r="E38" i="64"/>
  <c r="D390" i="8"/>
  <c r="D14" i="24"/>
  <c r="E9" i="56"/>
  <c r="E8" i="56"/>
  <c r="E16" i="56"/>
  <c r="E18" i="56"/>
  <c r="E28" i="56"/>
  <c r="E12" i="24"/>
  <c r="E10" i="57"/>
  <c r="E27" i="57"/>
  <c r="D13" i="24"/>
  <c r="H5" i="24"/>
  <c r="E31" i="49"/>
  <c r="E37" i="49"/>
  <c r="E38" i="49"/>
  <c r="D45" i="8"/>
  <c r="E10" i="48"/>
  <c r="E27" i="48"/>
  <c r="E31" i="48"/>
  <c r="E37" i="48"/>
  <c r="E38" i="48"/>
  <c r="D22" i="8"/>
  <c r="E10" i="64"/>
  <c r="E27" i="64"/>
  <c r="D20" i="24"/>
  <c r="D367" i="8"/>
  <c r="E9" i="63"/>
  <c r="E8" i="63"/>
  <c r="E10" i="63"/>
  <c r="E27" i="63"/>
  <c r="E31" i="63"/>
  <c r="E37" i="63"/>
  <c r="E38" i="63"/>
  <c r="H19" i="24"/>
  <c r="E9" i="64"/>
  <c r="E8" i="64"/>
  <c r="E16" i="64"/>
  <c r="E18" i="64"/>
  <c r="E28" i="64"/>
  <c r="E20" i="24"/>
  <c r="E9" i="57"/>
  <c r="E8" i="57"/>
  <c r="E16" i="57"/>
  <c r="E18" i="57"/>
  <c r="E28" i="57"/>
  <c r="E13" i="24"/>
  <c r="D436" i="8"/>
  <c r="E31" i="66"/>
  <c r="E37" i="66"/>
  <c r="E38" i="66"/>
  <c r="H22" i="24"/>
  <c r="D10" i="24"/>
  <c r="D114" i="8"/>
  <c r="E31" i="52"/>
  <c r="E37" i="52"/>
  <c r="E38" i="52"/>
  <c r="H8" i="24"/>
  <c r="D160" i="8"/>
  <c r="E9" i="54"/>
  <c r="E8" i="54"/>
  <c r="E10" i="54"/>
  <c r="E27" i="54"/>
  <c r="E31" i="54"/>
  <c r="E37" i="54"/>
  <c r="E38" i="54"/>
  <c r="H10" i="24"/>
  <c r="E16" i="53"/>
  <c r="E18" i="53"/>
  <c r="E28" i="53"/>
  <c r="E9" i="24"/>
  <c r="D413" i="8"/>
  <c r="E10" i="65"/>
  <c r="E27" i="65"/>
  <c r="E31" i="65"/>
  <c r="E37" i="65"/>
  <c r="E38" i="65"/>
  <c r="H21" i="24"/>
  <c r="E16" i="66"/>
  <c r="E18" i="66"/>
  <c r="E28" i="66"/>
  <c r="E22" i="24"/>
  <c r="E9" i="65"/>
  <c r="E8" i="65"/>
  <c r="E16" i="65"/>
  <c r="E18" i="65"/>
  <c r="E28" i="65"/>
  <c r="E21" i="24"/>
  <c r="D137" i="8"/>
  <c r="E9" i="53"/>
  <c r="E8" i="53"/>
  <c r="E10" i="53"/>
  <c r="E27" i="53"/>
  <c r="E31" i="53"/>
  <c r="E37" i="53"/>
  <c r="E38" i="53"/>
  <c r="H9" i="24"/>
  <c r="E9" i="61"/>
  <c r="E8" i="61"/>
  <c r="E10" i="61"/>
  <c r="E27" i="61"/>
  <c r="D17" i="24"/>
  <c r="E9" i="66"/>
  <c r="E8" i="66"/>
  <c r="E10" i="66"/>
  <c r="E27" i="66"/>
  <c r="D22" i="24"/>
  <c r="E16" i="52"/>
  <c r="E18" i="52"/>
  <c r="E28" i="52"/>
  <c r="E8" i="24"/>
  <c r="D298" i="8"/>
  <c r="E9" i="60"/>
  <c r="E8" i="60"/>
  <c r="E10" i="60"/>
  <c r="E27" i="60"/>
  <c r="E31" i="60"/>
  <c r="E37" i="60"/>
  <c r="E38" i="60"/>
  <c r="H16" i="24"/>
  <c r="E9" i="52"/>
  <c r="E8" i="52"/>
  <c r="E10" i="52"/>
  <c r="E27" i="52"/>
  <c r="D8" i="24"/>
  <c r="E9" i="49"/>
  <c r="E8" i="49"/>
  <c r="E10" i="49"/>
  <c r="E27" i="49"/>
  <c r="D5" i="24"/>
  <c r="D275" i="8"/>
  <c r="E9" i="59"/>
  <c r="E8" i="59"/>
  <c r="E10" i="59"/>
  <c r="E27" i="59"/>
  <c r="E31" i="59"/>
  <c r="E37" i="59"/>
  <c r="E38" i="59"/>
  <c r="H15" i="24"/>
  <c r="D252" i="8"/>
  <c r="E9" i="58"/>
  <c r="E8" i="58"/>
  <c r="E10" i="58"/>
  <c r="E27" i="58"/>
  <c r="E31" i="58"/>
  <c r="E37" i="58"/>
  <c r="E38" i="58"/>
  <c r="H14" i="24"/>
  <c r="E9" i="62"/>
  <c r="E8" i="62"/>
  <c r="E10" i="62"/>
  <c r="E27" i="62"/>
  <c r="D18" i="24"/>
  <c r="E9" i="48"/>
  <c r="E8" i="48"/>
  <c r="E16" i="48"/>
  <c r="E18" i="48"/>
  <c r="E28" i="48"/>
  <c r="E4" i="24"/>
  <c r="E23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TorTennant</author>
  </authors>
  <commentList>
    <comment ref="I3" authorId="0" shapeId="0" xr:uid="{85163962-39C1-4798-ADB7-D133C3ACC1E9}">
      <text>
        <r>
          <rPr>
            <b/>
            <sz val="9"/>
            <color indexed="81"/>
            <rFont val="Tahoma"/>
            <family val="2"/>
          </rPr>
          <t>TorTennant:</t>
        </r>
        <r>
          <rPr>
            <sz val="9"/>
            <color indexed="81"/>
            <rFont val="Tahoma"/>
            <family val="2"/>
          </rPr>
          <t xml:space="preserve">
To enable comparison, the UNCAPPED ERs have been included here. 
Please note, they have been capped at 10,000 per annum as is the requirement for micro-scale projects. Please see Malawi P1&amp;2 ER Cals V1 UNCAPPED for the completely uncapped ERs.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tc={29FD3835-F4D6-4EDD-AEB4-7B6A524BE7C6}</author>
    <author>tc={287B3EBB-5E77-4FFC-84DE-BE573FE4413C}</author>
    <author>tc={118F63D9-F6BC-4F77-8CE1-2335EDEA66EE}</author>
    <author>tc={2D647E69-2FEA-4F86-8F4C-BE83A6CA0357}</author>
    <author>tc={4CB72426-ABDF-4046-9594-D61A9BD1DD55}</author>
  </authors>
  <commentList>
    <comment ref="E8" authorId="0" shapeId="0" xr:uid="{29FD3835-F4D6-4EDD-AEB4-7B6A524BE7C6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287B3EBB-5E77-4FFC-84DE-BE573FE4413C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118F63D9-F6BC-4F77-8CE1-2335EDEA66E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2D647E69-2FEA-4F86-8F4C-BE83A6CA0357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4CB72426-ABDF-4046-9594-D61A9BD1DD55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tc={EC5D45CF-CDE3-47AF-AF6B-7278F4B83B1E}</author>
    <author>tc={54F2DEB9-BDAC-47C9-AA0A-469CF4B71533}</author>
    <author>tc={8AFB3305-A04F-4637-BE1E-604F47CC3AC9}</author>
    <author>tc={10660CB2-5B78-473E-AE84-F9E5F139B992}</author>
    <author>tc={BBFBFE4D-DE51-493D-A83B-3AA2689105D0}</author>
  </authors>
  <commentList>
    <comment ref="E8" authorId="0" shapeId="0" xr:uid="{EC5D45CF-CDE3-47AF-AF6B-7278F4B83B1E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54F2DEB9-BDAC-47C9-AA0A-469CF4B71533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8AFB3305-A04F-4637-BE1E-604F47CC3AC9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10660CB2-5B78-473E-AE84-F9E5F139B992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BBFBFE4D-DE51-493D-A83B-3AA2689105D0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tc={9C58CC80-6222-48F6-85F5-E94FD8B690C2}</author>
    <author>tc={57617140-B7F0-47EC-A80F-BBA3E8FCD9C3}</author>
    <author>tc={5B98347D-2176-4C60-9961-1DB301797259}</author>
    <author>tc={D94928B6-4CA8-4E8A-B345-345F6AEA4DC2}</author>
    <author>tc={DF96D311-3103-4171-8673-A846503D1750}</author>
  </authors>
  <commentList>
    <comment ref="E8" authorId="0" shapeId="0" xr:uid="{9C58CC80-6222-48F6-85F5-E94FD8B690C2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57617140-B7F0-47EC-A80F-BBA3E8FCD9C3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5B98347D-2176-4C60-9961-1DB301797259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D94928B6-4CA8-4E8A-B345-345F6AEA4DC2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DF96D311-3103-4171-8673-A846503D1750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tc={413E0639-6879-4700-AFCE-6B56E92C85F1}</author>
    <author>tc={2594C5E3-6731-4013-8CDF-CB70C9D3D98E}</author>
    <author>tc={259C13A0-A131-40F0-B62C-91958AAF1A10}</author>
    <author>tc={751988FF-902D-4E1A-A1C3-D681384DF513}</author>
    <author>tc={D8C67254-6F71-4F8B-BF49-4AEB7691C338}</author>
  </authors>
  <commentList>
    <comment ref="E8" authorId="0" shapeId="0" xr:uid="{413E0639-6879-4700-AFCE-6B56E92C85F1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2594C5E3-6731-4013-8CDF-CB70C9D3D98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259C13A0-A131-40F0-B62C-91958AAF1A1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751988FF-902D-4E1A-A1C3-D681384DF513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D8C67254-6F71-4F8B-BF49-4AEB7691C338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tc={AE7AAECE-0810-43F3-99A4-4CED943883B9}</author>
    <author>tc={FE43DF26-CF05-4A27-A492-861BAD822563}</author>
    <author>tc={74C66C93-D370-4CC4-B05D-7A8C1C099A89}</author>
    <author>tc={D2AA1595-8AAB-41B8-B726-EEF42DBC3319}</author>
    <author>tc={28AA5658-164D-4E44-9575-B571F4748461}</author>
  </authors>
  <commentList>
    <comment ref="E8" authorId="0" shapeId="0" xr:uid="{AE7AAECE-0810-43F3-99A4-4CED943883B9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FE43DF26-CF05-4A27-A492-861BAD822563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74C66C93-D370-4CC4-B05D-7A8C1C099A89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D2AA1595-8AAB-41B8-B726-EEF42DBC3319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28AA5658-164D-4E44-9575-B571F4748461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tc={4445FE13-9472-463A-ABC7-BC31DB19278A}</author>
    <author>tc={8C3577CB-5483-4ED5-8FAB-DA9F1761DCDA}</author>
    <author>tc={22561228-76BD-45E1-8429-9A350DB11C82}</author>
    <author>tc={5EC4E94F-2F61-4C79-B2A7-AE29FAD45068}</author>
    <author>tc={BFE51822-67EB-436D-AB5A-6AB840ADD874}</author>
  </authors>
  <commentList>
    <comment ref="E8" authorId="0" shapeId="0" xr:uid="{4445FE13-9472-463A-ABC7-BC31DB19278A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8C3577CB-5483-4ED5-8FAB-DA9F1761DCDA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22561228-76BD-45E1-8429-9A350DB11C82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5EC4E94F-2F61-4C79-B2A7-AE29FAD45068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BFE51822-67EB-436D-AB5A-6AB840ADD874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tc={ABBD14C0-5940-4929-801B-952A64C11239}</author>
    <author>tc={F5CD6FA6-BF7B-49F9-AC8D-A58F328E14A8}</author>
    <author>tc={917A96AA-CE5F-4AA5-8432-3AC07E41E1F3}</author>
    <author>tc={1A42A5AB-8B91-4F61-B08C-BB0D8C9D8D99}</author>
    <author>tc={7720C2B4-C7E3-40DE-8857-543FB7835178}</author>
  </authors>
  <commentList>
    <comment ref="E8" authorId="0" shapeId="0" xr:uid="{ABBD14C0-5940-4929-801B-952A64C11239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F5CD6FA6-BF7B-49F9-AC8D-A58F328E14A8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917A96AA-CE5F-4AA5-8432-3AC07E41E1F3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1A42A5AB-8B91-4F61-B08C-BB0D8C9D8D99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7720C2B4-C7E3-40DE-8857-543FB7835178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tc={A843B257-1B66-4274-B263-E3998E22C953}</author>
    <author>tc={818E4F89-3DCF-41F3-8E0A-7822852847F4}</author>
    <author>tc={01021AE2-4C87-48D4-AAA2-BF032C032B9C}</author>
    <author>tc={8A969DFC-4061-4219-8F7B-3E46EA37DF52}</author>
    <author>tc={8869F3A0-492A-4DB9-B6BC-4560498A5100}</author>
  </authors>
  <commentList>
    <comment ref="E8" authorId="0" shapeId="0" xr:uid="{A843B257-1B66-4274-B263-E3998E22C953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818E4F89-3DCF-41F3-8E0A-7822852847F4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01021AE2-4C87-48D4-AAA2-BF032C032B9C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8A969DFC-4061-4219-8F7B-3E46EA37DF52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8869F3A0-492A-4DB9-B6BC-4560498A5100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tc={FE005829-D43C-491D-AB57-CDDE559D04C7}</author>
    <author>tc={2290BBCC-00E8-42D1-B4FD-AE41C0E53432}</author>
    <author>tc={0705A124-0835-4DBE-85AE-2CEB832AFD11}</author>
    <author>tc={14155E9C-E1EA-4E87-B1B2-8378A1ECCFF6}</author>
    <author>tc={5FB032DF-3CE3-4BB4-953E-95509C5B7487}</author>
  </authors>
  <commentList>
    <comment ref="E8" authorId="0" shapeId="0" xr:uid="{FE005829-D43C-491D-AB57-CDDE559D04C7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2290BBCC-00E8-42D1-B4FD-AE41C0E53432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0705A124-0835-4DBE-85AE-2CEB832AFD11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14155E9C-E1EA-4E87-B1B2-8378A1ECCFF6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5FB032DF-3CE3-4BB4-953E-95509C5B7487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tc={F5D92572-A92D-4324-9DE1-AE40335E9EB2}</author>
    <author>tc={F3E1FDEC-070A-41D9-A703-6385D0F82FB3}</author>
    <author>tc={491A997F-EAC0-4865-BDE7-BBF651A0286D}</author>
    <author>tc={758BAF5A-437C-41D0-9F09-5465CED0DF54}</author>
    <author>tc={49436B57-9BF1-4534-B5C1-C1352AEF021D}</author>
  </authors>
  <commentList>
    <comment ref="E8" authorId="0" shapeId="0" xr:uid="{F5D92572-A92D-4324-9DE1-AE40335E9EB2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F3E1FDEC-070A-41D9-A703-6385D0F82FB3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491A997F-EAC0-4865-BDE7-BBF651A0286D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758BAF5A-437C-41D0-9F09-5465CED0DF54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49436B57-9BF1-4534-B5C1-C1352AEF021D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tc={6F599096-5FC7-407A-9AB1-30A1B0121EC2}</author>
    <author>tc={406ADBE9-8601-4817-987A-34A8C107009F}</author>
    <author>tc={3F4E8287-85F8-4861-96D4-301F34B4A498}</author>
    <author>tc={41B401B6-5506-49E9-858C-7C4BC1695F7C}</author>
    <author>tc={930D6C7D-B939-4B5A-BF5C-BFF962701CCB}</author>
    <author>tc={02DB3730-3A74-4D54-B72A-F9A37D20ECA8}</author>
    <author>tc={C2763F9B-0EE8-450E-B955-A0A3F3B2D164}</author>
    <author>tc={FCB73C54-31A1-4A1D-96F2-9F4352D52DB1}</author>
    <author>tc={5834D1CE-027B-4B48-B121-B2DE69D83AC4}</author>
    <author>tc={70D63217-30FE-41D8-8316-DC7D6411200B}</author>
    <author>tc={D65868DC-D579-481D-A748-B71C229E65C2}</author>
    <author>tc={85EA4351-94AC-4C48-A085-9D648D3804D2}</author>
    <author>tc={D43076EE-4DDA-449B-95E7-4607DAEB3A5F}</author>
    <author>tc={8917C540-7A5C-4F38-935E-A84C1EDE6DD5}</author>
    <author>tc={9CDF3966-1EAA-4F79-B4C8-0B61120F7B39}</author>
    <author>tc={34AF27AA-D2F8-43DE-A2E1-96FD6381B1B5}</author>
    <author>tc={182C1BE1-DB59-46A2-AB5F-7E833527D0CF}</author>
    <author>tc={916412B6-C29B-417E-8CC8-D10520011265}</author>
    <author>tc={927D9BE2-253B-4A82-8112-95D36CA3ADAD}</author>
    <author>tc={976AA3A4-A734-46D6-9836-7BE3668A3332}</author>
    <author>tc={BBC4E642-AF5D-4B77-B29B-FE293FBBD33C}</author>
    <author>tc={DB6261A7-2FA0-4A03-84B1-CAAF47B12AE9}</author>
    <author>tc={8E1E312C-D5A0-4F0E-9CEE-5BEDBCE6A944}</author>
    <author>tc={D1698AC3-F3FB-4365-9018-F8BB81B7835B}</author>
    <author>tc={427DB9D6-5C1D-4CEF-AF5F-3513FBDC4F9F}</author>
    <author>tc={6170E5EC-2500-4797-9C04-9224792EFECE}</author>
    <author>tc={C2956510-D7D1-4234-9861-09E070B2FFA3}</author>
    <author>tc={503742BB-4681-4A9E-8FCC-9F052C1351A9}</author>
    <author>tc={F66B9E7B-0573-4C34-95D2-87D704063A62}</author>
    <author>tc={8CC8A2D2-E36D-4C78-AD2D-E406459783E0}</author>
    <author>tc={3E2A8CC1-53BD-48DF-B959-6E51300D1102}</author>
    <author>tc={1EB2756F-DB7F-456A-8326-5DC00425E60C}</author>
    <author>tc={DED1E80A-386A-4369-87E6-C01FDCBC83AD}</author>
    <author>tc={4F2D89E8-9D59-47CA-A461-8284FCBE2F03}</author>
    <author>tc={5C5EE4BB-708C-4469-B4B1-4384B7C13927}</author>
    <author>tc={9D85B115-9B7B-4A93-8554-8130CE241B78}</author>
    <author>tc={33C2EA10-6C90-4B69-AC75-C269EB80771C}</author>
    <author>tc={B21D8D58-6773-4C84-9860-AEEB64B01E28}</author>
  </authors>
  <commentList>
    <comment ref="D11" authorId="0" shapeId="0" xr:uid="{6F599096-5FC7-407A-9AB1-30A1B0121EC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2" authorId="1" shapeId="0" xr:uid="{406ADBE9-8601-4817-987A-34A8C107009F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34" authorId="2" shapeId="0" xr:uid="{3F4E8287-85F8-4861-96D4-301F34B4A49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35" authorId="3" shapeId="0" xr:uid="{41B401B6-5506-49E9-858C-7C4BC1695F7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57" authorId="4" shapeId="0" xr:uid="{930D6C7D-B939-4B5A-BF5C-BFF962701CCB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58" authorId="5" shapeId="0" xr:uid="{02DB3730-3A74-4D54-B72A-F9A37D20ECA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80" authorId="6" shapeId="0" xr:uid="{C2763F9B-0EE8-450E-B955-A0A3F3B2D164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81" authorId="7" shapeId="0" xr:uid="{FCB73C54-31A1-4A1D-96F2-9F4352D52DB1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103" authorId="8" shapeId="0" xr:uid="{5834D1CE-027B-4B48-B121-B2DE69D83AC4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04" authorId="9" shapeId="0" xr:uid="{70D63217-30FE-41D8-8316-DC7D6411200B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126" authorId="10" shapeId="0" xr:uid="{D65868DC-D579-481D-A748-B71C229E65C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27" authorId="11" shapeId="0" xr:uid="{85EA4351-94AC-4C48-A085-9D648D3804D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149" authorId="12" shapeId="0" xr:uid="{D43076EE-4DDA-449B-95E7-4607DAEB3A5F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50" authorId="13" shapeId="0" xr:uid="{8917C540-7A5C-4F38-935E-A84C1EDE6DD5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172" authorId="14" shapeId="0" xr:uid="{9CDF3966-1EAA-4F79-B4C8-0B61120F7B39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73" authorId="15" shapeId="0" xr:uid="{34AF27AA-D2F8-43DE-A2E1-96FD6381B1B5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195" authorId="16" shapeId="0" xr:uid="{182C1BE1-DB59-46A2-AB5F-7E833527D0CF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196" authorId="17" shapeId="0" xr:uid="{916412B6-C29B-417E-8CC8-D10520011265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218" authorId="18" shapeId="0" xr:uid="{927D9BE2-253B-4A82-8112-95D36CA3ADAD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219" authorId="19" shapeId="0" xr:uid="{976AA3A4-A734-46D6-9836-7BE3668A333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241" authorId="20" shapeId="0" xr:uid="{BBC4E642-AF5D-4B77-B29B-FE293FBBD33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242" authorId="21" shapeId="0" xr:uid="{DB6261A7-2FA0-4A03-84B1-CAAF47B12AE9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264" authorId="22" shapeId="0" xr:uid="{8E1E312C-D5A0-4F0E-9CEE-5BEDBCE6A944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265" authorId="23" shapeId="0" xr:uid="{D1698AC3-F3FB-4365-9018-F8BB81B7835B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287" authorId="24" shapeId="0" xr:uid="{427DB9D6-5C1D-4CEF-AF5F-3513FBDC4F9F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288" authorId="25" shapeId="0" xr:uid="{6170E5EC-2500-4797-9C04-9224792EFECE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310" authorId="26" shapeId="0" xr:uid="{C2956510-D7D1-4234-9861-09E070B2FFA3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311" authorId="27" shapeId="0" xr:uid="{503742BB-4681-4A9E-8FCC-9F052C1351A9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333" authorId="28" shapeId="0" xr:uid="{F66B9E7B-0573-4C34-95D2-87D704063A6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334" authorId="29" shapeId="0" xr:uid="{8CC8A2D2-E36D-4C78-AD2D-E406459783E0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356" authorId="30" shapeId="0" xr:uid="{3E2A8CC1-53BD-48DF-B959-6E51300D1102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357" authorId="31" shapeId="0" xr:uid="{1EB2756F-DB7F-456A-8326-5DC00425E60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379" authorId="32" shapeId="0" xr:uid="{DED1E80A-386A-4369-87E6-C01FDCBC83AD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380" authorId="33" shapeId="0" xr:uid="{4F2D89E8-9D59-47CA-A461-8284FCBE2F03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402" authorId="34" shapeId="0" xr:uid="{5C5EE4BB-708C-4469-B4B1-4384B7C13927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403" authorId="35" shapeId="0" xr:uid="{9D85B115-9B7B-4A93-8554-8130CE241B7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  <comment ref="D425" authorId="36" shapeId="0" xr:uid="{33C2EA10-6C90-4B69-AC75-C269EB80771C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Calculated from question 15/16 and 32/33 in the baseline survey</t>
      </text>
    </comment>
    <comment ref="D426" authorId="37" shapeId="0" xr:uid="{B21D8D58-6773-4C84-9860-AEEB64B01E28}">
      <text>
        <t>[Threaded comment]
Your version of Excel allows you to read this threaded comment; however, any edits to it will get removed if the file is opened in a newer version of Excel. Learn more: https://go.microsoft.com/fwlink/?linkid=870924
Comment:
    Calcualted from Project Survey paramters box (Report tab)</t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tc={B70E14DB-37F4-4745-8FBE-74A2DCAEEAEA}</author>
    <author>tc={71FFA592-6F24-4415-8E11-9632B697B431}</author>
    <author>tc={AB846163-3DD1-417B-A218-28671223816D}</author>
    <author>tc={C72D861E-FEF1-4855-ACA4-60B68F975BDA}</author>
    <author>tc={5B3416C8-7943-4A9C-A2D7-B9C8F4E5467F}</author>
  </authors>
  <commentList>
    <comment ref="E8" authorId="0" shapeId="0" xr:uid="{B70E14DB-37F4-4745-8FBE-74A2DCAEEAEA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71FFA592-6F24-4415-8E11-9632B697B431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AB846163-3DD1-417B-A218-28671223816D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C72D861E-FEF1-4855-ACA4-60B68F975BDA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5B3416C8-7943-4A9C-A2D7-B9C8F4E5467F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tc={E23ECCFB-9D61-4E35-B2EC-4C805E88B6EE}</author>
    <author>tc={41A6F072-DCDF-4F06-A8A5-55858ADD0745}</author>
    <author>tc={414A103C-9EA1-498E-9406-0AC915E4E75F}</author>
    <author>tc={C2795FAE-CE19-4E3B-8DD3-48BDB87505CF}</author>
    <author>tc={4C19AB44-053C-45CC-B62D-385F978EC4FD}</author>
  </authors>
  <commentList>
    <comment ref="E8" authorId="0" shapeId="0" xr:uid="{E23ECCFB-9D61-4E35-B2EC-4C805E88B6EE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41A6F072-DCDF-4F06-A8A5-55858ADD0745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414A103C-9EA1-498E-9406-0AC915E4E75F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C2795FAE-CE19-4E3B-8DD3-48BDB87505CF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4C19AB44-053C-45CC-B62D-385F978EC4FD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</author>
  </authors>
  <commentList>
    <comment ref="B9" authorId="0" shapeId="0" xr:uid="{80A5818F-56FE-4473-AA0C-F8C501BC6AB0}">
      <text>
        <r>
          <rPr>
            <b/>
            <sz val="9"/>
            <color indexed="81"/>
            <rFont val="Tahoma"/>
            <family val="2"/>
          </rPr>
          <t>Oscar:</t>
        </r>
        <r>
          <rPr>
            <sz val="9"/>
            <color indexed="81"/>
            <rFont val="Tahoma"/>
            <family val="2"/>
          </rPr>
          <t xml:space="preserve">
9.73 is the uncapped Qp,y value as measured in the Malawi_Phase2_WCFT_MP3 2019.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tc={46C1D31E-8FFD-49EB-A79D-34625A13AA74}</author>
    <author>tc={B7E04E01-07DA-41FD-93ED-4AF9067F689C}</author>
    <author>tc={A5CCB8A7-F724-415B-86D8-2E49B711943D}</author>
  </authors>
  <commentList>
    <comment ref="E8" authorId="0" shapeId="0" xr:uid="{46C1D31E-8FFD-49EB-A79D-34625A13AA74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B7E04E01-07DA-41FD-93ED-4AF9067F689C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A5CCB8A7-F724-415B-86D8-2E49B711943D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tc={BDDBA97F-0D90-4CD0-8A2C-A4ED930E0DC3}</author>
    <author>tc={45B82A65-7BBD-42EA-9914-60D6FE323F95}</author>
    <author>tc={DE9B8E39-3269-4278-B80F-D5EFBA505B6F}</author>
    <author>tc={ED7F9033-ECA3-489F-88C6-7DB6666F633D}</author>
  </authors>
  <commentList>
    <comment ref="E8" authorId="0" shapeId="0" xr:uid="{BDDBA97F-0D90-4CD0-8A2C-A4ED930E0DC3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45B82A65-7BBD-42EA-9914-60D6FE323F95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DE9B8E39-3269-4278-B80F-D5EFBA505B6F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35" authorId="3" shapeId="0" xr:uid="{ED7F9033-ECA3-489F-88C6-7DB6666F633D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tc={6059E980-57DD-4B8C-92FF-85F648C8077E}</author>
    <author>tc={66B78C14-2BB3-4A01-B95E-91F4ABA96DC1}</author>
    <author>tc={E3522788-F251-40F0-A891-8B9153318E26}</author>
    <author>tc={5CE395AC-CE81-4DAB-96D9-4E13B6D66844}</author>
  </authors>
  <commentList>
    <comment ref="E8" authorId="0" shapeId="0" xr:uid="{6059E980-57DD-4B8C-92FF-85F648C8077E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66B78C14-2BB3-4A01-B95E-91F4ABA96DC1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E3522788-F251-40F0-A891-8B9153318E26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35" authorId="3" shapeId="0" xr:uid="{5CE395AC-CE81-4DAB-96D9-4E13B6D66844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tc={831D925E-E4D6-4391-82B3-F981988996C1}</author>
    <author>tc={3E9A266A-3B08-40EF-867A-A4D416766673}</author>
    <author>tc={BFF2FAA6-32F0-42CD-B4F7-F304D4C3941C}</author>
    <author>tc={66799055-7EB8-43D2-AEC6-981297A90627}</author>
    <author>tc={20E9A914-ACE6-4FE6-9D3A-02553BAF43B9}</author>
  </authors>
  <commentList>
    <comment ref="E8" authorId="0" shapeId="0" xr:uid="{831D925E-E4D6-4391-82B3-F981988996C1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3E9A266A-3B08-40EF-867A-A4D416766673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BFF2FAA6-32F0-42CD-B4F7-F304D4C3941C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66799055-7EB8-43D2-AEC6-981297A90627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20E9A914-ACE6-4FE6-9D3A-02553BAF43B9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tc={F7D078C8-4659-48D2-8176-7AA266B9296F}</author>
    <author>tc={68051288-8120-4C01-9DE9-E37703231C3B}</author>
    <author>tc={C9152196-67B7-4696-9315-646BE11B9C6E}</author>
    <author>tc={7FEF542B-6AB3-49E6-8484-92EFE521E6E5}</author>
    <author>tc={C5CF04CD-36A1-4A01-BA2C-F3412DF3EAA1}</author>
  </authors>
  <commentList>
    <comment ref="E8" authorId="0" shapeId="0" xr:uid="{F7D078C8-4659-48D2-8176-7AA266B9296F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68051288-8120-4C01-9DE9-E37703231C3B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C9152196-67B7-4696-9315-646BE11B9C6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7FEF542B-6AB3-49E6-8484-92EFE521E6E5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C5CF04CD-36A1-4A01-BA2C-F3412DF3EAA1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tc={7FA190F9-BBAB-4564-88BF-0B548738DEEF}</author>
    <author>tc={894D1960-B8CC-49A3-A35B-CAB5628C9C3B}</author>
    <author>tc={1847FA4B-6DF9-416E-B9F1-591ED2B46D18}</author>
    <author>tc={70BFDFB5-7FAC-4F86-AD2A-CE670B28D1C8}</author>
    <author>tc={139A460F-2865-4FBB-8295-20D4D8B04D84}</author>
  </authors>
  <commentList>
    <comment ref="E8" authorId="0" shapeId="0" xr:uid="{7FA190F9-BBAB-4564-88BF-0B548738DEEF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894D1960-B8CC-49A3-A35B-CAB5628C9C3B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1847FA4B-6DF9-416E-B9F1-591ED2B46D18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70BFDFB5-7FAC-4F86-AD2A-CE670B28D1C8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139A460F-2865-4FBB-8295-20D4D8B04D84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tc={ED202F62-16CF-4208-A14F-9E26B066CA25}</author>
    <author>tc={B13644E5-7BE0-47F8-ACA0-9C44325CBBA4}</author>
    <author>tc={A3A07BEE-B6F9-4FC2-B1B1-5EAEC472F6B7}</author>
    <author>tc={7F2703E5-FBDE-42F9-96A6-3426A4C01CB1}</author>
    <author>tc={1344CC2B-BE1D-4FCC-9224-BBD5C358CBA4}</author>
  </authors>
  <commentList>
    <comment ref="E8" authorId="0" shapeId="0" xr:uid="{ED202F62-16CF-4208-A14F-9E26B066CA25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10.78</t>
      </text>
    </comment>
    <comment ref="E9" authorId="1" shapeId="0" xr:uid="{B13644E5-7BE0-47F8-ACA0-9C44325CBBA4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16" authorId="2" shapeId="0" xr:uid="{A3A07BEE-B6F9-4FC2-B1B1-5EAEC472F6B7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taken from question 19 and 20 of the project survey, multiplied by Qp,y</t>
      </text>
    </comment>
    <comment ref="E29" authorId="3" shapeId="0" xr:uid="{7F2703E5-FBDE-42F9-96A6-3426A4C01CB1}">
      <text>
        <t>[Threaded comment]
Your version of Excel allows you to read this threaded comment; however, any edits to it will get removed if the file is opened in a newer version of Excel. Learn more: https://go.microsoft.com/fwlink/?linkid=870924
Comment:
    UNCAPPED value 93.91% from the Usage Survey report tab cell C51</t>
      </text>
    </comment>
    <comment ref="E35" authorId="4" shapeId="0" xr:uid="{1344CC2B-BE1D-4FCC-9224-BBD5C358CBA4}">
      <text>
        <t>[Threaded comment]
Your version of Excel allows you to read this threaded comment; however, any edits to it will get removed if the file is opened in a newer version of Excel. Learn more: https://go.microsoft.com/fwlink/?linkid=870924
Comment:
    Taked from the new baseline survey conducted in August 2020 - tab "Report", cell E75</t>
      </text>
    </comment>
  </commentList>
</comments>
</file>

<file path=xl/sharedStrings.xml><?xml version="1.0" encoding="utf-8"?>
<sst xmlns="http://schemas.openxmlformats.org/spreadsheetml/2006/main" count="3758" uniqueCount="699">
  <si>
    <t xml:space="preserve">Emission Reduction Calculation Summary </t>
  </si>
  <si>
    <t>SDG3</t>
  </si>
  <si>
    <t>SDG5</t>
  </si>
  <si>
    <t>SDG6</t>
  </si>
  <si>
    <t>GS ID</t>
  </si>
  <si>
    <t>Baseline Emissions BEp,y</t>
  </si>
  <si>
    <t>Project Emissions PEp,y</t>
  </si>
  <si>
    <t>PTD Total CAPPED</t>
  </si>
  <si>
    <t>ERs 2021 CAPPED</t>
  </si>
  <si>
    <t>Total ERs CAPPED (WBT 0.0004T/l, 300 users, 85.89% usage rate and 95% PTDs):</t>
  </si>
  <si>
    <t>ERs UNCAPPED (up to 10,000 per annum cap)</t>
  </si>
  <si>
    <t xml:space="preserve"> Psafe</t>
  </si>
  <si>
    <t xml:space="preserve"> TR</t>
  </si>
  <si>
    <r>
      <t>P</t>
    </r>
    <r>
      <rPr>
        <b/>
        <vertAlign val="subscript"/>
        <sz val="11"/>
        <color theme="1"/>
        <rFont val="Avenir Book"/>
      </rPr>
      <t>access</t>
    </r>
  </si>
  <si>
    <r>
      <t>P</t>
    </r>
    <r>
      <rPr>
        <b/>
        <vertAlign val="subscript"/>
        <sz val="11"/>
        <color theme="1"/>
        <rFont val="Avenir Book"/>
      </rPr>
      <t>y</t>
    </r>
  </si>
  <si>
    <t>Phase 2</t>
  </si>
  <si>
    <t>GS5329</t>
  </si>
  <si>
    <t>GS5330</t>
  </si>
  <si>
    <t>GS5331</t>
  </si>
  <si>
    <t>GS5332</t>
  </si>
  <si>
    <t>GS5335</t>
  </si>
  <si>
    <t>GS5336</t>
  </si>
  <si>
    <t>GS5337</t>
  </si>
  <si>
    <t>GS5338</t>
  </si>
  <si>
    <t>GS5339</t>
  </si>
  <si>
    <t>GS5340</t>
  </si>
  <si>
    <t>GS5341</t>
  </si>
  <si>
    <t>GS5342</t>
  </si>
  <si>
    <t>GS5343</t>
  </si>
  <si>
    <t>GS5344</t>
  </si>
  <si>
    <t>GS5437</t>
  </si>
  <si>
    <t>GS5438</t>
  </si>
  <si>
    <t>GS5439</t>
  </si>
  <si>
    <t>GS5440</t>
  </si>
  <si>
    <t>GS5441</t>
  </si>
  <si>
    <t xml:space="preserve"> </t>
  </si>
  <si>
    <t>Borehole Database</t>
  </si>
  <si>
    <t>Monitoring period</t>
  </si>
  <si>
    <t>User numbers</t>
  </si>
  <si>
    <t>Borehole ID</t>
  </si>
  <si>
    <t>Borehole Name</t>
  </si>
  <si>
    <t>Village</t>
  </si>
  <si>
    <t>District</t>
  </si>
  <si>
    <t>Latitude</t>
  </si>
  <si>
    <t>Longitude</t>
  </si>
  <si>
    <t>Pump model</t>
  </si>
  <si>
    <t>Mode of use</t>
  </si>
  <si>
    <t>Date of rehabilitation</t>
  </si>
  <si>
    <t>Crediting start date per BH</t>
  </si>
  <si>
    <t>MP Start Date</t>
  </si>
  <si>
    <t xml:space="preserve">MP End date </t>
  </si>
  <si>
    <t>Total user numbers (UNCAPPED)</t>
  </si>
  <si>
    <t>User numbers (CAPPED at 300)</t>
  </si>
  <si>
    <t>Failure Days 2021</t>
  </si>
  <si>
    <t>Days Crediting 2021</t>
  </si>
  <si>
    <t>Total Project Technology Days</t>
  </si>
  <si>
    <t>% Down Time</t>
  </si>
  <si>
    <t>End of Year 2:</t>
  </si>
  <si>
    <t>GS5329 - VPA 91</t>
  </si>
  <si>
    <t>Start of Year 3:</t>
  </si>
  <si>
    <t>UNICEF-001</t>
  </si>
  <si>
    <t>Chiudani</t>
  </si>
  <si>
    <t>Mphunju</t>
  </si>
  <si>
    <t>Dowa</t>
  </si>
  <si>
    <t>Afridev</t>
  </si>
  <si>
    <t>Domestic</t>
  </si>
  <si>
    <t>UNICEF-002</t>
  </si>
  <si>
    <t>Chilawo</t>
  </si>
  <si>
    <t>UNICEF-003</t>
  </si>
  <si>
    <t>Mtumbati</t>
  </si>
  <si>
    <t>Kasuntha</t>
  </si>
  <si>
    <t>UNICEF-004</t>
  </si>
  <si>
    <t>Chapatuka</t>
  </si>
  <si>
    <t>Mafunthe</t>
  </si>
  <si>
    <t>UNICEF-005</t>
  </si>
  <si>
    <t>Bvunguti</t>
  </si>
  <si>
    <t>Vunguti</t>
  </si>
  <si>
    <t>UNICEF-006</t>
  </si>
  <si>
    <t>Tobiasi</t>
  </si>
  <si>
    <t>Chalinda</t>
  </si>
  <si>
    <t>UNICEF-007</t>
  </si>
  <si>
    <t>Sicho</t>
  </si>
  <si>
    <t>Mchoka</t>
  </si>
  <si>
    <t>UNICEF-009</t>
  </si>
  <si>
    <t>Manondo</t>
  </si>
  <si>
    <t>UNICEF-013</t>
  </si>
  <si>
    <t>Simenti</t>
  </si>
  <si>
    <t>GS5330 - VPA 92</t>
  </si>
  <si>
    <t>UNICEF-008</t>
  </si>
  <si>
    <t>Katupa</t>
  </si>
  <si>
    <t>Chimbalu</t>
  </si>
  <si>
    <t>UNICEF-010</t>
  </si>
  <si>
    <t>Malayina</t>
  </si>
  <si>
    <t>UNICEF-011</t>
  </si>
  <si>
    <t>Chima</t>
  </si>
  <si>
    <t>Katepa</t>
  </si>
  <si>
    <t>UNICEF-012</t>
  </si>
  <si>
    <t>Lemani</t>
  </si>
  <si>
    <t>Kaundu</t>
  </si>
  <si>
    <t>UNICEF-015</t>
  </si>
  <si>
    <t>Bango</t>
  </si>
  <si>
    <t>Chimanga</t>
  </si>
  <si>
    <t>UNICEF-016</t>
  </si>
  <si>
    <t>Chipeni</t>
  </si>
  <si>
    <t>UNICEF-017</t>
  </si>
  <si>
    <t>Malanda</t>
  </si>
  <si>
    <t>Chidekwende</t>
  </si>
  <si>
    <t>UNICEF-022</t>
  </si>
  <si>
    <t>Million</t>
  </si>
  <si>
    <t>Tsankanga</t>
  </si>
  <si>
    <t>GS5331 - VPA 93</t>
  </si>
  <si>
    <t>UNICEF-014</t>
  </si>
  <si>
    <t>Salamba</t>
  </si>
  <si>
    <t>Thom</t>
  </si>
  <si>
    <t>UNICEF-018</t>
  </si>
  <si>
    <t>Kaning'a</t>
  </si>
  <si>
    <t>UNICEF-019</t>
  </si>
  <si>
    <t>Chizinga</t>
  </si>
  <si>
    <t>Kasamba</t>
  </si>
  <si>
    <t>UNICEF-020</t>
  </si>
  <si>
    <t>Moses/Chibisa</t>
  </si>
  <si>
    <t>Moses</t>
  </si>
  <si>
    <t>UNICEF-021</t>
  </si>
  <si>
    <t>Chalemera</t>
  </si>
  <si>
    <t>Kamkwanda</t>
  </si>
  <si>
    <t>UNICEF-023</t>
  </si>
  <si>
    <t>Msampha</t>
  </si>
  <si>
    <t>UNICEF-024</t>
  </si>
  <si>
    <t>Mpozela</t>
  </si>
  <si>
    <t>Sangambe</t>
  </si>
  <si>
    <t>UNICEF-025</t>
  </si>
  <si>
    <t>Master</t>
  </si>
  <si>
    <t>Nkandwe</t>
  </si>
  <si>
    <t>UNICEF-027</t>
  </si>
  <si>
    <t>Chilawo Kanjinga</t>
  </si>
  <si>
    <t>Chilawo/Kanjinga</t>
  </si>
  <si>
    <t>UNICEF-039</t>
  </si>
  <si>
    <t>Msiyakulima</t>
  </si>
  <si>
    <t>GS5332 - VPA 94</t>
  </si>
  <si>
    <t>UNICEF-026</t>
  </si>
  <si>
    <t>Chitwala</t>
  </si>
  <si>
    <t>UNICEF-028</t>
  </si>
  <si>
    <t>Chawantha</t>
  </si>
  <si>
    <t>UNICEF-037</t>
  </si>
  <si>
    <t>Chipuni</t>
  </si>
  <si>
    <t>Kankanda</t>
  </si>
  <si>
    <t>UNICEF-045</t>
  </si>
  <si>
    <t>Dziko</t>
  </si>
  <si>
    <t>UNICEF-053</t>
  </si>
  <si>
    <t>Mtende</t>
  </si>
  <si>
    <t>Madziada</t>
  </si>
  <si>
    <t>UNICEF-057</t>
  </si>
  <si>
    <t>Katukumuka</t>
  </si>
  <si>
    <t>UNICEF-062</t>
  </si>
  <si>
    <t>Mbende</t>
  </si>
  <si>
    <t>UNICEF-064</t>
  </si>
  <si>
    <t>Sambani</t>
  </si>
  <si>
    <t>Inje 1</t>
  </si>
  <si>
    <t>GS5335 - VPA 95</t>
  </si>
  <si>
    <t>UNICEF-048</t>
  </si>
  <si>
    <t>Kaulimbo</t>
  </si>
  <si>
    <t>Chinkhwiri</t>
  </si>
  <si>
    <t>UNICEF-049</t>
  </si>
  <si>
    <t>Nalandwa</t>
  </si>
  <si>
    <t>Katondo</t>
  </si>
  <si>
    <t>UNICEF-063</t>
  </si>
  <si>
    <t>Chipindi</t>
  </si>
  <si>
    <t>UNICEF-065</t>
  </si>
  <si>
    <t>Buza</t>
  </si>
  <si>
    <t xml:space="preserve">Tengeza </t>
  </si>
  <si>
    <t>UNICEF-066</t>
  </si>
  <si>
    <t>Mtengeza</t>
  </si>
  <si>
    <t>UNICEF-067</t>
  </si>
  <si>
    <t>Mphambanya</t>
  </si>
  <si>
    <t>Mphinda</t>
  </si>
  <si>
    <t>UNICEF-068</t>
  </si>
  <si>
    <t>Malabada</t>
  </si>
  <si>
    <t>Chideza</t>
  </si>
  <si>
    <t>UNICEF-069</t>
  </si>
  <si>
    <t>Chikalera</t>
  </si>
  <si>
    <t>Chiuswa</t>
  </si>
  <si>
    <t>UNICEF-070</t>
  </si>
  <si>
    <t>Msangwa</t>
  </si>
  <si>
    <t>UNICEF-073</t>
  </si>
  <si>
    <t>Malangwasila</t>
  </si>
  <si>
    <t>Malangwasira</t>
  </si>
  <si>
    <t>GS5336 - VPA 96</t>
  </si>
  <si>
    <t>UNICEF-074</t>
  </si>
  <si>
    <t>Lunda</t>
  </si>
  <si>
    <t>UNICEF-075</t>
  </si>
  <si>
    <t>Mkombe</t>
  </si>
  <si>
    <t>UNICEF-076</t>
  </si>
  <si>
    <t>Kaponda</t>
  </si>
  <si>
    <t>Chilenda</t>
  </si>
  <si>
    <t>UNICEF-078</t>
  </si>
  <si>
    <t>Chikhambi</t>
  </si>
  <si>
    <t>UNICEF-079</t>
  </si>
  <si>
    <t>Mkhwinda</t>
  </si>
  <si>
    <t>Chulu</t>
  </si>
  <si>
    <t>UNICEF-080</t>
  </si>
  <si>
    <t>Mkotamo</t>
  </si>
  <si>
    <t>Katontha</t>
  </si>
  <si>
    <t>UNICEF-081</t>
  </si>
  <si>
    <t>Mkwachale</t>
  </si>
  <si>
    <t>Kamathu</t>
  </si>
  <si>
    <t>UNICEF-082</t>
  </si>
  <si>
    <t>Nyankhwaya</t>
  </si>
  <si>
    <t>Wamba</t>
  </si>
  <si>
    <t>GS5337 - VPA 97</t>
  </si>
  <si>
    <t>UNICEF-071</t>
  </si>
  <si>
    <t>Tsilizani</t>
  </si>
  <si>
    <t>Mwachiswa</t>
  </si>
  <si>
    <t>UNICEF-072</t>
  </si>
  <si>
    <t>Mpotela</t>
  </si>
  <si>
    <t>UNICEF-077</t>
  </si>
  <si>
    <t>Chakuwawa</t>
  </si>
  <si>
    <t>Karonga</t>
  </si>
  <si>
    <t>UNICEF-083</t>
  </si>
  <si>
    <t>Psyontha</t>
  </si>
  <si>
    <t xml:space="preserve">Mkhwinda </t>
  </si>
  <si>
    <t>UNICEF-084</t>
  </si>
  <si>
    <t>Chinyelenyele</t>
  </si>
  <si>
    <t>UNICEF-085</t>
  </si>
  <si>
    <t>Katema</t>
  </si>
  <si>
    <t>Nambela</t>
  </si>
  <si>
    <t>UNICEF-086</t>
  </si>
  <si>
    <t>Josamu</t>
  </si>
  <si>
    <t>UNICEF-087</t>
  </si>
  <si>
    <t>Chimpeni</t>
  </si>
  <si>
    <t>Tchesa</t>
  </si>
  <si>
    <t>UNICEF-088</t>
  </si>
  <si>
    <t>Chibwana</t>
  </si>
  <si>
    <t>UNICEF-091</t>
  </si>
  <si>
    <t>Chiponda</t>
  </si>
  <si>
    <t>GS5338 - VPA 98</t>
  </si>
  <si>
    <t>UNICEF-089</t>
  </si>
  <si>
    <t>Jerenje</t>
  </si>
  <si>
    <t xml:space="preserve">Nkhunga </t>
  </si>
  <si>
    <t>UNICEF-090</t>
  </si>
  <si>
    <t>Mbwelera</t>
  </si>
  <si>
    <t>UNICEF-092</t>
  </si>
  <si>
    <t>Kankhumbwa</t>
  </si>
  <si>
    <t>UNICEF-093</t>
  </si>
  <si>
    <t>Mgoli</t>
  </si>
  <si>
    <t>Kalinde</t>
  </si>
  <si>
    <t>UNICEF-094</t>
  </si>
  <si>
    <t>Sintala</t>
  </si>
  <si>
    <t>UNICEF-095</t>
  </si>
  <si>
    <t>Mbewa Kachere</t>
  </si>
  <si>
    <t>Salakunja</t>
  </si>
  <si>
    <t>UNICEF-096</t>
  </si>
  <si>
    <t>Guma</t>
  </si>
  <si>
    <t>Chimombo</t>
  </si>
  <si>
    <t>UNICEF-097</t>
  </si>
  <si>
    <t>Mbuwa</t>
  </si>
  <si>
    <t>Kamanga</t>
  </si>
  <si>
    <t>UNICEF-098</t>
  </si>
  <si>
    <t>Bvulabango</t>
  </si>
  <si>
    <t>Kachila</t>
  </si>
  <si>
    <t>UNICEF-099</t>
  </si>
  <si>
    <t>Nyirazafa</t>
  </si>
  <si>
    <t>UNICEF-101</t>
  </si>
  <si>
    <t>Nkhosano Chifupa</t>
  </si>
  <si>
    <t>Chimugu</t>
  </si>
  <si>
    <t>UNICEF-105</t>
  </si>
  <si>
    <t>Jotani</t>
  </si>
  <si>
    <t>Kapiseni</t>
  </si>
  <si>
    <t>GS5339 - VPA 99</t>
  </si>
  <si>
    <t>UNICEF-029</t>
  </si>
  <si>
    <t>Chankhawuta</t>
  </si>
  <si>
    <t>mkwantha</t>
  </si>
  <si>
    <t>Kasungu</t>
  </si>
  <si>
    <t>UNICEF-030</t>
  </si>
  <si>
    <t>Mphembedzu</t>
  </si>
  <si>
    <t>Zikhole</t>
  </si>
  <si>
    <t>UNICEF-032</t>
  </si>
  <si>
    <t>Chisuku II</t>
  </si>
  <si>
    <t>Chidongo</t>
  </si>
  <si>
    <t>UNICEF-033</t>
  </si>
  <si>
    <t>Kalemba-Jasi</t>
  </si>
  <si>
    <t>kachenje</t>
  </si>
  <si>
    <t>UNICEF-034</t>
  </si>
  <si>
    <t>Kambala</t>
  </si>
  <si>
    <t>kambala</t>
  </si>
  <si>
    <t>UNICEF-035</t>
  </si>
  <si>
    <t>Sanikonda</t>
  </si>
  <si>
    <t>kawamba mwale</t>
  </si>
  <si>
    <t>UNICEF-038</t>
  </si>
  <si>
    <t>Kamphako</t>
  </si>
  <si>
    <t>UNICEF-040</t>
  </si>
  <si>
    <t>Kaomba</t>
  </si>
  <si>
    <t>Saiko</t>
  </si>
  <si>
    <t>UNICEF-041</t>
  </si>
  <si>
    <t>Gwawa</t>
  </si>
  <si>
    <t>UNICEF-050</t>
  </si>
  <si>
    <t>Mtelezi</t>
  </si>
  <si>
    <t>Mphonde</t>
  </si>
  <si>
    <t>UNICEF-054</t>
  </si>
  <si>
    <t>Dyuku</t>
  </si>
  <si>
    <t>UNICEF-055</t>
  </si>
  <si>
    <t>Kwamdera</t>
  </si>
  <si>
    <t>GS5340 - VPA 100</t>
  </si>
  <si>
    <t>UNICEF-031</t>
  </si>
  <si>
    <t>Jozeki</t>
  </si>
  <si>
    <t>UNICEF-036</t>
  </si>
  <si>
    <t>Sungani</t>
  </si>
  <si>
    <t>kawamba misozi</t>
  </si>
  <si>
    <t>UNICEF-042</t>
  </si>
  <si>
    <t>Kapsyala</t>
  </si>
  <si>
    <t>Kapyala</t>
  </si>
  <si>
    <t>UNICEF-043</t>
  </si>
  <si>
    <t>Mataya</t>
  </si>
  <si>
    <t>UNICEF-044</t>
  </si>
  <si>
    <t>shemu</t>
  </si>
  <si>
    <t>UNICEF-046</t>
  </si>
  <si>
    <t>Mkakatanji</t>
  </si>
  <si>
    <t>chimchenga</t>
  </si>
  <si>
    <t>UNICEF-047</t>
  </si>
  <si>
    <t>Ngoma/ Ntchentche</t>
  </si>
  <si>
    <t>Ngoma</t>
  </si>
  <si>
    <t>UNICEF-051</t>
  </si>
  <si>
    <t>Mikule</t>
  </si>
  <si>
    <t>Kamtimbo</t>
  </si>
  <si>
    <t>UNICEF-052</t>
  </si>
  <si>
    <t>Mnjemu / Kawata</t>
  </si>
  <si>
    <t>Mnjemu</t>
  </si>
  <si>
    <t>UNICEF-056</t>
  </si>
  <si>
    <t>Chilembwe</t>
  </si>
  <si>
    <t>Kalimira</t>
  </si>
  <si>
    <t>UNICEF-058</t>
  </si>
  <si>
    <t>Bimphi</t>
  </si>
  <si>
    <t>chipozinkhono</t>
  </si>
  <si>
    <t>UNICEF-059</t>
  </si>
  <si>
    <t>Mpalata</t>
  </si>
  <si>
    <t>Ndaula</t>
  </si>
  <si>
    <t>UNICEF-060</t>
  </si>
  <si>
    <t>Lumbani</t>
  </si>
  <si>
    <t>Kamtengo</t>
  </si>
  <si>
    <t>UNICEF-061</t>
  </si>
  <si>
    <t>Sikelo</t>
  </si>
  <si>
    <t>GS5341 - VPA 101</t>
  </si>
  <si>
    <t>UNICEF-110</t>
  </si>
  <si>
    <t>Chambwe</t>
  </si>
  <si>
    <t>nkhondwera</t>
  </si>
  <si>
    <t>UNICEF-111</t>
  </si>
  <si>
    <t>Mgwedeza</t>
  </si>
  <si>
    <t>UNICEF-119</t>
  </si>
  <si>
    <t>Msamba</t>
  </si>
  <si>
    <t>leza</t>
  </si>
  <si>
    <t>UNICEF-120</t>
  </si>
  <si>
    <t>Thawale</t>
  </si>
  <si>
    <t>UNICEF-121</t>
  </si>
  <si>
    <t>Chambalekani</t>
  </si>
  <si>
    <t>UNICEF-122</t>
  </si>
  <si>
    <t>Nkhoma Katete</t>
  </si>
  <si>
    <t>Nkhomakatete</t>
  </si>
  <si>
    <t>UNICEF-123</t>
  </si>
  <si>
    <t>Kalundi</t>
  </si>
  <si>
    <t>UNICEF-124</t>
  </si>
  <si>
    <t>Chiwambe</t>
  </si>
  <si>
    <t>UNICEF-125</t>
  </si>
  <si>
    <t>Kambwera</t>
  </si>
  <si>
    <t>UNICEF-126</t>
  </si>
  <si>
    <t>Vinthenga</t>
  </si>
  <si>
    <t>UNICEF-127</t>
  </si>
  <si>
    <t>Msulu</t>
  </si>
  <si>
    <t>UNICEF-128</t>
  </si>
  <si>
    <t>Chimtengo</t>
  </si>
  <si>
    <t xml:space="preserve">Chiuzyeni </t>
  </si>
  <si>
    <t>UNICEF-129</t>
  </si>
  <si>
    <t>Kalima</t>
  </si>
  <si>
    <t>chakhala</t>
  </si>
  <si>
    <t>GS5342 - VPA 102</t>
  </si>
  <si>
    <t>UNICEF-130</t>
  </si>
  <si>
    <t>Mcheleka</t>
  </si>
  <si>
    <t>UNICEF-132</t>
  </si>
  <si>
    <t>Mikodo</t>
  </si>
  <si>
    <t>kasakula</t>
  </si>
  <si>
    <t>UNICEF-133</t>
  </si>
  <si>
    <t>Zifo</t>
  </si>
  <si>
    <t>kankhumbwa</t>
  </si>
  <si>
    <t>UNICEF-134</t>
  </si>
  <si>
    <t>Chinkhande</t>
  </si>
  <si>
    <t>Chomola</t>
  </si>
  <si>
    <t>UNICEF-136</t>
  </si>
  <si>
    <t>Kabibi 2</t>
  </si>
  <si>
    <t>Chakhala</t>
  </si>
  <si>
    <t>UNICEF-137</t>
  </si>
  <si>
    <t>Kawinga</t>
  </si>
  <si>
    <t>UNICEF-138</t>
  </si>
  <si>
    <t>Pundu Kabibi</t>
  </si>
  <si>
    <t>UNICEF-142</t>
  </si>
  <si>
    <t>Lembanyanja</t>
  </si>
  <si>
    <t>Kwindani</t>
  </si>
  <si>
    <t>UNICEF-144</t>
  </si>
  <si>
    <t>Chikukula</t>
  </si>
  <si>
    <t>UNICEF-145</t>
  </si>
  <si>
    <t>Chipaza</t>
  </si>
  <si>
    <t>Selenje</t>
  </si>
  <si>
    <t>UNICEF-147</t>
  </si>
  <si>
    <t>Chinyengo</t>
  </si>
  <si>
    <t>Mkwesa</t>
  </si>
  <si>
    <t>UNICEF-155</t>
  </si>
  <si>
    <t>Sendeza</t>
  </si>
  <si>
    <t>Malepera</t>
  </si>
  <si>
    <t>GS5343 - VPA 103</t>
  </si>
  <si>
    <t>UNICEF-146</t>
  </si>
  <si>
    <t>Kasichi</t>
  </si>
  <si>
    <t>chidelezi</t>
  </si>
  <si>
    <t>UNICEF-148</t>
  </si>
  <si>
    <t>Kapiri</t>
  </si>
  <si>
    <t>kapiri</t>
  </si>
  <si>
    <t>UNICEF-149</t>
  </si>
  <si>
    <t>Gideon</t>
  </si>
  <si>
    <t>Gedion</t>
  </si>
  <si>
    <t>UNICEF-151</t>
  </si>
  <si>
    <t>Kaputwa</t>
  </si>
  <si>
    <t>Katupwa</t>
  </si>
  <si>
    <t>UNICEF-152</t>
  </si>
  <si>
    <t>Kapwata 2</t>
  </si>
  <si>
    <t>kawambamisozi</t>
  </si>
  <si>
    <t>UNICEF-153</t>
  </si>
  <si>
    <t>Munye Madzi</t>
  </si>
  <si>
    <t>Munyemadzi</t>
  </si>
  <si>
    <t>UNICEF-156</t>
  </si>
  <si>
    <t>Mwenda</t>
  </si>
  <si>
    <t>Diwala</t>
  </si>
  <si>
    <t>UNICEF-160</t>
  </si>
  <si>
    <t>Chiphaliwali</t>
  </si>
  <si>
    <t>Makanda</t>
  </si>
  <si>
    <t>UNICEF-161</t>
  </si>
  <si>
    <t>Kateme/Yonamu</t>
  </si>
  <si>
    <t>UNICEF-162</t>
  </si>
  <si>
    <t>Simoni</t>
  </si>
  <si>
    <t>Kawamba</t>
  </si>
  <si>
    <t>UNICEF-164</t>
  </si>
  <si>
    <t>Chilaka</t>
  </si>
  <si>
    <t>Wanyala</t>
  </si>
  <si>
    <t>UNICEF-165</t>
  </si>
  <si>
    <t>Jeputala</t>
  </si>
  <si>
    <t>Chingaipe</t>
  </si>
  <si>
    <t>UNICEF-166</t>
  </si>
  <si>
    <t>Lufeyo</t>
  </si>
  <si>
    <t>Kameta</t>
  </si>
  <si>
    <t>GS5344 - VPA 104</t>
  </si>
  <si>
    <t>UNICEF-167</t>
  </si>
  <si>
    <t>Masinjang`ombe</t>
  </si>
  <si>
    <t>mnkhoma</t>
  </si>
  <si>
    <t>UNICEF-168</t>
  </si>
  <si>
    <t>Misika</t>
  </si>
  <si>
    <t>Kasanduliza</t>
  </si>
  <si>
    <t>UNICEF-170</t>
  </si>
  <si>
    <t>Kantchele / Katchere</t>
  </si>
  <si>
    <t>mndewe</t>
  </si>
  <si>
    <t>UNICEF-171</t>
  </si>
  <si>
    <t>Kunkhulire</t>
  </si>
  <si>
    <t>sakala</t>
  </si>
  <si>
    <t>UNICEF-172</t>
  </si>
  <si>
    <t>Matatiyo</t>
  </si>
  <si>
    <t>Chisamba</t>
  </si>
  <si>
    <t>UNICEF-174</t>
  </si>
  <si>
    <t>Chimwendo</t>
  </si>
  <si>
    <t>Mndewe</t>
  </si>
  <si>
    <t>UNICEF-176</t>
  </si>
  <si>
    <t>Chiunguza</t>
  </si>
  <si>
    <t>Mkhota</t>
  </si>
  <si>
    <t>UNICEF-177</t>
  </si>
  <si>
    <t>Lodzeni/Lozani</t>
  </si>
  <si>
    <t>Kapeta</t>
  </si>
  <si>
    <t>UNICEF-178</t>
  </si>
  <si>
    <t>Mndawirako</t>
  </si>
  <si>
    <t>UNICEF-179</t>
  </si>
  <si>
    <t>Dunda</t>
  </si>
  <si>
    <t>UNICEF-181</t>
  </si>
  <si>
    <t>Chikoti</t>
  </si>
  <si>
    <t>Chiyenda</t>
  </si>
  <si>
    <t>GS5437 - VPA 112</t>
  </si>
  <si>
    <t>UNICEF-100</t>
  </si>
  <si>
    <t>Mkwapukwa</t>
  </si>
  <si>
    <t>UNICEF-102</t>
  </si>
  <si>
    <t>Chinsewu</t>
  </si>
  <si>
    <t>Mandaliza</t>
  </si>
  <si>
    <t>UNICEF-103</t>
  </si>
  <si>
    <t>Kamphinda</t>
  </si>
  <si>
    <t>UNICEF-104</t>
  </si>
  <si>
    <t>Kangulu</t>
  </si>
  <si>
    <t>Kanyangala</t>
  </si>
  <si>
    <t>UNICEF-106</t>
  </si>
  <si>
    <t>Chimfuti</t>
  </si>
  <si>
    <t>UNICEF-109</t>
  </si>
  <si>
    <t>Sumayili</t>
  </si>
  <si>
    <t>UNICEF-113</t>
  </si>
  <si>
    <t>Pemba</t>
  </si>
  <si>
    <t>GS5438 - VPA 113</t>
  </si>
  <si>
    <t>UNICEF-107</t>
  </si>
  <si>
    <t xml:space="preserve">Mbingwa </t>
  </si>
  <si>
    <t>Mbingwa</t>
  </si>
  <si>
    <t>UNICEF-108</t>
  </si>
  <si>
    <t>Chilemba</t>
  </si>
  <si>
    <t>Mtiopsa</t>
  </si>
  <si>
    <t>UNICEF-112</t>
  </si>
  <si>
    <t>Mashatira</t>
  </si>
  <si>
    <t>UNICEF-114</t>
  </si>
  <si>
    <t>UNICEF-115</t>
  </si>
  <si>
    <t>Mmelo</t>
  </si>
  <si>
    <t>UNICEF-116</t>
  </si>
  <si>
    <t>Manthepa</t>
  </si>
  <si>
    <t>UNICEF-117</t>
  </si>
  <si>
    <t>Tumbi</t>
  </si>
  <si>
    <t>Chinganyama</t>
  </si>
  <si>
    <t>UNICEF-118</t>
  </si>
  <si>
    <t>Chikavumbwa</t>
  </si>
  <si>
    <t>Moyo</t>
  </si>
  <si>
    <t>UNICEF-143</t>
  </si>
  <si>
    <t>Chikamphula / Nthunthumule</t>
  </si>
  <si>
    <t>Chikamphula</t>
  </si>
  <si>
    <t>GS5439 - VPA 114</t>
  </si>
  <si>
    <t>UNICEF-131</t>
  </si>
  <si>
    <t>Makombwa 2</t>
  </si>
  <si>
    <t>Makombwa</t>
  </si>
  <si>
    <t>UNICEF-135</t>
  </si>
  <si>
    <t>Mndinde</t>
  </si>
  <si>
    <t>Chimaba</t>
  </si>
  <si>
    <t>UNICEF-139</t>
  </si>
  <si>
    <t>Kamkwiyo</t>
  </si>
  <si>
    <t>UNICEF-140</t>
  </si>
  <si>
    <t>Kadzimete</t>
  </si>
  <si>
    <t>Makalani</t>
  </si>
  <si>
    <t>UNICEF-141</t>
  </si>
  <si>
    <t>Chikadza</t>
  </si>
  <si>
    <t>UNICEF-150</t>
  </si>
  <si>
    <t>Shadreck</t>
  </si>
  <si>
    <t>UNICEF-154</t>
  </si>
  <si>
    <t>Kalimbira</t>
  </si>
  <si>
    <t>UNICEF-173</t>
  </si>
  <si>
    <t>Gumulira</t>
  </si>
  <si>
    <t>Chiwmwendo</t>
  </si>
  <si>
    <t>UNICEF-175</t>
  </si>
  <si>
    <t>Malumbila</t>
  </si>
  <si>
    <t>Kalimbila</t>
  </si>
  <si>
    <t>GS5440 - VPA 115</t>
  </si>
  <si>
    <t>UNICEF-157</t>
  </si>
  <si>
    <t>Milimbu</t>
  </si>
  <si>
    <t>Chikwawe</t>
  </si>
  <si>
    <t>UNICEF-158</t>
  </si>
  <si>
    <t xml:space="preserve">Nakutepa </t>
  </si>
  <si>
    <t>Nakutepa</t>
  </si>
  <si>
    <t>UNICEF-159</t>
  </si>
  <si>
    <t>Kanzingeni</t>
  </si>
  <si>
    <t>Kabwabwa</t>
  </si>
  <si>
    <t>UNICEF-163</t>
  </si>
  <si>
    <t>Kapudzula/Kapale</t>
  </si>
  <si>
    <t>Chikwangula</t>
  </si>
  <si>
    <t>UNICEF-169</t>
  </si>
  <si>
    <t>Faifi / Five</t>
  </si>
  <si>
    <t>UNICEF-180</t>
  </si>
  <si>
    <t>Tembwe</t>
  </si>
  <si>
    <t>Zimwanda</t>
  </si>
  <si>
    <t>UNICEF-184</t>
  </si>
  <si>
    <t>Sapeya Gude</t>
  </si>
  <si>
    <t>UNICEF-187</t>
  </si>
  <si>
    <t>Chisanja</t>
  </si>
  <si>
    <t>GS5441 - VPA 116</t>
  </si>
  <si>
    <t>UNICEF-182</t>
  </si>
  <si>
    <t>Julayi</t>
  </si>
  <si>
    <t>UNICEF-183</t>
  </si>
  <si>
    <t>Mbetayasamba</t>
  </si>
  <si>
    <t>UNICEF-185</t>
  </si>
  <si>
    <t>Msuzumile</t>
  </si>
  <si>
    <t>UNICEF-186</t>
  </si>
  <si>
    <t>Nkhandwe</t>
  </si>
  <si>
    <t>UNICEF-188</t>
  </si>
  <si>
    <t>Goma</t>
  </si>
  <si>
    <t>UNICEF-189</t>
  </si>
  <si>
    <t>Mayani</t>
  </si>
  <si>
    <t>UNICEF-190</t>
  </si>
  <si>
    <t>Khwanya / Nkhwanya</t>
  </si>
  <si>
    <t>SDG 3 Good Health and Well-Being</t>
  </si>
  <si>
    <t>Parameter</t>
  </si>
  <si>
    <t>Description</t>
  </si>
  <si>
    <t>Value</t>
  </si>
  <si>
    <t>Unit</t>
  </si>
  <si>
    <r>
      <t>P</t>
    </r>
    <r>
      <rPr>
        <vertAlign val="subscript"/>
        <sz val="11"/>
        <color theme="1"/>
        <rFont val="Avenir Book"/>
      </rPr>
      <t>y</t>
    </r>
  </si>
  <si>
    <t xml:space="preserve">Number of persons having access to safe water in the project activity. </t>
  </si>
  <si>
    <r>
      <t>C</t>
    </r>
    <r>
      <rPr>
        <vertAlign val="subscript"/>
        <sz val="11"/>
        <color theme="1"/>
        <rFont val="Avenir Book"/>
      </rPr>
      <t>j</t>
    </r>
  </si>
  <si>
    <t>Expressed as a percentage, the portion of users of the project technology j who in the baseline were already consuming safe water without boiling it.</t>
  </si>
  <si>
    <t>%</t>
  </si>
  <si>
    <r>
      <t>P</t>
    </r>
    <r>
      <rPr>
        <vertAlign val="subscript"/>
        <sz val="11"/>
        <color theme="1"/>
        <rFont val="Avenir Book"/>
      </rPr>
      <t>b, boil</t>
    </r>
    <r>
      <rPr>
        <sz val="11"/>
        <color theme="1"/>
        <rFont val="Avenir Book"/>
      </rPr>
      <t xml:space="preserve"> </t>
    </r>
  </si>
  <si>
    <t>Percentage of persons boiling water for purification in the baseline scenario.</t>
  </si>
  <si>
    <r>
      <t>P</t>
    </r>
    <r>
      <rPr>
        <vertAlign val="subscript"/>
        <sz val="11"/>
        <color theme="1"/>
        <rFont val="Avenir Book"/>
      </rPr>
      <t>safe</t>
    </r>
  </si>
  <si>
    <t xml:space="preserve">Number of additional persons consuming safe water in the project activity compared to the baseline scenario. </t>
  </si>
  <si>
    <t>SDG 5 Gender Equality</t>
  </si>
  <si>
    <t>Total time collecting water per week (hrs)</t>
  </si>
  <si>
    <t>Total time collecting fuel per week (hrs)</t>
  </si>
  <si>
    <t>Total time collecting water &amp; fuel per week (hrs)</t>
  </si>
  <si>
    <t>Total time collecting water &amp; fuel per week (minutes)</t>
  </si>
  <si>
    <t>Total time collecting water &amp; fuel per day (minutes)</t>
  </si>
  <si>
    <r>
      <t>T</t>
    </r>
    <r>
      <rPr>
        <vertAlign val="subscript"/>
        <sz val="11"/>
        <color theme="1"/>
        <rFont val="Calibri"/>
        <family val="2"/>
        <scheme val="minor"/>
      </rPr>
      <t>b,y</t>
    </r>
  </si>
  <si>
    <t xml:space="preserve">Baseline time spent collecting water and fuel per household per day </t>
  </si>
  <si>
    <t>min</t>
  </si>
  <si>
    <r>
      <t>T</t>
    </r>
    <r>
      <rPr>
        <vertAlign val="subscript"/>
        <sz val="11"/>
        <color theme="1"/>
        <rFont val="Calibri"/>
        <family val="2"/>
        <scheme val="minor"/>
      </rPr>
      <t>p,y</t>
    </r>
  </si>
  <si>
    <t xml:space="preserve">Project time spent collecting water and fuel per household per day </t>
  </si>
  <si>
    <r>
      <t>TR</t>
    </r>
    <r>
      <rPr>
        <vertAlign val="subscript"/>
        <sz val="11"/>
        <color theme="1"/>
        <rFont val="Calibri"/>
        <family val="2"/>
        <scheme val="minor"/>
      </rPr>
      <t>y</t>
    </r>
  </si>
  <si>
    <t xml:space="preserve">Total reduction time spent collecting water and fuel for project activity in year y </t>
  </si>
  <si>
    <t>SDG 6 Clean Water and Sanitation</t>
  </si>
  <si>
    <r>
      <t>U</t>
    </r>
    <r>
      <rPr>
        <vertAlign val="subscript"/>
        <sz val="11"/>
        <color theme="1"/>
        <rFont val="Avenir Book"/>
      </rPr>
      <t>p,y</t>
    </r>
  </si>
  <si>
    <r>
      <t>Usage rate in project scenario p during</t>
    </r>
    <r>
      <rPr>
        <vertAlign val="sub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year y</t>
    </r>
  </si>
  <si>
    <r>
      <t>P</t>
    </r>
    <r>
      <rPr>
        <vertAlign val="subscript"/>
        <sz val="11"/>
        <color theme="1"/>
        <rFont val="Avenir Book"/>
      </rPr>
      <t>access</t>
    </r>
  </si>
  <si>
    <t xml:space="preserve">Number of additional persons having access to safe water in the project activity compared to the baseline scenario. </t>
  </si>
  <si>
    <t>SDG 13 Climate Action</t>
  </si>
  <si>
    <t xml:space="preserve">Emission Reductions </t>
  </si>
  <si>
    <t xml:space="preserve">Tonnes of Carbon Dioxide equivalent </t>
  </si>
  <si>
    <t>tCO2-e/y</t>
  </si>
  <si>
    <t>GS5331 - VPA93</t>
  </si>
  <si>
    <t>GS5332 - VPA94</t>
  </si>
  <si>
    <t>GS5335 - VPA95</t>
  </si>
  <si>
    <t>GS5336 - VPA96</t>
  </si>
  <si>
    <t>GS5337 - VPA97</t>
  </si>
  <si>
    <t>GS5338 - VPA98</t>
  </si>
  <si>
    <t>GS5339 - VPA99</t>
  </si>
  <si>
    <t>GS5340 - VPA100</t>
  </si>
  <si>
    <t>GS5341 - VPA101</t>
  </si>
  <si>
    <t>GS5342 - VPA102</t>
  </si>
  <si>
    <t>GS5343 - VPA103</t>
  </si>
  <si>
    <t>GS5344 - VPA104</t>
  </si>
  <si>
    <t>GS5437 - VPA112</t>
  </si>
  <si>
    <t>GS5438 - VPA113</t>
  </si>
  <si>
    <t>GS5439 - VPA114</t>
  </si>
  <si>
    <t>GS5440 - VPA115</t>
  </si>
  <si>
    <t>GS5441 - VPA116</t>
  </si>
  <si>
    <t>Methodology:    TPDDTEC v1.0</t>
  </si>
  <si>
    <t>Total Emission Reductions for Monitoring Period 5: 01/01/2021 - 31/12/2021</t>
  </si>
  <si>
    <t>Baseline Fuel Use (Bby)</t>
  </si>
  <si>
    <t>Portion using safe water</t>
  </si>
  <si>
    <t>Cj</t>
  </si>
  <si>
    <t>Fraction</t>
  </si>
  <si>
    <t>Project Technology Days (CAPPED 300 users and 95% PTDs)</t>
  </si>
  <si>
    <t>Np,y</t>
  </si>
  <si>
    <t>Number</t>
  </si>
  <si>
    <t>Fuel to treat 1 litre of water using baseline tech (CAPPED)</t>
  </si>
  <si>
    <t>Wb,y</t>
  </si>
  <si>
    <t>T/L</t>
  </si>
  <si>
    <t>Quantity safe water litres consumed in project scenario supplied by project technology (CAPPED at 7.5)</t>
  </si>
  <si>
    <t>Qp,y</t>
  </si>
  <si>
    <t>L/pd</t>
  </si>
  <si>
    <t>Quantity of raw water boiled in addition to project technology water</t>
  </si>
  <si>
    <t>Qp, raw, y</t>
  </si>
  <si>
    <t>Quantity fuel consumed in baseline scenario</t>
  </si>
  <si>
    <t>Bb,y</t>
  </si>
  <si>
    <t>T</t>
  </si>
  <si>
    <t>Project Fuel Use (Pby)</t>
  </si>
  <si>
    <t>Portion of safe users</t>
  </si>
  <si>
    <t>Fuel required to treat 1 litre for water in project scenario (CAPPED)</t>
  </si>
  <si>
    <t xml:space="preserve">Wp,y 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</si>
  <si>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</si>
  <si>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</si>
  <si>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</si>
  <si>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</si>
  <si>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</si>
  <si>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</si>
  <si>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</si>
  <si>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Emissions factor fuel (co2)</t>
  </si>
  <si>
    <t>EFb,fuel,co2</t>
  </si>
  <si>
    <t>tCO2/TJ</t>
  </si>
  <si>
    <t>Emissions factor fuel (non-co2)</t>
  </si>
  <si>
    <t>EFb, fuel, non-co2</t>
  </si>
  <si>
    <t>TCO2/TJ</t>
  </si>
  <si>
    <t>Net calorific value of fuel</t>
  </si>
  <si>
    <t>NCV,b,fuel</t>
  </si>
  <si>
    <t>TJ/T</t>
  </si>
  <si>
    <t>Emissions Reductions</t>
  </si>
  <si>
    <t>Baseline emissions per year</t>
  </si>
  <si>
    <t>BEb,y</t>
  </si>
  <si>
    <t>tCO2/y</t>
  </si>
  <si>
    <t>Project emissions per year</t>
  </si>
  <si>
    <t>PEp,y</t>
  </si>
  <si>
    <t>Usage rate (CAPPED at 85.89%)</t>
  </si>
  <si>
    <t>Up,y</t>
  </si>
  <si>
    <t>fraction</t>
  </si>
  <si>
    <t>Leakage</t>
  </si>
  <si>
    <t>LEp,y</t>
  </si>
  <si>
    <t>Emission Reductions</t>
  </si>
  <si>
    <t>Ery</t>
  </si>
  <si>
    <t>Suppressed Demand Assessment</t>
  </si>
  <si>
    <t>Percentage of suppressed demand users</t>
  </si>
  <si>
    <r>
      <t xml:space="preserve">Percentage of </t>
    </r>
    <r>
      <rPr>
        <b/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>-suppressed demand users</t>
    </r>
  </si>
  <si>
    <t>Xboil</t>
  </si>
  <si>
    <t>Percentage</t>
  </si>
  <si>
    <t>ERy</t>
  </si>
  <si>
    <t>Total Emission Reductions claimed (CAPPED at 10,000 per annum)</t>
  </si>
  <si>
    <t>Borehole Technology</t>
  </si>
  <si>
    <t>Approx discharge at 10m head:</t>
  </si>
  <si>
    <t>m3/hour</t>
  </si>
  <si>
    <t>L/hour</t>
  </si>
  <si>
    <t>12-hour period (L)</t>
  </si>
  <si>
    <t>L/12 hours</t>
  </si>
  <si>
    <t>Maximum no of people supported by BH technology*</t>
  </si>
  <si>
    <t>people</t>
  </si>
  <si>
    <t>*This value is significantly higher than the total amount of users for each BH, across all VPAs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</si>
</sst>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0"/>
    <numFmt numFmtId="165" formatCode="0.000"/>
    <numFmt numFmtId="166" formatCode="0.0"/>
    <numFmt numFmtId="167" formatCode="0.0000000"/>
    <numFmt numFmtId="168" formatCode="0.0%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Avenir Book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Avenir Book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vertAlign val="subscript"/>
      <sz val="11"/>
      <color theme="1"/>
      <name val="Avenir Book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E3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C9F38"/>
        <bgColor indexed="64"/>
      </patternFill>
    </fill>
    <fill>
      <patternFill patternType="solid">
        <fgColor rgb="FFFF3A16"/>
        <bgColor indexed="64"/>
      </patternFill>
    </fill>
    <fill>
      <patternFill patternType="solid">
        <fgColor rgb="FF26BDE2"/>
        <bgColor indexed="64"/>
      </patternFill>
    </fill>
    <fill>
      <patternFill patternType="solid">
        <fgColor rgb="FF3F7E44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5" fillId="0" borderId="0"/>
    <xf numFmtId="0" fontId="2" fillId="0" borderId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5" xfId="0" applyBorder="1"/>
    <xf numFmtId="1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/>
    <xf numFmtId="3" fontId="0" fillId="2" borderId="1" xfId="0" applyNumberFormat="1" applyFill="1" applyBorder="1"/>
    <xf numFmtId="0" fontId="1" fillId="0" borderId="0" xfId="0" applyFont="1"/>
    <xf numFmtId="165" fontId="0" fillId="2" borderId="1" xfId="0" applyNumberFormat="1" applyFill="1" applyBorder="1"/>
    <xf numFmtId="166" fontId="0" fillId="2" borderId="1" xfId="0" applyNumberFormat="1" applyFill="1" applyBorder="1"/>
    <xf numFmtId="0" fontId="0" fillId="0" borderId="0" xfId="0" applyAlignment="1">
      <alignment wrapText="1"/>
    </xf>
    <xf numFmtId="2" fontId="0" fillId="2" borderId="1" xfId="0" applyNumberFormat="1" applyFill="1" applyBorder="1"/>
    <xf numFmtId="3" fontId="0" fillId="0" borderId="0" xfId="0" applyNumberForma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10" fontId="0" fillId="2" borderId="1" xfId="0" applyNumberFormat="1" applyFill="1" applyBorder="1"/>
    <xf numFmtId="4" fontId="0" fillId="2" borderId="1" xfId="0" applyNumberFormat="1" applyFill="1" applyBorder="1"/>
    <xf numFmtId="1" fontId="0" fillId="0" borderId="3" xfId="0" applyNumberFormat="1" applyBorder="1"/>
    <xf numFmtId="0" fontId="15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center" vertical="center" wrapText="1"/>
    </xf>
    <xf numFmtId="0" fontId="4" fillId="4" borderId="15" xfId="0" applyFont="1" applyFill="1" applyBorder="1"/>
    <xf numFmtId="0" fontId="0" fillId="0" borderId="18" xfId="0" applyBorder="1"/>
    <xf numFmtId="0" fontId="0" fillId="0" borderId="19" xfId="0" applyBorder="1"/>
    <xf numFmtId="14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14" fontId="0" fillId="0" borderId="22" xfId="0" applyNumberFormat="1" applyBorder="1" applyAlignment="1">
      <alignment horizontal="center"/>
    </xf>
    <xf numFmtId="0" fontId="4" fillId="4" borderId="16" xfId="0" applyFont="1" applyFill="1" applyBorder="1"/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4" fillId="4" borderId="23" xfId="0" applyFont="1" applyFill="1" applyBorder="1"/>
    <xf numFmtId="0" fontId="4" fillId="4" borderId="24" xfId="0" applyFont="1" applyFill="1" applyBorder="1"/>
    <xf numFmtId="0" fontId="4" fillId="4" borderId="24" xfId="0" applyFont="1" applyFill="1" applyBorder="1" applyAlignment="1">
      <alignment horizontal="center"/>
    </xf>
    <xf numFmtId="0" fontId="0" fillId="0" borderId="25" xfId="0" applyBorder="1"/>
    <xf numFmtId="0" fontId="0" fillId="0" borderId="26" xfId="0" applyBorder="1"/>
    <xf numFmtId="14" fontId="0" fillId="0" borderId="26" xfId="0" applyNumberFormat="1" applyBorder="1" applyAlignment="1">
      <alignment horizontal="center"/>
    </xf>
    <xf numFmtId="14" fontId="0" fillId="0" borderId="19" xfId="0" applyNumberFormat="1" applyBorder="1" applyAlignment="1">
      <alignment horizontal="left"/>
    </xf>
    <xf numFmtId="14" fontId="0" fillId="0" borderId="22" xfId="0" applyNumberForma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7" xfId="0" applyFill="1" applyBorder="1"/>
    <xf numFmtId="0" fontId="0" fillId="2" borderId="28" xfId="0" applyFill="1" applyBorder="1"/>
    <xf numFmtId="0" fontId="0" fillId="2" borderId="28" xfId="0" applyFill="1" applyBorder="1" applyAlignment="1">
      <alignment horizontal="center"/>
    </xf>
    <xf numFmtId="14" fontId="0" fillId="2" borderId="28" xfId="0" applyNumberFormat="1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0" xfId="0" quotePrefix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14" fontId="0" fillId="0" borderId="20" xfId="0" applyNumberFormat="1" applyBorder="1" applyAlignment="1">
      <alignment horizontal="center"/>
    </xf>
    <xf numFmtId="14" fontId="0" fillId="0" borderId="6" xfId="0" applyNumberFormat="1" applyBorder="1"/>
    <xf numFmtId="14" fontId="0" fillId="0" borderId="10" xfId="0" applyNumberFormat="1" applyBorder="1"/>
    <xf numFmtId="0" fontId="1" fillId="2" borderId="5" xfId="0" applyFont="1" applyFill="1" applyBorder="1" applyAlignment="1">
      <alignment horizontal="left" vertical="center" wrapText="1"/>
    </xf>
    <xf numFmtId="0" fontId="1" fillId="2" borderId="12" xfId="0" applyFont="1" applyFill="1" applyBorder="1"/>
    <xf numFmtId="3" fontId="0" fillId="0" borderId="39" xfId="0" applyNumberFormat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3" fontId="4" fillId="4" borderId="30" xfId="0" applyNumberFormat="1" applyFont="1" applyFill="1" applyBorder="1" applyAlignment="1">
      <alignment horizontal="center"/>
    </xf>
    <xf numFmtId="3" fontId="0" fillId="2" borderId="33" xfId="0" applyNumberFormat="1" applyFill="1" applyBorder="1" applyAlignment="1">
      <alignment horizontal="center"/>
    </xf>
    <xf numFmtId="3" fontId="4" fillId="4" borderId="34" xfId="0" applyNumberFormat="1" applyFont="1" applyFill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0" xfId="0" applyNumberFormat="1"/>
    <xf numFmtId="3" fontId="1" fillId="0" borderId="4" xfId="0" applyNumberFormat="1" applyFon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3" fontId="0" fillId="2" borderId="4" xfId="0" applyNumberFormat="1" applyFill="1" applyBorder="1" applyAlignment="1">
      <alignment horizontal="center"/>
    </xf>
    <xf numFmtId="3" fontId="4" fillId="4" borderId="36" xfId="0" applyNumberFormat="1" applyFont="1" applyFill="1" applyBorder="1" applyAlignment="1">
      <alignment horizontal="center"/>
    </xf>
    <xf numFmtId="3" fontId="4" fillId="4" borderId="38" xfId="0" applyNumberFormat="1" applyFont="1" applyFill="1" applyBorder="1" applyAlignment="1">
      <alignment horizontal="center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9" borderId="2" xfId="0" applyFill="1" applyBorder="1"/>
    <xf numFmtId="0" fontId="0" fillId="9" borderId="3" xfId="0" applyFill="1" applyBorder="1"/>
    <xf numFmtId="0" fontId="0" fillId="9" borderId="4" xfId="0" applyFill="1" applyBorder="1"/>
    <xf numFmtId="0" fontId="0" fillId="0" borderId="9" xfId="0" applyBorder="1" applyAlignment="1">
      <alignment horizontal="left"/>
    </xf>
    <xf numFmtId="0" fontId="6" fillId="5" borderId="1" xfId="0" applyFont="1" applyFill="1" applyBorder="1"/>
    <xf numFmtId="0" fontId="1" fillId="5" borderId="1" xfId="0" applyFont="1" applyFill="1" applyBorder="1"/>
    <xf numFmtId="0" fontId="6" fillId="0" borderId="14" xfId="0" applyFont="1" applyBorder="1"/>
    <xf numFmtId="0" fontId="7" fillId="0" borderId="0" xfId="0" applyFont="1"/>
    <xf numFmtId="10" fontId="0" fillId="2" borderId="1" xfId="1" applyNumberFormat="1" applyFont="1" applyFill="1" applyBorder="1"/>
    <xf numFmtId="4" fontId="6" fillId="0" borderId="14" xfId="0" applyNumberFormat="1" applyFont="1" applyBorder="1"/>
    <xf numFmtId="4" fontId="1" fillId="5" borderId="1" xfId="0" applyNumberFormat="1" applyFont="1" applyFill="1" applyBorder="1" applyAlignment="1">
      <alignment horizontal="right"/>
    </xf>
    <xf numFmtId="4" fontId="0" fillId="0" borderId="0" xfId="0" applyNumberFormat="1" applyAlignment="1">
      <alignment horizontal="center"/>
    </xf>
    <xf numFmtId="3" fontId="0" fillId="0" borderId="13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0" fontId="0" fillId="0" borderId="0" xfId="0" applyAlignment="1">
      <alignment horizontal="left"/>
    </xf>
    <xf numFmtId="3" fontId="0" fillId="0" borderId="11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0" fillId="6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3" borderId="3" xfId="0" applyFill="1" applyBorder="1" applyAlignment="1">
      <alignment horizontal="right"/>
    </xf>
    <xf numFmtId="0" fontId="0" fillId="0" borderId="8" xfId="0" applyBorder="1" applyAlignment="1">
      <alignment horizontal="right"/>
    </xf>
    <xf numFmtId="9" fontId="0" fillId="3" borderId="3" xfId="0" applyNumberFormat="1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0" fillId="9" borderId="3" xfId="0" applyFill="1" applyBorder="1" applyAlignment="1">
      <alignment horizontal="right"/>
    </xf>
    <xf numFmtId="4" fontId="0" fillId="9" borderId="3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6" borderId="0" xfId="0" applyNumberFormat="1" applyFill="1" applyAlignment="1">
      <alignment horizontal="right"/>
    </xf>
    <xf numFmtId="3" fontId="0" fillId="8" borderId="0" xfId="0" applyNumberFormat="1" applyFill="1" applyAlignment="1">
      <alignment horizontal="right"/>
    </xf>
    <xf numFmtId="9" fontId="0" fillId="0" borderId="8" xfId="0" applyNumberFormat="1" applyBorder="1" applyAlignment="1">
      <alignment horizontal="right"/>
    </xf>
    <xf numFmtId="3" fontId="1" fillId="0" borderId="5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7" fontId="0" fillId="2" borderId="1" xfId="0" applyNumberFormat="1" applyFill="1" applyBorder="1"/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0" xfId="0" applyBorder="1" applyAlignment="1">
      <alignment horizontal="center"/>
    </xf>
    <xf numFmtId="3" fontId="0" fillId="0" borderId="51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3" fontId="0" fillId="0" borderId="56" xfId="0" applyNumberForma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13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" fillId="6" borderId="53" xfId="0" applyFont="1" applyFill="1" applyBorder="1" applyAlignment="1">
      <alignment horizontal="center" vertical="center"/>
    </xf>
    <xf numFmtId="3" fontId="0" fillId="0" borderId="53" xfId="0" applyNumberFormat="1" applyBorder="1" applyAlignment="1">
      <alignment horizontal="center"/>
    </xf>
    <xf numFmtId="3" fontId="0" fillId="0" borderId="55" xfId="0" applyNumberFormat="1" applyBorder="1" applyAlignment="1">
      <alignment horizontal="center"/>
    </xf>
    <xf numFmtId="0" fontId="1" fillId="7" borderId="53" xfId="0" applyFont="1" applyFill="1" applyBorder="1" applyAlignment="1">
      <alignment horizontal="center" vertical="center"/>
    </xf>
    <xf numFmtId="9" fontId="0" fillId="0" borderId="53" xfId="0" applyNumberFormat="1" applyBorder="1" applyAlignment="1">
      <alignment horizontal="center"/>
    </xf>
    <xf numFmtId="9" fontId="0" fillId="0" borderId="55" xfId="0" applyNumberFormat="1" applyBorder="1" applyAlignment="1">
      <alignment horizontal="center"/>
    </xf>
    <xf numFmtId="0" fontId="1" fillId="8" borderId="44" xfId="0" applyFont="1" applyFill="1" applyBorder="1" applyAlignment="1">
      <alignment horizontal="center" vertical="center"/>
    </xf>
    <xf numFmtId="0" fontId="1" fillId="8" borderId="45" xfId="0" applyFont="1" applyFill="1" applyBorder="1" applyAlignment="1">
      <alignment horizontal="center" vertical="center"/>
    </xf>
    <xf numFmtId="3" fontId="0" fillId="0" borderId="44" xfId="0" applyNumberFormat="1" applyBorder="1" applyAlignment="1">
      <alignment horizontal="center"/>
    </xf>
    <xf numFmtId="3" fontId="0" fillId="0" borderId="45" xfId="0" applyNumberFormat="1" applyBorder="1" applyAlignment="1">
      <alignment horizontal="center"/>
    </xf>
    <xf numFmtId="3" fontId="0" fillId="0" borderId="47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49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4" fontId="0" fillId="0" borderId="51" xfId="0" applyNumberFormat="1" applyBorder="1" applyAlignment="1">
      <alignment horizontal="center"/>
    </xf>
    <xf numFmtId="4" fontId="1" fillId="0" borderId="51" xfId="0" applyNumberFormat="1" applyFont="1" applyBorder="1" applyAlignment="1">
      <alignment horizontal="center"/>
    </xf>
    <xf numFmtId="4" fontId="0" fillId="0" borderId="53" xfId="0" applyNumberFormat="1" applyBorder="1" applyAlignment="1">
      <alignment horizontal="center"/>
    </xf>
    <xf numFmtId="4" fontId="0" fillId="0" borderId="56" xfId="0" applyNumberFormat="1" applyBorder="1" applyAlignment="1">
      <alignment horizontal="center"/>
    </xf>
    <xf numFmtId="0" fontId="16" fillId="9" borderId="44" xfId="0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4" fontId="0" fillId="0" borderId="54" xfId="0" applyNumberFormat="1" applyBorder="1" applyAlignment="1">
      <alignment horizontal="center"/>
    </xf>
    <xf numFmtId="4" fontId="0" fillId="0" borderId="55" xfId="0" applyNumberFormat="1" applyBorder="1" applyAlignment="1">
      <alignment horizontal="center"/>
    </xf>
    <xf numFmtId="10" fontId="0" fillId="0" borderId="0" xfId="1" applyNumberFormat="1" applyFont="1" applyFill="1" applyAlignment="1">
      <alignment horizontal="right"/>
    </xf>
    <xf numFmtId="10" fontId="0" fillId="0" borderId="0" xfId="0" applyNumberFormat="1" applyAlignment="1">
      <alignment horizontal="center"/>
    </xf>
    <xf numFmtId="168" fontId="0" fillId="2" borderId="1" xfId="0" applyNumberFormat="1" applyFill="1" applyBorder="1"/>
    <xf numFmtId="164" fontId="0" fillId="2" borderId="1" xfId="0" applyNumberFormat="1" applyFill="1" applyBorder="1"/>
    <xf numFmtId="0" fontId="0" fillId="0" borderId="1" xfId="0" applyBorder="1" applyAlignment="1">
      <alignment vertical="center"/>
    </xf>
    <xf numFmtId="9" fontId="0" fillId="0" borderId="56" xfId="0" applyNumberFormat="1" applyBorder="1" applyAlignment="1">
      <alignment horizontal="center"/>
    </xf>
    <xf numFmtId="2" fontId="0" fillId="0" borderId="0" xfId="0" applyNumberFormat="1"/>
    <xf numFmtId="0" fontId="0" fillId="10" borderId="1" xfId="0" applyFill="1" applyBorder="1"/>
    <xf numFmtId="3" fontId="0" fillId="0" borderId="46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4" fillId="4" borderId="14" xfId="0" applyNumberFormat="1" applyFont="1" applyFill="1" applyBorder="1" applyAlignment="1">
      <alignment horizontal="center"/>
    </xf>
    <xf numFmtId="10" fontId="0" fillId="0" borderId="58" xfId="0" applyNumberFormat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4" fillId="4" borderId="58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41" xfId="0" applyFont="1" applyBorder="1" applyAlignment="1">
      <alignment horizontal="center"/>
    </xf>
    <xf numFmtId="0" fontId="17" fillId="0" borderId="4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 wrapText="1"/>
    </xf>
    <xf numFmtId="0" fontId="6" fillId="10" borderId="3" xfId="0" applyFont="1" applyFill="1" applyBorder="1" applyAlignment="1">
      <alignment horizontal="center" wrapText="1"/>
    </xf>
    <xf numFmtId="0" fontId="6" fillId="10" borderId="4" xfId="0" applyFont="1" applyFill="1" applyBorder="1" applyAlignment="1">
      <alignment horizontal="center" wrapText="1"/>
    </xf>
  </cellXfs>
  <cellStyles count="8">
    <cellStyle name="Comma 2" xfId="7" xr:uid="{0DEFC31F-52FE-499F-BCD4-A90173390A8A}"/>
    <cellStyle name="Comma 3" xfId="6" xr:uid="{4C89DF54-A21F-4288-9CE8-2C17943DDFDC}"/>
    <cellStyle name="Comma 4" xfId="5" xr:uid="{64CCC533-EFAC-4CE1-BE1B-E5359E7BA21D}"/>
    <cellStyle name="Normal" xfId="0" builtinId="0"/>
    <cellStyle name="Normal 2" xfId="3" xr:uid="{6B3947B1-2286-4F18-A3A3-EE0A4E7989B4}"/>
    <cellStyle name="Normal 2 2" xfId="4" xr:uid="{6BCF9F99-0C3D-4DDF-93DB-EF6A87A37833}"/>
    <cellStyle name="Normal 5" xfId="2" xr:uid="{46503CA5-8AD1-47EA-8E3A-7DE99F9D7E0B}"/>
    <cellStyle name="Percent" xfId="1" builtinId="5"/>
  </cellStyles>
  <dxfs count="1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26BDE2"/>
      <color rgb="FF4C9F38"/>
      <color rgb="FF3F7E44"/>
      <color rgb="FFFF3A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or Tennant" id="{5A2F6379-87CD-4729-A981-399DE8892892}" userId="Tor Tennant" providerId="None"/>
  <person displayName="Oscar Lozada" id="{DB6812CE-0012-496F-BF3D-9987D485212F}" userId="Oscar Lozada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1" dT="2021-01-11T16:54:31.18" personId="{5A2F6379-87CD-4729-A981-399DE8892892}" id="{6F599096-5FC7-407A-9AB1-30A1B0121EC2}">
    <text>Calculated from question 15/16 and 32/33 in the baseline survey</text>
  </threadedComment>
  <threadedComment ref="D12" dT="2022-01-05T12:07:53.91" personId="{DB6812CE-0012-496F-BF3D-9987D485212F}" id="{406ADBE9-8601-4817-987A-34A8C107009F}">
    <text>Calcualted from Project Survey paramters box (Report tab)</text>
  </threadedComment>
  <threadedComment ref="D34" dT="2021-01-11T16:54:31.18" personId="{5A2F6379-87CD-4729-A981-399DE8892892}" id="{3F4E8287-85F8-4861-96D4-301F34B4A498}">
    <text>Calculated from question 15/16 and 32/33 in the baseline survey</text>
  </threadedComment>
  <threadedComment ref="D35" dT="2022-01-05T12:08:36.46" personId="{DB6812CE-0012-496F-BF3D-9987D485212F}" id="{41B401B6-5506-49E9-858C-7C4BC1695F7C}">
    <text>Calcualted from Project Survey paramters box (Report tab)</text>
  </threadedComment>
  <threadedComment ref="D57" dT="2021-01-11T16:54:31.18" personId="{5A2F6379-87CD-4729-A981-399DE8892892}" id="{930D6C7D-B939-4B5A-BF5C-BFF962701CCB}">
    <text>Calculated from question 15/16 and 32/33 in the baseline survey</text>
  </threadedComment>
  <threadedComment ref="D58" dT="2022-01-05T12:08:36.46" personId="{DB6812CE-0012-496F-BF3D-9987D485212F}" id="{02DB3730-3A74-4D54-B72A-F9A37D20ECA8}">
    <text>Calcualted from Project Survey paramters box (Report tab)</text>
  </threadedComment>
  <threadedComment ref="D80" dT="2021-01-11T16:54:31.18" personId="{5A2F6379-87CD-4729-A981-399DE8892892}" id="{C2763F9B-0EE8-450E-B955-A0A3F3B2D164}">
    <text>Calculated from question 15/16 and 32/33 in the baseline survey</text>
  </threadedComment>
  <threadedComment ref="D81" dT="2022-01-05T12:08:36.46" personId="{DB6812CE-0012-496F-BF3D-9987D485212F}" id="{FCB73C54-31A1-4A1D-96F2-9F4352D52DB1}">
    <text>Calcualted from Project Survey paramters box (Report tab)</text>
  </threadedComment>
  <threadedComment ref="D103" dT="2021-01-11T16:54:31.18" personId="{5A2F6379-87CD-4729-A981-399DE8892892}" id="{5834D1CE-027B-4B48-B121-B2DE69D83AC4}">
    <text>Calculated from question 15/16 and 32/33 in the baseline survey</text>
  </threadedComment>
  <threadedComment ref="D104" dT="2022-01-05T12:08:36.46" personId="{DB6812CE-0012-496F-BF3D-9987D485212F}" id="{70D63217-30FE-41D8-8316-DC7D6411200B}">
    <text>Calcualted from Project Survey paramters box (Report tab)</text>
  </threadedComment>
  <threadedComment ref="D126" dT="2021-01-11T16:54:31.18" personId="{5A2F6379-87CD-4729-A981-399DE8892892}" id="{D65868DC-D579-481D-A748-B71C229E65C2}">
    <text>Calculated from question 15/16 and 32/33 in the baseline survey</text>
  </threadedComment>
  <threadedComment ref="D127" dT="2022-01-05T12:08:36.46" personId="{DB6812CE-0012-496F-BF3D-9987D485212F}" id="{85EA4351-94AC-4C48-A085-9D648D3804D2}">
    <text>Calcualted from Project Survey paramters box (Report tab)</text>
  </threadedComment>
  <threadedComment ref="D149" dT="2021-01-11T16:54:31.18" personId="{5A2F6379-87CD-4729-A981-399DE8892892}" id="{D43076EE-4DDA-449B-95E7-4607DAEB3A5F}">
    <text>Calculated from question 15/16 and 32/33 in the baseline survey</text>
  </threadedComment>
  <threadedComment ref="D150" dT="2022-01-05T12:08:36.46" personId="{DB6812CE-0012-496F-BF3D-9987D485212F}" id="{8917C540-7A5C-4F38-935E-A84C1EDE6DD5}">
    <text>Calcualted from Project Survey paramters box (Report tab)</text>
  </threadedComment>
  <threadedComment ref="D172" dT="2021-01-11T16:54:31.18" personId="{5A2F6379-87CD-4729-A981-399DE8892892}" id="{9CDF3966-1EAA-4F79-B4C8-0B61120F7B39}">
    <text>Calculated from question 15/16 and 32/33 in the baseline survey</text>
  </threadedComment>
  <threadedComment ref="D173" dT="2022-01-05T12:08:36.46" personId="{DB6812CE-0012-496F-BF3D-9987D485212F}" id="{34AF27AA-D2F8-43DE-A2E1-96FD6381B1B5}">
    <text>Calcualted from Project Survey paramters box (Report tab)</text>
  </threadedComment>
  <threadedComment ref="D195" dT="2021-01-11T16:54:31.18" personId="{5A2F6379-87CD-4729-A981-399DE8892892}" id="{182C1BE1-DB59-46A2-AB5F-7E833527D0CF}">
    <text>Calculated from question 15/16 and 32/33 in the baseline survey</text>
  </threadedComment>
  <threadedComment ref="D196" dT="2022-01-05T12:08:36.46" personId="{DB6812CE-0012-496F-BF3D-9987D485212F}" id="{916412B6-C29B-417E-8CC8-D10520011265}">
    <text>Calcualted from Project Survey paramters box (Report tab)</text>
  </threadedComment>
  <threadedComment ref="D218" dT="2021-01-11T16:54:31.18" personId="{5A2F6379-87CD-4729-A981-399DE8892892}" id="{927D9BE2-253B-4A82-8112-95D36CA3ADAD}">
    <text>Calculated from question 15/16 and 32/33 in the baseline survey</text>
  </threadedComment>
  <threadedComment ref="D219" dT="2022-01-05T12:08:36.46" personId="{DB6812CE-0012-496F-BF3D-9987D485212F}" id="{976AA3A4-A734-46D6-9836-7BE3668A3332}">
    <text>Calcualted from Project Survey paramters box (Report tab)</text>
  </threadedComment>
  <threadedComment ref="D241" dT="2021-01-11T16:54:31.18" personId="{5A2F6379-87CD-4729-A981-399DE8892892}" id="{BBC4E642-AF5D-4B77-B29B-FE293FBBD33C}">
    <text>Calculated from question 15/16 and 32/33 in the baseline survey</text>
  </threadedComment>
  <threadedComment ref="D242" dT="2022-01-05T12:08:36.46" personId="{DB6812CE-0012-496F-BF3D-9987D485212F}" id="{DB6261A7-2FA0-4A03-84B1-CAAF47B12AE9}">
    <text>Calcualted from Project Survey paramters box (Report tab)</text>
  </threadedComment>
  <threadedComment ref="D264" dT="2021-01-11T16:54:31.18" personId="{5A2F6379-87CD-4729-A981-399DE8892892}" id="{8E1E312C-D5A0-4F0E-9CEE-5BEDBCE6A944}">
    <text>Calculated from question 15/16 and 32/33 in the baseline survey</text>
  </threadedComment>
  <threadedComment ref="D265" dT="2022-01-05T12:08:36.46" personId="{DB6812CE-0012-496F-BF3D-9987D485212F}" id="{D1698AC3-F3FB-4365-9018-F8BB81B7835B}">
    <text>Calcualted from Project Survey paramters box (Report tab)</text>
  </threadedComment>
  <threadedComment ref="D287" dT="2021-01-11T16:54:31.18" personId="{5A2F6379-87CD-4729-A981-399DE8892892}" id="{427DB9D6-5C1D-4CEF-AF5F-3513FBDC4F9F}">
    <text>Calculated from question 15/16 and 32/33 in the baseline survey</text>
  </threadedComment>
  <threadedComment ref="D288" dT="2022-01-05T12:08:36.46" personId="{DB6812CE-0012-496F-BF3D-9987D485212F}" id="{6170E5EC-2500-4797-9C04-9224792EFECE}">
    <text>Calcualted from Project Survey paramters box (Report tab)</text>
  </threadedComment>
  <threadedComment ref="D310" dT="2021-01-11T16:54:31.18" personId="{5A2F6379-87CD-4729-A981-399DE8892892}" id="{C2956510-D7D1-4234-9861-09E070B2FFA3}">
    <text>Calculated from question 15/16 and 32/33 in the baseline survey</text>
  </threadedComment>
  <threadedComment ref="D311" dT="2022-01-05T12:08:36.46" personId="{DB6812CE-0012-496F-BF3D-9987D485212F}" id="{503742BB-4681-4A9E-8FCC-9F052C1351A9}">
    <text>Calcualted from Project Survey paramters box (Report tab)</text>
  </threadedComment>
  <threadedComment ref="D333" dT="2021-01-11T16:54:31.18" personId="{5A2F6379-87CD-4729-A981-399DE8892892}" id="{F66B9E7B-0573-4C34-95D2-87D704063A62}">
    <text>Calculated from question 15/16 and 32/33 in the baseline survey</text>
  </threadedComment>
  <threadedComment ref="D334" dT="2022-01-05T12:08:36.46" personId="{DB6812CE-0012-496F-BF3D-9987D485212F}" id="{8CC8A2D2-E36D-4C78-AD2D-E406459783E0}">
    <text>Calcualted from Project Survey paramters box (Report tab)</text>
  </threadedComment>
  <threadedComment ref="D356" dT="2021-01-11T16:54:31.18" personId="{5A2F6379-87CD-4729-A981-399DE8892892}" id="{3E2A8CC1-53BD-48DF-B959-6E51300D1102}">
    <text>Calculated from question 15/16 and 32/33 in the baseline survey</text>
  </threadedComment>
  <threadedComment ref="D357" dT="2022-01-05T12:08:36.46" personId="{DB6812CE-0012-496F-BF3D-9987D485212F}" id="{1EB2756F-DB7F-456A-8326-5DC00425E60C}">
    <text>Calcualted from Project Survey paramters box (Report tab)</text>
  </threadedComment>
  <threadedComment ref="D379" dT="2021-01-11T16:54:31.18" personId="{5A2F6379-87CD-4729-A981-399DE8892892}" id="{DED1E80A-386A-4369-87E6-C01FDCBC83AD}">
    <text>Calculated from question 15/16 and 32/33 in the baseline survey</text>
  </threadedComment>
  <threadedComment ref="D380" dT="2022-01-05T12:08:36.46" personId="{DB6812CE-0012-496F-BF3D-9987D485212F}" id="{4F2D89E8-9D59-47CA-A461-8284FCBE2F03}">
    <text>Calcualted from Project Survey paramters box (Report tab)</text>
  </threadedComment>
  <threadedComment ref="D402" dT="2021-01-11T16:54:31.18" personId="{5A2F6379-87CD-4729-A981-399DE8892892}" id="{5C5EE4BB-708C-4469-B4B1-4384B7C13927}">
    <text>Calculated from question 15/16 and 32/33 in the baseline survey</text>
  </threadedComment>
  <threadedComment ref="D403" dT="2022-01-05T12:08:36.46" personId="{DB6812CE-0012-496F-BF3D-9987D485212F}" id="{9D85B115-9B7B-4A93-8554-8130CE241B78}">
    <text>Calcualted from Project Survey paramters box (Report tab)</text>
  </threadedComment>
  <threadedComment ref="D425" dT="2021-01-11T16:54:31.18" personId="{5A2F6379-87CD-4729-A981-399DE8892892}" id="{33C2EA10-6C90-4B69-AC75-C269EB80771C}">
    <text>Calculated from question 15/16 and 32/33 in the baseline survey</text>
  </threadedComment>
  <threadedComment ref="D426" dT="2022-01-05T12:08:36.46" personId="{DB6812CE-0012-496F-BF3D-9987D485212F}" id="{B21D8D58-6773-4C84-9860-AEEB64B01E28}">
    <text>Calcualted from Project Survey paramters box (Report tab)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EC5D45CF-CDE3-47AF-AF6B-7278F4B83B1E}">
    <text>Uncapped value 10.78</text>
  </threadedComment>
  <threadedComment ref="E9" dT="2021-01-06T12:07:52.08" personId="{5A2F6379-87CD-4729-A981-399DE8892892}" id="{54F2DEB9-BDAC-47C9-AA0A-469CF4B71533}">
    <text>Percentage taken from question 19 and 20 of the project survey, multiplied by Qp,y</text>
  </threadedComment>
  <threadedComment ref="E16" dT="2021-01-06T12:07:52.08" personId="{5A2F6379-87CD-4729-A981-399DE8892892}" id="{8AFB3305-A04F-4637-BE1E-604F47CC3AC9}">
    <text>Percentage taken from question 19 and 20 of the project survey, multiplied by Qp,y</text>
  </threadedComment>
  <threadedComment ref="E29" dT="2021-01-06T12:19:45.64" personId="{5A2F6379-87CD-4729-A981-399DE8892892}" id="{10660CB2-5B78-473E-AE84-F9E5F139B992}">
    <text>UNCAPPED value 93.91% from the Usage Survey report tab cell C51</text>
  </threadedComment>
  <threadedComment ref="E35" dT="2021-01-06T12:23:25.62" personId="{5A2F6379-87CD-4729-A981-399DE8892892}" id="{BBFBFE4D-DE51-493D-A83B-3AA2689105D0}">
    <text>Taked from the new baseline survey conducted in August 2020 - tab "Report", cell E75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9C58CC80-6222-48F6-85F5-E94FD8B690C2}">
    <text>Uncapped value 10.78</text>
  </threadedComment>
  <threadedComment ref="E9" dT="2021-01-06T12:07:52.08" personId="{5A2F6379-87CD-4729-A981-399DE8892892}" id="{57617140-B7F0-47EC-A80F-BBA3E8FCD9C3}">
    <text>Percentage taken from question 19 and 20 of the project survey, multiplied by Qp,y</text>
  </threadedComment>
  <threadedComment ref="E16" dT="2021-01-06T12:07:52.08" personId="{5A2F6379-87CD-4729-A981-399DE8892892}" id="{5B98347D-2176-4C60-9961-1DB301797259}">
    <text>Percentage taken from question 19 and 20 of the project survey, multiplied by Qp,y</text>
  </threadedComment>
  <threadedComment ref="E29" dT="2021-01-06T12:19:45.64" personId="{5A2F6379-87CD-4729-A981-399DE8892892}" id="{D94928B6-4CA8-4E8A-B345-345F6AEA4DC2}">
    <text>UNCAPPED value 93.91% from the Usage Survey report tab cell C51</text>
  </threadedComment>
  <threadedComment ref="E35" dT="2021-01-06T12:23:25.62" personId="{5A2F6379-87CD-4729-A981-399DE8892892}" id="{DF96D311-3103-4171-8673-A846503D1750}">
    <text>Taked from the new baseline survey conducted in August 2020 - tab "Report", cell E75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413E0639-6879-4700-AFCE-6B56E92C85F1}">
    <text>Uncapped value 10.78</text>
  </threadedComment>
  <threadedComment ref="E9" dT="2021-01-06T12:07:52.08" personId="{5A2F6379-87CD-4729-A981-399DE8892892}" id="{2594C5E3-6731-4013-8CDF-CB70C9D3D98E}">
    <text>Percentage taken from question 19 and 20 of the project survey, multiplied by Qp,y</text>
  </threadedComment>
  <threadedComment ref="E16" dT="2021-01-06T12:07:52.08" personId="{5A2F6379-87CD-4729-A981-399DE8892892}" id="{259C13A0-A131-40F0-B62C-91958AAF1A10}">
    <text>Percentage taken from question 19 and 20 of the project survey, multiplied by Qp,y</text>
  </threadedComment>
  <threadedComment ref="E29" dT="2021-01-06T12:19:45.64" personId="{5A2F6379-87CD-4729-A981-399DE8892892}" id="{751988FF-902D-4E1A-A1C3-D681384DF513}">
    <text>UNCAPPED value 93.91% from the Usage Survey report tab cell C51</text>
  </threadedComment>
  <threadedComment ref="E35" dT="2021-01-06T12:23:25.62" personId="{5A2F6379-87CD-4729-A981-399DE8892892}" id="{D8C67254-6F71-4F8B-BF49-4AEB7691C338}">
    <text>Taked from the new baseline survey conducted in August 2020 - tab "Report", cell E75</text>
  </threadedComment>
</ThreadedComments>
</file>

<file path=xl/threadedComments/threadedComment13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AE7AAECE-0810-43F3-99A4-4CED943883B9}">
    <text>Uncapped value 10.78</text>
  </threadedComment>
  <threadedComment ref="E9" dT="2021-01-06T12:07:52.08" personId="{5A2F6379-87CD-4729-A981-399DE8892892}" id="{FE43DF26-CF05-4A27-A492-861BAD822563}">
    <text>Percentage taken from question 19 and 20 of the project survey, multiplied by Qp,y</text>
  </threadedComment>
  <threadedComment ref="E16" dT="2021-01-06T12:07:52.08" personId="{5A2F6379-87CD-4729-A981-399DE8892892}" id="{74C66C93-D370-4CC4-B05D-7A8C1C099A89}">
    <text>Percentage taken from question 19 and 20 of the project survey, multiplied by Qp,y</text>
  </threadedComment>
  <threadedComment ref="E29" dT="2021-01-06T12:19:45.64" personId="{5A2F6379-87CD-4729-A981-399DE8892892}" id="{D2AA1595-8AAB-41B8-B726-EEF42DBC3319}">
    <text>UNCAPPED value 93.91% from the Usage Survey report tab cell C51</text>
  </threadedComment>
  <threadedComment ref="E35" dT="2021-01-06T12:23:25.62" personId="{5A2F6379-87CD-4729-A981-399DE8892892}" id="{28AA5658-164D-4E44-9575-B571F4748461}">
    <text>Taked from the new baseline survey conducted in August 2020 - tab "Report", cell E75</text>
  </threadedComment>
</ThreadedComments>
</file>

<file path=xl/threadedComments/threadedComment14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4445FE13-9472-463A-ABC7-BC31DB19278A}">
    <text>Uncapped value 10.78</text>
  </threadedComment>
  <threadedComment ref="E9" dT="2021-01-06T12:07:52.08" personId="{5A2F6379-87CD-4729-A981-399DE8892892}" id="{8C3577CB-5483-4ED5-8FAB-DA9F1761DCDA}">
    <text>Percentage taken from question 19 and 20 of the project survey, multiplied by Qp,y</text>
  </threadedComment>
  <threadedComment ref="E16" dT="2021-01-06T12:07:52.08" personId="{5A2F6379-87CD-4729-A981-399DE8892892}" id="{22561228-76BD-45E1-8429-9A350DB11C82}">
    <text>Percentage taken from question 19 and 20 of the project survey, multiplied by Qp,y</text>
  </threadedComment>
  <threadedComment ref="E29" dT="2021-01-06T12:19:45.64" personId="{5A2F6379-87CD-4729-A981-399DE8892892}" id="{5EC4E94F-2F61-4C79-B2A7-AE29FAD45068}">
    <text>UNCAPPED value 93.91% from the Usage Survey report tab cell C51</text>
  </threadedComment>
  <threadedComment ref="E35" dT="2021-01-06T12:23:25.62" personId="{5A2F6379-87CD-4729-A981-399DE8892892}" id="{BFE51822-67EB-436D-AB5A-6AB840ADD874}">
    <text>Taked from the new baseline survey conducted in August 2020 - tab "Report", cell E75</text>
  </threadedComment>
</ThreadedComments>
</file>

<file path=xl/threadedComments/threadedComment15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ABBD14C0-5940-4929-801B-952A64C11239}">
    <text>Uncapped value 10.78</text>
  </threadedComment>
  <threadedComment ref="E9" dT="2021-01-06T12:07:52.08" personId="{5A2F6379-87CD-4729-A981-399DE8892892}" id="{F5CD6FA6-BF7B-49F9-AC8D-A58F328E14A8}">
    <text>Percentage taken from question 19 and 20 of the project survey, multiplied by Qp,y</text>
  </threadedComment>
  <threadedComment ref="E16" dT="2021-01-06T12:07:52.08" personId="{5A2F6379-87CD-4729-A981-399DE8892892}" id="{917A96AA-CE5F-4AA5-8432-3AC07E41E1F3}">
    <text>Percentage taken from question 19 and 20 of the project survey, multiplied by Qp,y</text>
  </threadedComment>
  <threadedComment ref="E29" dT="2021-01-06T12:19:45.64" personId="{5A2F6379-87CD-4729-A981-399DE8892892}" id="{1A42A5AB-8B91-4F61-B08C-BB0D8C9D8D99}">
    <text>UNCAPPED value 93.91% from the Usage Survey report tab cell C51</text>
  </threadedComment>
  <threadedComment ref="E35" dT="2021-01-06T12:23:25.62" personId="{5A2F6379-87CD-4729-A981-399DE8892892}" id="{7720C2B4-C7E3-40DE-8857-543FB7835178}">
    <text>Taked from the new baseline survey conducted in August 2020 - tab "Report", cell E75</text>
  </threadedComment>
</ThreadedComments>
</file>

<file path=xl/threadedComments/threadedComment16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A843B257-1B66-4274-B263-E3998E22C953}">
    <text>Uncapped value 10.78</text>
  </threadedComment>
  <threadedComment ref="E9" dT="2021-01-06T12:07:52.08" personId="{5A2F6379-87CD-4729-A981-399DE8892892}" id="{818E4F89-3DCF-41F3-8E0A-7822852847F4}">
    <text>Percentage taken from question 19 and 20 of the project survey, multiplied by Qp,y</text>
  </threadedComment>
  <threadedComment ref="E16" dT="2021-01-06T12:07:52.08" personId="{5A2F6379-87CD-4729-A981-399DE8892892}" id="{01021AE2-4C87-48D4-AAA2-BF032C032B9C}">
    <text>Percentage taken from question 19 and 20 of the project survey, multiplied by Qp,y</text>
  </threadedComment>
  <threadedComment ref="E29" dT="2021-01-06T12:19:45.64" personId="{5A2F6379-87CD-4729-A981-399DE8892892}" id="{8A969DFC-4061-4219-8F7B-3E46EA37DF52}">
    <text>UNCAPPED value 93.91% from the Usage Survey report tab cell C51</text>
  </threadedComment>
  <threadedComment ref="E35" dT="2021-01-06T12:23:25.62" personId="{5A2F6379-87CD-4729-A981-399DE8892892}" id="{8869F3A0-492A-4DB9-B6BC-4560498A5100}">
    <text>Taked from the new baseline survey conducted in August 2020 - tab "Report", cell E75</text>
  </threadedComment>
</ThreadedComments>
</file>

<file path=xl/threadedComments/threadedComment17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FE005829-D43C-491D-AB57-CDDE559D04C7}">
    <text>Uncapped value 10.78</text>
  </threadedComment>
  <threadedComment ref="E9" dT="2021-01-06T12:07:52.08" personId="{5A2F6379-87CD-4729-A981-399DE8892892}" id="{2290BBCC-00E8-42D1-B4FD-AE41C0E53432}">
    <text>Percentage taken from question 19 and 20 of the project survey, multiplied by Qp,y</text>
  </threadedComment>
  <threadedComment ref="E16" dT="2021-01-06T12:07:52.08" personId="{5A2F6379-87CD-4729-A981-399DE8892892}" id="{0705A124-0835-4DBE-85AE-2CEB832AFD11}">
    <text>Percentage taken from question 19 and 20 of the project survey, multiplied by Qp,y</text>
  </threadedComment>
  <threadedComment ref="E29" dT="2021-01-06T12:19:45.64" personId="{5A2F6379-87CD-4729-A981-399DE8892892}" id="{14155E9C-E1EA-4E87-B1B2-8378A1ECCFF6}">
    <text>UNCAPPED value 93.91% from the Usage Survey report tab cell C51</text>
  </threadedComment>
  <threadedComment ref="E35" dT="2021-01-06T12:23:25.62" personId="{5A2F6379-87CD-4729-A981-399DE8892892}" id="{5FB032DF-3CE3-4BB4-953E-95509C5B7487}">
    <text>Taked from the new baseline survey conducted in August 2020 - tab "Report", cell E75</text>
  </threadedComment>
</ThreadedComments>
</file>

<file path=xl/threadedComments/threadedComment18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F5D92572-A92D-4324-9DE1-AE40335E9EB2}">
    <text>Uncapped value 10.78</text>
  </threadedComment>
  <threadedComment ref="E9" dT="2021-01-06T12:07:52.08" personId="{5A2F6379-87CD-4729-A981-399DE8892892}" id="{F3E1FDEC-070A-41D9-A703-6385D0F82FB3}">
    <text>Percentage taken from question 19 and 20 of the project survey, multiplied by Qp,y</text>
  </threadedComment>
  <threadedComment ref="E16" dT="2021-01-06T12:07:52.08" personId="{5A2F6379-87CD-4729-A981-399DE8892892}" id="{491A997F-EAC0-4865-BDE7-BBF651A0286D}">
    <text>Percentage taken from question 19 and 20 of the project survey, multiplied by Qp,y</text>
  </threadedComment>
  <threadedComment ref="E29" dT="2021-01-06T12:19:45.64" personId="{5A2F6379-87CD-4729-A981-399DE8892892}" id="{758BAF5A-437C-41D0-9F09-5465CED0DF54}">
    <text>UNCAPPED value 93.91% from the Usage Survey report tab cell C51</text>
  </threadedComment>
  <threadedComment ref="E35" dT="2021-01-06T12:23:25.62" personId="{5A2F6379-87CD-4729-A981-399DE8892892}" id="{49436B57-9BF1-4534-B5C1-C1352AEF021D}">
    <text>Taked from the new baseline survey conducted in August 2020 - tab "Report", cell E75</text>
  </threadedComment>
</ThreadedComments>
</file>

<file path=xl/threadedComments/threadedComment19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B70E14DB-37F4-4745-8FBE-74A2DCAEEAEA}">
    <text>Uncapped value 10.78</text>
  </threadedComment>
  <threadedComment ref="E9" dT="2021-01-06T12:07:52.08" personId="{5A2F6379-87CD-4729-A981-399DE8892892}" id="{71FFA592-6F24-4415-8E11-9632B697B431}">
    <text>Percentage taken from question 19 and 20 of the project survey, multiplied by Qp,y</text>
  </threadedComment>
  <threadedComment ref="E16" dT="2021-01-06T12:07:52.08" personId="{5A2F6379-87CD-4729-A981-399DE8892892}" id="{AB846163-3DD1-417B-A218-28671223816D}">
    <text>Percentage taken from question 19 and 20 of the project survey, multiplied by Qp,y</text>
  </threadedComment>
  <threadedComment ref="E29" dT="2021-01-06T12:19:45.64" personId="{5A2F6379-87CD-4729-A981-399DE8892892}" id="{C72D861E-FEF1-4855-ACA4-60B68F975BDA}">
    <text>UNCAPPED value 93.91% from the Usage Survey report tab cell C51</text>
  </threadedComment>
  <threadedComment ref="E35" dT="2021-01-06T12:23:25.62" personId="{5A2F6379-87CD-4729-A981-399DE8892892}" id="{5B3416C8-7943-4A9C-A2D7-B9C8F4E5467F}">
    <text>Taked from the new baseline survey conducted in August 2020 - tab "Report", cell E75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46C1D31E-8FFD-49EB-A79D-34625A13AA74}">
    <text>Uncapped value 10.78</text>
  </threadedComment>
  <threadedComment ref="E9" dT="2021-01-06T12:07:52.08" personId="{5A2F6379-87CD-4729-A981-399DE8892892}" id="{B7E04E01-07DA-41FD-93ED-4AF9067F689C}">
    <text>Percentage taken from question 19 and 20 of the project survey, multiplied by Qp,y</text>
  </threadedComment>
  <threadedComment ref="E16" dT="2021-01-06T12:07:52.08" personId="{5A2F6379-87CD-4729-A981-399DE8892892}" id="{A5CCB8A7-F724-415B-86D8-2E49B711943D}">
    <text>Percentage taken from question 19 and 20 of the project survey, multiplied by Qp,y</text>
  </threadedComment>
</ThreadedComments>
</file>

<file path=xl/threadedComments/threadedComment20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E23ECCFB-9D61-4E35-B2EC-4C805E88B6EE}">
    <text>Uncapped value 10.78</text>
  </threadedComment>
  <threadedComment ref="E9" dT="2021-01-06T12:07:52.08" personId="{5A2F6379-87CD-4729-A981-399DE8892892}" id="{41A6F072-DCDF-4F06-A8A5-55858ADD0745}">
    <text>Percentage taken from question 19 and 20 of the project survey, multiplied by Qp,y</text>
  </threadedComment>
  <threadedComment ref="E16" dT="2021-01-06T12:07:52.08" personId="{5A2F6379-87CD-4729-A981-399DE8892892}" id="{414A103C-9EA1-498E-9406-0AC915E4E75F}">
    <text>Percentage taken from question 19 and 20 of the project survey, multiplied by Qp,y</text>
  </threadedComment>
  <threadedComment ref="E29" dT="2021-01-06T12:19:45.64" personId="{5A2F6379-87CD-4729-A981-399DE8892892}" id="{C2795FAE-CE19-4E3B-8DD3-48BDB87505CF}">
    <text>UNCAPPED value 93.91% from the Usage Survey report tab cell C51</text>
  </threadedComment>
  <threadedComment ref="E35" dT="2021-01-06T12:23:25.62" personId="{5A2F6379-87CD-4729-A981-399DE8892892}" id="{4C19AB44-053C-45CC-B62D-385F978EC4FD}">
    <text>Taked from the new baseline survey conducted in August 2020 - tab "Report", cell E75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BDDBA97F-0D90-4CD0-8A2C-A4ED930E0DC3}">
    <text>Uncapped value 10.78</text>
  </threadedComment>
  <threadedComment ref="E9" dT="2021-01-06T12:07:52.08" personId="{5A2F6379-87CD-4729-A981-399DE8892892}" id="{45B82A65-7BBD-42EA-9914-60D6FE323F95}">
    <text>Percentage taken from question 19 and 20 of the project survey, multiplied by Qp,y</text>
  </threadedComment>
  <threadedComment ref="E16" dT="2021-01-06T12:07:52.08" personId="{5A2F6379-87CD-4729-A981-399DE8892892}" id="{DE9B8E39-3269-4278-B80F-D5EFBA505B6F}">
    <text>Percentage taken from question 19 and 20 of the project survey, multiplied by Qp,y</text>
  </threadedComment>
  <threadedComment ref="E35" dT="2021-01-06T12:23:25.62" personId="{5A2F6379-87CD-4729-A981-399DE8892892}" id="{ED7F9033-ECA3-489F-88C6-7DB6666F633D}">
    <text>Taked from the new baseline survey conducted in August 2020 - tab "Report", cell E75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6059E980-57DD-4B8C-92FF-85F648C8077E}">
    <text>Uncapped value 10.78</text>
  </threadedComment>
  <threadedComment ref="E9" dT="2021-01-06T12:07:52.08" personId="{5A2F6379-87CD-4729-A981-399DE8892892}" id="{66B78C14-2BB3-4A01-B95E-91F4ABA96DC1}">
    <text>Percentage taken from question 19 and 20 of the project survey, multiplied by Qp,y</text>
  </threadedComment>
  <threadedComment ref="E16" dT="2021-01-06T12:07:52.08" personId="{5A2F6379-87CD-4729-A981-399DE8892892}" id="{E3522788-F251-40F0-A891-8B9153318E26}">
    <text>Percentage taken from question 19 and 20 of the project survey, multiplied by Qp,y</text>
  </threadedComment>
  <threadedComment ref="E35" dT="2021-01-06T12:23:25.62" personId="{5A2F6379-87CD-4729-A981-399DE8892892}" id="{5CE395AC-CE81-4DAB-96D9-4E13B6D66844}">
    <text>Taked from the new baseline survey conducted in August 2020 - tab "Report", cell E75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831D925E-E4D6-4391-82B3-F981988996C1}">
    <text>Uncapped value 10.78</text>
  </threadedComment>
  <threadedComment ref="E9" dT="2021-01-06T12:07:52.08" personId="{5A2F6379-87CD-4729-A981-399DE8892892}" id="{3E9A266A-3B08-40EF-867A-A4D416766673}">
    <text>Percentage taken from question 19 and 20 of the project survey, multiplied by Qp,y</text>
  </threadedComment>
  <threadedComment ref="E16" dT="2021-01-06T12:07:52.08" personId="{5A2F6379-87CD-4729-A981-399DE8892892}" id="{BFF2FAA6-32F0-42CD-B4F7-F304D4C3941C}">
    <text>Percentage taken from question 19 and 20 of the project survey, multiplied by Qp,y</text>
  </threadedComment>
  <threadedComment ref="E29" dT="2021-01-06T12:19:45.64" personId="{5A2F6379-87CD-4729-A981-399DE8892892}" id="{66799055-7EB8-43D2-AEC6-981297A90627}">
    <text>UNCAPPED value 93.91% from the Usage Survey report tab cell C51</text>
  </threadedComment>
  <threadedComment ref="E35" dT="2021-01-06T12:23:25.62" personId="{5A2F6379-87CD-4729-A981-399DE8892892}" id="{20E9A914-ACE6-4FE6-9D3A-02553BAF43B9}">
    <text>Taked from the new baseline survey conducted in August 2020 - tab "Report", cell E75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F7D078C8-4659-48D2-8176-7AA266B9296F}">
    <text>Uncapped value 10.78</text>
  </threadedComment>
  <threadedComment ref="E9" dT="2021-01-06T12:07:52.08" personId="{5A2F6379-87CD-4729-A981-399DE8892892}" id="{68051288-8120-4C01-9DE9-E37703231C3B}">
    <text>Percentage taken from question 19 and 20 of the project survey, multiplied by Qp,y</text>
  </threadedComment>
  <threadedComment ref="E16" dT="2021-01-06T12:07:52.08" personId="{5A2F6379-87CD-4729-A981-399DE8892892}" id="{C9152196-67B7-4696-9315-646BE11B9C6E}">
    <text>Percentage taken from question 19 and 20 of the project survey, multiplied by Qp,y</text>
  </threadedComment>
  <threadedComment ref="E29" dT="2021-01-06T12:19:45.64" personId="{5A2F6379-87CD-4729-A981-399DE8892892}" id="{7FEF542B-6AB3-49E6-8484-92EFE521E6E5}">
    <text>UNCAPPED value 93.91% from the Usage Survey report tab cell C51</text>
  </threadedComment>
  <threadedComment ref="E35" dT="2021-01-06T12:23:25.62" personId="{5A2F6379-87CD-4729-A981-399DE8892892}" id="{C5CF04CD-36A1-4A01-BA2C-F3412DF3EAA1}">
    <text>Taked from the new baseline survey conducted in August 2020 - tab "Report", cell E75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7FA190F9-BBAB-4564-88BF-0B548738DEEF}">
    <text>Uncapped value 10.78</text>
  </threadedComment>
  <threadedComment ref="E9" dT="2021-01-06T12:07:52.08" personId="{5A2F6379-87CD-4729-A981-399DE8892892}" id="{894D1960-B8CC-49A3-A35B-CAB5628C9C3B}">
    <text>Percentage taken from question 19 and 20 of the project survey, multiplied by Qp,y</text>
  </threadedComment>
  <threadedComment ref="E16" dT="2021-01-06T12:07:52.08" personId="{5A2F6379-87CD-4729-A981-399DE8892892}" id="{1847FA4B-6DF9-416E-B9F1-591ED2B46D18}">
    <text>Percentage taken from question 19 and 20 of the project survey, multiplied by Qp,y</text>
  </threadedComment>
  <threadedComment ref="E29" dT="2021-01-06T12:19:45.64" personId="{5A2F6379-87CD-4729-A981-399DE8892892}" id="{70BFDFB5-7FAC-4F86-AD2A-CE670B28D1C8}">
    <text>UNCAPPED value 93.91% from the Usage Survey report tab cell C51</text>
  </threadedComment>
  <threadedComment ref="E35" dT="2021-01-06T12:23:25.62" personId="{5A2F6379-87CD-4729-A981-399DE8892892}" id="{139A460F-2865-4FBB-8295-20D4D8B04D84}">
    <text>Taked from the new baseline survey conducted in August 2020 - tab "Report", cell E75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ED202F62-16CF-4208-A14F-9E26B066CA25}">
    <text>Uncapped value 10.78</text>
  </threadedComment>
  <threadedComment ref="E9" dT="2021-01-06T12:07:52.08" personId="{5A2F6379-87CD-4729-A981-399DE8892892}" id="{B13644E5-7BE0-47F8-ACA0-9C44325CBBA4}">
    <text>Percentage taken from question 19 and 20 of the project survey, multiplied by Qp,y</text>
  </threadedComment>
  <threadedComment ref="E16" dT="2021-01-06T12:07:52.08" personId="{5A2F6379-87CD-4729-A981-399DE8892892}" id="{A3A07BEE-B6F9-4FC2-B1B1-5EAEC472F6B7}">
    <text>Percentage taken from question 19 and 20 of the project survey, multiplied by Qp,y</text>
  </threadedComment>
  <threadedComment ref="E29" dT="2021-01-06T12:19:45.64" personId="{5A2F6379-87CD-4729-A981-399DE8892892}" id="{7F2703E5-FBDE-42F9-96A6-3426A4C01CB1}">
    <text>UNCAPPED value 93.91% from the Usage Survey report tab cell C51</text>
  </threadedComment>
  <threadedComment ref="E35" dT="2021-01-06T12:23:25.62" personId="{5A2F6379-87CD-4729-A981-399DE8892892}" id="{1344CC2B-BE1D-4FCC-9224-BBD5C358CBA4}">
    <text>Taked from the new baseline survey conducted in August 2020 - tab "Report", cell E75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E8" dT="2021-01-06T12:04:04.62" personId="{5A2F6379-87CD-4729-A981-399DE8892892}" id="{29FD3835-F4D6-4EDD-AEB4-7B6A524BE7C6}">
    <text>Uncapped value 10.78</text>
  </threadedComment>
  <threadedComment ref="E9" dT="2021-01-06T12:07:52.08" personId="{5A2F6379-87CD-4729-A981-399DE8892892}" id="{287B3EBB-5E77-4FFC-84DE-BE573FE4413C}">
    <text>Percentage taken from question 19 and 20 of the project survey, multiplied by Qp,y</text>
  </threadedComment>
  <threadedComment ref="E16" dT="2021-01-06T12:07:52.08" personId="{5A2F6379-87CD-4729-A981-399DE8892892}" id="{118F63D9-F6BC-4F77-8CE1-2335EDEA66EE}">
    <text>Percentage taken from question 19 and 20 of the project survey, multiplied by Qp,y</text>
  </threadedComment>
  <threadedComment ref="E29" dT="2021-01-06T12:19:45.64" personId="{5A2F6379-87CD-4729-A981-399DE8892892}" id="{2D647E69-2FEA-4F86-8F4C-BE83A6CA0357}">
    <text>UNCAPPED value 93.91% from the Usage Survey report tab cell C51</text>
  </threadedComment>
  <threadedComment ref="E35" dT="2021-01-06T12:23:25.62" personId="{5A2F6379-87CD-4729-A981-399DE8892892}" id="{4CB72426-ABDF-4046-9594-D61A9BD1DD55}">
    <text>Taked from the new baseline survey conducted in August 2020 - tab "Report", cell E75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Relationship Id="rId4" Type="http://schemas.microsoft.com/office/2017/10/relationships/threadedComment" Target="../threadedComments/threadedComment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Relationship Id="rId4" Type="http://schemas.microsoft.com/office/2017/10/relationships/threadedComment" Target="../threadedComments/threadedComment1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Relationship Id="rId4" Type="http://schemas.microsoft.com/office/2017/10/relationships/threadedComment" Target="../threadedComments/threadedComment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Relationship Id="rId4" Type="http://schemas.microsoft.com/office/2017/10/relationships/threadedComment" Target="../threadedComments/threadedComment13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Relationship Id="rId4" Type="http://schemas.microsoft.com/office/2017/10/relationships/threadedComment" Target="../threadedComments/threadedComment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Relationship Id="rId4" Type="http://schemas.microsoft.com/office/2017/10/relationships/threadedComment" Target="../threadedComments/threadedComment1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Relationship Id="rId4" Type="http://schemas.microsoft.com/office/2017/10/relationships/threadedComment" Target="../threadedComments/threadedComment1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Relationship Id="rId4" Type="http://schemas.microsoft.com/office/2017/10/relationships/threadedComment" Target="../threadedComments/threadedComment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Relationship Id="rId4" Type="http://schemas.microsoft.com/office/2017/10/relationships/threadedComment" Target="../threadedComments/threadedComment1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Relationship Id="rId4" Type="http://schemas.microsoft.com/office/2017/10/relationships/threadedComment" Target="../threadedComments/threadedComment1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Relationship Id="rId4" Type="http://schemas.microsoft.com/office/2017/10/relationships/threadedComment" Target="../threadedComments/threadedComment20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7BBF-4793-4B7A-BCA1-879FAA2E94EC}">
  <dimension ref="B1:S25"/>
  <sheetViews>
    <sheetView zoomScale="80" zoomScaleNormal="90" workbookViewId="0">
      <selection activeCell="W30" sqref="W30"/>
    </sheetView>
  </sheetViews>
  <sheetFormatPr defaultColWidth="8.7265625" defaultRowHeight="14.5"/>
  <cols>
    <col min="1" max="1" width="6.26953125" style="53" customWidth="1"/>
    <col min="2" max="3" width="8.7265625" style="53"/>
    <col min="4" max="5" width="8.7265625" style="53" customWidth="1"/>
    <col min="6" max="6" width="10.54296875" style="53" customWidth="1"/>
    <col min="7" max="7" width="12.81640625" style="53" customWidth="1"/>
    <col min="8" max="8" width="17.26953125" style="53" bestFit="1" customWidth="1"/>
    <col min="9" max="9" width="12.7265625" style="53" bestFit="1" customWidth="1"/>
    <col min="10" max="11" width="10.1796875" style="53" customWidth="1"/>
    <col min="12" max="12" width="8.54296875" style="53" customWidth="1"/>
    <col min="13" max="14" width="8.7265625" style="53" customWidth="1"/>
    <col min="15" max="15" width="12.453125" style="53" bestFit="1" customWidth="1"/>
    <col min="16" max="18" width="8.7265625" style="53"/>
    <col min="19" max="19" width="12.453125" style="53" bestFit="1" customWidth="1"/>
    <col min="20" max="16384" width="8.7265625" style="53"/>
  </cols>
  <sheetData>
    <row r="1" spans="2:19" ht="15" thickBot="1"/>
    <row r="2" spans="2:19" ht="19" thickBot="1">
      <c r="C2" s="180" t="s">
        <v>0</v>
      </c>
      <c r="D2" s="181"/>
      <c r="E2" s="181"/>
      <c r="F2" s="181"/>
      <c r="G2" s="181"/>
      <c r="H2" s="181"/>
      <c r="I2" s="182"/>
      <c r="K2" s="138" t="s">
        <v>1</v>
      </c>
      <c r="L2" s="137"/>
      <c r="M2" s="138" t="s">
        <v>2</v>
      </c>
      <c r="N2" s="137"/>
      <c r="O2" s="183" t="s">
        <v>3</v>
      </c>
      <c r="P2" s="184"/>
    </row>
    <row r="3" spans="2:19" ht="72.5">
      <c r="C3" s="157" t="s">
        <v>4</v>
      </c>
      <c r="D3" s="158" t="s">
        <v>5</v>
      </c>
      <c r="E3" s="158" t="s">
        <v>6</v>
      </c>
      <c r="F3" s="158" t="s">
        <v>7</v>
      </c>
      <c r="G3" s="158" t="s">
        <v>8</v>
      </c>
      <c r="H3" s="159" t="s">
        <v>9</v>
      </c>
      <c r="I3" s="160" t="s">
        <v>10</v>
      </c>
      <c r="J3" s="106"/>
      <c r="K3" s="139" t="s">
        <v>11</v>
      </c>
      <c r="L3" s="136"/>
      <c r="M3" s="142" t="s">
        <v>12</v>
      </c>
      <c r="N3" s="136"/>
      <c r="O3" s="145" t="s">
        <v>13</v>
      </c>
      <c r="P3" s="146" t="s">
        <v>14</v>
      </c>
    </row>
    <row r="4" spans="2:19">
      <c r="B4" s="178" t="s">
        <v>15</v>
      </c>
      <c r="C4" s="127" t="s">
        <v>16</v>
      </c>
      <c r="D4" s="107">
        <f ca="1">'GS5329'!E27</f>
        <v>3945.6449266619388</v>
      </c>
      <c r="E4" s="107">
        <f ca="1">'GS5329'!E28</f>
        <v>34.177074392010425</v>
      </c>
      <c r="F4" s="107">
        <f>'Total PTDs'!R14</f>
        <v>860340</v>
      </c>
      <c r="G4" s="108">
        <v>0</v>
      </c>
      <c r="H4" s="135">
        <f ca="1">'GS5329'!E38</f>
        <v>3230</v>
      </c>
      <c r="I4" s="161">
        <v>10000</v>
      </c>
      <c r="K4" s="140">
        <f>'SDGs Calculations'!D8</f>
        <v>215.45372520000012</v>
      </c>
      <c r="M4" s="143">
        <f>'SDGs Calculations'!D13</f>
        <v>0.67196153986982254</v>
      </c>
      <c r="O4" s="147">
        <f>'SDGs Calculations'!D19</f>
        <v>1901.8828836</v>
      </c>
      <c r="P4" s="149">
        <f>'Total PTDs'!$O$14</f>
        <v>2436</v>
      </c>
      <c r="R4" s="171">
        <f>P4-O4</f>
        <v>534.11711639999999</v>
      </c>
      <c r="S4" s="23"/>
    </row>
    <row r="5" spans="2:19">
      <c r="B5" s="179"/>
      <c r="C5" s="126" t="s">
        <v>17</v>
      </c>
      <c r="D5" s="23">
        <f ca="1">'GS5330'!E27</f>
        <v>3710.4673551910969</v>
      </c>
      <c r="E5" s="23">
        <f ca="1">'GS5330'!E28</f>
        <v>32.139972345351786</v>
      </c>
      <c r="F5" s="23">
        <f>'Total PTDs'!R24</f>
        <v>809060</v>
      </c>
      <c r="G5" s="103">
        <v>0</v>
      </c>
      <c r="H5" s="133">
        <f ca="1">'GS5330'!E38</f>
        <v>3037</v>
      </c>
      <c r="I5" s="155">
        <v>10000</v>
      </c>
      <c r="K5" s="140">
        <f>'SDGs Calculations'!D31</f>
        <v>196.7032368000001</v>
      </c>
      <c r="M5" s="143">
        <f>'SDGs Calculations'!D36</f>
        <v>0.67196153986982254</v>
      </c>
      <c r="O5" s="147">
        <f>'SDGs Calculations'!D42</f>
        <v>1736.3659823999999</v>
      </c>
      <c r="P5" s="148">
        <f>'Total PTDs'!$O$24</f>
        <v>2224</v>
      </c>
      <c r="R5" s="171">
        <f t="shared" ref="R5:R22" si="0">P5-O5</f>
        <v>487.63401760000011</v>
      </c>
      <c r="S5" s="23"/>
    </row>
    <row r="6" spans="2:19">
      <c r="B6" s="179"/>
      <c r="C6" s="126" t="s">
        <v>18</v>
      </c>
      <c r="D6" s="23">
        <f ca="1">'GS5331'!E27</f>
        <v>4488.0713554005088</v>
      </c>
      <c r="E6" s="23">
        <f ca="1">'GS5331'!E28</f>
        <v>38.875558100445495</v>
      </c>
      <c r="F6" s="23">
        <f>'Total PTDs'!R36</f>
        <v>978615</v>
      </c>
      <c r="G6" s="103">
        <v>0</v>
      </c>
      <c r="H6" s="133">
        <f ca="1">'GS5331'!E38</f>
        <v>3674</v>
      </c>
      <c r="I6" s="155">
        <v>10000</v>
      </c>
      <c r="K6" s="140">
        <f>'SDGs Calculations'!D54</f>
        <v>253.92760470000013</v>
      </c>
      <c r="M6" s="143">
        <f>'SDGs Calculations'!D59</f>
        <v>0.67196153986982254</v>
      </c>
      <c r="O6" s="147">
        <f>'SDGs Calculations'!D65</f>
        <v>2241.5048271000001</v>
      </c>
      <c r="P6" s="148">
        <f>'Total PTDs'!$O$36</f>
        <v>2871</v>
      </c>
      <c r="R6" s="171">
        <f t="shared" si="0"/>
        <v>629.49517289999994</v>
      </c>
      <c r="S6" s="23"/>
    </row>
    <row r="7" spans="2:19">
      <c r="B7" s="179"/>
      <c r="C7" s="126" t="s">
        <v>19</v>
      </c>
      <c r="D7" s="23">
        <f ca="1">'GS5332'!E27</f>
        <v>3553.942189155609</v>
      </c>
      <c r="E7" s="23">
        <f ca="1">'GS5332'!E28</f>
        <v>30.784155402051095</v>
      </c>
      <c r="F7" s="23">
        <f>'Total PTDs'!R46</f>
        <v>774930</v>
      </c>
      <c r="G7" s="103">
        <v>0</v>
      </c>
      <c r="H7" s="133">
        <f ca="1">'GS5332'!$E$38</f>
        <v>2909</v>
      </c>
      <c r="I7" s="155">
        <v>10000</v>
      </c>
      <c r="K7" s="140">
        <f>'SDGs Calculations'!D77</f>
        <v>194.75743140000012</v>
      </c>
      <c r="M7" s="143">
        <f>'SDGs Calculations'!D82</f>
        <v>0.67196153986982254</v>
      </c>
      <c r="O7" s="147">
        <f>'SDGs Calculations'!D88</f>
        <v>1719.1897002000001</v>
      </c>
      <c r="P7" s="148">
        <f>'Total PTDs'!$O$46</f>
        <v>2202</v>
      </c>
      <c r="R7" s="171">
        <f t="shared" si="0"/>
        <v>482.81029979999994</v>
      </c>
      <c r="S7" s="23"/>
    </row>
    <row r="8" spans="2:19">
      <c r="B8" s="179"/>
      <c r="C8" s="126" t="s">
        <v>20</v>
      </c>
      <c r="D8" s="23">
        <f ca="1">'GS5335'!E27</f>
        <v>3752.4168334719807</v>
      </c>
      <c r="E8" s="23">
        <f ca="1">'GS5335'!E28</f>
        <v>32.503337642168987</v>
      </c>
      <c r="F8" s="23">
        <f>'Total PTDs'!R58</f>
        <v>818207</v>
      </c>
      <c r="G8" s="103">
        <v>0</v>
      </c>
      <c r="H8" s="133">
        <f ca="1">'GS5335'!$E$38</f>
        <v>3072</v>
      </c>
      <c r="I8" s="155">
        <v>10000</v>
      </c>
      <c r="K8" s="140">
        <f>'SDGs Calculations'!D100</f>
        <v>205.28246970000012</v>
      </c>
      <c r="M8" s="143">
        <f>'SDGs Calculations'!D105</f>
        <v>0.67196153986982254</v>
      </c>
      <c r="O8" s="147">
        <f>'SDGs Calculations'!D111</f>
        <v>1812.0977721000002</v>
      </c>
      <c r="P8" s="148">
        <f>'Total PTDs'!$O$58</f>
        <v>2321</v>
      </c>
      <c r="R8" s="171">
        <f t="shared" si="0"/>
        <v>508.90222789999984</v>
      </c>
      <c r="S8" s="23"/>
    </row>
    <row r="9" spans="2:19">
      <c r="B9" s="179"/>
      <c r="C9" s="126" t="s">
        <v>21</v>
      </c>
      <c r="D9" s="23">
        <f ca="1">'GS5336'!E27</f>
        <v>3550.4337873971217</v>
      </c>
      <c r="E9" s="23">
        <f ca="1">'GS5336'!E28</f>
        <v>30.753765716682654</v>
      </c>
      <c r="F9" s="23">
        <f>'Total PTDs'!R68</f>
        <v>774165</v>
      </c>
      <c r="G9" s="103">
        <v>0</v>
      </c>
      <c r="H9" s="133">
        <f ca="1">'GS5336'!$E$38</f>
        <v>2906</v>
      </c>
      <c r="I9" s="155">
        <v>10000</v>
      </c>
      <c r="K9" s="140">
        <f>'SDGs Calculations'!D123</f>
        <v>187.59332970000011</v>
      </c>
      <c r="M9" s="143">
        <f>'SDGs Calculations'!D128</f>
        <v>0.67196153986982254</v>
      </c>
      <c r="O9" s="147">
        <f>'SDGs Calculations'!D134</f>
        <v>1655.9497521000001</v>
      </c>
      <c r="P9" s="148">
        <f>'Total PTDs'!$O$68</f>
        <v>2121</v>
      </c>
      <c r="R9" s="171">
        <f t="shared" si="0"/>
        <v>465.05024789999993</v>
      </c>
      <c r="S9" s="23"/>
    </row>
    <row r="10" spans="2:19">
      <c r="B10" s="179"/>
      <c r="C10" s="126" t="s">
        <v>22</v>
      </c>
      <c r="D10" s="23">
        <f ca="1">'GS5337'!E27</f>
        <v>3932.5835825989711</v>
      </c>
      <c r="E10" s="23">
        <f ca="1">'GS5337'!E28</f>
        <v>34.063937367266199</v>
      </c>
      <c r="F10" s="23">
        <f>'Total PTDs'!R80</f>
        <v>857492</v>
      </c>
      <c r="G10" s="103">
        <v>0</v>
      </c>
      <c r="H10" s="133">
        <f ca="1">'GS5337'!$E$38</f>
        <v>3219</v>
      </c>
      <c r="I10" s="155">
        <v>10000</v>
      </c>
      <c r="K10" s="140">
        <f>'SDGs Calculations'!D146</f>
        <v>208.1127321000001</v>
      </c>
      <c r="M10" s="143">
        <f>'SDGs Calculations'!D151</f>
        <v>0.67196153986982254</v>
      </c>
      <c r="O10" s="147">
        <f>'SDGs Calculations'!D157</f>
        <v>1837.0814553</v>
      </c>
      <c r="P10" s="148">
        <f>'Total PTDs'!$O$80</f>
        <v>2353</v>
      </c>
      <c r="R10" s="171">
        <f t="shared" si="0"/>
        <v>515.91854469999998</v>
      </c>
      <c r="S10" s="23"/>
    </row>
    <row r="11" spans="2:19">
      <c r="B11" s="179"/>
      <c r="C11" s="126" t="s">
        <v>23</v>
      </c>
      <c r="D11" s="23">
        <f ca="1">'GS5338'!E27</f>
        <v>4916.380710993426</v>
      </c>
      <c r="E11" s="23">
        <f ca="1">'GS5338'!E28</f>
        <v>42.585562670288382</v>
      </c>
      <c r="F11" s="23">
        <f>'Total PTDs'!R94</f>
        <v>1072007</v>
      </c>
      <c r="G11" s="103">
        <v>0</v>
      </c>
      <c r="H11" s="133">
        <f ca="1">'GS5338'!$E$38</f>
        <v>4024</v>
      </c>
      <c r="I11" s="155">
        <v>10000</v>
      </c>
      <c r="K11" s="140">
        <f>'SDGs Calculations'!D169</f>
        <v>267.01756830000016</v>
      </c>
      <c r="M11" s="143">
        <f>'SDGs Calculations'!D174</f>
        <v>0.67196153986982254</v>
      </c>
      <c r="O11" s="147">
        <f>'SDGs Calculations'!D180</f>
        <v>2357.0543619</v>
      </c>
      <c r="P11" s="148">
        <f>'Total PTDs'!$O$94</f>
        <v>3019</v>
      </c>
      <c r="R11" s="171">
        <f t="shared" si="0"/>
        <v>661.9456381</v>
      </c>
      <c r="S11" s="23"/>
    </row>
    <row r="12" spans="2:19">
      <c r="B12" s="179"/>
      <c r="C12" s="126" t="s">
        <v>24</v>
      </c>
      <c r="D12" s="23">
        <f ca="1">'GS5339'!E27</f>
        <v>4398.045307663132</v>
      </c>
      <c r="E12" s="23">
        <f ca="1">'GS5339'!E28</f>
        <v>38.095754801383308</v>
      </c>
      <c r="F12" s="23">
        <f>'Total PTDs'!R108</f>
        <v>958985</v>
      </c>
      <c r="G12" s="103">
        <v>0</v>
      </c>
      <c r="H12" s="133">
        <f ca="1">'GS5339'!$E$38</f>
        <v>3600</v>
      </c>
      <c r="I12" s="155">
        <v>10000</v>
      </c>
      <c r="K12" s="140">
        <f>'SDGs Calculations'!D192</f>
        <v>236.23846470000015</v>
      </c>
      <c r="M12" s="143">
        <f>'SDGs Calculations'!D197</f>
        <v>0.67196153986982254</v>
      </c>
      <c r="O12" s="147">
        <f>'SDGs Calculations'!D203</f>
        <v>2085.3568071000004</v>
      </c>
      <c r="P12" s="148">
        <f>'Total PTDs'!$O$108</f>
        <v>2671</v>
      </c>
      <c r="R12" s="171">
        <f t="shared" si="0"/>
        <v>585.64319289999958</v>
      </c>
      <c r="S12" s="23"/>
    </row>
    <row r="13" spans="2:19">
      <c r="B13" s="179"/>
      <c r="C13" s="126" t="s">
        <v>25</v>
      </c>
      <c r="D13" s="23">
        <f ca="1">'GS5340'!E27</f>
        <v>5008.4384214484617</v>
      </c>
      <c r="E13" s="23">
        <f ca="1">'GS5340'!E28</f>
        <v>43.382964179309042</v>
      </c>
      <c r="F13" s="23">
        <f>'Total PTDs'!R124</f>
        <v>1092080</v>
      </c>
      <c r="G13" s="103">
        <v>0</v>
      </c>
      <c r="H13" s="133">
        <f ca="1">'GS5340'!$E$38</f>
        <v>4100</v>
      </c>
      <c r="I13" s="155">
        <v>10000</v>
      </c>
      <c r="K13" s="140">
        <f>'SDGs Calculations'!D215</f>
        <v>264.62953440000013</v>
      </c>
      <c r="M13" s="143">
        <f>'SDGs Calculations'!D220</f>
        <v>0.67196153986982254</v>
      </c>
      <c r="O13" s="147">
        <f>'SDGs Calculations'!D226</f>
        <v>2335.9743791999999</v>
      </c>
      <c r="P13" s="148">
        <f>'Total PTDs'!$O$124</f>
        <v>2992</v>
      </c>
      <c r="R13" s="171">
        <f t="shared" si="0"/>
        <v>656.02562080000007</v>
      </c>
      <c r="S13" s="23"/>
    </row>
    <row r="14" spans="2:19">
      <c r="B14" s="179"/>
      <c r="C14" s="126" t="s">
        <v>26</v>
      </c>
      <c r="D14" s="23">
        <f ca="1">'GS5341'!E27</f>
        <v>5137.8778086792163</v>
      </c>
      <c r="E14" s="23">
        <f ca="1">'GS5341'!E28</f>
        <v>44.504164806549561</v>
      </c>
      <c r="F14" s="23">
        <f>'Total PTDs'!R139</f>
        <v>1120304</v>
      </c>
      <c r="G14" s="103">
        <v>0</v>
      </c>
      <c r="H14" s="133">
        <f ca="1">'GS5341'!$E$38</f>
        <v>4206</v>
      </c>
      <c r="I14" s="155">
        <v>10000</v>
      </c>
      <c r="K14" s="140">
        <f>'SDGs Calculations'!D238</f>
        <v>280.28442330000019</v>
      </c>
      <c r="M14" s="143">
        <f>'SDGs Calculations'!D243</f>
        <v>0.67196153986982254</v>
      </c>
      <c r="O14" s="147">
        <f>'SDGs Calculations'!D249</f>
        <v>2474.1653769</v>
      </c>
      <c r="P14" s="148">
        <f>'Total PTDs'!$O$139</f>
        <v>3169</v>
      </c>
      <c r="R14" s="171">
        <f t="shared" si="0"/>
        <v>694.83462310000004</v>
      </c>
      <c r="S14" s="23"/>
    </row>
    <row r="15" spans="2:19">
      <c r="B15" s="179"/>
      <c r="C15" s="126" t="s">
        <v>27</v>
      </c>
      <c r="D15" s="23">
        <f ca="1">'GS5342'!E27</f>
        <v>4164.4040951322813</v>
      </c>
      <c r="E15" s="23">
        <f ca="1">'GS5342'!E28</f>
        <v>36.07196065616052</v>
      </c>
      <c r="F15" s="23">
        <f>'Total PTDs'!R153</f>
        <v>908040</v>
      </c>
      <c r="G15" s="103">
        <v>0</v>
      </c>
      <c r="H15" s="133">
        <f ca="1">'GS5342'!$E$38</f>
        <v>3409</v>
      </c>
      <c r="I15" s="155">
        <v>10000</v>
      </c>
      <c r="K15" s="140">
        <f>'SDGs Calculations'!D261</f>
        <v>223.41383820000013</v>
      </c>
      <c r="M15" s="143">
        <f>'SDGs Calculations'!D266</f>
        <v>0.67196153986982254</v>
      </c>
      <c r="O15" s="147">
        <f>'SDGs Calculations'!D272</f>
        <v>1972.1494926</v>
      </c>
      <c r="P15" s="148">
        <f>'Total PTDs'!$O$153</f>
        <v>2526</v>
      </c>
      <c r="R15" s="171">
        <f t="shared" si="0"/>
        <v>553.85050739999997</v>
      </c>
      <c r="S15" s="23"/>
    </row>
    <row r="16" spans="2:19">
      <c r="B16" s="179"/>
      <c r="C16" s="126" t="s">
        <v>28</v>
      </c>
      <c r="D16" s="23">
        <f ca="1">'GS5343'!E27</f>
        <v>4780.7821295644408</v>
      </c>
      <c r="E16" s="23">
        <f ca="1">'GS5343'!E28</f>
        <v>41.411011262067731</v>
      </c>
      <c r="F16" s="23">
        <f>'Total PTDs'!R168</f>
        <v>1042440</v>
      </c>
      <c r="G16" s="103">
        <v>0</v>
      </c>
      <c r="H16" s="133">
        <f ca="1">'GS5343'!$E$38</f>
        <v>3913</v>
      </c>
      <c r="I16" s="155">
        <v>10000</v>
      </c>
      <c r="K16" s="140">
        <f>'SDGs Calculations'!D284</f>
        <v>252.60091920000016</v>
      </c>
      <c r="M16" s="143">
        <f>'SDGs Calculations'!D289</f>
        <v>0.67196153986982254</v>
      </c>
      <c r="O16" s="147">
        <f>'SDGs Calculations'!D295</f>
        <v>2229.7937256</v>
      </c>
      <c r="P16" s="148">
        <f>'Total PTDs'!$O$168</f>
        <v>2856</v>
      </c>
      <c r="R16" s="171">
        <f t="shared" si="0"/>
        <v>626.20627439999998</v>
      </c>
      <c r="S16" s="23"/>
    </row>
    <row r="17" spans="2:19">
      <c r="B17" s="179"/>
      <c r="C17" s="126" t="s">
        <v>29</v>
      </c>
      <c r="D17" s="23">
        <f ca="1">'GS5344'!E27</f>
        <v>4899.1505601350809</v>
      </c>
      <c r="E17" s="23">
        <f ca="1">'GS5344'!E28</f>
        <v>42.436315548812246</v>
      </c>
      <c r="F17" s="23">
        <f>'Total PTDs'!R181</f>
        <v>1068250</v>
      </c>
      <c r="G17" s="103">
        <v>0</v>
      </c>
      <c r="H17" s="133">
        <f ca="1">'GS5344'!$E$38</f>
        <v>4010</v>
      </c>
      <c r="I17" s="155">
        <v>10000</v>
      </c>
      <c r="K17" s="140">
        <f>'SDGs Calculations'!D307</f>
        <v>263.39129460000015</v>
      </c>
      <c r="M17" s="143">
        <f>'SDGs Calculations'!D312</f>
        <v>0.67196153986982254</v>
      </c>
      <c r="O17" s="147">
        <f>'SDGs Calculations'!D318</f>
        <v>2325.0440177999999</v>
      </c>
      <c r="P17" s="148">
        <f>'Total PTDs'!$O$181</f>
        <v>2978</v>
      </c>
      <c r="R17" s="171">
        <f t="shared" si="0"/>
        <v>652.95598220000011</v>
      </c>
      <c r="S17" s="23"/>
    </row>
    <row r="18" spans="2:19">
      <c r="B18" s="179"/>
      <c r="C18" s="126" t="s">
        <v>30</v>
      </c>
      <c r="D18" s="23">
        <f ca="1">'GS5437'!E27</f>
        <v>3508.4017584866251</v>
      </c>
      <c r="E18" s="23">
        <f ca="1">'GS5437'!E28</f>
        <v>30.389685368445004</v>
      </c>
      <c r="F18" s="23">
        <f>'Total PTDs'!R190</f>
        <v>765000</v>
      </c>
      <c r="G18" s="103">
        <v>0</v>
      </c>
      <c r="H18" s="133">
        <f ca="1">'GS5437'!$E$38</f>
        <v>2872</v>
      </c>
      <c r="I18" s="155">
        <v>10000</v>
      </c>
      <c r="K18" s="140">
        <f>'SDGs Calculations'!D330</f>
        <v>185.73597000000012</v>
      </c>
      <c r="M18" s="143">
        <f>'SDGs Calculations'!D335</f>
        <v>0.67196153986982254</v>
      </c>
      <c r="O18" s="147">
        <f>'SDGs Calculations'!D341</f>
        <v>1639.55421</v>
      </c>
      <c r="P18" s="148">
        <f>'Total PTDs'!$O$190</f>
        <v>2100</v>
      </c>
      <c r="R18" s="171">
        <f t="shared" si="0"/>
        <v>460.44578999999999</v>
      </c>
      <c r="S18" s="23"/>
    </row>
    <row r="19" spans="2:19">
      <c r="B19" s="179"/>
      <c r="C19" s="126" t="s">
        <v>31</v>
      </c>
      <c r="D19" s="23">
        <f ca="1">'GS5438'!E27</f>
        <v>3487.6723781619721</v>
      </c>
      <c r="E19" s="23">
        <f ca="1">'GS5438'!E28</f>
        <v>30.21012801175824</v>
      </c>
      <c r="F19" s="23">
        <f>'Total PTDs'!R201</f>
        <v>760480</v>
      </c>
      <c r="G19" s="103">
        <v>0</v>
      </c>
      <c r="H19" s="133">
        <f ca="1">'GS5438'!$E$38</f>
        <v>2855</v>
      </c>
      <c r="I19" s="155">
        <v>10000</v>
      </c>
      <c r="K19" s="140">
        <f>'SDGs Calculations'!D353</f>
        <v>198.29525940000011</v>
      </c>
      <c r="M19" s="143">
        <f>'SDGs Calculations'!D358</f>
        <v>0.67196153986982254</v>
      </c>
      <c r="O19" s="147">
        <f>'SDGs Calculations'!D364</f>
        <v>1750.4193041999999</v>
      </c>
      <c r="P19" s="148">
        <f>'Total PTDs'!$O$201</f>
        <v>2242</v>
      </c>
      <c r="R19" s="171">
        <f t="shared" si="0"/>
        <v>491.58069580000006</v>
      </c>
      <c r="S19" s="23"/>
    </row>
    <row r="20" spans="2:19">
      <c r="B20" s="179"/>
      <c r="C20" s="126" t="s">
        <v>32</v>
      </c>
      <c r="D20" s="23">
        <f ca="1">'GS5439'!E27</f>
        <v>4417.5364285436144</v>
      </c>
      <c r="E20" s="23">
        <f ca="1">'GS5439'!E28</f>
        <v>38.264586386763561</v>
      </c>
      <c r="F20" s="23">
        <f>'Total PTDs'!R212</f>
        <v>963235</v>
      </c>
      <c r="G20" s="103">
        <v>0</v>
      </c>
      <c r="H20" s="133">
        <f ca="1">'GS5439'!$E$38</f>
        <v>3616</v>
      </c>
      <c r="I20" s="155">
        <v>10000</v>
      </c>
      <c r="K20" s="140">
        <f>'SDGs Calculations'!D376</f>
        <v>233.40820230000014</v>
      </c>
      <c r="M20" s="143">
        <f>'SDGs Calculations'!D381</f>
        <v>0.67196153986982254</v>
      </c>
      <c r="O20" s="147">
        <f>'SDGs Calculations'!D387</f>
        <v>2060.3731238999999</v>
      </c>
      <c r="P20" s="148">
        <f>'Total PTDs'!$O$212</f>
        <v>2639</v>
      </c>
      <c r="R20" s="171">
        <f t="shared" si="0"/>
        <v>578.62687610000012</v>
      </c>
      <c r="S20" s="23"/>
    </row>
    <row r="21" spans="2:19">
      <c r="B21" s="179"/>
      <c r="C21" s="126" t="s">
        <v>33</v>
      </c>
      <c r="D21" s="23">
        <f ca="1">'GS5440'!E27</f>
        <v>3750.5502720135451</v>
      </c>
      <c r="E21" s="23">
        <f ca="1">'GS5440'!E28</f>
        <v>32.4871695350514</v>
      </c>
      <c r="F21" s="23">
        <f>'Total PTDs'!R222</f>
        <v>817800</v>
      </c>
      <c r="G21" s="103">
        <v>0</v>
      </c>
      <c r="H21" s="133">
        <f ca="1">'GS5440'!$E$38</f>
        <v>3070</v>
      </c>
      <c r="I21" s="155">
        <v>10000</v>
      </c>
      <c r="K21" s="140">
        <f>'SDGs Calculations'!D399</f>
        <v>212.26968000000011</v>
      </c>
      <c r="M21" s="143">
        <f>'SDGs Calculations'!D404</f>
        <v>0.67196153986982254</v>
      </c>
      <c r="O21" s="147">
        <f>'SDGs Calculations'!D410</f>
        <v>1873.7762399999999</v>
      </c>
      <c r="P21" s="148">
        <f>'Total PTDs'!$O$222</f>
        <v>2400</v>
      </c>
      <c r="R21" s="171">
        <f t="shared" si="0"/>
        <v>526.22376000000008</v>
      </c>
      <c r="S21" s="23"/>
    </row>
    <row r="22" spans="2:19" ht="15" thickBot="1">
      <c r="B22" s="179"/>
      <c r="C22" s="128" t="s">
        <v>34</v>
      </c>
      <c r="D22" s="104">
        <f ca="1">'GS5441'!E27</f>
        <v>3178.978884876045</v>
      </c>
      <c r="E22" s="104">
        <f ca="1">'GS5441'!E28</f>
        <v>27.536232950124219</v>
      </c>
      <c r="F22" s="104">
        <f>'Total PTDs'!R231</f>
        <v>693170</v>
      </c>
      <c r="G22" s="105">
        <v>0</v>
      </c>
      <c r="H22" s="134">
        <f ca="1">'GS5441'!$E$38</f>
        <v>2602</v>
      </c>
      <c r="I22" s="162">
        <v>10000</v>
      </c>
      <c r="K22" s="141">
        <f>'SDGs Calculations'!D422</f>
        <v>174.94559460000008</v>
      </c>
      <c r="M22" s="144">
        <f>'SDGs Calculations'!D427</f>
        <v>0.67196153986982254</v>
      </c>
      <c r="O22" s="150">
        <f>'SDGs Calculations'!D433</f>
        <v>1544.3039177999999</v>
      </c>
      <c r="P22" s="151">
        <f>'Total PTDs'!$O$231</f>
        <v>1978</v>
      </c>
      <c r="R22" s="171">
        <f t="shared" si="0"/>
        <v>433.69608220000009</v>
      </c>
      <c r="S22" s="23"/>
    </row>
    <row r="23" spans="2:19" ht="15.5" thickTop="1" thickBot="1">
      <c r="C23" s="129">
        <f>COUNTA(C4:C22)</f>
        <v>19</v>
      </c>
      <c r="D23" s="130">
        <f t="shared" ref="D23:H23" ca="1" si="1">SUM(D4:D22)</f>
        <v>78581.77878557505</v>
      </c>
      <c r="E23" s="130">
        <f t="shared" ca="1" si="1"/>
        <v>680.67333714268989</v>
      </c>
      <c r="F23" s="130">
        <f t="shared" si="1"/>
        <v>17134600</v>
      </c>
      <c r="G23" s="153">
        <f t="shared" si="1"/>
        <v>0</v>
      </c>
      <c r="H23" s="154">
        <f t="shared" ca="1" si="1"/>
        <v>64324</v>
      </c>
      <c r="I23" s="156">
        <f>SUM(I4:I22)</f>
        <v>190000</v>
      </c>
      <c r="K23" s="132">
        <f>SUM(K4:K22)</f>
        <v>4254.061278600002</v>
      </c>
      <c r="M23" s="168">
        <f>AVERAGE(M4:M22)</f>
        <v>0.67196153986982265</v>
      </c>
      <c r="O23" s="152">
        <f>SUM(O4:O22)</f>
        <v>37552.037329800005</v>
      </c>
      <c r="P23" s="131">
        <f>SUM(P4:P22)</f>
        <v>48098</v>
      </c>
    </row>
    <row r="25" spans="2:19">
      <c r="I25" s="164" t="s">
        <v>35</v>
      </c>
    </row>
  </sheetData>
  <mergeCells count="3">
    <mergeCell ref="B4:B22"/>
    <mergeCell ref="C2:I2"/>
    <mergeCell ref="O2:P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02186-9A47-4081-A08C-0CAE410418CD}">
  <dimension ref="A1:G38"/>
  <sheetViews>
    <sheetView zoomScale="70" zoomScaleNormal="7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PTDs'!R80*0.95</f>
        <v>814617.39999999991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2240.7883661532601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814617.39999999991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19.409650921519201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3932.5835825989711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34.063937367266199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3348.4385232895115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3219.5236401428656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3219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103" priority="2" operator="notEqual">
      <formula>#REF!+#REF!</formula>
    </cfRule>
  </conditionalFormatting>
  <conditionalFormatting sqref="E14">
    <cfRule type="cellIs" dxfId="102" priority="3" operator="notEqual">
      <formula>#REF!+#REF!</formula>
    </cfRule>
  </conditionalFormatting>
  <conditionalFormatting sqref="E18">
    <cfRule type="cellIs" dxfId="101" priority="4" operator="notEqual">
      <formula>#REF!+#REF!</formula>
    </cfRule>
  </conditionalFormatting>
  <conditionalFormatting sqref="E27">
    <cfRule type="cellIs" dxfId="100" priority="5" operator="notEqual">
      <formula>#REF!+#REF!</formula>
    </cfRule>
  </conditionalFormatting>
  <conditionalFormatting sqref="E28">
    <cfRule type="cellIs" dxfId="99" priority="6" operator="notEqual">
      <formula>#REF!+#REF!</formula>
    </cfRule>
  </conditionalFormatting>
  <conditionalFormatting sqref="E31">
    <cfRule type="cellIs" dxfId="98" priority="7" operator="notEqual">
      <formula>#REF!+#REF!</formula>
    </cfRule>
  </conditionalFormatting>
  <conditionalFormatting sqref="E37">
    <cfRule type="cellIs" dxfId="97" priority="8" operator="notEqual">
      <formula>#REF!+#REF!</formula>
    </cfRule>
  </conditionalFormatting>
  <conditionalFormatting sqref="E10">
    <cfRule type="cellIs" dxfId="96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E5D8-A8D5-4C04-8E02-8A34D8957DFE}">
  <dimension ref="A1:G38"/>
  <sheetViews>
    <sheetView zoomScale="70" zoomScaleNormal="7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PTDs'!R94*0.95</f>
        <v>1018406.6499999999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2801.3565304805848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1018406.6499999999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24.265277874808199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4916.380710993426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42.585562670288382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4186.1026528947423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4024.9377007582948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4024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95" priority="2" operator="notEqual">
      <formula>#REF!+#REF!</formula>
    </cfRule>
  </conditionalFormatting>
  <conditionalFormatting sqref="E14">
    <cfRule type="cellIs" dxfId="94" priority="3" operator="notEqual">
      <formula>#REF!+#REF!</formula>
    </cfRule>
  </conditionalFormatting>
  <conditionalFormatting sqref="E18">
    <cfRule type="cellIs" dxfId="93" priority="4" operator="notEqual">
      <formula>#REF!+#REF!</formula>
    </cfRule>
  </conditionalFormatting>
  <conditionalFormatting sqref="E27">
    <cfRule type="cellIs" dxfId="92" priority="5" operator="notEqual">
      <formula>#REF!+#REF!</formula>
    </cfRule>
  </conditionalFormatting>
  <conditionalFormatting sqref="E28">
    <cfRule type="cellIs" dxfId="91" priority="6" operator="notEqual">
      <formula>#REF!+#REF!</formula>
    </cfRule>
  </conditionalFormatting>
  <conditionalFormatting sqref="E31">
    <cfRule type="cellIs" dxfId="90" priority="7" operator="notEqual">
      <formula>#REF!+#REF!</formula>
    </cfRule>
  </conditionalFormatting>
  <conditionalFormatting sqref="E37">
    <cfRule type="cellIs" dxfId="89" priority="8" operator="notEqual">
      <formula>#REF!+#REF!</formula>
    </cfRule>
  </conditionalFormatting>
  <conditionalFormatting sqref="E10">
    <cfRule type="cellIs" dxfId="88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054D-1192-463E-9E50-32537C537162}">
  <dimension ref="A1:G38"/>
  <sheetViews>
    <sheetView zoomScale="70" zoomScaleNormal="7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PTDs'!R108*0.95</f>
        <v>911035.75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2506.008722315175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911035.75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21.706982792811004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4398.045307663132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38.095754801383308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3744.7606709529564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3600.5873851212677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3600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87" priority="2" operator="notEqual">
      <formula>#REF!+#REF!</formula>
    </cfRule>
  </conditionalFormatting>
  <conditionalFormatting sqref="E14">
    <cfRule type="cellIs" dxfId="86" priority="3" operator="notEqual">
      <formula>#REF!+#REF!</formula>
    </cfRule>
  </conditionalFormatting>
  <conditionalFormatting sqref="E18">
    <cfRule type="cellIs" dxfId="85" priority="4" operator="notEqual">
      <formula>#REF!+#REF!</formula>
    </cfRule>
  </conditionalFormatting>
  <conditionalFormatting sqref="E27">
    <cfRule type="cellIs" dxfId="84" priority="5" operator="notEqual">
      <formula>#REF!+#REF!</formula>
    </cfRule>
  </conditionalFormatting>
  <conditionalFormatting sqref="E28">
    <cfRule type="cellIs" dxfId="83" priority="6" operator="notEqual">
      <formula>#REF!+#REF!</formula>
    </cfRule>
  </conditionalFormatting>
  <conditionalFormatting sqref="E31">
    <cfRule type="cellIs" dxfId="82" priority="7" operator="notEqual">
      <formula>#REF!+#REF!</formula>
    </cfRule>
  </conditionalFormatting>
  <conditionalFormatting sqref="E37">
    <cfRule type="cellIs" dxfId="81" priority="8" operator="notEqual">
      <formula>#REF!+#REF!</formula>
    </cfRule>
  </conditionalFormatting>
  <conditionalFormatting sqref="E10">
    <cfRule type="cellIs" dxfId="80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6718-BE75-4F70-9E10-C1AEE3971322}">
  <dimension ref="A1:G38"/>
  <sheetViews>
    <sheetView zoomScale="50" zoomScaleNormal="5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PTDs'!R124*0.95</f>
        <v>1037476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2853.8110663523998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1037476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24.719637709008001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5008.4384214484617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43.382964179309042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4264.4861322484749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4100.3034161569085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4100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79" priority="2" operator="notEqual">
      <formula>#REF!+#REF!</formula>
    </cfRule>
  </conditionalFormatting>
  <conditionalFormatting sqref="E14">
    <cfRule type="cellIs" dxfId="78" priority="3" operator="notEqual">
      <formula>#REF!+#REF!</formula>
    </cfRule>
  </conditionalFormatting>
  <conditionalFormatting sqref="E18">
    <cfRule type="cellIs" dxfId="77" priority="4" operator="notEqual">
      <formula>#REF!+#REF!</formula>
    </cfRule>
  </conditionalFormatting>
  <conditionalFormatting sqref="E27">
    <cfRule type="cellIs" dxfId="76" priority="5" operator="notEqual">
      <formula>#REF!+#REF!</formula>
    </cfRule>
  </conditionalFormatting>
  <conditionalFormatting sqref="E28">
    <cfRule type="cellIs" dxfId="75" priority="6" operator="notEqual">
      <formula>#REF!+#REF!</formula>
    </cfRule>
  </conditionalFormatting>
  <conditionalFormatting sqref="E31">
    <cfRule type="cellIs" dxfId="74" priority="7" operator="notEqual">
      <formula>#REF!+#REF!</formula>
    </cfRule>
  </conditionalFormatting>
  <conditionalFormatting sqref="E37">
    <cfRule type="cellIs" dxfId="73" priority="8" operator="notEqual">
      <formula>#REF!+#REF!</formula>
    </cfRule>
  </conditionalFormatting>
  <conditionalFormatting sqref="E10">
    <cfRule type="cellIs" dxfId="72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F172-6CBD-40F6-BF0B-5368BDD11797}">
  <dimension ref="A1:G38"/>
  <sheetViews>
    <sheetView zoomScale="60" zoomScaleNormal="6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PTDs'!R139*0.95</f>
        <v>1064288.8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2927.5657029511203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1064288.8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25.358498465270404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5137.8778086792163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44.504164806549561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4374.6986227222333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4206.2727257474271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4206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71" priority="2" operator="notEqual">
      <formula>#REF!+#REF!</formula>
    </cfRule>
  </conditionalFormatting>
  <conditionalFormatting sqref="E14">
    <cfRule type="cellIs" dxfId="70" priority="3" operator="notEqual">
      <formula>#REF!+#REF!</formula>
    </cfRule>
  </conditionalFormatting>
  <conditionalFormatting sqref="E18">
    <cfRule type="cellIs" dxfId="69" priority="4" operator="notEqual">
      <formula>#REF!+#REF!</formula>
    </cfRule>
  </conditionalFormatting>
  <conditionalFormatting sqref="E27">
    <cfRule type="cellIs" dxfId="68" priority="5" operator="notEqual">
      <formula>#REF!+#REF!</formula>
    </cfRule>
  </conditionalFormatting>
  <conditionalFormatting sqref="E28">
    <cfRule type="cellIs" dxfId="67" priority="6" operator="notEqual">
      <formula>#REF!+#REF!</formula>
    </cfRule>
  </conditionalFormatting>
  <conditionalFormatting sqref="E31">
    <cfRule type="cellIs" dxfId="66" priority="7" operator="notEqual">
      <formula>#REF!+#REF!</formula>
    </cfRule>
  </conditionalFormatting>
  <conditionalFormatting sqref="E37">
    <cfRule type="cellIs" dxfId="65" priority="8" operator="notEqual">
      <formula>#REF!+#REF!</formula>
    </cfRule>
  </conditionalFormatting>
  <conditionalFormatting sqref="E10">
    <cfRule type="cellIs" dxfId="64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E28C-03AC-4EC9-9043-6A4CF320A83E}">
  <dimension ref="A1:G38"/>
  <sheetViews>
    <sheetView zoomScale="60" zoomScaleNormal="6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PTDs'!R153*0.95</f>
        <v>862638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2372.8798262862001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862638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20.553823735704004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4164.4040951322813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36.07196065616052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3545.8244703015403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3409.3102281949309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3409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63" priority="2" operator="notEqual">
      <formula>#REF!+#REF!</formula>
    </cfRule>
  </conditionalFormatting>
  <conditionalFormatting sqref="E14">
    <cfRule type="cellIs" dxfId="62" priority="3" operator="notEqual">
      <formula>#REF!+#REF!</formula>
    </cfRule>
  </conditionalFormatting>
  <conditionalFormatting sqref="E18">
    <cfRule type="cellIs" dxfId="61" priority="4" operator="notEqual">
      <formula>#REF!+#REF!</formula>
    </cfRule>
  </conditionalFormatting>
  <conditionalFormatting sqref="E27">
    <cfRule type="cellIs" dxfId="60" priority="5" operator="notEqual">
      <formula>#REF!+#REF!</formula>
    </cfRule>
  </conditionalFormatting>
  <conditionalFormatting sqref="E28">
    <cfRule type="cellIs" dxfId="59" priority="6" operator="notEqual">
      <formula>#REF!+#REF!</formula>
    </cfRule>
  </conditionalFormatting>
  <conditionalFormatting sqref="E31">
    <cfRule type="cellIs" dxfId="58" priority="7" operator="notEqual">
      <formula>#REF!+#REF!</formula>
    </cfRule>
  </conditionalFormatting>
  <conditionalFormatting sqref="E37">
    <cfRule type="cellIs" dxfId="57" priority="8" operator="notEqual">
      <formula>#REF!+#REF!</formula>
    </cfRule>
  </conditionalFormatting>
  <conditionalFormatting sqref="E10">
    <cfRule type="cellIs" dxfId="56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1EDC2-5ADD-47E4-B21B-3EC237BDA1DA}">
  <dimension ref="A1:G38"/>
  <sheetViews>
    <sheetView zoomScale="60" zoomScaleNormal="6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PTDs'!R168*0.95</f>
        <v>990318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2724.0923815182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990318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23.596017813144005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4780.7821295644408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41.411011262067731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4070.6458535099086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3913.9259881497774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3913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55" priority="2" operator="notEqual">
      <formula>#REF!+#REF!</formula>
    </cfRule>
  </conditionalFormatting>
  <conditionalFormatting sqref="E14">
    <cfRule type="cellIs" dxfId="54" priority="3" operator="notEqual">
      <formula>#REF!+#REF!</formula>
    </cfRule>
  </conditionalFormatting>
  <conditionalFormatting sqref="E18">
    <cfRule type="cellIs" dxfId="53" priority="4" operator="notEqual">
      <formula>#REF!+#REF!</formula>
    </cfRule>
  </conditionalFormatting>
  <conditionalFormatting sqref="E27">
    <cfRule type="cellIs" dxfId="52" priority="5" operator="notEqual">
      <formula>#REF!+#REF!</formula>
    </cfRule>
  </conditionalFormatting>
  <conditionalFormatting sqref="E28">
    <cfRule type="cellIs" dxfId="51" priority="6" operator="notEqual">
      <formula>#REF!+#REF!</formula>
    </cfRule>
  </conditionalFormatting>
  <conditionalFormatting sqref="E31">
    <cfRule type="cellIs" dxfId="50" priority="7" operator="notEqual">
      <formula>#REF!+#REF!</formula>
    </cfRule>
  </conditionalFormatting>
  <conditionalFormatting sqref="E37">
    <cfRule type="cellIs" dxfId="49" priority="8" operator="notEqual">
      <formula>#REF!+#REF!</formula>
    </cfRule>
  </conditionalFormatting>
  <conditionalFormatting sqref="E10">
    <cfRule type="cellIs" dxfId="48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7B79-D08A-4A92-9DEA-74F7D129B97A}">
  <dimension ref="A1:G38"/>
  <sheetViews>
    <sheetView zoomScale="70" zoomScaleNormal="7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PTDs'!R181*0.95</f>
        <v>1014837.5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2791.53878070375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1014837.5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24.18023677995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4899.1505601350809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42.436315548812246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4171.4318646751453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4010.8317378851525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4010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47" priority="2" operator="notEqual">
      <formula>#REF!+#REF!</formula>
    </cfRule>
  </conditionalFormatting>
  <conditionalFormatting sqref="E14">
    <cfRule type="cellIs" dxfId="46" priority="3" operator="notEqual">
      <formula>#REF!+#REF!</formula>
    </cfRule>
  </conditionalFormatting>
  <conditionalFormatting sqref="E18">
    <cfRule type="cellIs" dxfId="45" priority="4" operator="notEqual">
      <formula>#REF!+#REF!</formula>
    </cfRule>
  </conditionalFormatting>
  <conditionalFormatting sqref="E27">
    <cfRule type="cellIs" dxfId="44" priority="5" operator="notEqual">
      <formula>#REF!+#REF!</formula>
    </cfRule>
  </conditionalFormatting>
  <conditionalFormatting sqref="E28">
    <cfRule type="cellIs" dxfId="43" priority="6" operator="notEqual">
      <formula>#REF!+#REF!</formula>
    </cfRule>
  </conditionalFormatting>
  <conditionalFormatting sqref="E31">
    <cfRule type="cellIs" dxfId="42" priority="7" operator="notEqual">
      <formula>#REF!+#REF!</formula>
    </cfRule>
  </conditionalFormatting>
  <conditionalFormatting sqref="E37">
    <cfRule type="cellIs" dxfId="41" priority="8" operator="notEqual">
      <formula>#REF!+#REF!</formula>
    </cfRule>
  </conditionalFormatting>
  <conditionalFormatting sqref="E10">
    <cfRule type="cellIs" dxfId="40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ED0BD-6D81-4E35-A4DA-1CCE19E8996A}">
  <dimension ref="A1:G38"/>
  <sheetViews>
    <sheetView zoomScale="60" zoomScaleNormal="6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PTDs'!R190*0.95</f>
        <v>726750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1999.089321075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726750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17.316060039000003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3508.4017584866251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30.389685368445004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2987.264569601205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2872.2548836715587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2872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39" priority="2" operator="notEqual">
      <formula>#REF!+#REF!</formula>
    </cfRule>
  </conditionalFormatting>
  <conditionalFormatting sqref="E14">
    <cfRule type="cellIs" dxfId="38" priority="3" operator="notEqual">
      <formula>#REF!+#REF!</formula>
    </cfRule>
  </conditionalFormatting>
  <conditionalFormatting sqref="E18">
    <cfRule type="cellIs" dxfId="37" priority="4" operator="notEqual">
      <formula>#REF!+#REF!</formula>
    </cfRule>
  </conditionalFormatting>
  <conditionalFormatting sqref="E27">
    <cfRule type="cellIs" dxfId="36" priority="5" operator="notEqual">
      <formula>#REF!+#REF!</formula>
    </cfRule>
  </conditionalFormatting>
  <conditionalFormatting sqref="E28">
    <cfRule type="cellIs" dxfId="35" priority="6" operator="notEqual">
      <formula>#REF!+#REF!</formula>
    </cfRule>
  </conditionalFormatting>
  <conditionalFormatting sqref="E31">
    <cfRule type="cellIs" dxfId="34" priority="7" operator="notEqual">
      <formula>#REF!+#REF!</formula>
    </cfRule>
  </conditionalFormatting>
  <conditionalFormatting sqref="E37">
    <cfRule type="cellIs" dxfId="33" priority="8" operator="notEqual">
      <formula>#REF!+#REF!</formula>
    </cfRule>
  </conditionalFormatting>
  <conditionalFormatting sqref="E10">
    <cfRule type="cellIs" dxfId="32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DF54-0795-440D-9821-D96487EA133F}">
  <dimension ref="A1:G38"/>
  <sheetViews>
    <sheetView zoomScale="60" zoomScaleNormal="6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PTDs'!R201*0.95</f>
        <v>722456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1987.2777083544001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722456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17.213748154848002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3487.6723781619721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30.21012801175824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2969.6143266540189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2855.2841750778393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2855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31" priority="2" operator="notEqual">
      <formula>#REF!+#REF!</formula>
    </cfRule>
  </conditionalFormatting>
  <conditionalFormatting sqref="E14">
    <cfRule type="cellIs" dxfId="30" priority="3" operator="notEqual">
      <formula>#REF!+#REF!</formula>
    </cfRule>
  </conditionalFormatting>
  <conditionalFormatting sqref="E18">
    <cfRule type="cellIs" dxfId="29" priority="4" operator="notEqual">
      <formula>#REF!+#REF!</formula>
    </cfRule>
  </conditionalFormatting>
  <conditionalFormatting sqref="E27">
    <cfRule type="cellIs" dxfId="28" priority="5" operator="notEqual">
      <formula>#REF!+#REF!</formula>
    </cfRule>
  </conditionalFormatting>
  <conditionalFormatting sqref="E28">
    <cfRule type="cellIs" dxfId="27" priority="6" operator="notEqual">
      <formula>#REF!+#REF!</formula>
    </cfRule>
  </conditionalFormatting>
  <conditionalFormatting sqref="E31">
    <cfRule type="cellIs" dxfId="26" priority="7" operator="notEqual">
      <formula>#REF!+#REF!</formula>
    </cfRule>
  </conditionalFormatting>
  <conditionalFormatting sqref="E37">
    <cfRule type="cellIs" dxfId="25" priority="8" operator="notEqual">
      <formula>#REF!+#REF!</formula>
    </cfRule>
  </conditionalFormatting>
  <conditionalFormatting sqref="E10">
    <cfRule type="cellIs" dxfId="24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DAD6B-6EEE-4159-9A35-76A3915BA506}">
  <dimension ref="B2:V233"/>
  <sheetViews>
    <sheetView zoomScale="80" zoomScaleNormal="80" workbookViewId="0">
      <selection activeCell="P233" sqref="P233"/>
    </sheetView>
  </sheetViews>
  <sheetFormatPr defaultRowHeight="14.5"/>
  <cols>
    <col min="1" max="1" width="1.1796875" customWidth="1"/>
    <col min="2" max="2" width="18.453125" customWidth="1"/>
    <col min="3" max="3" width="16.54296875" customWidth="1"/>
    <col min="4" max="4" width="13.7265625" customWidth="1"/>
    <col min="5" max="5" width="8.1796875" style="53" customWidth="1"/>
    <col min="6" max="6" width="12.453125" style="53" customWidth="1"/>
    <col min="7" max="7" width="11.81640625" style="53" customWidth="1"/>
    <col min="8" max="8" width="11.54296875" style="53" customWidth="1"/>
    <col min="9" max="9" width="11.26953125" style="53" customWidth="1"/>
    <col min="10" max="10" width="14.26953125" style="53" customWidth="1"/>
    <col min="11" max="11" width="17.453125" style="53" customWidth="1"/>
    <col min="12" max="12" width="12.54296875" customWidth="1"/>
    <col min="13" max="13" width="11.54296875" style="53" customWidth="1"/>
    <col min="14" max="15" width="13.26953125" style="23" customWidth="1"/>
    <col min="16" max="16" width="10.81640625" style="53" customWidth="1"/>
    <col min="17" max="17" width="12.81640625" style="79" customWidth="1"/>
    <col min="18" max="18" width="14.81640625" style="79" bestFit="1" customWidth="1"/>
    <col min="19" max="19" width="14.81640625" style="79" customWidth="1"/>
    <col min="20" max="20" width="3.54296875" customWidth="1"/>
    <col min="21" max="21" width="13.54296875" bestFit="1" customWidth="1"/>
    <col min="22" max="22" width="11.54296875" bestFit="1" customWidth="1"/>
    <col min="23" max="23" width="11" bestFit="1" customWidth="1"/>
  </cols>
  <sheetData>
    <row r="2" spans="2:22">
      <c r="B2" s="187" t="s">
        <v>36</v>
      </c>
      <c r="C2" s="185"/>
      <c r="D2" s="185"/>
      <c r="E2" s="185"/>
      <c r="F2" s="185"/>
      <c r="G2" s="185"/>
      <c r="H2" s="185"/>
      <c r="I2" s="185"/>
      <c r="J2" s="185"/>
      <c r="K2" s="186"/>
      <c r="L2" s="187" t="s">
        <v>37</v>
      </c>
      <c r="M2" s="186"/>
      <c r="N2" s="188" t="s">
        <v>38</v>
      </c>
      <c r="O2" s="189"/>
      <c r="P2" s="185"/>
      <c r="Q2" s="185"/>
      <c r="R2" s="186"/>
      <c r="S2" s="172"/>
    </row>
    <row r="3" spans="2:22" ht="43.5">
      <c r="B3" s="61" t="s">
        <v>39</v>
      </c>
      <c r="C3" s="30" t="s">
        <v>40</v>
      </c>
      <c r="D3" s="29" t="s">
        <v>41</v>
      </c>
      <c r="E3" s="30" t="s">
        <v>42</v>
      </c>
      <c r="F3" s="31" t="s">
        <v>43</v>
      </c>
      <c r="G3" s="29" t="s">
        <v>44</v>
      </c>
      <c r="H3" s="30" t="s">
        <v>45</v>
      </c>
      <c r="I3" s="30" t="s">
        <v>46</v>
      </c>
      <c r="J3" s="30" t="s">
        <v>47</v>
      </c>
      <c r="K3" s="30" t="s">
        <v>48</v>
      </c>
      <c r="L3" s="52" t="s">
        <v>49</v>
      </c>
      <c r="M3" s="62" t="s">
        <v>50</v>
      </c>
      <c r="N3" s="123" t="s">
        <v>51</v>
      </c>
      <c r="O3" s="123" t="s">
        <v>52</v>
      </c>
      <c r="P3" s="52" t="s">
        <v>53</v>
      </c>
      <c r="Q3" s="80" t="s">
        <v>54</v>
      </c>
      <c r="R3" s="80" t="s">
        <v>55</v>
      </c>
      <c r="S3" s="173" t="s">
        <v>56</v>
      </c>
      <c r="U3" s="70" t="s">
        <v>57</v>
      </c>
      <c r="V3" s="68">
        <v>44196</v>
      </c>
    </row>
    <row r="4" spans="2:22">
      <c r="B4" s="32" t="s">
        <v>58</v>
      </c>
      <c r="C4" s="40"/>
      <c r="D4" s="40"/>
      <c r="E4" s="41"/>
      <c r="F4" s="41"/>
      <c r="G4" s="41"/>
      <c r="H4" s="41"/>
      <c r="I4" s="41"/>
      <c r="J4" s="41"/>
      <c r="K4" s="41"/>
      <c r="L4" s="65"/>
      <c r="M4" s="42"/>
      <c r="N4" s="75"/>
      <c r="O4" s="75"/>
      <c r="P4" s="42"/>
      <c r="Q4" s="84"/>
      <c r="R4" s="85"/>
      <c r="S4" s="174"/>
      <c r="U4" s="71" t="s">
        <v>59</v>
      </c>
      <c r="V4" s="69">
        <v>44197</v>
      </c>
    </row>
    <row r="5" spans="2:22">
      <c r="B5" s="33" t="s">
        <v>60</v>
      </c>
      <c r="C5" s="34" t="s">
        <v>61</v>
      </c>
      <c r="D5" s="34" t="s">
        <v>62</v>
      </c>
      <c r="E5" s="43" t="s">
        <v>63</v>
      </c>
      <c r="F5" s="43">
        <v>-13.53436506434649</v>
      </c>
      <c r="G5" s="43">
        <v>33.473893391701459</v>
      </c>
      <c r="H5" s="43" t="s">
        <v>64</v>
      </c>
      <c r="I5" s="43" t="s">
        <v>65</v>
      </c>
      <c r="J5" s="35">
        <v>42357</v>
      </c>
      <c r="K5" s="35">
        <v>42358</v>
      </c>
      <c r="L5" s="66">
        <v>44197</v>
      </c>
      <c r="M5" s="67">
        <v>44561</v>
      </c>
      <c r="N5" s="73">
        <v>325</v>
      </c>
      <c r="O5" s="73">
        <f t="shared" ref="O5:O13" si="0">IF(N5&gt;300,300,N5)</f>
        <v>300</v>
      </c>
      <c r="P5" s="63">
        <v>0</v>
      </c>
      <c r="Q5" s="81">
        <f>M5-$V$3-P5</f>
        <v>365</v>
      </c>
      <c r="R5" s="72">
        <f t="shared" ref="R5:R13" si="1">Q5*O5</f>
        <v>109500</v>
      </c>
      <c r="S5" s="175">
        <f>SUM(P5)/SUM(P5:Q5)</f>
        <v>0</v>
      </c>
    </row>
    <row r="6" spans="2:22">
      <c r="B6" s="33" t="s">
        <v>66</v>
      </c>
      <c r="C6" s="34" t="s">
        <v>67</v>
      </c>
      <c r="D6" s="34" t="s">
        <v>67</v>
      </c>
      <c r="E6" s="43" t="s">
        <v>63</v>
      </c>
      <c r="F6" s="43">
        <v>-13.477744658553071</v>
      </c>
      <c r="G6" s="43">
        <v>33.644050270980323</v>
      </c>
      <c r="H6" s="43" t="s">
        <v>64</v>
      </c>
      <c r="I6" s="43" t="s">
        <v>65</v>
      </c>
      <c r="J6" s="35">
        <v>42371</v>
      </c>
      <c r="K6" s="35">
        <v>42372</v>
      </c>
      <c r="L6" s="66">
        <v>44197</v>
      </c>
      <c r="M6" s="67">
        <v>44561</v>
      </c>
      <c r="N6" s="73">
        <v>334</v>
      </c>
      <c r="O6" s="73">
        <f t="shared" si="0"/>
        <v>300</v>
      </c>
      <c r="P6" s="63">
        <v>0</v>
      </c>
      <c r="Q6" s="81">
        <f t="shared" ref="Q6:Q13" si="2">M6-$V$3-P6</f>
        <v>365</v>
      </c>
      <c r="R6" s="72">
        <f t="shared" si="1"/>
        <v>109500</v>
      </c>
      <c r="S6" s="175">
        <f t="shared" ref="S6:S13" si="3">SUM(P6)/SUM(P6:Q6)</f>
        <v>0</v>
      </c>
    </row>
    <row r="7" spans="2:22">
      <c r="B7" s="33" t="s">
        <v>68</v>
      </c>
      <c r="C7" s="34" t="s">
        <v>69</v>
      </c>
      <c r="D7" s="34" t="s">
        <v>70</v>
      </c>
      <c r="E7" s="43" t="s">
        <v>63</v>
      </c>
      <c r="F7" s="43">
        <v>-13.551755351702935</v>
      </c>
      <c r="G7" s="43">
        <v>33.477375135663443</v>
      </c>
      <c r="H7" s="43" t="s">
        <v>64</v>
      </c>
      <c r="I7" s="43" t="s">
        <v>65</v>
      </c>
      <c r="J7" s="35">
        <v>42371</v>
      </c>
      <c r="K7" s="35">
        <v>42372</v>
      </c>
      <c r="L7" s="66">
        <v>44197</v>
      </c>
      <c r="M7" s="67">
        <v>44561</v>
      </c>
      <c r="N7" s="73">
        <v>175</v>
      </c>
      <c r="O7" s="73">
        <f>IF(N7&gt;300,300,N7)</f>
        <v>175</v>
      </c>
      <c r="P7" s="63">
        <v>0</v>
      </c>
      <c r="Q7" s="81">
        <f t="shared" si="2"/>
        <v>365</v>
      </c>
      <c r="R7" s="72">
        <f t="shared" si="1"/>
        <v>63875</v>
      </c>
      <c r="S7" s="175">
        <f t="shared" si="3"/>
        <v>0</v>
      </c>
    </row>
    <row r="8" spans="2:22">
      <c r="B8" s="33" t="s">
        <v>71</v>
      </c>
      <c r="C8" s="34" t="s">
        <v>72</v>
      </c>
      <c r="D8" s="34" t="s">
        <v>73</v>
      </c>
      <c r="E8" s="43" t="s">
        <v>63</v>
      </c>
      <c r="F8" s="43">
        <v>-13.540630220684022</v>
      </c>
      <c r="G8" s="43">
        <v>33.524235940503289</v>
      </c>
      <c r="H8" s="43" t="s">
        <v>64</v>
      </c>
      <c r="I8" s="43" t="s">
        <v>65</v>
      </c>
      <c r="J8" s="35">
        <v>42373</v>
      </c>
      <c r="K8" s="35">
        <v>42374</v>
      </c>
      <c r="L8" s="66">
        <v>44197</v>
      </c>
      <c r="M8" s="67">
        <v>44561</v>
      </c>
      <c r="N8" s="73">
        <v>290</v>
      </c>
      <c r="O8" s="73">
        <f t="shared" si="0"/>
        <v>290</v>
      </c>
      <c r="P8" s="63">
        <v>0</v>
      </c>
      <c r="Q8" s="81">
        <f t="shared" si="2"/>
        <v>365</v>
      </c>
      <c r="R8" s="72">
        <f t="shared" si="1"/>
        <v>105850</v>
      </c>
      <c r="S8" s="175">
        <f t="shared" si="3"/>
        <v>0</v>
      </c>
    </row>
    <row r="9" spans="2:22">
      <c r="B9" s="33" t="s">
        <v>74</v>
      </c>
      <c r="C9" s="34" t="s">
        <v>75</v>
      </c>
      <c r="D9" s="34" t="s">
        <v>76</v>
      </c>
      <c r="E9" s="43" t="s">
        <v>63</v>
      </c>
      <c r="F9" s="43">
        <v>-13.659087557909077</v>
      </c>
      <c r="G9" s="43">
        <v>33.690908116232748</v>
      </c>
      <c r="H9" s="43" t="s">
        <v>64</v>
      </c>
      <c r="I9" s="43" t="s">
        <v>65</v>
      </c>
      <c r="J9" s="35">
        <v>42376</v>
      </c>
      <c r="K9" s="35">
        <v>42377</v>
      </c>
      <c r="L9" s="66">
        <v>44197</v>
      </c>
      <c r="M9" s="67">
        <v>44561</v>
      </c>
      <c r="N9" s="73">
        <v>266</v>
      </c>
      <c r="O9" s="73">
        <f t="shared" si="0"/>
        <v>266</v>
      </c>
      <c r="P9" s="63">
        <v>0</v>
      </c>
      <c r="Q9" s="81">
        <f t="shared" si="2"/>
        <v>365</v>
      </c>
      <c r="R9" s="72">
        <f t="shared" si="1"/>
        <v>97090</v>
      </c>
      <c r="S9" s="175">
        <f t="shared" si="3"/>
        <v>0</v>
      </c>
    </row>
    <row r="10" spans="2:22">
      <c r="B10" s="33" t="s">
        <v>77</v>
      </c>
      <c r="C10" s="34" t="s">
        <v>78</v>
      </c>
      <c r="D10" s="34" t="s">
        <v>79</v>
      </c>
      <c r="E10" s="43" t="s">
        <v>63</v>
      </c>
      <c r="F10" s="43">
        <v>-13.804046425237678</v>
      </c>
      <c r="G10" s="43">
        <v>33.494407758806091</v>
      </c>
      <c r="H10" s="43" t="s">
        <v>64</v>
      </c>
      <c r="I10" s="43" t="s">
        <v>65</v>
      </c>
      <c r="J10" s="35">
        <v>42378</v>
      </c>
      <c r="K10" s="35">
        <v>42379</v>
      </c>
      <c r="L10" s="66">
        <v>44197</v>
      </c>
      <c r="M10" s="67">
        <v>44561</v>
      </c>
      <c r="N10" s="73">
        <v>205</v>
      </c>
      <c r="O10" s="73">
        <f t="shared" si="0"/>
        <v>205</v>
      </c>
      <c r="P10" s="63">
        <v>0</v>
      </c>
      <c r="Q10" s="81">
        <f t="shared" si="2"/>
        <v>365</v>
      </c>
      <c r="R10" s="72">
        <f t="shared" si="1"/>
        <v>74825</v>
      </c>
      <c r="S10" s="175">
        <f t="shared" si="3"/>
        <v>0</v>
      </c>
    </row>
    <row r="11" spans="2:22">
      <c r="B11" s="33" t="s">
        <v>80</v>
      </c>
      <c r="C11" s="34" t="s">
        <v>81</v>
      </c>
      <c r="D11" s="34" t="s">
        <v>82</v>
      </c>
      <c r="E11" s="43" t="s">
        <v>63</v>
      </c>
      <c r="F11" s="43">
        <v>-13.688589590243671</v>
      </c>
      <c r="G11" s="43">
        <v>33.668162913115573</v>
      </c>
      <c r="H11" s="43" t="s">
        <v>64</v>
      </c>
      <c r="I11" s="43" t="s">
        <v>65</v>
      </c>
      <c r="J11" s="35">
        <v>42379</v>
      </c>
      <c r="K11" s="35">
        <v>42380</v>
      </c>
      <c r="L11" s="66">
        <v>44197</v>
      </c>
      <c r="M11" s="67">
        <v>44561</v>
      </c>
      <c r="N11" s="73">
        <v>337</v>
      </c>
      <c r="O11" s="73">
        <f t="shared" si="0"/>
        <v>300</v>
      </c>
      <c r="P11" s="63">
        <v>0</v>
      </c>
      <c r="Q11" s="81">
        <f t="shared" si="2"/>
        <v>365</v>
      </c>
      <c r="R11" s="72">
        <f t="shared" si="1"/>
        <v>109500</v>
      </c>
      <c r="S11" s="175">
        <f t="shared" si="3"/>
        <v>0</v>
      </c>
    </row>
    <row r="12" spans="2:22">
      <c r="B12" s="33" t="s">
        <v>83</v>
      </c>
      <c r="C12" s="34" t="s">
        <v>84</v>
      </c>
      <c r="D12" s="34" t="s">
        <v>84</v>
      </c>
      <c r="E12" s="43" t="s">
        <v>63</v>
      </c>
      <c r="F12" s="43">
        <v>-13.244235445622616</v>
      </c>
      <c r="G12" s="43">
        <v>33.629908860168335</v>
      </c>
      <c r="H12" s="43" t="s">
        <v>64</v>
      </c>
      <c r="I12" s="43" t="s">
        <v>65</v>
      </c>
      <c r="J12" s="35">
        <v>42382</v>
      </c>
      <c r="K12" s="35">
        <v>42383</v>
      </c>
      <c r="L12" s="66">
        <v>44197</v>
      </c>
      <c r="M12" s="67">
        <v>44561</v>
      </c>
      <c r="N12" s="73">
        <v>453</v>
      </c>
      <c r="O12" s="73">
        <f t="shared" si="0"/>
        <v>300</v>
      </c>
      <c r="P12" s="63">
        <v>0</v>
      </c>
      <c r="Q12" s="81">
        <f t="shared" si="2"/>
        <v>365</v>
      </c>
      <c r="R12" s="72">
        <f t="shared" si="1"/>
        <v>109500</v>
      </c>
      <c r="S12" s="175">
        <f t="shared" si="3"/>
        <v>0</v>
      </c>
    </row>
    <row r="13" spans="2:22">
      <c r="B13" s="47" t="s">
        <v>85</v>
      </c>
      <c r="C13" s="48" t="s">
        <v>86</v>
      </c>
      <c r="D13" s="48" t="s">
        <v>86</v>
      </c>
      <c r="E13" s="55" t="s">
        <v>63</v>
      </c>
      <c r="F13" s="55">
        <v>-13.376753608874306</v>
      </c>
      <c r="G13" s="55">
        <v>33.692727249528495</v>
      </c>
      <c r="H13" s="55" t="s">
        <v>64</v>
      </c>
      <c r="I13" s="55" t="s">
        <v>65</v>
      </c>
      <c r="J13" s="49">
        <v>42388</v>
      </c>
      <c r="K13" s="49">
        <v>42389</v>
      </c>
      <c r="L13" s="66">
        <v>44197</v>
      </c>
      <c r="M13" s="67">
        <v>44561</v>
      </c>
      <c r="N13" s="73">
        <v>374</v>
      </c>
      <c r="O13" s="78">
        <f t="shared" si="0"/>
        <v>300</v>
      </c>
      <c r="P13" s="63">
        <v>96</v>
      </c>
      <c r="Q13" s="81">
        <f t="shared" si="2"/>
        <v>269</v>
      </c>
      <c r="R13" s="72">
        <f t="shared" si="1"/>
        <v>80700</v>
      </c>
      <c r="S13" s="175">
        <f t="shared" si="3"/>
        <v>0.26301369863013696</v>
      </c>
    </row>
    <row r="14" spans="2:22">
      <c r="B14" s="56"/>
      <c r="C14" s="57"/>
      <c r="D14" s="57"/>
      <c r="E14" s="58"/>
      <c r="F14" s="58"/>
      <c r="G14" s="58"/>
      <c r="H14" s="58"/>
      <c r="I14" s="58"/>
      <c r="J14" s="59"/>
      <c r="K14" s="59"/>
      <c r="L14" s="64"/>
      <c r="M14" s="60"/>
      <c r="N14" s="76">
        <v>2759</v>
      </c>
      <c r="O14" s="76">
        <f>SUM(O5:O13)</f>
        <v>2436</v>
      </c>
      <c r="P14" s="60"/>
      <c r="Q14" s="82">
        <f t="shared" ref="Q14" si="4">SUM(Q5:Q13)</f>
        <v>3189</v>
      </c>
      <c r="R14" s="83">
        <f t="shared" ref="R14" si="5">SUM(R5:R13)</f>
        <v>860340</v>
      </c>
      <c r="S14" s="176">
        <f>AVERAGE(S5:S13)</f>
        <v>2.9223744292237439E-2</v>
      </c>
    </row>
    <row r="15" spans="2:22">
      <c r="B15" s="32" t="s">
        <v>87</v>
      </c>
      <c r="C15" s="40"/>
      <c r="D15" s="40"/>
      <c r="E15" s="41"/>
      <c r="F15" s="41"/>
      <c r="G15" s="41"/>
      <c r="H15" s="41"/>
      <c r="I15" s="41"/>
      <c r="J15" s="41"/>
      <c r="K15" s="41"/>
      <c r="L15" s="65"/>
      <c r="M15" s="42"/>
      <c r="N15" s="75"/>
      <c r="O15" s="75"/>
      <c r="P15" s="42"/>
      <c r="Q15" s="84"/>
      <c r="R15" s="85"/>
      <c r="S15" s="177"/>
    </row>
    <row r="16" spans="2:22">
      <c r="B16" s="33" t="s">
        <v>88</v>
      </c>
      <c r="C16" s="34" t="s">
        <v>89</v>
      </c>
      <c r="D16" s="50" t="s">
        <v>90</v>
      </c>
      <c r="E16" s="43" t="s">
        <v>63</v>
      </c>
      <c r="F16" s="43">
        <v>-13.694229480000001</v>
      </c>
      <c r="G16" s="43">
        <v>33.620341879999998</v>
      </c>
      <c r="H16" s="43" t="s">
        <v>64</v>
      </c>
      <c r="I16" s="43" t="s">
        <v>65</v>
      </c>
      <c r="J16" s="35">
        <v>42380</v>
      </c>
      <c r="K16" s="35">
        <v>42381</v>
      </c>
      <c r="L16" s="66">
        <v>44197</v>
      </c>
      <c r="M16" s="67">
        <v>44561</v>
      </c>
      <c r="N16" s="73">
        <v>233</v>
      </c>
      <c r="O16" s="73">
        <f t="shared" ref="O16:O23" si="6">IF(N16&gt;300,300,N16)</f>
        <v>233</v>
      </c>
      <c r="P16" s="63">
        <v>0</v>
      </c>
      <c r="Q16" s="81">
        <f t="shared" ref="Q16:Q23" si="7">M16-$V$3-P16</f>
        <v>365</v>
      </c>
      <c r="R16" s="72">
        <f t="shared" ref="R16:R23" si="8">Q16*O16</f>
        <v>85045</v>
      </c>
      <c r="S16" s="175">
        <f>SUM(P16)/SUM(P16:Q16)</f>
        <v>0</v>
      </c>
    </row>
    <row r="17" spans="2:19">
      <c r="B17" s="33" t="s">
        <v>91</v>
      </c>
      <c r="C17" s="34" t="s">
        <v>92</v>
      </c>
      <c r="D17" s="50" t="s">
        <v>92</v>
      </c>
      <c r="E17" s="43" t="s">
        <v>63</v>
      </c>
      <c r="F17" s="43">
        <v>-13.25098346</v>
      </c>
      <c r="G17" s="43">
        <v>33.691732870000003</v>
      </c>
      <c r="H17" s="43" t="s">
        <v>64</v>
      </c>
      <c r="I17" s="43" t="s">
        <v>65</v>
      </c>
      <c r="J17" s="35">
        <v>42382</v>
      </c>
      <c r="K17" s="35">
        <v>42383</v>
      </c>
      <c r="L17" s="66">
        <v>44197</v>
      </c>
      <c r="M17" s="67">
        <v>44561</v>
      </c>
      <c r="N17" s="73">
        <v>321</v>
      </c>
      <c r="O17" s="73">
        <f t="shared" si="6"/>
        <v>300</v>
      </c>
      <c r="P17" s="63">
        <v>0</v>
      </c>
      <c r="Q17" s="81">
        <f t="shared" si="7"/>
        <v>365</v>
      </c>
      <c r="R17" s="72">
        <f t="shared" si="8"/>
        <v>109500</v>
      </c>
      <c r="S17" s="175">
        <f t="shared" ref="S17:S23" si="9">SUM(P17)/SUM(P17:Q17)</f>
        <v>0</v>
      </c>
    </row>
    <row r="18" spans="2:19">
      <c r="B18" s="33" t="s">
        <v>93</v>
      </c>
      <c r="C18" s="34" t="s">
        <v>94</v>
      </c>
      <c r="D18" s="50" t="s">
        <v>95</v>
      </c>
      <c r="E18" s="43" t="s">
        <v>63</v>
      </c>
      <c r="F18" s="43">
        <v>-13.562229110000001</v>
      </c>
      <c r="G18" s="43">
        <v>33.63796473</v>
      </c>
      <c r="H18" s="43" t="s">
        <v>64</v>
      </c>
      <c r="I18" s="43" t="s">
        <v>65</v>
      </c>
      <c r="J18" s="35">
        <v>42386</v>
      </c>
      <c r="K18" s="35">
        <v>42387</v>
      </c>
      <c r="L18" s="66">
        <v>44197</v>
      </c>
      <c r="M18" s="67">
        <v>44561</v>
      </c>
      <c r="N18" s="73">
        <v>525</v>
      </c>
      <c r="O18" s="73">
        <f t="shared" si="6"/>
        <v>300</v>
      </c>
      <c r="P18" s="63">
        <v>5</v>
      </c>
      <c r="Q18" s="81">
        <f t="shared" si="7"/>
        <v>360</v>
      </c>
      <c r="R18" s="72">
        <f t="shared" si="8"/>
        <v>108000</v>
      </c>
      <c r="S18" s="175">
        <f t="shared" si="9"/>
        <v>1.3698630136986301E-2</v>
      </c>
    </row>
    <row r="19" spans="2:19">
      <c r="B19" s="33" t="s">
        <v>96</v>
      </c>
      <c r="C19" s="34" t="s">
        <v>97</v>
      </c>
      <c r="D19" s="50" t="s">
        <v>98</v>
      </c>
      <c r="E19" s="43" t="s">
        <v>63</v>
      </c>
      <c r="F19" s="43">
        <v>-13.55151682</v>
      </c>
      <c r="G19" s="43">
        <v>33.640616299999998</v>
      </c>
      <c r="H19" s="43" t="s">
        <v>64</v>
      </c>
      <c r="I19" s="43" t="s">
        <v>65</v>
      </c>
      <c r="J19" s="35">
        <v>42387</v>
      </c>
      <c r="K19" s="35">
        <v>42388</v>
      </c>
      <c r="L19" s="66">
        <v>44197</v>
      </c>
      <c r="M19" s="67">
        <v>44561</v>
      </c>
      <c r="N19" s="73">
        <v>501</v>
      </c>
      <c r="O19" s="73">
        <f t="shared" si="6"/>
        <v>300</v>
      </c>
      <c r="P19" s="63">
        <v>0</v>
      </c>
      <c r="Q19" s="81">
        <f t="shared" si="7"/>
        <v>365</v>
      </c>
      <c r="R19" s="72">
        <f t="shared" si="8"/>
        <v>109500</v>
      </c>
      <c r="S19" s="175">
        <f t="shared" si="9"/>
        <v>0</v>
      </c>
    </row>
    <row r="20" spans="2:19">
      <c r="B20" s="33" t="s">
        <v>99</v>
      </c>
      <c r="C20" s="34" t="s">
        <v>100</v>
      </c>
      <c r="D20" s="50" t="s">
        <v>101</v>
      </c>
      <c r="E20" s="43" t="s">
        <v>63</v>
      </c>
      <c r="F20" s="43">
        <v>-13.492873619999999</v>
      </c>
      <c r="G20" s="43">
        <v>33.738528170000002</v>
      </c>
      <c r="H20" s="43" t="s">
        <v>64</v>
      </c>
      <c r="I20" s="43" t="s">
        <v>65</v>
      </c>
      <c r="J20" s="35">
        <v>42390</v>
      </c>
      <c r="K20" s="35">
        <v>42391</v>
      </c>
      <c r="L20" s="66">
        <v>44197</v>
      </c>
      <c r="M20" s="67">
        <v>44561</v>
      </c>
      <c r="N20" s="73">
        <v>191</v>
      </c>
      <c r="O20" s="73">
        <f t="shared" si="6"/>
        <v>191</v>
      </c>
      <c r="P20" s="63">
        <v>0</v>
      </c>
      <c r="Q20" s="81">
        <f t="shared" si="7"/>
        <v>365</v>
      </c>
      <c r="R20" s="72">
        <f t="shared" si="8"/>
        <v>69715</v>
      </c>
      <c r="S20" s="175">
        <f t="shared" si="9"/>
        <v>0</v>
      </c>
    </row>
    <row r="21" spans="2:19">
      <c r="B21" s="33" t="s">
        <v>102</v>
      </c>
      <c r="C21" s="34" t="s">
        <v>103</v>
      </c>
      <c r="D21" s="50" t="s">
        <v>103</v>
      </c>
      <c r="E21" s="43" t="s">
        <v>63</v>
      </c>
      <c r="F21" s="43">
        <v>-13.460152689999999</v>
      </c>
      <c r="G21" s="43">
        <v>33.780119569999997</v>
      </c>
      <c r="H21" s="43" t="s">
        <v>64</v>
      </c>
      <c r="I21" s="43" t="s">
        <v>65</v>
      </c>
      <c r="J21" s="35">
        <v>42390</v>
      </c>
      <c r="K21" s="35">
        <v>42391</v>
      </c>
      <c r="L21" s="66">
        <v>44197</v>
      </c>
      <c r="M21" s="67">
        <v>44561</v>
      </c>
      <c r="N21" s="73">
        <v>332</v>
      </c>
      <c r="O21" s="73">
        <f t="shared" si="6"/>
        <v>300</v>
      </c>
      <c r="P21" s="63">
        <v>4</v>
      </c>
      <c r="Q21" s="81">
        <f t="shared" si="7"/>
        <v>361</v>
      </c>
      <c r="R21" s="72">
        <f t="shared" si="8"/>
        <v>108300</v>
      </c>
      <c r="S21" s="175">
        <f>SUM(P21)/SUM(P21:Q21)</f>
        <v>1.0958904109589041E-2</v>
      </c>
    </row>
    <row r="22" spans="2:19">
      <c r="B22" s="33" t="s">
        <v>104</v>
      </c>
      <c r="C22" s="34" t="s">
        <v>105</v>
      </c>
      <c r="D22" s="50" t="s">
        <v>106</v>
      </c>
      <c r="E22" s="43" t="s">
        <v>63</v>
      </c>
      <c r="F22" s="43">
        <v>-13.550977530000001</v>
      </c>
      <c r="G22" s="43">
        <v>33.513953720000003</v>
      </c>
      <c r="H22" s="43" t="s">
        <v>64</v>
      </c>
      <c r="I22" s="43" t="s">
        <v>65</v>
      </c>
      <c r="J22" s="35">
        <v>42390</v>
      </c>
      <c r="K22" s="35">
        <v>42391</v>
      </c>
      <c r="L22" s="66">
        <v>44197</v>
      </c>
      <c r="M22" s="67">
        <v>44561</v>
      </c>
      <c r="N22" s="73">
        <v>509</v>
      </c>
      <c r="O22" s="73">
        <f t="shared" si="6"/>
        <v>300</v>
      </c>
      <c r="P22" s="63">
        <v>0</v>
      </c>
      <c r="Q22" s="81">
        <f t="shared" si="7"/>
        <v>365</v>
      </c>
      <c r="R22" s="72">
        <f t="shared" si="8"/>
        <v>109500</v>
      </c>
      <c r="S22" s="175">
        <f t="shared" si="9"/>
        <v>0</v>
      </c>
    </row>
    <row r="23" spans="2:19">
      <c r="B23" s="37" t="s">
        <v>107</v>
      </c>
      <c r="C23" s="38" t="s">
        <v>108</v>
      </c>
      <c r="D23" s="51" t="s">
        <v>109</v>
      </c>
      <c r="E23" s="54" t="s">
        <v>63</v>
      </c>
      <c r="F23" s="54">
        <v>-13.488356469999999</v>
      </c>
      <c r="G23" s="54">
        <v>33.616572779999998</v>
      </c>
      <c r="H23" s="54" t="s">
        <v>64</v>
      </c>
      <c r="I23" s="54" t="s">
        <v>65</v>
      </c>
      <c r="J23" s="39">
        <v>42395</v>
      </c>
      <c r="K23" s="39">
        <v>42396</v>
      </c>
      <c r="L23" s="66">
        <v>44197</v>
      </c>
      <c r="M23" s="67">
        <v>44561</v>
      </c>
      <c r="N23" s="74">
        <v>316</v>
      </c>
      <c r="O23" s="74">
        <f t="shared" si="6"/>
        <v>300</v>
      </c>
      <c r="P23" s="63">
        <v>0</v>
      </c>
      <c r="Q23" s="81">
        <f t="shared" si="7"/>
        <v>365</v>
      </c>
      <c r="R23" s="72">
        <f t="shared" si="8"/>
        <v>109500</v>
      </c>
      <c r="S23" s="175">
        <f t="shared" si="9"/>
        <v>0</v>
      </c>
    </row>
    <row r="24" spans="2:19">
      <c r="B24" s="56"/>
      <c r="C24" s="57"/>
      <c r="D24" s="57"/>
      <c r="E24" s="58"/>
      <c r="F24" s="58"/>
      <c r="G24" s="58"/>
      <c r="H24" s="58"/>
      <c r="I24" s="58"/>
      <c r="J24" s="59"/>
      <c r="K24" s="59"/>
      <c r="L24" s="64"/>
      <c r="M24" s="60"/>
      <c r="N24" s="76">
        <v>2928</v>
      </c>
      <c r="O24" s="76">
        <f>SUM(O16:O23)</f>
        <v>2224</v>
      </c>
      <c r="P24" s="60"/>
      <c r="Q24" s="82">
        <f t="shared" ref="Q24" si="10">SUM(Q16:Q23)</f>
        <v>2911</v>
      </c>
      <c r="R24" s="83">
        <f t="shared" ref="R24" si="11">SUM(R16:R23)</f>
        <v>809060</v>
      </c>
      <c r="S24" s="176">
        <f>AVERAGE(S16:S23)</f>
        <v>3.0821917808219177E-3</v>
      </c>
    </row>
    <row r="25" spans="2:19">
      <c r="B25" s="44" t="s">
        <v>110</v>
      </c>
      <c r="C25" s="45"/>
      <c r="D25" s="45"/>
      <c r="E25" s="46"/>
      <c r="F25" s="46"/>
      <c r="G25" s="46"/>
      <c r="H25" s="46"/>
      <c r="I25" s="46"/>
      <c r="J25" s="46"/>
      <c r="K25" s="46"/>
      <c r="L25" s="65"/>
      <c r="M25" s="42"/>
      <c r="N25" s="77"/>
      <c r="O25" s="77"/>
      <c r="P25" s="42"/>
      <c r="Q25" s="84"/>
      <c r="R25" s="85"/>
      <c r="S25" s="177"/>
    </row>
    <row r="26" spans="2:19">
      <c r="B26" s="33" t="s">
        <v>111</v>
      </c>
      <c r="C26" s="34" t="s">
        <v>112</v>
      </c>
      <c r="D26" s="50" t="s">
        <v>113</v>
      </c>
      <c r="E26" s="43" t="s">
        <v>63</v>
      </c>
      <c r="F26" s="43">
        <v>-12.902000019999999</v>
      </c>
      <c r="G26" s="43">
        <v>33.535796650000002</v>
      </c>
      <c r="H26" s="43" t="s">
        <v>64</v>
      </c>
      <c r="I26" s="43" t="s">
        <v>65</v>
      </c>
      <c r="J26" s="35">
        <v>42389</v>
      </c>
      <c r="K26" s="35">
        <v>42390</v>
      </c>
      <c r="L26" s="66">
        <v>44197</v>
      </c>
      <c r="M26" s="67">
        <v>44561</v>
      </c>
      <c r="N26" s="73">
        <v>362</v>
      </c>
      <c r="O26" s="73">
        <f t="shared" ref="O26:O35" si="12">IF(N26&gt;300,300,N26)</f>
        <v>300</v>
      </c>
      <c r="P26" s="63">
        <v>96</v>
      </c>
      <c r="Q26" s="81">
        <f t="shared" ref="Q26:Q35" si="13">M26-$V$3-P26</f>
        <v>269</v>
      </c>
      <c r="R26" s="72">
        <f t="shared" ref="R26:R35" si="14">Q26*O26</f>
        <v>80700</v>
      </c>
      <c r="S26" s="175">
        <f>SUM(P26)/SUM(P26:Q26)</f>
        <v>0.26301369863013696</v>
      </c>
    </row>
    <row r="27" spans="2:19">
      <c r="B27" s="33" t="s">
        <v>114</v>
      </c>
      <c r="C27" s="34" t="s">
        <v>115</v>
      </c>
      <c r="D27" s="50" t="s">
        <v>115</v>
      </c>
      <c r="E27" s="43" t="s">
        <v>63</v>
      </c>
      <c r="F27" s="43">
        <v>-13.29699407</v>
      </c>
      <c r="G27" s="43">
        <v>33.637827530000003</v>
      </c>
      <c r="H27" s="43" t="s">
        <v>64</v>
      </c>
      <c r="I27" s="43" t="s">
        <v>65</v>
      </c>
      <c r="J27" s="35">
        <v>42390</v>
      </c>
      <c r="K27" s="35">
        <v>42391</v>
      </c>
      <c r="L27" s="66">
        <v>44197</v>
      </c>
      <c r="M27" s="67">
        <v>44561</v>
      </c>
      <c r="N27" s="73">
        <v>501</v>
      </c>
      <c r="O27" s="73">
        <f t="shared" si="12"/>
        <v>300</v>
      </c>
      <c r="P27" s="63">
        <v>0</v>
      </c>
      <c r="Q27" s="81">
        <f t="shared" si="13"/>
        <v>365</v>
      </c>
      <c r="R27" s="72">
        <f t="shared" si="14"/>
        <v>109500</v>
      </c>
      <c r="S27" s="175">
        <f t="shared" ref="S27:S35" si="15">SUM(P27)/SUM(P27:Q27)</f>
        <v>0</v>
      </c>
    </row>
    <row r="28" spans="2:19">
      <c r="B28" s="33" t="s">
        <v>116</v>
      </c>
      <c r="C28" s="34" t="s">
        <v>117</v>
      </c>
      <c r="D28" s="50" t="s">
        <v>118</v>
      </c>
      <c r="E28" s="43" t="s">
        <v>63</v>
      </c>
      <c r="F28" s="43">
        <v>-11.02287405</v>
      </c>
      <c r="G28" s="43">
        <v>33.589634250000003</v>
      </c>
      <c r="H28" s="43" t="s">
        <v>64</v>
      </c>
      <c r="I28" s="43" t="s">
        <v>65</v>
      </c>
      <c r="J28" s="35">
        <v>42392</v>
      </c>
      <c r="K28" s="35">
        <v>42393</v>
      </c>
      <c r="L28" s="66">
        <v>44197</v>
      </c>
      <c r="M28" s="67">
        <v>44561</v>
      </c>
      <c r="N28" s="73">
        <v>220</v>
      </c>
      <c r="O28" s="73">
        <f t="shared" si="12"/>
        <v>220</v>
      </c>
      <c r="P28" s="63">
        <v>0</v>
      </c>
      <c r="Q28" s="81">
        <f t="shared" si="13"/>
        <v>365</v>
      </c>
      <c r="R28" s="72">
        <f t="shared" si="14"/>
        <v>80300</v>
      </c>
      <c r="S28" s="175">
        <f t="shared" si="15"/>
        <v>0</v>
      </c>
    </row>
    <row r="29" spans="2:19">
      <c r="B29" s="33" t="s">
        <v>119</v>
      </c>
      <c r="C29" s="34" t="s">
        <v>120</v>
      </c>
      <c r="D29" s="50" t="s">
        <v>121</v>
      </c>
      <c r="E29" s="43" t="s">
        <v>63</v>
      </c>
      <c r="F29" s="43">
        <v>-13.41787998</v>
      </c>
      <c r="G29" s="43">
        <v>33.576073800000003</v>
      </c>
      <c r="H29" s="43" t="s">
        <v>64</v>
      </c>
      <c r="I29" s="43" t="s">
        <v>65</v>
      </c>
      <c r="J29" s="35">
        <v>42392</v>
      </c>
      <c r="K29" s="35">
        <v>42393</v>
      </c>
      <c r="L29" s="66">
        <v>44197</v>
      </c>
      <c r="M29" s="67">
        <v>44561</v>
      </c>
      <c r="N29" s="73">
        <v>475</v>
      </c>
      <c r="O29" s="73">
        <f t="shared" si="12"/>
        <v>300</v>
      </c>
      <c r="P29" s="63">
        <v>130</v>
      </c>
      <c r="Q29" s="81">
        <f t="shared" si="13"/>
        <v>235</v>
      </c>
      <c r="R29" s="72">
        <f t="shared" si="14"/>
        <v>70500</v>
      </c>
      <c r="S29" s="175">
        <f t="shared" si="15"/>
        <v>0.35616438356164382</v>
      </c>
    </row>
    <row r="30" spans="2:19">
      <c r="B30" s="33" t="s">
        <v>122</v>
      </c>
      <c r="C30" s="34" t="s">
        <v>123</v>
      </c>
      <c r="D30" s="50" t="s">
        <v>124</v>
      </c>
      <c r="E30" s="43" t="s">
        <v>63</v>
      </c>
      <c r="F30" s="43">
        <v>-13.47994604</v>
      </c>
      <c r="G30" s="43">
        <v>33.68018103</v>
      </c>
      <c r="H30" s="43" t="s">
        <v>64</v>
      </c>
      <c r="I30" s="43" t="s">
        <v>65</v>
      </c>
      <c r="J30" s="35">
        <v>42394</v>
      </c>
      <c r="K30" s="35">
        <v>42395</v>
      </c>
      <c r="L30" s="66">
        <v>44197</v>
      </c>
      <c r="M30" s="67">
        <v>44561</v>
      </c>
      <c r="N30" s="73">
        <v>405</v>
      </c>
      <c r="O30" s="73">
        <f t="shared" si="12"/>
        <v>300</v>
      </c>
      <c r="P30" s="63">
        <v>0</v>
      </c>
      <c r="Q30" s="81">
        <f t="shared" si="13"/>
        <v>365</v>
      </c>
      <c r="R30" s="72">
        <f t="shared" si="14"/>
        <v>109500</v>
      </c>
      <c r="S30" s="175">
        <f t="shared" si="15"/>
        <v>0</v>
      </c>
    </row>
    <row r="31" spans="2:19">
      <c r="B31" s="33" t="s">
        <v>125</v>
      </c>
      <c r="C31" s="34" t="s">
        <v>126</v>
      </c>
      <c r="D31" s="50" t="s">
        <v>126</v>
      </c>
      <c r="E31" s="43" t="s">
        <v>63</v>
      </c>
      <c r="F31" s="43">
        <v>-13.487575189999999</v>
      </c>
      <c r="G31" s="43">
        <v>33.580185659999998</v>
      </c>
      <c r="H31" s="43" t="s">
        <v>64</v>
      </c>
      <c r="I31" s="43" t="s">
        <v>65</v>
      </c>
      <c r="J31" s="35">
        <v>42397</v>
      </c>
      <c r="K31" s="35">
        <v>42398</v>
      </c>
      <c r="L31" s="66">
        <v>44197</v>
      </c>
      <c r="M31" s="67">
        <v>44561</v>
      </c>
      <c r="N31" s="73">
        <v>372</v>
      </c>
      <c r="O31" s="73">
        <f t="shared" si="12"/>
        <v>300</v>
      </c>
      <c r="P31" s="63">
        <v>0</v>
      </c>
      <c r="Q31" s="81">
        <f t="shared" si="13"/>
        <v>365</v>
      </c>
      <c r="R31" s="72">
        <f t="shared" si="14"/>
        <v>109500</v>
      </c>
      <c r="S31" s="175">
        <f>SUM(P31)/SUM(P31:Q31)</f>
        <v>0</v>
      </c>
    </row>
    <row r="32" spans="2:19">
      <c r="B32" s="33" t="s">
        <v>127</v>
      </c>
      <c r="C32" s="34" t="s">
        <v>128</v>
      </c>
      <c r="D32" s="50" t="s">
        <v>129</v>
      </c>
      <c r="E32" s="43" t="s">
        <v>63</v>
      </c>
      <c r="F32" s="43">
        <v>-13.53175813</v>
      </c>
      <c r="G32" s="43">
        <v>33.608940199999999</v>
      </c>
      <c r="H32" s="43" t="s">
        <v>64</v>
      </c>
      <c r="I32" s="43" t="s">
        <v>65</v>
      </c>
      <c r="J32" s="35">
        <v>42398</v>
      </c>
      <c r="K32" s="35">
        <v>42399</v>
      </c>
      <c r="L32" s="66">
        <v>44197</v>
      </c>
      <c r="M32" s="67">
        <v>44561</v>
      </c>
      <c r="N32" s="73">
        <v>441</v>
      </c>
      <c r="O32" s="73">
        <f t="shared" si="12"/>
        <v>300</v>
      </c>
      <c r="P32" s="63">
        <v>0</v>
      </c>
      <c r="Q32" s="81">
        <f t="shared" si="13"/>
        <v>365</v>
      </c>
      <c r="R32" s="72">
        <f t="shared" si="14"/>
        <v>109500</v>
      </c>
      <c r="S32" s="175">
        <f t="shared" si="15"/>
        <v>0</v>
      </c>
    </row>
    <row r="33" spans="2:19">
      <c r="B33" s="33" t="s">
        <v>130</v>
      </c>
      <c r="C33" s="34" t="s">
        <v>131</v>
      </c>
      <c r="D33" s="50" t="s">
        <v>132</v>
      </c>
      <c r="E33" s="43" t="s">
        <v>63</v>
      </c>
      <c r="F33" s="43">
        <v>-13.28932927</v>
      </c>
      <c r="G33" s="43">
        <v>33.575981339999998</v>
      </c>
      <c r="H33" s="43" t="s">
        <v>64</v>
      </c>
      <c r="I33" s="43" t="s">
        <v>65</v>
      </c>
      <c r="J33" s="35">
        <v>42403</v>
      </c>
      <c r="K33" s="35">
        <v>42404</v>
      </c>
      <c r="L33" s="66">
        <v>44197</v>
      </c>
      <c r="M33" s="67">
        <v>44561</v>
      </c>
      <c r="N33" s="73">
        <v>251</v>
      </c>
      <c r="O33" s="73">
        <f t="shared" si="12"/>
        <v>251</v>
      </c>
      <c r="P33" s="63">
        <v>0</v>
      </c>
      <c r="Q33" s="81">
        <f t="shared" si="13"/>
        <v>365</v>
      </c>
      <c r="R33" s="72">
        <f t="shared" si="14"/>
        <v>91615</v>
      </c>
      <c r="S33" s="175">
        <f t="shared" si="15"/>
        <v>0</v>
      </c>
    </row>
    <row r="34" spans="2:19">
      <c r="B34" s="33" t="s">
        <v>133</v>
      </c>
      <c r="C34" s="34" t="s">
        <v>134</v>
      </c>
      <c r="D34" s="34" t="s">
        <v>135</v>
      </c>
      <c r="E34" s="43" t="s">
        <v>63</v>
      </c>
      <c r="F34" s="43">
        <v>-13.48513513</v>
      </c>
      <c r="G34" s="43">
        <v>33.642776560000001</v>
      </c>
      <c r="H34" s="43" t="s">
        <v>64</v>
      </c>
      <c r="I34" s="43" t="s">
        <v>65</v>
      </c>
      <c r="J34" s="35">
        <v>42409</v>
      </c>
      <c r="K34" s="35">
        <v>42410</v>
      </c>
      <c r="L34" s="66">
        <v>44197</v>
      </c>
      <c r="M34" s="67">
        <v>44561</v>
      </c>
      <c r="N34" s="73">
        <v>338</v>
      </c>
      <c r="O34" s="73">
        <f t="shared" si="12"/>
        <v>300</v>
      </c>
      <c r="P34" s="63">
        <v>5</v>
      </c>
      <c r="Q34" s="81">
        <f t="shared" si="13"/>
        <v>360</v>
      </c>
      <c r="R34" s="72">
        <f t="shared" si="14"/>
        <v>108000</v>
      </c>
      <c r="S34" s="175">
        <f t="shared" si="15"/>
        <v>1.3698630136986301E-2</v>
      </c>
    </row>
    <row r="35" spans="2:19">
      <c r="B35" s="47" t="s">
        <v>136</v>
      </c>
      <c r="C35" s="48" t="s">
        <v>137</v>
      </c>
      <c r="D35" s="48" t="s">
        <v>137</v>
      </c>
      <c r="E35" s="55" t="s">
        <v>63</v>
      </c>
      <c r="F35" s="55">
        <v>-13.45013503</v>
      </c>
      <c r="G35" s="55">
        <v>33.59836834</v>
      </c>
      <c r="H35" s="55" t="s">
        <v>64</v>
      </c>
      <c r="I35" s="55" t="s">
        <v>65</v>
      </c>
      <c r="J35" s="49">
        <v>42419</v>
      </c>
      <c r="K35" s="49">
        <v>42420</v>
      </c>
      <c r="L35" s="66">
        <v>44197</v>
      </c>
      <c r="M35" s="67">
        <v>44561</v>
      </c>
      <c r="N35" s="73">
        <v>330</v>
      </c>
      <c r="O35" s="78">
        <f t="shared" si="12"/>
        <v>300</v>
      </c>
      <c r="P35" s="63">
        <v>0</v>
      </c>
      <c r="Q35" s="81">
        <f t="shared" si="13"/>
        <v>365</v>
      </c>
      <c r="R35" s="72">
        <f t="shared" si="14"/>
        <v>109500</v>
      </c>
      <c r="S35" s="175">
        <f t="shared" si="15"/>
        <v>0</v>
      </c>
    </row>
    <row r="36" spans="2:19">
      <c r="B36" s="56"/>
      <c r="C36" s="57"/>
      <c r="D36" s="57"/>
      <c r="E36" s="58"/>
      <c r="F36" s="58"/>
      <c r="G36" s="58"/>
      <c r="H36" s="58"/>
      <c r="I36" s="58"/>
      <c r="J36" s="59"/>
      <c r="K36" s="59"/>
      <c r="L36" s="64"/>
      <c r="M36" s="60"/>
      <c r="N36" s="76">
        <v>3695</v>
      </c>
      <c r="O36" s="76">
        <f>SUM(O26:O35)</f>
        <v>2871</v>
      </c>
      <c r="P36" s="60"/>
      <c r="Q36" s="82">
        <f t="shared" ref="Q36" si="16">SUM(Q26:Q35)</f>
        <v>3419</v>
      </c>
      <c r="R36" s="83">
        <f t="shared" ref="R36" si="17">SUM(R26:R35)</f>
        <v>978615</v>
      </c>
      <c r="S36" s="176">
        <f>AVERAGE(S26:S35)</f>
        <v>6.3287671232876708E-2</v>
      </c>
    </row>
    <row r="37" spans="2:19">
      <c r="B37" s="32" t="s">
        <v>138</v>
      </c>
      <c r="C37" s="40"/>
      <c r="D37" s="40"/>
      <c r="E37" s="41"/>
      <c r="F37" s="41"/>
      <c r="G37" s="41"/>
      <c r="H37" s="41"/>
      <c r="I37" s="41"/>
      <c r="J37" s="41"/>
      <c r="K37" s="41"/>
      <c r="L37" s="65"/>
      <c r="M37" s="42"/>
      <c r="N37" s="75"/>
      <c r="O37" s="75"/>
      <c r="P37" s="42"/>
      <c r="Q37" s="84"/>
      <c r="R37" s="85"/>
      <c r="S37" s="177"/>
    </row>
    <row r="38" spans="2:19">
      <c r="B38" s="33" t="s">
        <v>139</v>
      </c>
      <c r="C38" s="34" t="s">
        <v>140</v>
      </c>
      <c r="D38" s="34" t="s">
        <v>140</v>
      </c>
      <c r="E38" s="43" t="s">
        <v>63</v>
      </c>
      <c r="F38" s="43">
        <v>-13.49124688</v>
      </c>
      <c r="G38" s="43">
        <v>33.646507200000002</v>
      </c>
      <c r="H38" s="43" t="s">
        <v>64</v>
      </c>
      <c r="I38" s="43" t="s">
        <v>65</v>
      </c>
      <c r="J38" s="35">
        <v>42408</v>
      </c>
      <c r="K38" s="35">
        <v>42409</v>
      </c>
      <c r="L38" s="66">
        <v>44197</v>
      </c>
      <c r="M38" s="67">
        <v>44561</v>
      </c>
      <c r="N38" s="73">
        <v>485</v>
      </c>
      <c r="O38" s="73">
        <f t="shared" ref="O38:O45" si="18">IF(N38&gt;300,300,N38)</f>
        <v>300</v>
      </c>
      <c r="P38" s="63">
        <v>0</v>
      </c>
      <c r="Q38" s="81">
        <f t="shared" ref="Q38:Q45" si="19">M38-$V$3-P38</f>
        <v>365</v>
      </c>
      <c r="R38" s="72">
        <f t="shared" ref="R38:R45" si="20">Q38*O38</f>
        <v>109500</v>
      </c>
      <c r="S38" s="175">
        <f>SUM(P38)/SUM(P38:Q38)</f>
        <v>0</v>
      </c>
    </row>
    <row r="39" spans="2:19">
      <c r="B39" s="33" t="s">
        <v>141</v>
      </c>
      <c r="C39" s="34" t="s">
        <v>142</v>
      </c>
      <c r="D39" s="34" t="s">
        <v>142</v>
      </c>
      <c r="E39" s="43" t="s">
        <v>63</v>
      </c>
      <c r="F39" s="43">
        <v>-13.50566304</v>
      </c>
      <c r="G39" s="43">
        <v>33.601528010000003</v>
      </c>
      <c r="H39" s="43" t="s">
        <v>64</v>
      </c>
      <c r="I39" s="43" t="s">
        <v>65</v>
      </c>
      <c r="J39" s="35">
        <v>42410</v>
      </c>
      <c r="K39" s="35">
        <v>42411</v>
      </c>
      <c r="L39" s="66">
        <v>44197</v>
      </c>
      <c r="M39" s="67">
        <v>44561</v>
      </c>
      <c r="N39" s="73">
        <v>304</v>
      </c>
      <c r="O39" s="73">
        <f t="shared" si="18"/>
        <v>300</v>
      </c>
      <c r="P39" s="63">
        <v>0</v>
      </c>
      <c r="Q39" s="81">
        <f t="shared" si="19"/>
        <v>365</v>
      </c>
      <c r="R39" s="72">
        <f t="shared" si="20"/>
        <v>109500</v>
      </c>
      <c r="S39" s="175">
        <f t="shared" ref="S39:S45" si="21">SUM(P39)/SUM(P39:Q39)</f>
        <v>0</v>
      </c>
    </row>
    <row r="40" spans="2:19">
      <c r="B40" s="33" t="s">
        <v>143</v>
      </c>
      <c r="C40" s="34" t="s">
        <v>144</v>
      </c>
      <c r="D40" s="34" t="s">
        <v>145</v>
      </c>
      <c r="E40" s="43" t="s">
        <v>63</v>
      </c>
      <c r="F40" s="43">
        <v>-13.5152517</v>
      </c>
      <c r="G40" s="43">
        <v>33.584457</v>
      </c>
      <c r="H40" s="43" t="s">
        <v>64</v>
      </c>
      <c r="I40" s="43" t="s">
        <v>65</v>
      </c>
      <c r="J40" s="35">
        <v>42417</v>
      </c>
      <c r="K40" s="35">
        <v>42418</v>
      </c>
      <c r="L40" s="66">
        <v>44197</v>
      </c>
      <c r="M40" s="67">
        <v>44561</v>
      </c>
      <c r="N40" s="73">
        <v>357</v>
      </c>
      <c r="O40" s="73">
        <f t="shared" si="18"/>
        <v>300</v>
      </c>
      <c r="P40" s="63">
        <v>0</v>
      </c>
      <c r="Q40" s="81">
        <f t="shared" si="19"/>
        <v>365</v>
      </c>
      <c r="R40" s="72">
        <f t="shared" si="20"/>
        <v>109500</v>
      </c>
      <c r="S40" s="175">
        <f t="shared" si="21"/>
        <v>0</v>
      </c>
    </row>
    <row r="41" spans="2:19">
      <c r="B41" s="33" t="s">
        <v>146</v>
      </c>
      <c r="C41" s="34" t="s">
        <v>147</v>
      </c>
      <c r="D41" s="34" t="s">
        <v>147</v>
      </c>
      <c r="E41" s="43" t="s">
        <v>63</v>
      </c>
      <c r="F41" s="43">
        <v>-13.383817369999999</v>
      </c>
      <c r="G41" s="43">
        <v>33.678626540000003</v>
      </c>
      <c r="H41" s="43" t="s">
        <v>64</v>
      </c>
      <c r="I41" s="43" t="s">
        <v>65</v>
      </c>
      <c r="J41" s="35">
        <v>42420</v>
      </c>
      <c r="K41" s="35">
        <v>42421</v>
      </c>
      <c r="L41" s="66">
        <v>44197</v>
      </c>
      <c r="M41" s="67">
        <v>44561</v>
      </c>
      <c r="N41" s="73">
        <v>254</v>
      </c>
      <c r="O41" s="73">
        <f t="shared" si="18"/>
        <v>254</v>
      </c>
      <c r="P41" s="63">
        <v>0</v>
      </c>
      <c r="Q41" s="81">
        <f t="shared" si="19"/>
        <v>365</v>
      </c>
      <c r="R41" s="72">
        <f t="shared" si="20"/>
        <v>92710</v>
      </c>
      <c r="S41" s="175">
        <f t="shared" si="21"/>
        <v>0</v>
      </c>
    </row>
    <row r="42" spans="2:19">
      <c r="B42" s="33" t="s">
        <v>148</v>
      </c>
      <c r="C42" s="34" t="s">
        <v>149</v>
      </c>
      <c r="D42" s="34" t="s">
        <v>150</v>
      </c>
      <c r="E42" s="43" t="s">
        <v>63</v>
      </c>
      <c r="F42" s="43">
        <v>-13.656140260000001</v>
      </c>
      <c r="G42" s="43">
        <v>33.722557279999997</v>
      </c>
      <c r="H42" s="43" t="s">
        <v>64</v>
      </c>
      <c r="I42" s="43" t="s">
        <v>65</v>
      </c>
      <c r="J42" s="35">
        <v>42422</v>
      </c>
      <c r="K42" s="35">
        <v>42423</v>
      </c>
      <c r="L42" s="66">
        <v>44197</v>
      </c>
      <c r="M42" s="67">
        <v>44561</v>
      </c>
      <c r="N42" s="73">
        <v>561</v>
      </c>
      <c r="O42" s="73">
        <f t="shared" si="18"/>
        <v>300</v>
      </c>
      <c r="P42" s="63">
        <v>0</v>
      </c>
      <c r="Q42" s="81">
        <f t="shared" si="19"/>
        <v>365</v>
      </c>
      <c r="R42" s="72">
        <f t="shared" si="20"/>
        <v>109500</v>
      </c>
      <c r="S42" s="175">
        <f t="shared" si="21"/>
        <v>0</v>
      </c>
    </row>
    <row r="43" spans="2:19">
      <c r="B43" s="33" t="s">
        <v>151</v>
      </c>
      <c r="C43" s="34" t="s">
        <v>152</v>
      </c>
      <c r="D43" s="34" t="s">
        <v>152</v>
      </c>
      <c r="E43" s="43" t="s">
        <v>63</v>
      </c>
      <c r="F43" s="43">
        <v>-13.393815310000001</v>
      </c>
      <c r="G43" s="43">
        <v>33.623405890000001</v>
      </c>
      <c r="H43" s="43" t="s">
        <v>64</v>
      </c>
      <c r="I43" s="43" t="s">
        <v>65</v>
      </c>
      <c r="J43" s="35">
        <v>42424</v>
      </c>
      <c r="K43" s="35">
        <v>42425</v>
      </c>
      <c r="L43" s="66">
        <v>44197</v>
      </c>
      <c r="M43" s="67">
        <v>44561</v>
      </c>
      <c r="N43" s="73">
        <v>328</v>
      </c>
      <c r="O43" s="73">
        <f t="shared" si="18"/>
        <v>300</v>
      </c>
      <c r="P43" s="63">
        <v>0</v>
      </c>
      <c r="Q43" s="81">
        <f t="shared" si="19"/>
        <v>365</v>
      </c>
      <c r="R43" s="72">
        <f t="shared" si="20"/>
        <v>109500</v>
      </c>
      <c r="S43" s="175">
        <f>SUM(P43)/SUM(P43:Q43)</f>
        <v>0</v>
      </c>
    </row>
    <row r="44" spans="2:19">
      <c r="B44" s="33" t="s">
        <v>153</v>
      </c>
      <c r="C44" s="34" t="s">
        <v>154</v>
      </c>
      <c r="D44" s="34" t="s">
        <v>154</v>
      </c>
      <c r="E44" s="43" t="s">
        <v>63</v>
      </c>
      <c r="F44" s="43">
        <v>-13.237613339999999</v>
      </c>
      <c r="G44" s="43">
        <v>33.697306849999997</v>
      </c>
      <c r="H44" s="43" t="s">
        <v>64</v>
      </c>
      <c r="I44" s="43" t="s">
        <v>65</v>
      </c>
      <c r="J44" s="35">
        <v>42427</v>
      </c>
      <c r="K44" s="35">
        <v>42428</v>
      </c>
      <c r="L44" s="66">
        <v>44197</v>
      </c>
      <c r="M44" s="67">
        <v>44561</v>
      </c>
      <c r="N44" s="73">
        <v>611</v>
      </c>
      <c r="O44" s="73">
        <f t="shared" si="18"/>
        <v>300</v>
      </c>
      <c r="P44" s="63">
        <v>96</v>
      </c>
      <c r="Q44" s="81">
        <f t="shared" si="19"/>
        <v>269</v>
      </c>
      <c r="R44" s="72">
        <f t="shared" si="20"/>
        <v>80700</v>
      </c>
      <c r="S44" s="175">
        <f t="shared" si="21"/>
        <v>0.26301369863013696</v>
      </c>
    </row>
    <row r="45" spans="2:19">
      <c r="B45" s="37" t="s">
        <v>155</v>
      </c>
      <c r="C45" s="38" t="s">
        <v>156</v>
      </c>
      <c r="D45" s="38" t="s">
        <v>157</v>
      </c>
      <c r="E45" s="54" t="s">
        <v>63</v>
      </c>
      <c r="F45" s="54">
        <v>-13.34247987</v>
      </c>
      <c r="G45" s="54">
        <v>33.479851310000001</v>
      </c>
      <c r="H45" s="54" t="s">
        <v>64</v>
      </c>
      <c r="I45" s="54" t="s">
        <v>65</v>
      </c>
      <c r="J45" s="39">
        <v>42439</v>
      </c>
      <c r="K45" s="39">
        <v>42440</v>
      </c>
      <c r="L45" s="66">
        <v>44197</v>
      </c>
      <c r="M45" s="67">
        <v>44561</v>
      </c>
      <c r="N45" s="73">
        <v>148</v>
      </c>
      <c r="O45" s="73">
        <f t="shared" si="18"/>
        <v>148</v>
      </c>
      <c r="P45" s="63">
        <v>0</v>
      </c>
      <c r="Q45" s="81">
        <f t="shared" si="19"/>
        <v>365</v>
      </c>
      <c r="R45" s="72">
        <f t="shared" si="20"/>
        <v>54020</v>
      </c>
      <c r="S45" s="175">
        <f t="shared" si="21"/>
        <v>0</v>
      </c>
    </row>
    <row r="46" spans="2:19">
      <c r="B46" s="56"/>
      <c r="C46" s="57"/>
      <c r="D46" s="57"/>
      <c r="E46" s="58"/>
      <c r="F46" s="58"/>
      <c r="G46" s="58"/>
      <c r="H46" s="58"/>
      <c r="I46" s="58"/>
      <c r="J46" s="59"/>
      <c r="K46" s="59"/>
      <c r="L46" s="64"/>
      <c r="M46" s="60"/>
      <c r="N46" s="76">
        <v>3048</v>
      </c>
      <c r="O46" s="76">
        <f>SUM(O38:O45)</f>
        <v>2202</v>
      </c>
      <c r="P46" s="60"/>
      <c r="Q46" s="82">
        <f t="shared" ref="Q46" si="22">SUM(Q38:Q45)</f>
        <v>2824</v>
      </c>
      <c r="R46" s="83">
        <f t="shared" ref="R46" si="23">SUM(R38:R45)</f>
        <v>774930</v>
      </c>
      <c r="S46" s="176">
        <f>AVERAGE(S38:S45)</f>
        <v>3.287671232876712E-2</v>
      </c>
    </row>
    <row r="47" spans="2:19">
      <c r="B47" s="44" t="s">
        <v>158</v>
      </c>
      <c r="C47" s="45"/>
      <c r="D47" s="45"/>
      <c r="E47" s="46"/>
      <c r="F47" s="46"/>
      <c r="G47" s="46"/>
      <c r="H47" s="46"/>
      <c r="I47" s="46"/>
      <c r="J47" s="46"/>
      <c r="K47" s="46"/>
      <c r="L47" s="65"/>
      <c r="M47" s="42"/>
      <c r="N47" s="77"/>
      <c r="O47" s="77"/>
      <c r="P47" s="42"/>
      <c r="Q47" s="84"/>
      <c r="R47" s="85"/>
      <c r="S47" s="177"/>
    </row>
    <row r="48" spans="2:19">
      <c r="B48" s="33" t="s">
        <v>159</v>
      </c>
      <c r="C48" s="34" t="s">
        <v>160</v>
      </c>
      <c r="D48" s="34" t="s">
        <v>161</v>
      </c>
      <c r="E48" s="43" t="s">
        <v>63</v>
      </c>
      <c r="F48" s="43">
        <v>-13.37593942</v>
      </c>
      <c r="G48" s="43">
        <v>33.731419699999996</v>
      </c>
      <c r="H48" s="43" t="s">
        <v>64</v>
      </c>
      <c r="I48" s="43" t="s">
        <v>65</v>
      </c>
      <c r="J48" s="35">
        <v>42421</v>
      </c>
      <c r="K48" s="35">
        <v>42422</v>
      </c>
      <c r="L48" s="66">
        <v>44197</v>
      </c>
      <c r="M48" s="67">
        <v>44561</v>
      </c>
      <c r="N48" s="73">
        <v>301</v>
      </c>
      <c r="O48" s="73">
        <f t="shared" ref="O48:O57" si="24">IF(N48&gt;300,300,N48)</f>
        <v>300</v>
      </c>
      <c r="P48" s="63">
        <v>0</v>
      </c>
      <c r="Q48" s="81">
        <f t="shared" ref="Q48:Q57" si="25">M48-$V$3-P48</f>
        <v>365</v>
      </c>
      <c r="R48" s="72">
        <f t="shared" ref="R48:R57" si="26">Q48*O48</f>
        <v>109500</v>
      </c>
      <c r="S48" s="175">
        <f>SUM(P48)/SUM(P48:Q48)</f>
        <v>0</v>
      </c>
    </row>
    <row r="49" spans="2:19">
      <c r="B49" s="33" t="s">
        <v>162</v>
      </c>
      <c r="C49" s="34" t="s">
        <v>163</v>
      </c>
      <c r="D49" s="34" t="s">
        <v>164</v>
      </c>
      <c r="E49" s="43" t="s">
        <v>63</v>
      </c>
      <c r="F49" s="43">
        <v>-13.35503325</v>
      </c>
      <c r="G49" s="43">
        <v>33.634747599999997</v>
      </c>
      <c r="H49" s="43" t="s">
        <v>64</v>
      </c>
      <c r="I49" s="43" t="s">
        <v>65</v>
      </c>
      <c r="J49" s="35">
        <v>42421</v>
      </c>
      <c r="K49" s="35">
        <v>42422</v>
      </c>
      <c r="L49" s="66">
        <v>44197</v>
      </c>
      <c r="M49" s="67">
        <v>44561</v>
      </c>
      <c r="N49" s="73">
        <v>409</v>
      </c>
      <c r="O49" s="73">
        <f t="shared" si="24"/>
        <v>300</v>
      </c>
      <c r="P49" s="63">
        <v>96</v>
      </c>
      <c r="Q49" s="81">
        <f t="shared" si="25"/>
        <v>269</v>
      </c>
      <c r="R49" s="72">
        <f t="shared" si="26"/>
        <v>80700</v>
      </c>
      <c r="S49" s="175">
        <f t="shared" ref="S49:S57" si="27">SUM(P49)/SUM(P49:Q49)</f>
        <v>0.26301369863013696</v>
      </c>
    </row>
    <row r="50" spans="2:19">
      <c r="B50" s="33" t="s">
        <v>165</v>
      </c>
      <c r="C50" s="34" t="s">
        <v>166</v>
      </c>
      <c r="D50" s="34" t="s">
        <v>145</v>
      </c>
      <c r="E50" s="43" t="s">
        <v>63</v>
      </c>
      <c r="F50" s="43">
        <v>-13.5152517</v>
      </c>
      <c r="G50" s="43">
        <v>33.584457</v>
      </c>
      <c r="H50" s="43" t="s">
        <v>64</v>
      </c>
      <c r="I50" s="43" t="s">
        <v>65</v>
      </c>
      <c r="J50" s="35">
        <v>42431</v>
      </c>
      <c r="K50" s="35">
        <v>42432</v>
      </c>
      <c r="L50" s="66">
        <v>44197</v>
      </c>
      <c r="M50" s="67">
        <v>44561</v>
      </c>
      <c r="N50" s="73">
        <v>79</v>
      </c>
      <c r="O50" s="73">
        <f t="shared" si="24"/>
        <v>79</v>
      </c>
      <c r="P50" s="63">
        <v>0</v>
      </c>
      <c r="Q50" s="81">
        <f t="shared" si="25"/>
        <v>365</v>
      </c>
      <c r="R50" s="72">
        <f t="shared" si="26"/>
        <v>28835</v>
      </c>
      <c r="S50" s="175">
        <f t="shared" si="27"/>
        <v>0</v>
      </c>
    </row>
    <row r="51" spans="2:19">
      <c r="B51" s="33" t="s">
        <v>167</v>
      </c>
      <c r="C51" s="34" t="s">
        <v>168</v>
      </c>
      <c r="D51" s="34" t="s">
        <v>169</v>
      </c>
      <c r="E51" s="43" t="s">
        <v>63</v>
      </c>
      <c r="F51" s="43">
        <v>-13.656140260000001</v>
      </c>
      <c r="G51" s="43">
        <v>33.722557279999997</v>
      </c>
      <c r="H51" s="43" t="s">
        <v>64</v>
      </c>
      <c r="I51" s="43" t="s">
        <v>65</v>
      </c>
      <c r="J51" s="35">
        <v>42452</v>
      </c>
      <c r="K51" s="35">
        <v>42453</v>
      </c>
      <c r="L51" s="66">
        <v>44197</v>
      </c>
      <c r="M51" s="67">
        <v>44561</v>
      </c>
      <c r="N51" s="73">
        <v>121</v>
      </c>
      <c r="O51" s="73">
        <f t="shared" si="24"/>
        <v>121</v>
      </c>
      <c r="P51" s="63">
        <v>0</v>
      </c>
      <c r="Q51" s="81">
        <f t="shared" si="25"/>
        <v>365</v>
      </c>
      <c r="R51" s="72">
        <f t="shared" si="26"/>
        <v>44165</v>
      </c>
      <c r="S51" s="175">
        <f t="shared" si="27"/>
        <v>0</v>
      </c>
    </row>
    <row r="52" spans="2:19">
      <c r="B52" s="33" t="s">
        <v>170</v>
      </c>
      <c r="C52" s="34" t="s">
        <v>171</v>
      </c>
      <c r="D52" s="34" t="s">
        <v>169</v>
      </c>
      <c r="E52" s="43" t="s">
        <v>63</v>
      </c>
      <c r="F52" s="43">
        <v>-13.346166630000001</v>
      </c>
      <c r="G52" s="43">
        <v>33.522262140000002</v>
      </c>
      <c r="H52" s="43" t="s">
        <v>64</v>
      </c>
      <c r="I52" s="43" t="s">
        <v>65</v>
      </c>
      <c r="J52" s="35">
        <v>42453</v>
      </c>
      <c r="K52" s="35">
        <v>42454</v>
      </c>
      <c r="L52" s="66">
        <v>44197</v>
      </c>
      <c r="M52" s="67">
        <v>44561</v>
      </c>
      <c r="N52" s="73">
        <v>466</v>
      </c>
      <c r="O52" s="73">
        <f t="shared" si="24"/>
        <v>300</v>
      </c>
      <c r="P52" s="63">
        <v>0</v>
      </c>
      <c r="Q52" s="81">
        <f t="shared" si="25"/>
        <v>365</v>
      </c>
      <c r="R52" s="72">
        <f t="shared" si="26"/>
        <v>109500</v>
      </c>
      <c r="S52" s="175">
        <f t="shared" si="27"/>
        <v>0</v>
      </c>
    </row>
    <row r="53" spans="2:19">
      <c r="B53" s="33" t="s">
        <v>172</v>
      </c>
      <c r="C53" s="34" t="s">
        <v>173</v>
      </c>
      <c r="D53" s="34" t="s">
        <v>174</v>
      </c>
      <c r="E53" s="43" t="s">
        <v>63</v>
      </c>
      <c r="F53" s="43">
        <v>-13.68031614</v>
      </c>
      <c r="G53" s="43">
        <v>33.615950120000001</v>
      </c>
      <c r="H53" s="43" t="s">
        <v>64</v>
      </c>
      <c r="I53" s="43" t="s">
        <v>65</v>
      </c>
      <c r="J53" s="35">
        <v>42461</v>
      </c>
      <c r="K53" s="35">
        <v>42462</v>
      </c>
      <c r="L53" s="66">
        <v>44197</v>
      </c>
      <c r="M53" s="67">
        <v>44561</v>
      </c>
      <c r="N53" s="73">
        <v>534</v>
      </c>
      <c r="O53" s="73">
        <f t="shared" si="24"/>
        <v>300</v>
      </c>
      <c r="P53" s="63">
        <v>0</v>
      </c>
      <c r="Q53" s="81">
        <f t="shared" si="25"/>
        <v>365</v>
      </c>
      <c r="R53" s="72">
        <f t="shared" si="26"/>
        <v>109500</v>
      </c>
      <c r="S53" s="175">
        <f>SUM(P53)/SUM(P53:Q53)</f>
        <v>0</v>
      </c>
    </row>
    <row r="54" spans="2:19">
      <c r="B54" s="33" t="s">
        <v>175</v>
      </c>
      <c r="C54" s="34" t="s">
        <v>176</v>
      </c>
      <c r="D54" s="34" t="s">
        <v>177</v>
      </c>
      <c r="E54" s="43" t="s">
        <v>63</v>
      </c>
      <c r="F54" s="43">
        <v>-13.70284436</v>
      </c>
      <c r="G54" s="43">
        <v>33.610201119999999</v>
      </c>
      <c r="H54" s="43" t="s">
        <v>64</v>
      </c>
      <c r="I54" s="43" t="s">
        <v>65</v>
      </c>
      <c r="J54" s="35">
        <v>42475</v>
      </c>
      <c r="K54" s="35">
        <v>42476</v>
      </c>
      <c r="L54" s="66">
        <v>44197</v>
      </c>
      <c r="M54" s="67">
        <v>44561</v>
      </c>
      <c r="N54" s="73">
        <v>263</v>
      </c>
      <c r="O54" s="73">
        <f t="shared" si="24"/>
        <v>263</v>
      </c>
      <c r="P54" s="63">
        <v>0</v>
      </c>
      <c r="Q54" s="81">
        <f t="shared" si="25"/>
        <v>365</v>
      </c>
      <c r="R54" s="72">
        <f t="shared" si="26"/>
        <v>95995</v>
      </c>
      <c r="S54" s="175">
        <f t="shared" si="27"/>
        <v>0</v>
      </c>
    </row>
    <row r="55" spans="2:19">
      <c r="B55" s="33" t="s">
        <v>178</v>
      </c>
      <c r="C55" s="34" t="s">
        <v>179</v>
      </c>
      <c r="D55" s="34" t="s">
        <v>180</v>
      </c>
      <c r="E55" s="43" t="s">
        <v>63</v>
      </c>
      <c r="F55" s="43">
        <v>-13.651051369999999</v>
      </c>
      <c r="G55" s="43">
        <v>33.625415760000003</v>
      </c>
      <c r="H55" s="43" t="s">
        <v>64</v>
      </c>
      <c r="I55" s="43" t="s">
        <v>65</v>
      </c>
      <c r="J55" s="35">
        <v>42477</v>
      </c>
      <c r="K55" s="35">
        <v>42478</v>
      </c>
      <c r="L55" s="66">
        <v>44197</v>
      </c>
      <c r="M55" s="67">
        <v>44561</v>
      </c>
      <c r="N55" s="73">
        <v>200</v>
      </c>
      <c r="O55" s="73">
        <f t="shared" si="24"/>
        <v>200</v>
      </c>
      <c r="P55" s="63">
        <v>0</v>
      </c>
      <c r="Q55" s="81">
        <f t="shared" si="25"/>
        <v>365</v>
      </c>
      <c r="R55" s="72">
        <f t="shared" si="26"/>
        <v>73000</v>
      </c>
      <c r="S55" s="175">
        <f t="shared" si="27"/>
        <v>0</v>
      </c>
    </row>
    <row r="56" spans="2:19">
      <c r="B56" s="33" t="s">
        <v>181</v>
      </c>
      <c r="C56" s="34" t="s">
        <v>182</v>
      </c>
      <c r="D56" s="34" t="s">
        <v>182</v>
      </c>
      <c r="E56" s="43" t="s">
        <v>63</v>
      </c>
      <c r="F56" s="43">
        <v>-13.688773530000001</v>
      </c>
      <c r="G56" s="43">
        <v>33.614603520000003</v>
      </c>
      <c r="H56" s="43" t="s">
        <v>64</v>
      </c>
      <c r="I56" s="43" t="s">
        <v>65</v>
      </c>
      <c r="J56" s="35">
        <v>42478</v>
      </c>
      <c r="K56" s="35">
        <v>42479</v>
      </c>
      <c r="L56" s="66">
        <v>44197</v>
      </c>
      <c r="M56" s="67">
        <v>44561</v>
      </c>
      <c r="N56" s="73">
        <v>313</v>
      </c>
      <c r="O56" s="73">
        <f t="shared" si="24"/>
        <v>300</v>
      </c>
      <c r="P56" s="63">
        <v>0</v>
      </c>
      <c r="Q56" s="81">
        <f t="shared" si="25"/>
        <v>365</v>
      </c>
      <c r="R56" s="72">
        <f t="shared" si="26"/>
        <v>109500</v>
      </c>
      <c r="S56" s="175">
        <f t="shared" si="27"/>
        <v>0</v>
      </c>
    </row>
    <row r="57" spans="2:19">
      <c r="B57" s="47" t="s">
        <v>183</v>
      </c>
      <c r="C57" s="48" t="s">
        <v>184</v>
      </c>
      <c r="D57" s="48" t="s">
        <v>185</v>
      </c>
      <c r="E57" s="55" t="s">
        <v>63</v>
      </c>
      <c r="F57" s="55">
        <v>-13.69307571</v>
      </c>
      <c r="G57" s="55">
        <v>33.629669499999999</v>
      </c>
      <c r="H57" s="55" t="s">
        <v>64</v>
      </c>
      <c r="I57" s="55" t="s">
        <v>65</v>
      </c>
      <c r="J57" s="49">
        <v>42484</v>
      </c>
      <c r="K57" s="49">
        <v>42485</v>
      </c>
      <c r="L57" s="66">
        <v>44197</v>
      </c>
      <c r="M57" s="67">
        <v>44561</v>
      </c>
      <c r="N57" s="73">
        <v>158</v>
      </c>
      <c r="O57" s="73">
        <f t="shared" si="24"/>
        <v>158</v>
      </c>
      <c r="P57" s="63">
        <v>1</v>
      </c>
      <c r="Q57" s="81">
        <f t="shared" si="25"/>
        <v>364</v>
      </c>
      <c r="R57" s="72">
        <f t="shared" si="26"/>
        <v>57512</v>
      </c>
      <c r="S57" s="175">
        <f t="shared" si="27"/>
        <v>2.7397260273972603E-3</v>
      </c>
    </row>
    <row r="58" spans="2:19">
      <c r="B58" s="56"/>
      <c r="C58" s="57"/>
      <c r="D58" s="57"/>
      <c r="E58" s="58"/>
      <c r="F58" s="58"/>
      <c r="G58" s="58"/>
      <c r="H58" s="58"/>
      <c r="I58" s="58"/>
      <c r="J58" s="59"/>
      <c r="K58" s="59"/>
      <c r="L58" s="64"/>
      <c r="M58" s="60"/>
      <c r="N58" s="76">
        <v>2844</v>
      </c>
      <c r="O58" s="76">
        <f>SUM(O48:O57)</f>
        <v>2321</v>
      </c>
      <c r="P58" s="60"/>
      <c r="Q58" s="82">
        <f t="shared" ref="Q58" si="28">SUM(Q48:Q57)</f>
        <v>3553</v>
      </c>
      <c r="R58" s="83">
        <f t="shared" ref="R58" si="29">SUM(R48:R57)</f>
        <v>818207</v>
      </c>
      <c r="S58" s="176">
        <f>AVERAGE(S48:S57)</f>
        <v>2.657534246575342E-2</v>
      </c>
    </row>
    <row r="59" spans="2:19">
      <c r="B59" s="32" t="s">
        <v>186</v>
      </c>
      <c r="C59" s="40"/>
      <c r="D59" s="40"/>
      <c r="E59" s="41"/>
      <c r="F59" s="41"/>
      <c r="G59" s="41"/>
      <c r="H59" s="41"/>
      <c r="I59" s="41"/>
      <c r="J59" s="41"/>
      <c r="K59" s="41"/>
      <c r="L59" s="65"/>
      <c r="M59" s="42"/>
      <c r="N59" s="75"/>
      <c r="O59" s="75"/>
      <c r="P59" s="42"/>
      <c r="Q59" s="84"/>
      <c r="R59" s="85"/>
      <c r="S59" s="177"/>
    </row>
    <row r="60" spans="2:19">
      <c r="B60" s="33" t="s">
        <v>187</v>
      </c>
      <c r="C60" s="34" t="s">
        <v>188</v>
      </c>
      <c r="D60" s="34" t="s">
        <v>188</v>
      </c>
      <c r="E60" s="43" t="s">
        <v>63</v>
      </c>
      <c r="F60" s="43">
        <v>-13.67233542</v>
      </c>
      <c r="G60" s="43">
        <v>33.743401830000003</v>
      </c>
      <c r="H60" s="43" t="s">
        <v>64</v>
      </c>
      <c r="I60" s="43" t="s">
        <v>65</v>
      </c>
      <c r="J60" s="35">
        <v>42486</v>
      </c>
      <c r="K60" s="35">
        <v>42487</v>
      </c>
      <c r="L60" s="66">
        <v>44197</v>
      </c>
      <c r="M60" s="67">
        <v>44561</v>
      </c>
      <c r="N60" s="73">
        <v>449</v>
      </c>
      <c r="O60" s="73">
        <f t="shared" ref="O60:O67" si="30">IF(N60&gt;300,300,N60)</f>
        <v>300</v>
      </c>
      <c r="P60" s="63">
        <v>0</v>
      </c>
      <c r="Q60" s="81">
        <f t="shared" ref="Q60:Q67" si="31">M60-$V$3-P60</f>
        <v>365</v>
      </c>
      <c r="R60" s="72">
        <f t="shared" ref="R60:R67" si="32">Q60*O60</f>
        <v>109500</v>
      </c>
      <c r="S60" s="175">
        <f>SUM(P60)/SUM(P60:Q60)</f>
        <v>0</v>
      </c>
    </row>
    <row r="61" spans="2:19">
      <c r="B61" s="33" t="s">
        <v>189</v>
      </c>
      <c r="C61" s="34" t="s">
        <v>190</v>
      </c>
      <c r="D61" s="34" t="s">
        <v>190</v>
      </c>
      <c r="E61" s="43" t="s">
        <v>63</v>
      </c>
      <c r="F61" s="43">
        <v>-13.66176186</v>
      </c>
      <c r="G61" s="43">
        <v>33.691637100000001</v>
      </c>
      <c r="H61" s="43" t="s">
        <v>64</v>
      </c>
      <c r="I61" s="43" t="s">
        <v>65</v>
      </c>
      <c r="J61" s="35">
        <v>42486</v>
      </c>
      <c r="K61" s="35">
        <v>42487</v>
      </c>
      <c r="L61" s="66">
        <v>44197</v>
      </c>
      <c r="M61" s="67">
        <v>44561</v>
      </c>
      <c r="N61" s="73">
        <v>287</v>
      </c>
      <c r="O61" s="73">
        <f t="shared" si="30"/>
        <v>287</v>
      </c>
      <c r="P61" s="63">
        <v>0</v>
      </c>
      <c r="Q61" s="81">
        <f t="shared" si="31"/>
        <v>365</v>
      </c>
      <c r="R61" s="72">
        <f t="shared" si="32"/>
        <v>104755</v>
      </c>
      <c r="S61" s="175">
        <f t="shared" ref="S61:S67" si="33">SUM(P61)/SUM(P61:Q61)</f>
        <v>0</v>
      </c>
    </row>
    <row r="62" spans="2:19">
      <c r="B62" s="33" t="s">
        <v>191</v>
      </c>
      <c r="C62" s="34" t="s">
        <v>192</v>
      </c>
      <c r="D62" s="34" t="s">
        <v>193</v>
      </c>
      <c r="E62" s="43" t="s">
        <v>63</v>
      </c>
      <c r="F62" s="43">
        <v>-13.668101377687304</v>
      </c>
      <c r="G62" s="43">
        <v>33.719764358524287</v>
      </c>
      <c r="H62" s="43" t="s">
        <v>64</v>
      </c>
      <c r="I62" s="43" t="s">
        <v>65</v>
      </c>
      <c r="J62" s="35">
        <v>42486</v>
      </c>
      <c r="K62" s="35">
        <v>42487</v>
      </c>
      <c r="L62" s="66">
        <v>44197</v>
      </c>
      <c r="M62" s="67">
        <v>44561</v>
      </c>
      <c r="N62" s="73">
        <v>400</v>
      </c>
      <c r="O62" s="73">
        <f t="shared" si="30"/>
        <v>300</v>
      </c>
      <c r="P62" s="63">
        <v>0</v>
      </c>
      <c r="Q62" s="81">
        <f t="shared" si="31"/>
        <v>365</v>
      </c>
      <c r="R62" s="72">
        <f t="shared" si="32"/>
        <v>109500</v>
      </c>
      <c r="S62" s="175">
        <f t="shared" si="33"/>
        <v>0</v>
      </c>
    </row>
    <row r="63" spans="2:19">
      <c r="B63" s="33" t="s">
        <v>194</v>
      </c>
      <c r="C63" s="34" t="s">
        <v>195</v>
      </c>
      <c r="D63" s="34" t="s">
        <v>70</v>
      </c>
      <c r="E63" s="43" t="s">
        <v>63</v>
      </c>
      <c r="F63" s="43">
        <v>-13.45577355</v>
      </c>
      <c r="G63" s="43">
        <v>33.73610481</v>
      </c>
      <c r="H63" s="43" t="s">
        <v>64</v>
      </c>
      <c r="I63" s="43" t="s">
        <v>65</v>
      </c>
      <c r="J63" s="35">
        <v>42487</v>
      </c>
      <c r="K63" s="35">
        <v>42488</v>
      </c>
      <c r="L63" s="66">
        <v>44197</v>
      </c>
      <c r="M63" s="67">
        <v>44561</v>
      </c>
      <c r="N63" s="73">
        <v>279</v>
      </c>
      <c r="O63" s="73">
        <f t="shared" si="30"/>
        <v>279</v>
      </c>
      <c r="P63" s="63">
        <v>0</v>
      </c>
      <c r="Q63" s="81">
        <f t="shared" si="31"/>
        <v>365</v>
      </c>
      <c r="R63" s="72">
        <f t="shared" si="32"/>
        <v>101835</v>
      </c>
      <c r="S63" s="175">
        <f t="shared" si="33"/>
        <v>0</v>
      </c>
    </row>
    <row r="64" spans="2:19">
      <c r="B64" s="33" t="s">
        <v>196</v>
      </c>
      <c r="C64" s="34" t="s">
        <v>197</v>
      </c>
      <c r="D64" s="34" t="s">
        <v>198</v>
      </c>
      <c r="E64" s="43" t="s">
        <v>63</v>
      </c>
      <c r="F64" s="43">
        <v>-13.667796640000001</v>
      </c>
      <c r="G64" s="43">
        <v>33.639625410000001</v>
      </c>
      <c r="H64" s="43" t="s">
        <v>64</v>
      </c>
      <c r="I64" s="43" t="s">
        <v>65</v>
      </c>
      <c r="J64" s="35">
        <v>42487</v>
      </c>
      <c r="K64" s="35">
        <v>42488</v>
      </c>
      <c r="L64" s="66">
        <v>44197</v>
      </c>
      <c r="M64" s="67">
        <v>44561</v>
      </c>
      <c r="N64" s="73">
        <v>467</v>
      </c>
      <c r="O64" s="73">
        <f t="shared" si="30"/>
        <v>300</v>
      </c>
      <c r="P64" s="63">
        <v>0</v>
      </c>
      <c r="Q64" s="81">
        <f t="shared" si="31"/>
        <v>365</v>
      </c>
      <c r="R64" s="72">
        <f t="shared" si="32"/>
        <v>109500</v>
      </c>
      <c r="S64" s="175">
        <f t="shared" si="33"/>
        <v>0</v>
      </c>
    </row>
    <row r="65" spans="2:19">
      <c r="B65" s="33" t="s">
        <v>199</v>
      </c>
      <c r="C65" s="34" t="s">
        <v>200</v>
      </c>
      <c r="D65" s="34" t="s">
        <v>201</v>
      </c>
      <c r="E65" s="43" t="s">
        <v>63</v>
      </c>
      <c r="F65" s="43">
        <v>-13.69147512</v>
      </c>
      <c r="G65" s="43">
        <v>33.61536882</v>
      </c>
      <c r="H65" s="43" t="s">
        <v>64</v>
      </c>
      <c r="I65" s="43" t="s">
        <v>65</v>
      </c>
      <c r="J65" s="35">
        <v>42487</v>
      </c>
      <c r="K65" s="35">
        <v>42488</v>
      </c>
      <c r="L65" s="66">
        <v>44197</v>
      </c>
      <c r="M65" s="67">
        <v>44561</v>
      </c>
      <c r="N65" s="73">
        <v>399</v>
      </c>
      <c r="O65" s="73">
        <f t="shared" si="30"/>
        <v>300</v>
      </c>
      <c r="P65" s="63">
        <v>0</v>
      </c>
      <c r="Q65" s="81">
        <f t="shared" si="31"/>
        <v>365</v>
      </c>
      <c r="R65" s="72">
        <f t="shared" si="32"/>
        <v>109500</v>
      </c>
      <c r="S65" s="175">
        <f>SUM(P65)/SUM(P65:Q65)</f>
        <v>0</v>
      </c>
    </row>
    <row r="66" spans="2:19">
      <c r="B66" s="33" t="s">
        <v>202</v>
      </c>
      <c r="C66" s="34" t="s">
        <v>203</v>
      </c>
      <c r="D66" s="34" t="s">
        <v>204</v>
      </c>
      <c r="E66" s="43" t="s">
        <v>63</v>
      </c>
      <c r="F66" s="43">
        <v>-13.538048310000001</v>
      </c>
      <c r="G66" s="43">
        <v>33.491025350000001</v>
      </c>
      <c r="H66" s="43" t="s">
        <v>64</v>
      </c>
      <c r="I66" s="43" t="s">
        <v>65</v>
      </c>
      <c r="J66" s="35">
        <v>42487</v>
      </c>
      <c r="K66" s="35">
        <v>42488</v>
      </c>
      <c r="L66" s="66">
        <v>44197</v>
      </c>
      <c r="M66" s="67">
        <v>44561</v>
      </c>
      <c r="N66" s="73">
        <v>282</v>
      </c>
      <c r="O66" s="73">
        <f t="shared" si="30"/>
        <v>282</v>
      </c>
      <c r="P66" s="63">
        <v>0</v>
      </c>
      <c r="Q66" s="81">
        <f t="shared" si="31"/>
        <v>365</v>
      </c>
      <c r="R66" s="72">
        <f t="shared" si="32"/>
        <v>102930</v>
      </c>
      <c r="S66" s="175">
        <f t="shared" si="33"/>
        <v>0</v>
      </c>
    </row>
    <row r="67" spans="2:19">
      <c r="B67" s="37" t="s">
        <v>205</v>
      </c>
      <c r="C67" s="38" t="s">
        <v>206</v>
      </c>
      <c r="D67" s="38" t="s">
        <v>207</v>
      </c>
      <c r="E67" s="54" t="s">
        <v>63</v>
      </c>
      <c r="F67" s="54">
        <v>-13.53529028</v>
      </c>
      <c r="G67" s="54">
        <v>33.518032490000003</v>
      </c>
      <c r="H67" s="54" t="s">
        <v>64</v>
      </c>
      <c r="I67" s="54" t="s">
        <v>65</v>
      </c>
      <c r="J67" s="39">
        <v>42487</v>
      </c>
      <c r="K67" s="39">
        <v>42488</v>
      </c>
      <c r="L67" s="66">
        <v>44197</v>
      </c>
      <c r="M67" s="67">
        <v>44561</v>
      </c>
      <c r="N67" s="73">
        <v>73</v>
      </c>
      <c r="O67" s="73">
        <f t="shared" si="30"/>
        <v>73</v>
      </c>
      <c r="P67" s="63">
        <v>0</v>
      </c>
      <c r="Q67" s="81">
        <f t="shared" si="31"/>
        <v>365</v>
      </c>
      <c r="R67" s="72">
        <f t="shared" si="32"/>
        <v>26645</v>
      </c>
      <c r="S67" s="175">
        <f t="shared" si="33"/>
        <v>0</v>
      </c>
    </row>
    <row r="68" spans="2:19">
      <c r="B68" s="56"/>
      <c r="C68" s="57"/>
      <c r="D68" s="57"/>
      <c r="E68" s="58"/>
      <c r="F68" s="58"/>
      <c r="G68" s="58"/>
      <c r="H68" s="58"/>
      <c r="I68" s="58"/>
      <c r="J68" s="59"/>
      <c r="K68" s="59"/>
      <c r="L68" s="64"/>
      <c r="M68" s="60"/>
      <c r="N68" s="76">
        <v>2636</v>
      </c>
      <c r="O68" s="76">
        <f>SUM(O60:O67)</f>
        <v>2121</v>
      </c>
      <c r="P68" s="60"/>
      <c r="Q68" s="82">
        <f t="shared" ref="Q68" si="34">SUM(Q60:Q67)</f>
        <v>2920</v>
      </c>
      <c r="R68" s="83">
        <f t="shared" ref="R68" si="35">SUM(R60:R67)</f>
        <v>774165</v>
      </c>
      <c r="S68" s="176">
        <f>AVERAGE(S60:S67)</f>
        <v>0</v>
      </c>
    </row>
    <row r="69" spans="2:19">
      <c r="B69" s="44" t="s">
        <v>208</v>
      </c>
      <c r="C69" s="45"/>
      <c r="D69" s="45"/>
      <c r="E69" s="46"/>
      <c r="F69" s="46"/>
      <c r="G69" s="46"/>
      <c r="H69" s="46"/>
      <c r="I69" s="46"/>
      <c r="J69" s="46"/>
      <c r="K69" s="46"/>
      <c r="L69" s="65"/>
      <c r="M69" s="42"/>
      <c r="N69" s="77"/>
      <c r="O69" s="77"/>
      <c r="P69" s="42"/>
      <c r="Q69" s="84"/>
      <c r="R69" s="85"/>
      <c r="S69" s="177"/>
    </row>
    <row r="70" spans="2:19">
      <c r="B70" s="33" t="s">
        <v>209</v>
      </c>
      <c r="C70" s="34" t="s">
        <v>210</v>
      </c>
      <c r="D70" s="34" t="s">
        <v>211</v>
      </c>
      <c r="E70" s="43" t="s">
        <v>63</v>
      </c>
      <c r="F70" s="43">
        <v>-13.62773945</v>
      </c>
      <c r="G70" s="43">
        <v>33.738316300000001</v>
      </c>
      <c r="H70" s="43" t="s">
        <v>64</v>
      </c>
      <c r="I70" s="43" t="s">
        <v>65</v>
      </c>
      <c r="J70" s="35">
        <v>42479</v>
      </c>
      <c r="K70" s="35">
        <v>42480</v>
      </c>
      <c r="L70" s="66">
        <v>44197</v>
      </c>
      <c r="M70" s="67">
        <v>44561</v>
      </c>
      <c r="N70" s="73">
        <v>370</v>
      </c>
      <c r="O70" s="73">
        <f t="shared" ref="O70:O79" si="36">IF(N70&gt;300,300,N70)</f>
        <v>300</v>
      </c>
      <c r="P70" s="63">
        <v>0</v>
      </c>
      <c r="Q70" s="81">
        <f t="shared" ref="Q70:Q79" si="37">M70-$V$3-P70</f>
        <v>365</v>
      </c>
      <c r="R70" s="72">
        <f t="shared" ref="R70:R79" si="38">Q70*O70</f>
        <v>109500</v>
      </c>
      <c r="S70" s="175">
        <f>SUM(P70)/SUM(P70:Q70)</f>
        <v>0</v>
      </c>
    </row>
    <row r="71" spans="2:19">
      <c r="B71" s="33" t="s">
        <v>212</v>
      </c>
      <c r="C71" s="34" t="s">
        <v>213</v>
      </c>
      <c r="D71" s="34" t="s">
        <v>213</v>
      </c>
      <c r="E71" s="43" t="s">
        <v>63</v>
      </c>
      <c r="F71" s="43">
        <v>-13.531776259999999</v>
      </c>
      <c r="G71" s="43">
        <v>33.608921770000002</v>
      </c>
      <c r="H71" s="43" t="s">
        <v>64</v>
      </c>
      <c r="I71" s="43" t="s">
        <v>65</v>
      </c>
      <c r="J71" s="35">
        <v>42480</v>
      </c>
      <c r="K71" s="35">
        <v>42481</v>
      </c>
      <c r="L71" s="66">
        <v>44197</v>
      </c>
      <c r="M71" s="67">
        <v>44561</v>
      </c>
      <c r="N71" s="73">
        <v>197</v>
      </c>
      <c r="O71" s="73">
        <f t="shared" si="36"/>
        <v>197</v>
      </c>
      <c r="P71" s="63">
        <v>0</v>
      </c>
      <c r="Q71" s="81">
        <f t="shared" si="37"/>
        <v>365</v>
      </c>
      <c r="R71" s="72">
        <f t="shared" si="38"/>
        <v>71905</v>
      </c>
      <c r="S71" s="175">
        <f t="shared" ref="S71:S79" si="39">SUM(P71)/SUM(P71:Q71)</f>
        <v>0</v>
      </c>
    </row>
    <row r="72" spans="2:19">
      <c r="B72" s="33" t="s">
        <v>214</v>
      </c>
      <c r="C72" s="34" t="s">
        <v>215</v>
      </c>
      <c r="D72" s="34" t="s">
        <v>216</v>
      </c>
      <c r="E72" s="43" t="s">
        <v>63</v>
      </c>
      <c r="F72" s="43">
        <v>-13.681920809999999</v>
      </c>
      <c r="G72" s="43">
        <v>33.712168460000001</v>
      </c>
      <c r="H72" s="43" t="s">
        <v>64</v>
      </c>
      <c r="I72" s="43" t="s">
        <v>65</v>
      </c>
      <c r="J72" s="35">
        <v>42486</v>
      </c>
      <c r="K72" s="35">
        <v>42487</v>
      </c>
      <c r="L72" s="66">
        <v>44197</v>
      </c>
      <c r="M72" s="67">
        <v>44561</v>
      </c>
      <c r="N72" s="73">
        <v>230</v>
      </c>
      <c r="O72" s="73">
        <f t="shared" si="36"/>
        <v>230</v>
      </c>
      <c r="P72" s="63">
        <v>0</v>
      </c>
      <c r="Q72" s="81">
        <f t="shared" si="37"/>
        <v>365</v>
      </c>
      <c r="R72" s="72">
        <f t="shared" si="38"/>
        <v>83950</v>
      </c>
      <c r="S72" s="175">
        <f t="shared" si="39"/>
        <v>0</v>
      </c>
    </row>
    <row r="73" spans="2:19">
      <c r="B73" s="33" t="s">
        <v>217</v>
      </c>
      <c r="C73" s="34" t="s">
        <v>218</v>
      </c>
      <c r="D73" s="34" t="s">
        <v>219</v>
      </c>
      <c r="E73" s="43" t="s">
        <v>63</v>
      </c>
      <c r="F73" s="43">
        <v>-14.39903763</v>
      </c>
      <c r="G73" s="43">
        <v>33.64185106</v>
      </c>
      <c r="H73" s="43" t="s">
        <v>64</v>
      </c>
      <c r="I73" s="43" t="s">
        <v>65</v>
      </c>
      <c r="J73" s="35">
        <v>42487</v>
      </c>
      <c r="K73" s="35">
        <v>42488</v>
      </c>
      <c r="L73" s="66">
        <v>44197</v>
      </c>
      <c r="M73" s="67">
        <v>44561</v>
      </c>
      <c r="N73" s="73">
        <v>592</v>
      </c>
      <c r="O73" s="73">
        <f t="shared" si="36"/>
        <v>300</v>
      </c>
      <c r="P73" s="63">
        <v>2</v>
      </c>
      <c r="Q73" s="81">
        <f t="shared" si="37"/>
        <v>363</v>
      </c>
      <c r="R73" s="72">
        <f t="shared" si="38"/>
        <v>108900</v>
      </c>
      <c r="S73" s="175">
        <f t="shared" si="39"/>
        <v>5.4794520547945206E-3</v>
      </c>
    </row>
    <row r="74" spans="2:19">
      <c r="B74" s="33" t="s">
        <v>220</v>
      </c>
      <c r="C74" s="34" t="s">
        <v>221</v>
      </c>
      <c r="D74" s="34" t="s">
        <v>177</v>
      </c>
      <c r="E74" s="43" t="s">
        <v>63</v>
      </c>
      <c r="F74" s="43">
        <v>-13.69116861</v>
      </c>
      <c r="G74" s="43">
        <v>33.046387129999999</v>
      </c>
      <c r="H74" s="43" t="s">
        <v>64</v>
      </c>
      <c r="I74" s="43" t="s">
        <v>65</v>
      </c>
      <c r="J74" s="35">
        <v>42490</v>
      </c>
      <c r="K74" s="35">
        <v>42491</v>
      </c>
      <c r="L74" s="66">
        <v>44197</v>
      </c>
      <c r="M74" s="67">
        <v>44561</v>
      </c>
      <c r="N74" s="73">
        <v>251</v>
      </c>
      <c r="O74" s="73">
        <f t="shared" si="36"/>
        <v>251</v>
      </c>
      <c r="P74" s="63">
        <v>3</v>
      </c>
      <c r="Q74" s="81">
        <f t="shared" si="37"/>
        <v>362</v>
      </c>
      <c r="R74" s="72">
        <f t="shared" si="38"/>
        <v>90862</v>
      </c>
      <c r="S74" s="175">
        <f t="shared" si="39"/>
        <v>8.21917808219178E-3</v>
      </c>
    </row>
    <row r="75" spans="2:19">
      <c r="B75" s="33" t="s">
        <v>222</v>
      </c>
      <c r="C75" s="34" t="s">
        <v>223</v>
      </c>
      <c r="D75" s="34" t="s">
        <v>224</v>
      </c>
      <c r="E75" s="43" t="s">
        <v>63</v>
      </c>
      <c r="F75" s="43">
        <v>-13.35901786</v>
      </c>
      <c r="G75" s="43">
        <v>33.503229359999999</v>
      </c>
      <c r="H75" s="43" t="s">
        <v>64</v>
      </c>
      <c r="I75" s="43" t="s">
        <v>65</v>
      </c>
      <c r="J75" s="35">
        <v>42493</v>
      </c>
      <c r="K75" s="35">
        <v>42494</v>
      </c>
      <c r="L75" s="66">
        <v>44197</v>
      </c>
      <c r="M75" s="67">
        <v>44561</v>
      </c>
      <c r="N75" s="73">
        <v>136</v>
      </c>
      <c r="O75" s="73">
        <f t="shared" si="36"/>
        <v>136</v>
      </c>
      <c r="P75" s="63">
        <v>0</v>
      </c>
      <c r="Q75" s="81">
        <f t="shared" si="37"/>
        <v>365</v>
      </c>
      <c r="R75" s="72">
        <f t="shared" si="38"/>
        <v>49640</v>
      </c>
      <c r="S75" s="175">
        <f>SUM(P75)/SUM(P75:Q75)</f>
        <v>0</v>
      </c>
    </row>
    <row r="76" spans="2:19">
      <c r="B76" s="33" t="s">
        <v>225</v>
      </c>
      <c r="C76" s="34" t="s">
        <v>226</v>
      </c>
      <c r="D76" s="34" t="s">
        <v>188</v>
      </c>
      <c r="E76" s="43" t="s">
        <v>63</v>
      </c>
      <c r="F76" s="43">
        <v>-13.656140260000001</v>
      </c>
      <c r="G76" s="43">
        <v>33.722557279999997</v>
      </c>
      <c r="H76" s="43" t="s">
        <v>64</v>
      </c>
      <c r="I76" s="43" t="s">
        <v>65</v>
      </c>
      <c r="J76" s="35">
        <v>42501</v>
      </c>
      <c r="K76" s="35">
        <v>42502</v>
      </c>
      <c r="L76" s="66">
        <v>44197</v>
      </c>
      <c r="M76" s="67">
        <v>44561</v>
      </c>
      <c r="N76" s="73">
        <v>220</v>
      </c>
      <c r="O76" s="73">
        <f t="shared" si="36"/>
        <v>220</v>
      </c>
      <c r="P76" s="63">
        <v>0</v>
      </c>
      <c r="Q76" s="81">
        <f t="shared" si="37"/>
        <v>365</v>
      </c>
      <c r="R76" s="72">
        <f t="shared" si="38"/>
        <v>80300</v>
      </c>
      <c r="S76" s="175">
        <f t="shared" si="39"/>
        <v>0</v>
      </c>
    </row>
    <row r="77" spans="2:19">
      <c r="B77" s="33" t="s">
        <v>227</v>
      </c>
      <c r="C77" s="34" t="s">
        <v>228</v>
      </c>
      <c r="D77" s="34" t="s">
        <v>229</v>
      </c>
      <c r="E77" s="43" t="s">
        <v>63</v>
      </c>
      <c r="F77" s="43">
        <v>-13.526221809999999</v>
      </c>
      <c r="G77" s="43">
        <v>33.539128750000003</v>
      </c>
      <c r="H77" s="43" t="s">
        <v>64</v>
      </c>
      <c r="I77" s="43" t="s">
        <v>65</v>
      </c>
      <c r="J77" s="35">
        <v>42503</v>
      </c>
      <c r="K77" s="35">
        <v>42504</v>
      </c>
      <c r="L77" s="66">
        <v>44197</v>
      </c>
      <c r="M77" s="67">
        <v>44561</v>
      </c>
      <c r="N77" s="73">
        <v>207</v>
      </c>
      <c r="O77" s="73">
        <f t="shared" si="36"/>
        <v>207</v>
      </c>
      <c r="P77" s="63">
        <v>0</v>
      </c>
      <c r="Q77" s="81">
        <f t="shared" si="37"/>
        <v>365</v>
      </c>
      <c r="R77" s="72">
        <f t="shared" si="38"/>
        <v>75555</v>
      </c>
      <c r="S77" s="175">
        <f t="shared" si="39"/>
        <v>0</v>
      </c>
    </row>
    <row r="78" spans="2:19">
      <c r="B78" s="33" t="s">
        <v>230</v>
      </c>
      <c r="C78" s="34" t="s">
        <v>231</v>
      </c>
      <c r="D78" s="34" t="s">
        <v>231</v>
      </c>
      <c r="E78" s="43" t="s">
        <v>63</v>
      </c>
      <c r="F78" s="43">
        <v>-13.44030602</v>
      </c>
      <c r="G78" s="43">
        <v>33.575258949999998</v>
      </c>
      <c r="H78" s="43" t="s">
        <v>64</v>
      </c>
      <c r="I78" s="43" t="s">
        <v>65</v>
      </c>
      <c r="J78" s="35">
        <v>42508</v>
      </c>
      <c r="K78" s="35">
        <v>42509</v>
      </c>
      <c r="L78" s="66">
        <v>44197</v>
      </c>
      <c r="M78" s="67">
        <v>44561</v>
      </c>
      <c r="N78" s="73">
        <v>537</v>
      </c>
      <c r="O78" s="73">
        <f t="shared" si="36"/>
        <v>300</v>
      </c>
      <c r="P78" s="63">
        <v>0</v>
      </c>
      <c r="Q78" s="81">
        <f t="shared" si="37"/>
        <v>365</v>
      </c>
      <c r="R78" s="72">
        <f t="shared" si="38"/>
        <v>109500</v>
      </c>
      <c r="S78" s="175">
        <f t="shared" si="39"/>
        <v>0</v>
      </c>
    </row>
    <row r="79" spans="2:19">
      <c r="B79" s="47" t="s">
        <v>232</v>
      </c>
      <c r="C79" s="48" t="s">
        <v>233</v>
      </c>
      <c r="D79" s="48" t="s">
        <v>233</v>
      </c>
      <c r="E79" s="55" t="s">
        <v>63</v>
      </c>
      <c r="F79" s="55">
        <v>-13.600093749999999</v>
      </c>
      <c r="G79" s="55">
        <v>33.602634449999996</v>
      </c>
      <c r="H79" s="55" t="s">
        <v>64</v>
      </c>
      <c r="I79" s="55" t="s">
        <v>65</v>
      </c>
      <c r="J79" s="49">
        <v>42514</v>
      </c>
      <c r="K79" s="49">
        <v>42515</v>
      </c>
      <c r="L79" s="66">
        <v>44197</v>
      </c>
      <c r="M79" s="67">
        <v>44561</v>
      </c>
      <c r="N79" s="73">
        <v>212</v>
      </c>
      <c r="O79" s="73">
        <f t="shared" si="36"/>
        <v>212</v>
      </c>
      <c r="P79" s="63">
        <v>0</v>
      </c>
      <c r="Q79" s="81">
        <f t="shared" si="37"/>
        <v>365</v>
      </c>
      <c r="R79" s="72">
        <f t="shared" si="38"/>
        <v>77380</v>
      </c>
      <c r="S79" s="175">
        <f t="shared" si="39"/>
        <v>0</v>
      </c>
    </row>
    <row r="80" spans="2:19">
      <c r="B80" s="56"/>
      <c r="C80" s="57"/>
      <c r="D80" s="57"/>
      <c r="E80" s="58"/>
      <c r="F80" s="58"/>
      <c r="G80" s="58"/>
      <c r="H80" s="58"/>
      <c r="I80" s="58"/>
      <c r="J80" s="59"/>
      <c r="K80" s="59"/>
      <c r="L80" s="64"/>
      <c r="M80" s="60"/>
      <c r="N80" s="76">
        <v>2952</v>
      </c>
      <c r="O80" s="76">
        <f>SUM(O70:O79)</f>
        <v>2353</v>
      </c>
      <c r="P80" s="60"/>
      <c r="Q80" s="82">
        <f t="shared" ref="Q80" si="40">SUM(Q70:Q79)</f>
        <v>3645</v>
      </c>
      <c r="R80" s="83">
        <f t="shared" ref="R80" si="41">SUM(R70:R79)</f>
        <v>857492</v>
      </c>
      <c r="S80" s="176">
        <f>AVERAGE(S70:S79)</f>
        <v>1.3698630136986301E-3</v>
      </c>
    </row>
    <row r="81" spans="2:19">
      <c r="B81" s="32" t="s">
        <v>234</v>
      </c>
      <c r="C81" s="40"/>
      <c r="D81" s="40"/>
      <c r="E81" s="41"/>
      <c r="F81" s="41"/>
      <c r="G81" s="41"/>
      <c r="H81" s="41"/>
      <c r="I81" s="41"/>
      <c r="J81" s="41"/>
      <c r="K81" s="41"/>
      <c r="L81" s="65"/>
      <c r="M81" s="42"/>
      <c r="N81" s="75"/>
      <c r="O81" s="75"/>
      <c r="P81" s="42"/>
      <c r="Q81" s="84"/>
      <c r="R81" s="85"/>
      <c r="S81" s="177"/>
    </row>
    <row r="82" spans="2:19">
      <c r="B82" s="33" t="s">
        <v>235</v>
      </c>
      <c r="C82" s="34" t="s">
        <v>236</v>
      </c>
      <c r="D82" s="34" t="s">
        <v>237</v>
      </c>
      <c r="E82" s="43" t="s">
        <v>63</v>
      </c>
      <c r="F82" s="43">
        <v>-13.4557555</v>
      </c>
      <c r="G82" s="43">
        <v>33.736095509999998</v>
      </c>
      <c r="H82" s="43" t="s">
        <v>64</v>
      </c>
      <c r="I82" s="43" t="s">
        <v>65</v>
      </c>
      <c r="J82" s="35">
        <v>42508</v>
      </c>
      <c r="K82" s="35">
        <v>42509</v>
      </c>
      <c r="L82" s="66">
        <v>44197</v>
      </c>
      <c r="M82" s="67">
        <v>44561</v>
      </c>
      <c r="N82" s="73">
        <v>156</v>
      </c>
      <c r="O82" s="73">
        <f t="shared" ref="O82:O93" si="42">IF(N82&gt;300,300,N82)</f>
        <v>156</v>
      </c>
      <c r="P82" s="63">
        <v>133</v>
      </c>
      <c r="Q82" s="81">
        <f t="shared" ref="Q82:Q93" si="43">M82-$V$3-P82</f>
        <v>232</v>
      </c>
      <c r="R82" s="72">
        <f t="shared" ref="R82:R93" si="44">Q82*O82</f>
        <v>36192</v>
      </c>
      <c r="S82" s="175">
        <f>SUM(P82)/SUM(P82:Q82)</f>
        <v>0.36438356164383562</v>
      </c>
    </row>
    <row r="83" spans="2:19">
      <c r="B83" s="33" t="s">
        <v>238</v>
      </c>
      <c r="C83" s="34" t="s">
        <v>239</v>
      </c>
      <c r="D83" s="34" t="s">
        <v>239</v>
      </c>
      <c r="E83" s="43" t="s">
        <v>63</v>
      </c>
      <c r="F83" s="43">
        <v>-13.69790034</v>
      </c>
      <c r="G83" s="43">
        <v>33.547581610000002</v>
      </c>
      <c r="H83" s="43" t="s">
        <v>64</v>
      </c>
      <c r="I83" s="43" t="s">
        <v>65</v>
      </c>
      <c r="J83" s="35">
        <v>42511</v>
      </c>
      <c r="K83" s="35">
        <v>42512</v>
      </c>
      <c r="L83" s="66">
        <v>44197</v>
      </c>
      <c r="M83" s="67">
        <v>44561</v>
      </c>
      <c r="N83" s="73">
        <v>159</v>
      </c>
      <c r="O83" s="73">
        <f t="shared" si="42"/>
        <v>159</v>
      </c>
      <c r="P83" s="63">
        <v>0</v>
      </c>
      <c r="Q83" s="81">
        <f t="shared" si="43"/>
        <v>365</v>
      </c>
      <c r="R83" s="72">
        <f t="shared" si="44"/>
        <v>58035</v>
      </c>
      <c r="S83" s="175">
        <f t="shared" ref="S83:S93" si="45">SUM(P83)/SUM(P83:Q83)</f>
        <v>0</v>
      </c>
    </row>
    <row r="84" spans="2:19">
      <c r="B84" s="33" t="s">
        <v>240</v>
      </c>
      <c r="C84" s="34" t="s">
        <v>241</v>
      </c>
      <c r="D84" s="34" t="s">
        <v>241</v>
      </c>
      <c r="E84" s="43" t="s">
        <v>63</v>
      </c>
      <c r="F84" s="43">
        <v>-13.539603400000001</v>
      </c>
      <c r="G84" s="43">
        <v>33.64969645</v>
      </c>
      <c r="H84" s="43" t="s">
        <v>64</v>
      </c>
      <c r="I84" s="43" t="s">
        <v>65</v>
      </c>
      <c r="J84" s="35">
        <v>42515</v>
      </c>
      <c r="K84" s="35">
        <v>42516</v>
      </c>
      <c r="L84" s="66">
        <v>44197</v>
      </c>
      <c r="M84" s="67">
        <v>44561</v>
      </c>
      <c r="N84" s="73">
        <v>392</v>
      </c>
      <c r="O84" s="73">
        <f t="shared" si="42"/>
        <v>300</v>
      </c>
      <c r="P84" s="63">
        <v>0</v>
      </c>
      <c r="Q84" s="81">
        <f t="shared" si="43"/>
        <v>365</v>
      </c>
      <c r="R84" s="72">
        <f t="shared" si="44"/>
        <v>109500</v>
      </c>
      <c r="S84" s="175">
        <f t="shared" si="45"/>
        <v>0</v>
      </c>
    </row>
    <row r="85" spans="2:19">
      <c r="B85" s="33" t="s">
        <v>242</v>
      </c>
      <c r="C85" s="34" t="s">
        <v>243</v>
      </c>
      <c r="D85" s="34" t="s">
        <v>244</v>
      </c>
      <c r="E85" s="43" t="s">
        <v>63</v>
      </c>
      <c r="F85" s="43">
        <v>-13.583324279999999</v>
      </c>
      <c r="G85" s="43">
        <v>33.698470790000002</v>
      </c>
      <c r="H85" s="43" t="s">
        <v>64</v>
      </c>
      <c r="I85" s="43" t="s">
        <v>65</v>
      </c>
      <c r="J85" s="35">
        <v>42515</v>
      </c>
      <c r="K85" s="35">
        <v>42516</v>
      </c>
      <c r="L85" s="66">
        <v>44197</v>
      </c>
      <c r="M85" s="67">
        <v>44561</v>
      </c>
      <c r="N85" s="73">
        <v>668</v>
      </c>
      <c r="O85" s="73">
        <f t="shared" si="42"/>
        <v>300</v>
      </c>
      <c r="P85" s="63">
        <v>0</v>
      </c>
      <c r="Q85" s="81">
        <f t="shared" si="43"/>
        <v>365</v>
      </c>
      <c r="R85" s="72">
        <f t="shared" si="44"/>
        <v>109500</v>
      </c>
      <c r="S85" s="175">
        <f t="shared" si="45"/>
        <v>0</v>
      </c>
    </row>
    <row r="86" spans="2:19">
      <c r="B86" s="33" t="s">
        <v>245</v>
      </c>
      <c r="C86" s="34" t="s">
        <v>246</v>
      </c>
      <c r="D86" s="34" t="s">
        <v>246</v>
      </c>
      <c r="E86" s="43" t="s">
        <v>63</v>
      </c>
      <c r="F86" s="43">
        <v>-13.54704214</v>
      </c>
      <c r="G86" s="43">
        <v>33.697662389999998</v>
      </c>
      <c r="H86" s="43" t="s">
        <v>64</v>
      </c>
      <c r="I86" s="43" t="s">
        <v>65</v>
      </c>
      <c r="J86" s="35">
        <v>42517</v>
      </c>
      <c r="K86" s="35">
        <v>42518</v>
      </c>
      <c r="L86" s="66">
        <v>44197</v>
      </c>
      <c r="M86" s="67">
        <v>44561</v>
      </c>
      <c r="N86" s="73">
        <v>302</v>
      </c>
      <c r="O86" s="73">
        <f t="shared" si="42"/>
        <v>300</v>
      </c>
      <c r="P86" s="63">
        <v>0</v>
      </c>
      <c r="Q86" s="81">
        <f t="shared" si="43"/>
        <v>365</v>
      </c>
      <c r="R86" s="72">
        <f t="shared" si="44"/>
        <v>109500</v>
      </c>
      <c r="S86" s="175">
        <f t="shared" si="45"/>
        <v>0</v>
      </c>
    </row>
    <row r="87" spans="2:19">
      <c r="B87" s="33" t="s">
        <v>247</v>
      </c>
      <c r="C87" s="34" t="s">
        <v>248</v>
      </c>
      <c r="D87" s="34" t="s">
        <v>249</v>
      </c>
      <c r="E87" s="43" t="s">
        <v>63</v>
      </c>
      <c r="F87" s="43">
        <v>-13.561001790000001</v>
      </c>
      <c r="G87" s="43">
        <v>33.585308060000003</v>
      </c>
      <c r="H87" s="43" t="s">
        <v>64</v>
      </c>
      <c r="I87" s="43" t="s">
        <v>65</v>
      </c>
      <c r="J87" s="35">
        <v>42520</v>
      </c>
      <c r="K87" s="35">
        <v>42521</v>
      </c>
      <c r="L87" s="66">
        <v>44197</v>
      </c>
      <c r="M87" s="67">
        <v>44561</v>
      </c>
      <c r="N87" s="73">
        <v>462</v>
      </c>
      <c r="O87" s="73">
        <f t="shared" si="42"/>
        <v>300</v>
      </c>
      <c r="P87" s="63">
        <v>0</v>
      </c>
      <c r="Q87" s="81">
        <f t="shared" si="43"/>
        <v>365</v>
      </c>
      <c r="R87" s="72">
        <f t="shared" si="44"/>
        <v>109500</v>
      </c>
      <c r="S87" s="175">
        <f>SUM(P87)/SUM(P87:Q87)</f>
        <v>0</v>
      </c>
    </row>
    <row r="88" spans="2:19">
      <c r="B88" s="33" t="s">
        <v>250</v>
      </c>
      <c r="C88" s="34" t="s">
        <v>251</v>
      </c>
      <c r="D88" s="34" t="s">
        <v>252</v>
      </c>
      <c r="E88" s="43" t="s">
        <v>63</v>
      </c>
      <c r="F88" s="43">
        <v>-13.697460619999999</v>
      </c>
      <c r="G88" s="43">
        <v>33.520910170000001</v>
      </c>
      <c r="H88" s="43" t="s">
        <v>64</v>
      </c>
      <c r="I88" s="43" t="s">
        <v>65</v>
      </c>
      <c r="J88" s="35">
        <v>42523</v>
      </c>
      <c r="K88" s="35">
        <v>42524</v>
      </c>
      <c r="L88" s="66">
        <v>44197</v>
      </c>
      <c r="M88" s="67">
        <v>44561</v>
      </c>
      <c r="N88" s="73">
        <v>315</v>
      </c>
      <c r="O88" s="73">
        <f t="shared" si="42"/>
        <v>300</v>
      </c>
      <c r="P88" s="63">
        <v>0</v>
      </c>
      <c r="Q88" s="81">
        <f t="shared" si="43"/>
        <v>365</v>
      </c>
      <c r="R88" s="72">
        <f t="shared" si="44"/>
        <v>109500</v>
      </c>
      <c r="S88" s="175">
        <f t="shared" si="45"/>
        <v>0</v>
      </c>
    </row>
    <row r="89" spans="2:19">
      <c r="B89" s="33" t="s">
        <v>253</v>
      </c>
      <c r="C89" s="34" t="s">
        <v>254</v>
      </c>
      <c r="D89" s="34" t="s">
        <v>255</v>
      </c>
      <c r="E89" s="43" t="s">
        <v>63</v>
      </c>
      <c r="F89" s="43">
        <v>-13.688782399999999</v>
      </c>
      <c r="G89" s="43">
        <v>33.614659029999999</v>
      </c>
      <c r="H89" s="43" t="s">
        <v>64</v>
      </c>
      <c r="I89" s="43" t="s">
        <v>65</v>
      </c>
      <c r="J89" s="35">
        <v>42523</v>
      </c>
      <c r="K89" s="35">
        <v>42524</v>
      </c>
      <c r="L89" s="66">
        <v>44197</v>
      </c>
      <c r="M89" s="67">
        <v>44561</v>
      </c>
      <c r="N89" s="73">
        <v>426</v>
      </c>
      <c r="O89" s="73">
        <f t="shared" si="42"/>
        <v>300</v>
      </c>
      <c r="P89" s="63">
        <v>0</v>
      </c>
      <c r="Q89" s="81">
        <f t="shared" si="43"/>
        <v>365</v>
      </c>
      <c r="R89" s="72">
        <f t="shared" si="44"/>
        <v>109500</v>
      </c>
      <c r="S89" s="175">
        <f t="shared" si="45"/>
        <v>0</v>
      </c>
    </row>
    <row r="90" spans="2:19">
      <c r="B90" s="33" t="s">
        <v>256</v>
      </c>
      <c r="C90" s="34" t="s">
        <v>257</v>
      </c>
      <c r="D90" s="34" t="s">
        <v>258</v>
      </c>
      <c r="E90" s="43" t="s">
        <v>63</v>
      </c>
      <c r="F90" s="43">
        <v>-13.36317412</v>
      </c>
      <c r="G90" s="43">
        <v>33.495646909999998</v>
      </c>
      <c r="H90" s="43" t="s">
        <v>64</v>
      </c>
      <c r="I90" s="43" t="s">
        <v>65</v>
      </c>
      <c r="J90" s="35">
        <v>42524</v>
      </c>
      <c r="K90" s="35">
        <v>42525</v>
      </c>
      <c r="L90" s="66">
        <v>44197</v>
      </c>
      <c r="M90" s="67">
        <v>44561</v>
      </c>
      <c r="N90" s="73">
        <v>84</v>
      </c>
      <c r="O90" s="73">
        <f t="shared" si="42"/>
        <v>84</v>
      </c>
      <c r="P90" s="63">
        <v>95</v>
      </c>
      <c r="Q90" s="81">
        <f t="shared" si="43"/>
        <v>270</v>
      </c>
      <c r="R90" s="72">
        <f t="shared" si="44"/>
        <v>22680</v>
      </c>
      <c r="S90" s="175">
        <f t="shared" si="45"/>
        <v>0.26027397260273971</v>
      </c>
    </row>
    <row r="91" spans="2:19">
      <c r="B91" s="33" t="s">
        <v>259</v>
      </c>
      <c r="C91" s="34" t="s">
        <v>260</v>
      </c>
      <c r="D91" s="34" t="s">
        <v>260</v>
      </c>
      <c r="E91" s="43" t="s">
        <v>63</v>
      </c>
      <c r="F91" s="43">
        <v>-13.5813033</v>
      </c>
      <c r="G91" s="43">
        <v>33.703354390000001</v>
      </c>
      <c r="H91" s="43" t="s">
        <v>64</v>
      </c>
      <c r="I91" s="43" t="s">
        <v>65</v>
      </c>
      <c r="J91" s="35">
        <v>42532</v>
      </c>
      <c r="K91" s="35">
        <v>42533</v>
      </c>
      <c r="L91" s="66">
        <v>44197</v>
      </c>
      <c r="M91" s="67">
        <v>44561</v>
      </c>
      <c r="N91" s="73">
        <v>220</v>
      </c>
      <c r="O91" s="73">
        <f t="shared" si="42"/>
        <v>220</v>
      </c>
      <c r="P91" s="63">
        <v>0</v>
      </c>
      <c r="Q91" s="81">
        <f t="shared" si="43"/>
        <v>365</v>
      </c>
      <c r="R91" s="72">
        <f t="shared" si="44"/>
        <v>80300</v>
      </c>
      <c r="S91" s="175">
        <f t="shared" si="45"/>
        <v>0</v>
      </c>
    </row>
    <row r="92" spans="2:19">
      <c r="B92" s="33" t="s">
        <v>261</v>
      </c>
      <c r="C92" s="34" t="s">
        <v>262</v>
      </c>
      <c r="D92" s="34" t="s">
        <v>263</v>
      </c>
      <c r="E92" s="43" t="s">
        <v>63</v>
      </c>
      <c r="F92" s="43">
        <v>-13.065661179999999</v>
      </c>
      <c r="G92" s="43">
        <v>33.427215420000003</v>
      </c>
      <c r="H92" s="43" t="s">
        <v>64</v>
      </c>
      <c r="I92" s="43" t="s">
        <v>65</v>
      </c>
      <c r="J92" s="35">
        <v>42538</v>
      </c>
      <c r="K92" s="35">
        <v>42539</v>
      </c>
      <c r="L92" s="66">
        <v>44197</v>
      </c>
      <c r="M92" s="67">
        <v>44561</v>
      </c>
      <c r="N92" s="73">
        <v>712</v>
      </c>
      <c r="O92" s="73">
        <f t="shared" si="42"/>
        <v>300</v>
      </c>
      <c r="P92" s="63">
        <v>0</v>
      </c>
      <c r="Q92" s="81">
        <f t="shared" si="43"/>
        <v>365</v>
      </c>
      <c r="R92" s="72">
        <f t="shared" si="44"/>
        <v>109500</v>
      </c>
      <c r="S92" s="175">
        <f t="shared" si="45"/>
        <v>0</v>
      </c>
    </row>
    <row r="93" spans="2:19">
      <c r="B93" s="37" t="s">
        <v>264</v>
      </c>
      <c r="C93" s="38" t="s">
        <v>265</v>
      </c>
      <c r="D93" s="38" t="s">
        <v>266</v>
      </c>
      <c r="E93" s="54" t="s">
        <v>63</v>
      </c>
      <c r="F93" s="54">
        <v>-13.51171978</v>
      </c>
      <c r="G93" s="54">
        <v>33.785036320000003</v>
      </c>
      <c r="H93" s="54" t="s">
        <v>64</v>
      </c>
      <c r="I93" s="54" t="s">
        <v>65</v>
      </c>
      <c r="J93" s="39">
        <v>42550</v>
      </c>
      <c r="K93" s="39">
        <v>42551</v>
      </c>
      <c r="L93" s="66">
        <v>44197</v>
      </c>
      <c r="M93" s="67">
        <v>44561</v>
      </c>
      <c r="N93" s="73">
        <v>379</v>
      </c>
      <c r="O93" s="73">
        <f t="shared" si="42"/>
        <v>300</v>
      </c>
      <c r="P93" s="36">
        <v>4</v>
      </c>
      <c r="Q93" s="81">
        <f t="shared" si="43"/>
        <v>361</v>
      </c>
      <c r="R93" s="72">
        <f t="shared" si="44"/>
        <v>108300</v>
      </c>
      <c r="S93" s="175">
        <f t="shared" si="45"/>
        <v>1.0958904109589041E-2</v>
      </c>
    </row>
    <row r="94" spans="2:19">
      <c r="B94" s="56"/>
      <c r="C94" s="57"/>
      <c r="D94" s="57"/>
      <c r="E94" s="58"/>
      <c r="F94" s="58"/>
      <c r="G94" s="58"/>
      <c r="H94" s="58"/>
      <c r="I94" s="58"/>
      <c r="J94" s="59"/>
      <c r="K94" s="59"/>
      <c r="L94" s="64"/>
      <c r="M94" s="60"/>
      <c r="N94" s="76">
        <v>4275</v>
      </c>
      <c r="O94" s="76">
        <f>SUM(O82:O93)</f>
        <v>3019</v>
      </c>
      <c r="P94" s="60"/>
      <c r="Q94" s="82">
        <f t="shared" ref="Q94" si="46">SUM(Q82:Q93)</f>
        <v>4148</v>
      </c>
      <c r="R94" s="83">
        <f t="shared" ref="R94" si="47">SUM(R82:R93)</f>
        <v>1072007</v>
      </c>
      <c r="S94" s="176">
        <f>AVERAGE(S82:S93)</f>
        <v>5.2968036529680358E-2</v>
      </c>
    </row>
    <row r="95" spans="2:19">
      <c r="B95" s="44" t="s">
        <v>267</v>
      </c>
      <c r="C95" s="45"/>
      <c r="D95" s="45"/>
      <c r="E95" s="46"/>
      <c r="F95" s="46"/>
      <c r="G95" s="46"/>
      <c r="H95" s="46"/>
      <c r="I95" s="46"/>
      <c r="J95" s="46"/>
      <c r="K95" s="46"/>
      <c r="L95" s="65"/>
      <c r="M95" s="42"/>
      <c r="N95" s="77"/>
      <c r="O95" s="77"/>
      <c r="P95" s="42"/>
      <c r="Q95" s="84"/>
      <c r="R95" s="85"/>
      <c r="S95" s="177"/>
    </row>
    <row r="96" spans="2:19">
      <c r="B96" s="33" t="s">
        <v>268</v>
      </c>
      <c r="C96" s="34" t="s">
        <v>269</v>
      </c>
      <c r="D96" s="34" t="s">
        <v>270</v>
      </c>
      <c r="E96" s="43" t="s">
        <v>271</v>
      </c>
      <c r="F96" s="43">
        <v>-13.254875853730196</v>
      </c>
      <c r="G96" s="43">
        <v>33.139850804311962</v>
      </c>
      <c r="H96" s="43" t="s">
        <v>64</v>
      </c>
      <c r="I96" s="43" t="s">
        <v>65</v>
      </c>
      <c r="J96" s="35">
        <v>42410</v>
      </c>
      <c r="K96" s="35">
        <v>42411</v>
      </c>
      <c r="L96" s="66">
        <v>44197</v>
      </c>
      <c r="M96" s="67">
        <v>44561</v>
      </c>
      <c r="N96" s="73">
        <v>177</v>
      </c>
      <c r="O96" s="73">
        <f t="shared" ref="O96:O107" si="48">IF(N96&gt;300,300,N96)</f>
        <v>177</v>
      </c>
      <c r="P96" s="63">
        <v>90</v>
      </c>
      <c r="Q96" s="81">
        <f t="shared" ref="Q96:Q107" si="49">M96-$V$3-P96</f>
        <v>275</v>
      </c>
      <c r="R96" s="72">
        <f t="shared" ref="R96:R107" si="50">Q96*O96</f>
        <v>48675</v>
      </c>
      <c r="S96" s="175">
        <f>SUM(P96)/SUM(P96:Q96)</f>
        <v>0.24657534246575341</v>
      </c>
    </row>
    <row r="97" spans="2:19">
      <c r="B97" s="33" t="s">
        <v>272</v>
      </c>
      <c r="C97" s="34" t="s">
        <v>273</v>
      </c>
      <c r="D97" s="34" t="s">
        <v>274</v>
      </c>
      <c r="E97" s="43" t="s">
        <v>271</v>
      </c>
      <c r="F97" s="43">
        <v>-13.288112122775711</v>
      </c>
      <c r="G97" s="43">
        <v>33.14689560934751</v>
      </c>
      <c r="H97" s="43" t="s">
        <v>64</v>
      </c>
      <c r="I97" s="43" t="s">
        <v>65</v>
      </c>
      <c r="J97" s="35">
        <v>42410</v>
      </c>
      <c r="K97" s="35">
        <v>42411</v>
      </c>
      <c r="L97" s="66">
        <v>44197</v>
      </c>
      <c r="M97" s="67">
        <v>44561</v>
      </c>
      <c r="N97" s="73">
        <v>476</v>
      </c>
      <c r="O97" s="73">
        <f t="shared" si="48"/>
        <v>300</v>
      </c>
      <c r="P97" s="63">
        <v>0</v>
      </c>
      <c r="Q97" s="81">
        <f t="shared" si="49"/>
        <v>365</v>
      </c>
      <c r="R97" s="72">
        <f t="shared" si="50"/>
        <v>109500</v>
      </c>
      <c r="S97" s="175">
        <f t="shared" ref="S97:S107" si="51">SUM(P97)/SUM(P97:Q97)</f>
        <v>0</v>
      </c>
    </row>
    <row r="98" spans="2:19">
      <c r="B98" s="33" t="s">
        <v>275</v>
      </c>
      <c r="C98" s="34" t="s">
        <v>276</v>
      </c>
      <c r="D98" s="34" t="s">
        <v>277</v>
      </c>
      <c r="E98" s="43" t="s">
        <v>271</v>
      </c>
      <c r="F98" s="43">
        <v>-13.323586861510975</v>
      </c>
      <c r="G98" s="43">
        <v>33.186520098633721</v>
      </c>
      <c r="H98" s="43" t="s">
        <v>64</v>
      </c>
      <c r="I98" s="43" t="s">
        <v>65</v>
      </c>
      <c r="J98" s="35">
        <v>42412</v>
      </c>
      <c r="K98" s="35">
        <v>42413</v>
      </c>
      <c r="L98" s="66">
        <v>44197</v>
      </c>
      <c r="M98" s="67">
        <v>44561</v>
      </c>
      <c r="N98" s="73">
        <v>178</v>
      </c>
      <c r="O98" s="73">
        <f t="shared" si="48"/>
        <v>178</v>
      </c>
      <c r="P98" s="63">
        <v>0</v>
      </c>
      <c r="Q98" s="81">
        <f t="shared" si="49"/>
        <v>365</v>
      </c>
      <c r="R98" s="72">
        <f t="shared" si="50"/>
        <v>64970</v>
      </c>
      <c r="S98" s="175">
        <f t="shared" si="51"/>
        <v>0</v>
      </c>
    </row>
    <row r="99" spans="2:19">
      <c r="B99" s="33" t="s">
        <v>278</v>
      </c>
      <c r="C99" s="34" t="s">
        <v>279</v>
      </c>
      <c r="D99" s="34" t="s">
        <v>280</v>
      </c>
      <c r="E99" s="43" t="s">
        <v>271</v>
      </c>
      <c r="F99" s="43">
        <v>-13.307069363986065</v>
      </c>
      <c r="G99" s="43">
        <v>33.139437501952571</v>
      </c>
      <c r="H99" s="43" t="s">
        <v>64</v>
      </c>
      <c r="I99" s="43" t="s">
        <v>65</v>
      </c>
      <c r="J99" s="35">
        <v>42412</v>
      </c>
      <c r="K99" s="35">
        <v>42413</v>
      </c>
      <c r="L99" s="66">
        <v>44197</v>
      </c>
      <c r="M99" s="67">
        <v>44561</v>
      </c>
      <c r="N99" s="73">
        <v>399</v>
      </c>
      <c r="O99" s="73">
        <f t="shared" si="48"/>
        <v>300</v>
      </c>
      <c r="P99" s="63">
        <v>0</v>
      </c>
      <c r="Q99" s="81">
        <f t="shared" si="49"/>
        <v>365</v>
      </c>
      <c r="R99" s="72">
        <f t="shared" si="50"/>
        <v>109500</v>
      </c>
      <c r="S99" s="175">
        <f t="shared" si="51"/>
        <v>0</v>
      </c>
    </row>
    <row r="100" spans="2:19">
      <c r="B100" s="33" t="s">
        <v>281</v>
      </c>
      <c r="C100" s="34" t="s">
        <v>282</v>
      </c>
      <c r="D100" s="34" t="s">
        <v>283</v>
      </c>
      <c r="E100" s="43" t="s">
        <v>271</v>
      </c>
      <c r="F100" s="43">
        <v>-13.241586966248855</v>
      </c>
      <c r="G100" s="43">
        <v>33.331763964810541</v>
      </c>
      <c r="H100" s="43" t="s">
        <v>64</v>
      </c>
      <c r="I100" s="43" t="s">
        <v>65</v>
      </c>
      <c r="J100" s="35">
        <v>42412</v>
      </c>
      <c r="K100" s="35">
        <v>42413</v>
      </c>
      <c r="L100" s="66">
        <v>44197</v>
      </c>
      <c r="M100" s="67">
        <v>44561</v>
      </c>
      <c r="N100" s="73">
        <v>148</v>
      </c>
      <c r="O100" s="73">
        <f t="shared" si="48"/>
        <v>148</v>
      </c>
      <c r="P100" s="63">
        <v>0</v>
      </c>
      <c r="Q100" s="81">
        <f t="shared" si="49"/>
        <v>365</v>
      </c>
      <c r="R100" s="72">
        <f t="shared" si="50"/>
        <v>54020</v>
      </c>
      <c r="S100" s="175">
        <f t="shared" si="51"/>
        <v>0</v>
      </c>
    </row>
    <row r="101" spans="2:19">
      <c r="B101" s="33" t="s">
        <v>284</v>
      </c>
      <c r="C101" s="34" t="s">
        <v>285</v>
      </c>
      <c r="D101" s="34" t="s">
        <v>286</v>
      </c>
      <c r="E101" s="43" t="s">
        <v>271</v>
      </c>
      <c r="F101" s="43">
        <v>-13.291086502711787</v>
      </c>
      <c r="G101" s="43">
        <v>33.3306309194611</v>
      </c>
      <c r="H101" s="43" t="s">
        <v>64</v>
      </c>
      <c r="I101" s="43" t="s">
        <v>65</v>
      </c>
      <c r="J101" s="35">
        <v>42413</v>
      </c>
      <c r="K101" s="35">
        <v>42414</v>
      </c>
      <c r="L101" s="66">
        <v>44197</v>
      </c>
      <c r="M101" s="67">
        <v>44561</v>
      </c>
      <c r="N101" s="73">
        <v>180</v>
      </c>
      <c r="O101" s="73">
        <f t="shared" si="48"/>
        <v>180</v>
      </c>
      <c r="P101" s="63">
        <v>0</v>
      </c>
      <c r="Q101" s="81">
        <f t="shared" si="49"/>
        <v>365</v>
      </c>
      <c r="R101" s="72">
        <f t="shared" si="50"/>
        <v>65700</v>
      </c>
      <c r="S101" s="175">
        <f>SUM(P101)/SUM(P101:Q101)</f>
        <v>0</v>
      </c>
    </row>
    <row r="102" spans="2:19">
      <c r="B102" s="33" t="s">
        <v>287</v>
      </c>
      <c r="C102" s="34" t="s">
        <v>288</v>
      </c>
      <c r="D102" s="34" t="s">
        <v>288</v>
      </c>
      <c r="E102" s="43" t="s">
        <v>271</v>
      </c>
      <c r="F102" s="43">
        <v>-13.407052672294851</v>
      </c>
      <c r="G102" s="43">
        <v>33.26293560296547</v>
      </c>
      <c r="H102" s="43" t="s">
        <v>64</v>
      </c>
      <c r="I102" s="43" t="s">
        <v>65</v>
      </c>
      <c r="J102" s="35">
        <v>42418</v>
      </c>
      <c r="K102" s="35">
        <v>42419</v>
      </c>
      <c r="L102" s="66">
        <v>44197</v>
      </c>
      <c r="M102" s="67">
        <v>44561</v>
      </c>
      <c r="N102" s="73">
        <v>134</v>
      </c>
      <c r="O102" s="73">
        <f t="shared" si="48"/>
        <v>134</v>
      </c>
      <c r="P102" s="63">
        <v>0</v>
      </c>
      <c r="Q102" s="81">
        <f t="shared" si="49"/>
        <v>365</v>
      </c>
      <c r="R102" s="72">
        <f t="shared" si="50"/>
        <v>48910</v>
      </c>
      <c r="S102" s="175">
        <f t="shared" si="51"/>
        <v>0</v>
      </c>
    </row>
    <row r="103" spans="2:19">
      <c r="B103" s="33" t="s">
        <v>289</v>
      </c>
      <c r="C103" s="34" t="s">
        <v>290</v>
      </c>
      <c r="D103" s="34" t="s">
        <v>291</v>
      </c>
      <c r="E103" s="43" t="s">
        <v>271</v>
      </c>
      <c r="F103" s="43">
        <v>-13.396700247639814</v>
      </c>
      <c r="G103" s="43">
        <v>33.286883494801131</v>
      </c>
      <c r="H103" s="43" t="s">
        <v>64</v>
      </c>
      <c r="I103" s="43" t="s">
        <v>65</v>
      </c>
      <c r="J103" s="35">
        <v>42419</v>
      </c>
      <c r="K103" s="35">
        <v>42420</v>
      </c>
      <c r="L103" s="66">
        <v>44197</v>
      </c>
      <c r="M103" s="67">
        <v>44561</v>
      </c>
      <c r="N103" s="73">
        <v>259</v>
      </c>
      <c r="O103" s="73">
        <f t="shared" si="48"/>
        <v>259</v>
      </c>
      <c r="P103" s="63">
        <v>0</v>
      </c>
      <c r="Q103" s="81">
        <f t="shared" si="49"/>
        <v>365</v>
      </c>
      <c r="R103" s="72">
        <f t="shared" si="50"/>
        <v>94535</v>
      </c>
      <c r="S103" s="175">
        <f t="shared" si="51"/>
        <v>0</v>
      </c>
    </row>
    <row r="104" spans="2:19">
      <c r="B104" s="33" t="s">
        <v>292</v>
      </c>
      <c r="C104" s="34" t="s">
        <v>293</v>
      </c>
      <c r="D104" s="34" t="s">
        <v>293</v>
      </c>
      <c r="E104" s="43" t="s">
        <v>271</v>
      </c>
      <c r="F104" s="43">
        <v>-13.308521699021</v>
      </c>
      <c r="G104" s="43">
        <v>33.300278029376251</v>
      </c>
      <c r="H104" s="43" t="s">
        <v>64</v>
      </c>
      <c r="I104" s="43" t="s">
        <v>65</v>
      </c>
      <c r="J104" s="35">
        <v>42419</v>
      </c>
      <c r="K104" s="35">
        <v>42420</v>
      </c>
      <c r="L104" s="66">
        <v>44197</v>
      </c>
      <c r="M104" s="67">
        <v>44561</v>
      </c>
      <c r="N104" s="73">
        <v>341</v>
      </c>
      <c r="O104" s="73">
        <f t="shared" si="48"/>
        <v>300</v>
      </c>
      <c r="P104" s="63">
        <v>0</v>
      </c>
      <c r="Q104" s="81">
        <f t="shared" si="49"/>
        <v>365</v>
      </c>
      <c r="R104" s="72">
        <f t="shared" si="50"/>
        <v>109500</v>
      </c>
      <c r="S104" s="175">
        <f t="shared" si="51"/>
        <v>0</v>
      </c>
    </row>
    <row r="105" spans="2:19">
      <c r="B105" s="33" t="s">
        <v>294</v>
      </c>
      <c r="C105" s="34" t="s">
        <v>295</v>
      </c>
      <c r="D105" s="34" t="s">
        <v>296</v>
      </c>
      <c r="E105" s="43" t="s">
        <v>271</v>
      </c>
      <c r="F105" s="43">
        <v>-13.530400408001134</v>
      </c>
      <c r="G105" s="43">
        <v>33.316162691269106</v>
      </c>
      <c r="H105" s="43" t="s">
        <v>64</v>
      </c>
      <c r="I105" s="43" t="s">
        <v>65</v>
      </c>
      <c r="J105" s="35">
        <v>42421</v>
      </c>
      <c r="K105" s="35">
        <v>42422</v>
      </c>
      <c r="L105" s="66">
        <v>44197</v>
      </c>
      <c r="M105" s="67">
        <v>44561</v>
      </c>
      <c r="N105" s="73">
        <v>182</v>
      </c>
      <c r="O105" s="73">
        <f t="shared" si="48"/>
        <v>182</v>
      </c>
      <c r="P105" s="63">
        <v>0</v>
      </c>
      <c r="Q105" s="81">
        <f t="shared" si="49"/>
        <v>365</v>
      </c>
      <c r="R105" s="72">
        <f t="shared" si="50"/>
        <v>66430</v>
      </c>
      <c r="S105" s="175">
        <f t="shared" si="51"/>
        <v>0</v>
      </c>
    </row>
    <row r="106" spans="2:19">
      <c r="B106" s="33" t="s">
        <v>297</v>
      </c>
      <c r="C106" s="34" t="s">
        <v>298</v>
      </c>
      <c r="D106" s="34" t="s">
        <v>298</v>
      </c>
      <c r="E106" s="43" t="s">
        <v>271</v>
      </c>
      <c r="F106" s="43">
        <v>-13.342479869219565</v>
      </c>
      <c r="G106" s="43">
        <v>33.479851314693278</v>
      </c>
      <c r="H106" s="43" t="s">
        <v>64</v>
      </c>
      <c r="I106" s="43" t="s">
        <v>65</v>
      </c>
      <c r="J106" s="35">
        <v>42422</v>
      </c>
      <c r="K106" s="35">
        <v>42423</v>
      </c>
      <c r="L106" s="66">
        <v>44197</v>
      </c>
      <c r="M106" s="67">
        <v>44561</v>
      </c>
      <c r="N106" s="73">
        <v>275</v>
      </c>
      <c r="O106" s="73">
        <f t="shared" si="48"/>
        <v>275</v>
      </c>
      <c r="P106" s="63">
        <v>0</v>
      </c>
      <c r="Q106" s="81">
        <f t="shared" si="49"/>
        <v>365</v>
      </c>
      <c r="R106" s="72">
        <f t="shared" si="50"/>
        <v>100375</v>
      </c>
      <c r="S106" s="175">
        <f t="shared" si="51"/>
        <v>0</v>
      </c>
    </row>
    <row r="107" spans="2:19">
      <c r="B107" s="47" t="s">
        <v>299</v>
      </c>
      <c r="C107" s="48" t="s">
        <v>300</v>
      </c>
      <c r="D107" s="48" t="s">
        <v>300</v>
      </c>
      <c r="E107" s="55" t="s">
        <v>271</v>
      </c>
      <c r="F107" s="55">
        <v>-13.563010185706048</v>
      </c>
      <c r="G107" s="55">
        <v>33.327417197142054</v>
      </c>
      <c r="H107" s="55" t="s">
        <v>64</v>
      </c>
      <c r="I107" s="55" t="s">
        <v>65</v>
      </c>
      <c r="J107" s="49">
        <v>42423</v>
      </c>
      <c r="K107" s="49">
        <v>42424</v>
      </c>
      <c r="L107" s="66">
        <v>44197</v>
      </c>
      <c r="M107" s="67">
        <v>44561</v>
      </c>
      <c r="N107" s="73">
        <v>238</v>
      </c>
      <c r="O107" s="73">
        <f t="shared" si="48"/>
        <v>238</v>
      </c>
      <c r="P107" s="63">
        <v>0</v>
      </c>
      <c r="Q107" s="81">
        <f t="shared" si="49"/>
        <v>365</v>
      </c>
      <c r="R107" s="72">
        <f t="shared" si="50"/>
        <v>86870</v>
      </c>
      <c r="S107" s="175">
        <f t="shared" si="51"/>
        <v>0</v>
      </c>
    </row>
    <row r="108" spans="2:19">
      <c r="B108" s="56"/>
      <c r="C108" s="57"/>
      <c r="D108" s="57"/>
      <c r="E108" s="58"/>
      <c r="F108" s="58"/>
      <c r="G108" s="58"/>
      <c r="H108" s="58"/>
      <c r="I108" s="58"/>
      <c r="J108" s="59"/>
      <c r="K108" s="59"/>
      <c r="L108" s="64"/>
      <c r="M108" s="60"/>
      <c r="N108" s="76">
        <v>2987</v>
      </c>
      <c r="O108" s="76">
        <f>SUM(O96:O107)</f>
        <v>2671</v>
      </c>
      <c r="P108" s="60"/>
      <c r="Q108" s="82">
        <f t="shared" ref="Q108" si="52">SUM(Q96:Q107)</f>
        <v>4290</v>
      </c>
      <c r="R108" s="83">
        <f t="shared" ref="R108" si="53">SUM(R96:R107)</f>
        <v>958985</v>
      </c>
      <c r="S108" s="176">
        <f>AVERAGE(S96:S107)</f>
        <v>2.0547945205479451E-2</v>
      </c>
    </row>
    <row r="109" spans="2:19">
      <c r="B109" s="32" t="s">
        <v>301</v>
      </c>
      <c r="C109" s="40"/>
      <c r="D109" s="40"/>
      <c r="E109" s="41"/>
      <c r="F109" s="41"/>
      <c r="G109" s="41"/>
      <c r="H109" s="41"/>
      <c r="I109" s="41"/>
      <c r="J109" s="41"/>
      <c r="K109" s="41"/>
      <c r="L109" s="65"/>
      <c r="M109" s="42"/>
      <c r="N109" s="75"/>
      <c r="O109" s="75"/>
      <c r="P109" s="42"/>
      <c r="Q109" s="84"/>
      <c r="R109" s="85"/>
      <c r="S109" s="177"/>
    </row>
    <row r="110" spans="2:19">
      <c r="B110" s="33" t="s">
        <v>302</v>
      </c>
      <c r="C110" s="34" t="s">
        <v>303</v>
      </c>
      <c r="D110" s="34" t="s">
        <v>303</v>
      </c>
      <c r="E110" s="43" t="s">
        <v>271</v>
      </c>
      <c r="F110" s="43">
        <v>-13.319380242687279</v>
      </c>
      <c r="G110" s="43">
        <v>33.059962491235353</v>
      </c>
      <c r="H110" s="43" t="s">
        <v>64</v>
      </c>
      <c r="I110" s="43" t="s">
        <v>65</v>
      </c>
      <c r="J110" s="35">
        <v>42411</v>
      </c>
      <c r="K110" s="35">
        <v>42412</v>
      </c>
      <c r="L110" s="66">
        <v>44197</v>
      </c>
      <c r="M110" s="67">
        <v>44561</v>
      </c>
      <c r="N110" s="73">
        <v>213</v>
      </c>
      <c r="O110" s="73">
        <f t="shared" ref="O110:O123" si="54">IF(N110&gt;300,300,N110)</f>
        <v>213</v>
      </c>
      <c r="P110" s="63">
        <v>0</v>
      </c>
      <c r="Q110" s="81">
        <f t="shared" ref="Q110:Q123" si="55">M110-$V$3-P110</f>
        <v>365</v>
      </c>
      <c r="R110" s="72">
        <f t="shared" ref="R110:R123" si="56">Q110*O110</f>
        <v>77745</v>
      </c>
      <c r="S110" s="175">
        <f>SUM(P110)/SUM(P110:Q110)</f>
        <v>0</v>
      </c>
    </row>
    <row r="111" spans="2:19">
      <c r="B111" s="33" t="s">
        <v>304</v>
      </c>
      <c r="C111" s="34" t="s">
        <v>305</v>
      </c>
      <c r="D111" s="34" t="s">
        <v>306</v>
      </c>
      <c r="E111" s="43" t="s">
        <v>271</v>
      </c>
      <c r="F111" s="43">
        <v>-13.314406912481099</v>
      </c>
      <c r="G111" s="43">
        <v>33.363615765548673</v>
      </c>
      <c r="H111" s="43" t="s">
        <v>64</v>
      </c>
      <c r="I111" s="43" t="s">
        <v>65</v>
      </c>
      <c r="J111" s="35">
        <v>42413</v>
      </c>
      <c r="K111" s="35">
        <v>42414</v>
      </c>
      <c r="L111" s="66">
        <v>44197</v>
      </c>
      <c r="M111" s="67">
        <v>44561</v>
      </c>
      <c r="N111" s="73">
        <v>178</v>
      </c>
      <c r="O111" s="73">
        <f t="shared" si="54"/>
        <v>178</v>
      </c>
      <c r="P111" s="63">
        <v>0</v>
      </c>
      <c r="Q111" s="81">
        <f t="shared" si="55"/>
        <v>365</v>
      </c>
      <c r="R111" s="72">
        <f t="shared" si="56"/>
        <v>64970</v>
      </c>
      <c r="S111" s="175">
        <f t="shared" ref="S111:S123" si="57">SUM(P111)/SUM(P111:Q111)</f>
        <v>0</v>
      </c>
    </row>
    <row r="112" spans="2:19">
      <c r="B112" s="33" t="s">
        <v>307</v>
      </c>
      <c r="C112" s="34" t="s">
        <v>308</v>
      </c>
      <c r="D112" s="34" t="s">
        <v>309</v>
      </c>
      <c r="E112" s="43" t="s">
        <v>271</v>
      </c>
      <c r="F112" s="43">
        <v>-13.432097572575083</v>
      </c>
      <c r="G112" s="43">
        <v>33.312523175743692</v>
      </c>
      <c r="H112" s="43" t="s">
        <v>64</v>
      </c>
      <c r="I112" s="43" t="s">
        <v>65</v>
      </c>
      <c r="J112" s="35">
        <v>42419</v>
      </c>
      <c r="K112" s="35">
        <v>42420</v>
      </c>
      <c r="L112" s="66">
        <v>44197</v>
      </c>
      <c r="M112" s="67">
        <v>44561</v>
      </c>
      <c r="N112" s="73">
        <v>191</v>
      </c>
      <c r="O112" s="73">
        <f t="shared" si="54"/>
        <v>191</v>
      </c>
      <c r="P112" s="63">
        <v>0</v>
      </c>
      <c r="Q112" s="81">
        <f t="shared" si="55"/>
        <v>365</v>
      </c>
      <c r="R112" s="72">
        <f t="shared" si="56"/>
        <v>69715</v>
      </c>
      <c r="S112" s="175">
        <f t="shared" si="57"/>
        <v>0</v>
      </c>
    </row>
    <row r="113" spans="2:19">
      <c r="B113" s="33" t="s">
        <v>310</v>
      </c>
      <c r="C113" s="34" t="s">
        <v>311</v>
      </c>
      <c r="D113" s="34" t="s">
        <v>311</v>
      </c>
      <c r="E113" s="43" t="s">
        <v>271</v>
      </c>
      <c r="F113" s="43">
        <v>-13.413736801014887</v>
      </c>
      <c r="G113" s="43">
        <v>33.421560011403578</v>
      </c>
      <c r="H113" s="43" t="s">
        <v>64</v>
      </c>
      <c r="I113" s="43" t="s">
        <v>65</v>
      </c>
      <c r="J113" s="35">
        <v>42419</v>
      </c>
      <c r="K113" s="35">
        <v>42420</v>
      </c>
      <c r="L113" s="66">
        <v>44197</v>
      </c>
      <c r="M113" s="67">
        <v>44561</v>
      </c>
      <c r="N113" s="73">
        <v>190</v>
      </c>
      <c r="O113" s="73">
        <f t="shared" si="54"/>
        <v>190</v>
      </c>
      <c r="P113" s="63">
        <v>0</v>
      </c>
      <c r="Q113" s="81">
        <f t="shared" si="55"/>
        <v>365</v>
      </c>
      <c r="R113" s="72">
        <f t="shared" si="56"/>
        <v>69350</v>
      </c>
      <c r="S113" s="175">
        <f t="shared" si="57"/>
        <v>0</v>
      </c>
    </row>
    <row r="114" spans="2:19">
      <c r="B114" s="33" t="s">
        <v>312</v>
      </c>
      <c r="C114" s="34" t="s">
        <v>313</v>
      </c>
      <c r="D114" s="34" t="s">
        <v>313</v>
      </c>
      <c r="E114" s="43" t="s">
        <v>271</v>
      </c>
      <c r="F114" s="43">
        <v>-13.474538697315923</v>
      </c>
      <c r="G114" s="43">
        <v>33.322307208155941</v>
      </c>
      <c r="H114" s="43" t="s">
        <v>64</v>
      </c>
      <c r="I114" s="43" t="s">
        <v>65</v>
      </c>
      <c r="J114" s="35">
        <v>42419</v>
      </c>
      <c r="K114" s="35">
        <v>42420</v>
      </c>
      <c r="L114" s="66">
        <v>44197</v>
      </c>
      <c r="M114" s="67">
        <v>44561</v>
      </c>
      <c r="N114" s="73">
        <v>289</v>
      </c>
      <c r="O114" s="73">
        <f t="shared" si="54"/>
        <v>289</v>
      </c>
      <c r="P114" s="63">
        <v>0</v>
      </c>
      <c r="Q114" s="81">
        <f t="shared" si="55"/>
        <v>365</v>
      </c>
      <c r="R114" s="72">
        <f t="shared" si="56"/>
        <v>105485</v>
      </c>
      <c r="S114" s="175">
        <f t="shared" si="57"/>
        <v>0</v>
      </c>
    </row>
    <row r="115" spans="2:19">
      <c r="B115" s="33" t="s">
        <v>314</v>
      </c>
      <c r="C115" s="34" t="s">
        <v>315</v>
      </c>
      <c r="D115" s="34" t="s">
        <v>316</v>
      </c>
      <c r="E115" s="43" t="s">
        <v>271</v>
      </c>
      <c r="F115" s="43">
        <v>-13.465653479458297</v>
      </c>
      <c r="G115" s="43">
        <v>33.372268789857529</v>
      </c>
      <c r="H115" s="43" t="s">
        <v>64</v>
      </c>
      <c r="I115" s="43" t="s">
        <v>65</v>
      </c>
      <c r="J115" s="35">
        <v>42420</v>
      </c>
      <c r="K115" s="35">
        <v>42421</v>
      </c>
      <c r="L115" s="66">
        <v>44197</v>
      </c>
      <c r="M115" s="67">
        <v>44561</v>
      </c>
      <c r="N115" s="73">
        <v>167</v>
      </c>
      <c r="O115" s="73">
        <f t="shared" si="54"/>
        <v>167</v>
      </c>
      <c r="P115" s="63">
        <v>0</v>
      </c>
      <c r="Q115" s="81">
        <f t="shared" si="55"/>
        <v>365</v>
      </c>
      <c r="R115" s="72">
        <f t="shared" si="56"/>
        <v>60955</v>
      </c>
      <c r="S115" s="175">
        <f t="shared" si="57"/>
        <v>0</v>
      </c>
    </row>
    <row r="116" spans="2:19">
      <c r="B116" s="33" t="s">
        <v>317</v>
      </c>
      <c r="C116" s="34" t="s">
        <v>318</v>
      </c>
      <c r="D116" s="34" t="s">
        <v>319</v>
      </c>
      <c r="E116" s="43" t="s">
        <v>271</v>
      </c>
      <c r="F116" s="43">
        <v>-13.476440132976911</v>
      </c>
      <c r="G116" s="43">
        <v>33.384740096258824</v>
      </c>
      <c r="H116" s="43" t="s">
        <v>64</v>
      </c>
      <c r="I116" s="43" t="s">
        <v>65</v>
      </c>
      <c r="J116" s="35">
        <v>42420</v>
      </c>
      <c r="K116" s="35">
        <v>42421</v>
      </c>
      <c r="L116" s="66">
        <v>44197</v>
      </c>
      <c r="M116" s="67">
        <v>44561</v>
      </c>
      <c r="N116" s="73">
        <v>347</v>
      </c>
      <c r="O116" s="73">
        <f t="shared" si="54"/>
        <v>300</v>
      </c>
      <c r="P116" s="63">
        <v>0</v>
      </c>
      <c r="Q116" s="81">
        <f t="shared" si="55"/>
        <v>365</v>
      </c>
      <c r="R116" s="72">
        <f t="shared" si="56"/>
        <v>109500</v>
      </c>
      <c r="S116" s="175">
        <f t="shared" si="57"/>
        <v>0</v>
      </c>
    </row>
    <row r="117" spans="2:19">
      <c r="B117" s="33" t="s">
        <v>320</v>
      </c>
      <c r="C117" s="34" t="s">
        <v>321</v>
      </c>
      <c r="D117" s="34" t="s">
        <v>322</v>
      </c>
      <c r="E117" s="43" t="s">
        <v>271</v>
      </c>
      <c r="F117" s="43">
        <v>-13.487126764563081</v>
      </c>
      <c r="G117" s="43">
        <v>33.361232786100238</v>
      </c>
      <c r="H117" s="43" t="s">
        <v>64</v>
      </c>
      <c r="I117" s="43" t="s">
        <v>65</v>
      </c>
      <c r="J117" s="35">
        <v>42421</v>
      </c>
      <c r="K117" s="35">
        <v>42422</v>
      </c>
      <c r="L117" s="66">
        <v>44197</v>
      </c>
      <c r="M117" s="67">
        <v>44561</v>
      </c>
      <c r="N117" s="73">
        <v>200</v>
      </c>
      <c r="O117" s="73">
        <f t="shared" si="54"/>
        <v>200</v>
      </c>
      <c r="P117" s="63">
        <v>0</v>
      </c>
      <c r="Q117" s="81">
        <f t="shared" si="55"/>
        <v>365</v>
      </c>
      <c r="R117" s="72">
        <f t="shared" si="56"/>
        <v>73000</v>
      </c>
      <c r="S117" s="175">
        <f t="shared" si="57"/>
        <v>0</v>
      </c>
    </row>
    <row r="118" spans="2:19">
      <c r="B118" s="33" t="s">
        <v>323</v>
      </c>
      <c r="C118" s="34" t="s">
        <v>324</v>
      </c>
      <c r="D118" s="34" t="s">
        <v>325</v>
      </c>
      <c r="E118" s="43" t="s">
        <v>271</v>
      </c>
      <c r="F118" s="43">
        <v>-13.528379177602321</v>
      </c>
      <c r="G118" s="43">
        <v>33.33380182178491</v>
      </c>
      <c r="H118" s="43" t="s">
        <v>64</v>
      </c>
      <c r="I118" s="43" t="s">
        <v>65</v>
      </c>
      <c r="J118" s="35">
        <v>42421</v>
      </c>
      <c r="K118" s="35">
        <v>42422</v>
      </c>
      <c r="L118" s="66">
        <v>44197</v>
      </c>
      <c r="M118" s="67">
        <v>44561</v>
      </c>
      <c r="N118" s="73">
        <v>110</v>
      </c>
      <c r="O118" s="73">
        <f t="shared" si="54"/>
        <v>110</v>
      </c>
      <c r="P118" s="63">
        <v>0</v>
      </c>
      <c r="Q118" s="81">
        <f t="shared" si="55"/>
        <v>365</v>
      </c>
      <c r="R118" s="72">
        <f t="shared" si="56"/>
        <v>40150</v>
      </c>
      <c r="S118" s="175">
        <f t="shared" si="57"/>
        <v>0</v>
      </c>
    </row>
    <row r="119" spans="2:19">
      <c r="B119" s="33" t="s">
        <v>326</v>
      </c>
      <c r="C119" s="34" t="s">
        <v>327</v>
      </c>
      <c r="D119" s="34" t="s">
        <v>328</v>
      </c>
      <c r="E119" s="43" t="s">
        <v>271</v>
      </c>
      <c r="F119" s="43">
        <v>-13.59081782584758</v>
      </c>
      <c r="G119" s="43">
        <v>33.318156072771671</v>
      </c>
      <c r="H119" s="43" t="s">
        <v>64</v>
      </c>
      <c r="I119" s="43" t="s">
        <v>65</v>
      </c>
      <c r="J119" s="35">
        <v>42423</v>
      </c>
      <c r="K119" s="35">
        <v>42424</v>
      </c>
      <c r="L119" s="66">
        <v>44197</v>
      </c>
      <c r="M119" s="67">
        <v>44561</v>
      </c>
      <c r="N119" s="73">
        <v>309</v>
      </c>
      <c r="O119" s="73">
        <f t="shared" si="54"/>
        <v>300</v>
      </c>
      <c r="P119" s="63">
        <v>0</v>
      </c>
      <c r="Q119" s="81">
        <f t="shared" si="55"/>
        <v>365</v>
      </c>
      <c r="R119" s="72">
        <f t="shared" si="56"/>
        <v>109500</v>
      </c>
      <c r="S119" s="175">
        <f t="shared" si="57"/>
        <v>0</v>
      </c>
    </row>
    <row r="120" spans="2:19">
      <c r="B120" s="33" t="s">
        <v>329</v>
      </c>
      <c r="C120" s="34" t="s">
        <v>330</v>
      </c>
      <c r="D120" s="34" t="s">
        <v>331</v>
      </c>
      <c r="E120" s="43" t="s">
        <v>271</v>
      </c>
      <c r="F120" s="43">
        <v>-13.545545043933187</v>
      </c>
      <c r="G120" s="43">
        <v>33.244538101681769</v>
      </c>
      <c r="H120" s="43" t="s">
        <v>64</v>
      </c>
      <c r="I120" s="43" t="s">
        <v>65</v>
      </c>
      <c r="J120" s="35">
        <v>42424</v>
      </c>
      <c r="K120" s="35">
        <v>42425</v>
      </c>
      <c r="L120" s="66">
        <v>44197</v>
      </c>
      <c r="M120" s="67">
        <v>44561</v>
      </c>
      <c r="N120" s="73">
        <v>306</v>
      </c>
      <c r="O120" s="73">
        <f t="shared" si="54"/>
        <v>300</v>
      </c>
      <c r="P120" s="63">
        <v>0</v>
      </c>
      <c r="Q120" s="81">
        <f t="shared" si="55"/>
        <v>365</v>
      </c>
      <c r="R120" s="72">
        <f t="shared" si="56"/>
        <v>109500</v>
      </c>
      <c r="S120" s="175">
        <f t="shared" si="57"/>
        <v>0</v>
      </c>
    </row>
    <row r="121" spans="2:19">
      <c r="B121" s="33" t="s">
        <v>332</v>
      </c>
      <c r="C121" s="34" t="s">
        <v>333</v>
      </c>
      <c r="D121" s="34" t="s">
        <v>334</v>
      </c>
      <c r="E121" s="43" t="s">
        <v>271</v>
      </c>
      <c r="F121" s="43">
        <v>-13.49890296688347</v>
      </c>
      <c r="G121" s="43">
        <v>33.325851166667341</v>
      </c>
      <c r="H121" s="43" t="s">
        <v>64</v>
      </c>
      <c r="I121" s="43" t="s">
        <v>65</v>
      </c>
      <c r="J121" s="35">
        <v>42424</v>
      </c>
      <c r="K121" s="35">
        <v>42425</v>
      </c>
      <c r="L121" s="66">
        <v>44197</v>
      </c>
      <c r="M121" s="67">
        <v>44561</v>
      </c>
      <c r="N121" s="73">
        <v>127</v>
      </c>
      <c r="O121" s="73">
        <f t="shared" si="54"/>
        <v>127</v>
      </c>
      <c r="P121" s="63">
        <v>0</v>
      </c>
      <c r="Q121" s="81">
        <f t="shared" si="55"/>
        <v>365</v>
      </c>
      <c r="R121" s="72">
        <f t="shared" si="56"/>
        <v>46355</v>
      </c>
      <c r="S121" s="175">
        <f t="shared" si="57"/>
        <v>0</v>
      </c>
    </row>
    <row r="122" spans="2:19">
      <c r="B122" s="33" t="s">
        <v>335</v>
      </c>
      <c r="C122" s="34" t="s">
        <v>336</v>
      </c>
      <c r="D122" s="34" t="s">
        <v>337</v>
      </c>
      <c r="E122" s="43" t="s">
        <v>271</v>
      </c>
      <c r="F122" s="43">
        <v>-13.462759881885777</v>
      </c>
      <c r="G122" s="43">
        <v>33.333682948152074</v>
      </c>
      <c r="H122" s="43" t="s">
        <v>64</v>
      </c>
      <c r="I122" s="43" t="s">
        <v>65</v>
      </c>
      <c r="J122" s="35">
        <v>42425</v>
      </c>
      <c r="K122" s="35">
        <v>42426</v>
      </c>
      <c r="L122" s="66">
        <v>44197</v>
      </c>
      <c r="M122" s="67">
        <v>44561</v>
      </c>
      <c r="N122" s="73">
        <v>127</v>
      </c>
      <c r="O122" s="73">
        <f t="shared" si="54"/>
        <v>127</v>
      </c>
      <c r="P122" s="63">
        <v>0</v>
      </c>
      <c r="Q122" s="81">
        <f t="shared" si="55"/>
        <v>365</v>
      </c>
      <c r="R122" s="72">
        <f t="shared" si="56"/>
        <v>46355</v>
      </c>
      <c r="S122" s="175">
        <f t="shared" si="57"/>
        <v>0</v>
      </c>
    </row>
    <row r="123" spans="2:19">
      <c r="B123" s="37" t="s">
        <v>338</v>
      </c>
      <c r="C123" s="38" t="s">
        <v>339</v>
      </c>
      <c r="D123" s="38" t="s">
        <v>339</v>
      </c>
      <c r="E123" s="54" t="s">
        <v>271</v>
      </c>
      <c r="F123" s="54">
        <v>-13.422803818458222</v>
      </c>
      <c r="G123" s="54">
        <v>33.245604936485684</v>
      </c>
      <c r="H123" s="54" t="s">
        <v>64</v>
      </c>
      <c r="I123" s="54" t="s">
        <v>65</v>
      </c>
      <c r="J123" s="39">
        <v>42426</v>
      </c>
      <c r="K123" s="39">
        <v>42427</v>
      </c>
      <c r="L123" s="66">
        <v>44197</v>
      </c>
      <c r="M123" s="67">
        <v>44561</v>
      </c>
      <c r="N123" s="73">
        <v>339</v>
      </c>
      <c r="O123" s="73">
        <f t="shared" si="54"/>
        <v>300</v>
      </c>
      <c r="P123" s="63">
        <v>0</v>
      </c>
      <c r="Q123" s="81">
        <f t="shared" si="55"/>
        <v>365</v>
      </c>
      <c r="R123" s="72">
        <f t="shared" si="56"/>
        <v>109500</v>
      </c>
      <c r="S123" s="175">
        <f t="shared" si="57"/>
        <v>0</v>
      </c>
    </row>
    <row r="124" spans="2:19">
      <c r="B124" s="56"/>
      <c r="C124" s="57"/>
      <c r="D124" s="57"/>
      <c r="E124" s="58"/>
      <c r="F124" s="58"/>
      <c r="G124" s="58"/>
      <c r="H124" s="58"/>
      <c r="I124" s="58"/>
      <c r="J124" s="59"/>
      <c r="K124" s="59"/>
      <c r="L124" s="64"/>
      <c r="M124" s="60"/>
      <c r="N124" s="76">
        <v>3093</v>
      </c>
      <c r="O124" s="76">
        <f>SUM(O110:O123)</f>
        <v>2992</v>
      </c>
      <c r="P124" s="60"/>
      <c r="Q124" s="82">
        <f t="shared" ref="Q124" si="58">SUM(Q110:Q123)</f>
        <v>5110</v>
      </c>
      <c r="R124" s="83">
        <f t="shared" ref="R124" si="59">SUM(R110:R123)</f>
        <v>1092080</v>
      </c>
      <c r="S124" s="176">
        <f>AVERAGE(S110:S123)</f>
        <v>0</v>
      </c>
    </row>
    <row r="125" spans="2:19">
      <c r="B125" s="44" t="s">
        <v>340</v>
      </c>
      <c r="C125" s="45"/>
      <c r="D125" s="45"/>
      <c r="E125" s="46"/>
      <c r="F125" s="46"/>
      <c r="G125" s="46"/>
      <c r="H125" s="46"/>
      <c r="I125" s="46"/>
      <c r="J125" s="46"/>
      <c r="K125" s="46"/>
      <c r="L125" s="65"/>
      <c r="M125" s="42"/>
      <c r="N125" s="77"/>
      <c r="O125" s="77"/>
      <c r="P125" s="42"/>
      <c r="Q125" s="84"/>
      <c r="R125" s="85"/>
      <c r="S125" s="177"/>
    </row>
    <row r="126" spans="2:19">
      <c r="B126" s="33" t="s">
        <v>341</v>
      </c>
      <c r="C126" s="34" t="s">
        <v>342</v>
      </c>
      <c r="D126" s="34" t="s">
        <v>343</v>
      </c>
      <c r="E126" s="43" t="s">
        <v>271</v>
      </c>
      <c r="F126" s="43">
        <v>-12.906989116668427</v>
      </c>
      <c r="G126" s="43">
        <v>33.388791329333955</v>
      </c>
      <c r="H126" s="43" t="s">
        <v>64</v>
      </c>
      <c r="I126" s="43" t="s">
        <v>65</v>
      </c>
      <c r="J126" s="35">
        <v>42560</v>
      </c>
      <c r="K126" s="35">
        <v>42561</v>
      </c>
      <c r="L126" s="66">
        <v>44197</v>
      </c>
      <c r="M126" s="67">
        <v>44561</v>
      </c>
      <c r="N126" s="73">
        <v>266</v>
      </c>
      <c r="O126" s="73">
        <f t="shared" ref="O126:O138" si="60">IF(N126&gt;300,300,N126)</f>
        <v>266</v>
      </c>
      <c r="P126" s="63">
        <v>0</v>
      </c>
      <c r="Q126" s="81">
        <f t="shared" ref="Q126:Q138" si="61">M126-$V$3-P126</f>
        <v>365</v>
      </c>
      <c r="R126" s="72">
        <f t="shared" ref="R126:R138" si="62">Q126*O126</f>
        <v>97090</v>
      </c>
      <c r="S126" s="175">
        <f>SUM(P126)/SUM(P126:Q126)</f>
        <v>0</v>
      </c>
    </row>
    <row r="127" spans="2:19">
      <c r="B127" s="33" t="s">
        <v>344</v>
      </c>
      <c r="C127" s="34" t="s">
        <v>345</v>
      </c>
      <c r="D127" s="34" t="s">
        <v>343</v>
      </c>
      <c r="E127" s="43" t="s">
        <v>271</v>
      </c>
      <c r="F127" s="43">
        <v>-13.26519947262836</v>
      </c>
      <c r="G127" s="43">
        <v>33.230915525723645</v>
      </c>
      <c r="H127" s="43" t="s">
        <v>64</v>
      </c>
      <c r="I127" s="43" t="s">
        <v>65</v>
      </c>
      <c r="J127" s="35">
        <v>42560</v>
      </c>
      <c r="K127" s="35">
        <v>42561</v>
      </c>
      <c r="L127" s="66">
        <v>44197</v>
      </c>
      <c r="M127" s="67">
        <v>44561</v>
      </c>
      <c r="N127" s="73">
        <v>201</v>
      </c>
      <c r="O127" s="73">
        <f t="shared" si="60"/>
        <v>201</v>
      </c>
      <c r="P127" s="63">
        <v>91</v>
      </c>
      <c r="Q127" s="81">
        <f t="shared" si="61"/>
        <v>274</v>
      </c>
      <c r="R127" s="72">
        <f t="shared" si="62"/>
        <v>55074</v>
      </c>
      <c r="S127" s="175">
        <f t="shared" ref="S127:S138" si="63">SUM(P127)/SUM(P127:Q127)</f>
        <v>0.24931506849315069</v>
      </c>
    </row>
    <row r="128" spans="2:19">
      <c r="B128" s="33" t="s">
        <v>346</v>
      </c>
      <c r="C128" s="34" t="s">
        <v>347</v>
      </c>
      <c r="D128" s="34" t="s">
        <v>348</v>
      </c>
      <c r="E128" s="43" t="s">
        <v>271</v>
      </c>
      <c r="F128" s="43">
        <v>-13.338566429632712</v>
      </c>
      <c r="G128" s="43">
        <v>33.00139437195552</v>
      </c>
      <c r="H128" s="43" t="s">
        <v>64</v>
      </c>
      <c r="I128" s="43" t="s">
        <v>65</v>
      </c>
      <c r="J128" s="35">
        <v>42608</v>
      </c>
      <c r="K128" s="35">
        <v>42609</v>
      </c>
      <c r="L128" s="66">
        <v>44197</v>
      </c>
      <c r="M128" s="67">
        <v>44561</v>
      </c>
      <c r="N128" s="73">
        <v>229</v>
      </c>
      <c r="O128" s="73">
        <f t="shared" si="60"/>
        <v>229</v>
      </c>
      <c r="P128" s="63">
        <v>0</v>
      </c>
      <c r="Q128" s="81">
        <f t="shared" si="61"/>
        <v>365</v>
      </c>
      <c r="R128" s="72">
        <f t="shared" si="62"/>
        <v>83585</v>
      </c>
      <c r="S128" s="175">
        <f t="shared" si="63"/>
        <v>0</v>
      </c>
    </row>
    <row r="129" spans="2:19">
      <c r="B129" s="33" t="s">
        <v>349</v>
      </c>
      <c r="C129" s="34" t="s">
        <v>350</v>
      </c>
      <c r="D129" s="34" t="s">
        <v>350</v>
      </c>
      <c r="E129" s="43" t="s">
        <v>271</v>
      </c>
      <c r="F129" s="43">
        <v>-13.357220997284063</v>
      </c>
      <c r="G129" s="43">
        <v>33.005328572046984</v>
      </c>
      <c r="H129" s="43" t="s">
        <v>64</v>
      </c>
      <c r="I129" s="43" t="s">
        <v>65</v>
      </c>
      <c r="J129" s="35">
        <v>42608</v>
      </c>
      <c r="K129" s="35">
        <v>42609</v>
      </c>
      <c r="L129" s="66">
        <v>44197</v>
      </c>
      <c r="M129" s="67">
        <v>44561</v>
      </c>
      <c r="N129" s="73">
        <v>184</v>
      </c>
      <c r="O129" s="73">
        <f t="shared" si="60"/>
        <v>184</v>
      </c>
      <c r="P129" s="63">
        <v>0</v>
      </c>
      <c r="Q129" s="81">
        <f t="shared" si="61"/>
        <v>365</v>
      </c>
      <c r="R129" s="72">
        <f t="shared" si="62"/>
        <v>67160</v>
      </c>
      <c r="S129" s="175">
        <f t="shared" si="63"/>
        <v>0</v>
      </c>
    </row>
    <row r="130" spans="2:19">
      <c r="B130" s="33" t="s">
        <v>351</v>
      </c>
      <c r="C130" s="34" t="s">
        <v>352</v>
      </c>
      <c r="D130" s="34" t="s">
        <v>352</v>
      </c>
      <c r="E130" s="43" t="s">
        <v>271</v>
      </c>
      <c r="F130" s="43">
        <v>-13.321280993216721</v>
      </c>
      <c r="G130" s="43">
        <v>33.051643493252755</v>
      </c>
      <c r="H130" s="43" t="s">
        <v>64</v>
      </c>
      <c r="I130" s="43" t="s">
        <v>65</v>
      </c>
      <c r="J130" s="35">
        <v>42609</v>
      </c>
      <c r="K130" s="35">
        <v>42610</v>
      </c>
      <c r="L130" s="66">
        <v>44197</v>
      </c>
      <c r="M130" s="67">
        <v>44561</v>
      </c>
      <c r="N130" s="73">
        <v>158</v>
      </c>
      <c r="O130" s="73">
        <f t="shared" si="60"/>
        <v>158</v>
      </c>
      <c r="P130" s="63">
        <v>0</v>
      </c>
      <c r="Q130" s="81">
        <f t="shared" si="61"/>
        <v>365</v>
      </c>
      <c r="R130" s="72">
        <f t="shared" si="62"/>
        <v>57670</v>
      </c>
      <c r="S130" s="175">
        <f t="shared" si="63"/>
        <v>0</v>
      </c>
    </row>
    <row r="131" spans="2:19">
      <c r="B131" s="33" t="s">
        <v>353</v>
      </c>
      <c r="C131" s="34" t="s">
        <v>354</v>
      </c>
      <c r="D131" s="34" t="s">
        <v>355</v>
      </c>
      <c r="E131" s="43" t="s">
        <v>271</v>
      </c>
      <c r="F131" s="43">
        <v>-13.28125061063135</v>
      </c>
      <c r="G131" s="43">
        <v>33.126839455766692</v>
      </c>
      <c r="H131" s="43" t="s">
        <v>64</v>
      </c>
      <c r="I131" s="43" t="s">
        <v>65</v>
      </c>
      <c r="J131" s="35">
        <v>42609</v>
      </c>
      <c r="K131" s="35">
        <v>42610</v>
      </c>
      <c r="L131" s="66">
        <v>44197</v>
      </c>
      <c r="M131" s="67">
        <v>44561</v>
      </c>
      <c r="N131" s="73">
        <v>189</v>
      </c>
      <c r="O131" s="73">
        <f t="shared" si="60"/>
        <v>189</v>
      </c>
      <c r="P131" s="63">
        <v>0</v>
      </c>
      <c r="Q131" s="81">
        <f t="shared" si="61"/>
        <v>365</v>
      </c>
      <c r="R131" s="72">
        <f t="shared" si="62"/>
        <v>68985</v>
      </c>
      <c r="S131" s="175">
        <f t="shared" si="63"/>
        <v>0</v>
      </c>
    </row>
    <row r="132" spans="2:19">
      <c r="B132" s="33" t="s">
        <v>356</v>
      </c>
      <c r="C132" s="34" t="s">
        <v>357</v>
      </c>
      <c r="D132" s="34" t="s">
        <v>357</v>
      </c>
      <c r="E132" s="43" t="s">
        <v>271</v>
      </c>
      <c r="F132" s="43">
        <v>-13.33664159117229</v>
      </c>
      <c r="G132" s="43">
        <v>33.092535664353441</v>
      </c>
      <c r="H132" s="43" t="s">
        <v>64</v>
      </c>
      <c r="I132" s="43" t="s">
        <v>65</v>
      </c>
      <c r="J132" s="35">
        <v>42610</v>
      </c>
      <c r="K132" s="35">
        <v>42611</v>
      </c>
      <c r="L132" s="66">
        <v>44197</v>
      </c>
      <c r="M132" s="67">
        <v>44561</v>
      </c>
      <c r="N132" s="73">
        <v>414</v>
      </c>
      <c r="O132" s="73">
        <f t="shared" si="60"/>
        <v>300</v>
      </c>
      <c r="P132" s="63">
        <v>0</v>
      </c>
      <c r="Q132" s="81">
        <f t="shared" si="61"/>
        <v>365</v>
      </c>
      <c r="R132" s="72">
        <f t="shared" si="62"/>
        <v>109500</v>
      </c>
      <c r="S132" s="175">
        <f t="shared" si="63"/>
        <v>0</v>
      </c>
    </row>
    <row r="133" spans="2:19">
      <c r="B133" s="33" t="s">
        <v>358</v>
      </c>
      <c r="C133" s="34" t="s">
        <v>359</v>
      </c>
      <c r="D133" s="34" t="s">
        <v>359</v>
      </c>
      <c r="E133" s="43" t="s">
        <v>271</v>
      </c>
      <c r="F133" s="43">
        <v>-13.310314457770746</v>
      </c>
      <c r="G133" s="43">
        <v>33.341376540809264</v>
      </c>
      <c r="H133" s="43" t="s">
        <v>64</v>
      </c>
      <c r="I133" s="43" t="s">
        <v>65</v>
      </c>
      <c r="J133" s="35">
        <v>42611</v>
      </c>
      <c r="K133" s="35">
        <v>42612</v>
      </c>
      <c r="L133" s="66">
        <v>44197</v>
      </c>
      <c r="M133" s="67">
        <v>44561</v>
      </c>
      <c r="N133" s="73">
        <v>201</v>
      </c>
      <c r="O133" s="73">
        <f t="shared" si="60"/>
        <v>201</v>
      </c>
      <c r="P133" s="63">
        <v>90</v>
      </c>
      <c r="Q133" s="81">
        <f t="shared" si="61"/>
        <v>275</v>
      </c>
      <c r="R133" s="72">
        <f t="shared" si="62"/>
        <v>55275</v>
      </c>
      <c r="S133" s="175">
        <f t="shared" si="63"/>
        <v>0.24657534246575341</v>
      </c>
    </row>
    <row r="134" spans="2:19">
      <c r="B134" s="33" t="s">
        <v>360</v>
      </c>
      <c r="C134" s="34" t="s">
        <v>361</v>
      </c>
      <c r="D134" s="34" t="s">
        <v>361</v>
      </c>
      <c r="E134" s="43" t="s">
        <v>271</v>
      </c>
      <c r="F134" s="43">
        <v>-13.440574470611095</v>
      </c>
      <c r="G134" s="43">
        <v>33.252265181196705</v>
      </c>
      <c r="H134" s="43" t="s">
        <v>64</v>
      </c>
      <c r="I134" s="43" t="s">
        <v>65</v>
      </c>
      <c r="J134" s="35">
        <v>42611</v>
      </c>
      <c r="K134" s="35">
        <v>42612</v>
      </c>
      <c r="L134" s="66">
        <v>44197</v>
      </c>
      <c r="M134" s="67">
        <v>44561</v>
      </c>
      <c r="N134" s="73">
        <v>319</v>
      </c>
      <c r="O134" s="73">
        <f t="shared" si="60"/>
        <v>300</v>
      </c>
      <c r="P134" s="63">
        <v>0</v>
      </c>
      <c r="Q134" s="81">
        <f t="shared" si="61"/>
        <v>365</v>
      </c>
      <c r="R134" s="72">
        <f t="shared" si="62"/>
        <v>109500</v>
      </c>
      <c r="S134" s="175">
        <f t="shared" si="63"/>
        <v>0</v>
      </c>
    </row>
    <row r="135" spans="2:19">
      <c r="B135" s="33" t="s">
        <v>362</v>
      </c>
      <c r="C135" s="34" t="s">
        <v>363</v>
      </c>
      <c r="D135" s="34" t="s">
        <v>363</v>
      </c>
      <c r="E135" s="43" t="s">
        <v>271</v>
      </c>
      <c r="F135" s="43">
        <v>-13.323155229312395</v>
      </c>
      <c r="G135" s="43">
        <v>33.123297063886511</v>
      </c>
      <c r="H135" s="43" t="s">
        <v>64</v>
      </c>
      <c r="I135" s="43" t="s">
        <v>65</v>
      </c>
      <c r="J135" s="35">
        <v>42612</v>
      </c>
      <c r="K135" s="35">
        <v>42613</v>
      </c>
      <c r="L135" s="66">
        <v>44197</v>
      </c>
      <c r="M135" s="67">
        <v>44561</v>
      </c>
      <c r="N135" s="73">
        <v>267</v>
      </c>
      <c r="O135" s="73">
        <f t="shared" si="60"/>
        <v>267</v>
      </c>
      <c r="P135" s="63">
        <v>0</v>
      </c>
      <c r="Q135" s="81">
        <f t="shared" si="61"/>
        <v>365</v>
      </c>
      <c r="R135" s="72">
        <f t="shared" si="62"/>
        <v>97455</v>
      </c>
      <c r="S135" s="175">
        <f t="shared" si="63"/>
        <v>0</v>
      </c>
    </row>
    <row r="136" spans="2:19">
      <c r="B136" s="33" t="s">
        <v>364</v>
      </c>
      <c r="C136" s="34" t="s">
        <v>365</v>
      </c>
      <c r="D136" s="34" t="s">
        <v>365</v>
      </c>
      <c r="E136" s="43" t="s">
        <v>271</v>
      </c>
      <c r="F136" s="43">
        <v>-13.280803227496232</v>
      </c>
      <c r="G136" s="43">
        <v>33.203234256248855</v>
      </c>
      <c r="H136" s="43" t="s">
        <v>64</v>
      </c>
      <c r="I136" s="43" t="s">
        <v>65</v>
      </c>
      <c r="J136" s="35">
        <v>42613</v>
      </c>
      <c r="K136" s="35">
        <v>42614</v>
      </c>
      <c r="L136" s="66">
        <v>44197</v>
      </c>
      <c r="M136" s="67">
        <v>44561</v>
      </c>
      <c r="N136" s="73">
        <v>399</v>
      </c>
      <c r="O136" s="73">
        <f t="shared" si="60"/>
        <v>300</v>
      </c>
      <c r="P136" s="63">
        <v>0</v>
      </c>
      <c r="Q136" s="81">
        <f t="shared" si="61"/>
        <v>365</v>
      </c>
      <c r="R136" s="72">
        <f t="shared" si="62"/>
        <v>109500</v>
      </c>
      <c r="S136" s="175">
        <f t="shared" si="63"/>
        <v>0</v>
      </c>
    </row>
    <row r="137" spans="2:19">
      <c r="B137" s="33" t="s">
        <v>366</v>
      </c>
      <c r="C137" s="34" t="s">
        <v>367</v>
      </c>
      <c r="D137" s="34" t="s">
        <v>368</v>
      </c>
      <c r="E137" s="43" t="s">
        <v>271</v>
      </c>
      <c r="F137" s="43">
        <v>-13.571652614472224</v>
      </c>
      <c r="G137" s="43">
        <v>33.342310342737214</v>
      </c>
      <c r="H137" s="43" t="s">
        <v>64</v>
      </c>
      <c r="I137" s="43" t="s">
        <v>65</v>
      </c>
      <c r="J137" s="35">
        <v>42614</v>
      </c>
      <c r="K137" s="35">
        <v>42615</v>
      </c>
      <c r="L137" s="66">
        <v>44197</v>
      </c>
      <c r="M137" s="67">
        <v>44561</v>
      </c>
      <c r="N137" s="73">
        <v>274</v>
      </c>
      <c r="O137" s="73">
        <f t="shared" si="60"/>
        <v>274</v>
      </c>
      <c r="P137" s="63">
        <v>0</v>
      </c>
      <c r="Q137" s="81">
        <f t="shared" si="61"/>
        <v>365</v>
      </c>
      <c r="R137" s="72">
        <f t="shared" si="62"/>
        <v>100010</v>
      </c>
      <c r="S137" s="175">
        <f t="shared" si="63"/>
        <v>0</v>
      </c>
    </row>
    <row r="138" spans="2:19">
      <c r="B138" s="47" t="s">
        <v>369</v>
      </c>
      <c r="C138" s="48" t="s">
        <v>370</v>
      </c>
      <c r="D138" s="48" t="s">
        <v>371</v>
      </c>
      <c r="E138" s="55" t="s">
        <v>271</v>
      </c>
      <c r="F138" s="55">
        <v>-13.203886674118651</v>
      </c>
      <c r="G138" s="55">
        <v>33.353834953708706</v>
      </c>
      <c r="H138" s="55" t="s">
        <v>64</v>
      </c>
      <c r="I138" s="55" t="s">
        <v>65</v>
      </c>
      <c r="J138" s="49">
        <v>42614</v>
      </c>
      <c r="K138" s="49">
        <v>42615</v>
      </c>
      <c r="L138" s="66">
        <v>44197</v>
      </c>
      <c r="M138" s="67">
        <v>44561</v>
      </c>
      <c r="N138" s="73">
        <v>334</v>
      </c>
      <c r="O138" s="73">
        <f t="shared" si="60"/>
        <v>300</v>
      </c>
      <c r="P138" s="63">
        <v>0</v>
      </c>
      <c r="Q138" s="81">
        <f t="shared" si="61"/>
        <v>365</v>
      </c>
      <c r="R138" s="72">
        <f t="shared" si="62"/>
        <v>109500</v>
      </c>
      <c r="S138" s="175">
        <f t="shared" si="63"/>
        <v>0</v>
      </c>
    </row>
    <row r="139" spans="2:19">
      <c r="B139" s="56"/>
      <c r="C139" s="57"/>
      <c r="D139" s="57"/>
      <c r="E139" s="58"/>
      <c r="F139" s="58"/>
      <c r="G139" s="58"/>
      <c r="H139" s="58"/>
      <c r="I139" s="58"/>
      <c r="J139" s="59"/>
      <c r="K139" s="59"/>
      <c r="L139" s="64"/>
      <c r="M139" s="60"/>
      <c r="N139" s="76">
        <v>3435</v>
      </c>
      <c r="O139" s="76">
        <f>SUM(O126:O138)</f>
        <v>3169</v>
      </c>
      <c r="P139" s="60"/>
      <c r="Q139" s="82">
        <f t="shared" ref="Q139" si="64">SUM(Q126:Q138)</f>
        <v>4564</v>
      </c>
      <c r="R139" s="83">
        <f t="shared" ref="R139" si="65">SUM(R126:R138)</f>
        <v>1120304</v>
      </c>
      <c r="S139" s="176">
        <f>AVERAGE(S126:S138)</f>
        <v>3.8145416227608003E-2</v>
      </c>
    </row>
    <row r="140" spans="2:19">
      <c r="B140" s="32" t="s">
        <v>372</v>
      </c>
      <c r="C140" s="40"/>
      <c r="D140" s="40"/>
      <c r="E140" s="41"/>
      <c r="F140" s="41"/>
      <c r="G140" s="41"/>
      <c r="H140" s="41"/>
      <c r="I140" s="41"/>
      <c r="J140" s="41"/>
      <c r="K140" s="41"/>
      <c r="L140" s="65"/>
      <c r="M140" s="42"/>
      <c r="N140" s="75"/>
      <c r="O140" s="75"/>
      <c r="P140" s="42"/>
      <c r="Q140" s="84"/>
      <c r="R140" s="85"/>
      <c r="S140" s="177"/>
    </row>
    <row r="141" spans="2:19">
      <c r="B141" s="33" t="s">
        <v>373</v>
      </c>
      <c r="C141" s="34" t="s">
        <v>374</v>
      </c>
      <c r="D141" s="34" t="s">
        <v>374</v>
      </c>
      <c r="E141" s="43" t="s">
        <v>271</v>
      </c>
      <c r="F141" s="43">
        <v>-13.31335869868504</v>
      </c>
      <c r="G141" s="43">
        <v>33.221718619426674</v>
      </c>
      <c r="H141" s="43" t="s">
        <v>64</v>
      </c>
      <c r="I141" s="43" t="s">
        <v>65</v>
      </c>
      <c r="J141" s="35">
        <v>42615</v>
      </c>
      <c r="K141" s="35">
        <v>42616</v>
      </c>
      <c r="L141" s="66">
        <v>44197</v>
      </c>
      <c r="M141" s="67">
        <v>44561</v>
      </c>
      <c r="N141" s="73">
        <v>140</v>
      </c>
      <c r="O141" s="73">
        <f t="shared" ref="O141:O152" si="66">IF(N141&gt;300,300,N141)</f>
        <v>140</v>
      </c>
      <c r="P141" s="63">
        <v>0</v>
      </c>
      <c r="Q141" s="81">
        <f t="shared" ref="Q141:Q152" si="67">M141-$V$3-P141</f>
        <v>365</v>
      </c>
      <c r="R141" s="72">
        <f t="shared" ref="R141:R152" si="68">Q141*O141</f>
        <v>51100</v>
      </c>
      <c r="S141" s="175">
        <f>SUM(P141)/SUM(P141:Q141)</f>
        <v>0</v>
      </c>
    </row>
    <row r="142" spans="2:19">
      <c r="B142" s="33" t="s">
        <v>375</v>
      </c>
      <c r="C142" s="34" t="s">
        <v>376</v>
      </c>
      <c r="D142" s="34" t="s">
        <v>377</v>
      </c>
      <c r="E142" s="43" t="s">
        <v>271</v>
      </c>
      <c r="F142" s="43">
        <v>-13.32481860177465</v>
      </c>
      <c r="G142" s="43">
        <v>33.385440960390511</v>
      </c>
      <c r="H142" s="43" t="s">
        <v>64</v>
      </c>
      <c r="I142" s="43" t="s">
        <v>65</v>
      </c>
      <c r="J142" s="35">
        <v>42620</v>
      </c>
      <c r="K142" s="35">
        <v>42621</v>
      </c>
      <c r="L142" s="66">
        <v>44197</v>
      </c>
      <c r="M142" s="67">
        <v>44561</v>
      </c>
      <c r="N142" s="73">
        <v>138</v>
      </c>
      <c r="O142" s="73">
        <f t="shared" si="66"/>
        <v>138</v>
      </c>
      <c r="P142" s="63">
        <v>0</v>
      </c>
      <c r="Q142" s="81">
        <f t="shared" si="67"/>
        <v>365</v>
      </c>
      <c r="R142" s="72">
        <f t="shared" si="68"/>
        <v>50370</v>
      </c>
      <c r="S142" s="175">
        <f t="shared" ref="S142:S152" si="69">SUM(P142)/SUM(P142:Q142)</f>
        <v>0</v>
      </c>
    </row>
    <row r="143" spans="2:19">
      <c r="B143" s="33" t="s">
        <v>378</v>
      </c>
      <c r="C143" s="34" t="s">
        <v>379</v>
      </c>
      <c r="D143" s="34" t="s">
        <v>380</v>
      </c>
      <c r="E143" s="43" t="s">
        <v>271</v>
      </c>
      <c r="F143" s="43">
        <v>-13.165319467842572</v>
      </c>
      <c r="G143" s="43">
        <v>33.334521578226436</v>
      </c>
      <c r="H143" s="43" t="s">
        <v>64</v>
      </c>
      <c r="I143" s="43" t="s">
        <v>65</v>
      </c>
      <c r="J143" s="35">
        <v>42622</v>
      </c>
      <c r="K143" s="35">
        <v>42623</v>
      </c>
      <c r="L143" s="66">
        <v>44197</v>
      </c>
      <c r="M143" s="67">
        <v>44561</v>
      </c>
      <c r="N143" s="73">
        <v>298</v>
      </c>
      <c r="O143" s="73">
        <f t="shared" si="66"/>
        <v>298</v>
      </c>
      <c r="P143" s="63">
        <v>0</v>
      </c>
      <c r="Q143" s="81">
        <f t="shared" si="67"/>
        <v>365</v>
      </c>
      <c r="R143" s="72">
        <f t="shared" si="68"/>
        <v>108770</v>
      </c>
      <c r="S143" s="175">
        <f t="shared" si="69"/>
        <v>0</v>
      </c>
    </row>
    <row r="144" spans="2:19">
      <c r="B144" s="33" t="s">
        <v>381</v>
      </c>
      <c r="C144" s="34" t="s">
        <v>382</v>
      </c>
      <c r="D144" s="34" t="s">
        <v>383</v>
      </c>
      <c r="E144" s="43" t="s">
        <v>271</v>
      </c>
      <c r="F144" s="43">
        <v>-13.316098578077948</v>
      </c>
      <c r="G144" s="43">
        <v>33.350211629075119</v>
      </c>
      <c r="H144" s="43" t="s">
        <v>64</v>
      </c>
      <c r="I144" s="43" t="s">
        <v>65</v>
      </c>
      <c r="J144" s="35">
        <v>42625</v>
      </c>
      <c r="K144" s="35">
        <v>42626</v>
      </c>
      <c r="L144" s="66">
        <v>44197</v>
      </c>
      <c r="M144" s="67">
        <v>44561</v>
      </c>
      <c r="N144" s="73">
        <v>230</v>
      </c>
      <c r="O144" s="73">
        <f t="shared" si="66"/>
        <v>230</v>
      </c>
      <c r="P144" s="63">
        <v>0</v>
      </c>
      <c r="Q144" s="81">
        <f t="shared" si="67"/>
        <v>365</v>
      </c>
      <c r="R144" s="72">
        <f t="shared" si="68"/>
        <v>83950</v>
      </c>
      <c r="S144" s="175">
        <f t="shared" si="69"/>
        <v>0</v>
      </c>
    </row>
    <row r="145" spans="2:19">
      <c r="B145" s="33" t="s">
        <v>384</v>
      </c>
      <c r="C145" s="34" t="s">
        <v>385</v>
      </c>
      <c r="D145" s="34" t="s">
        <v>386</v>
      </c>
      <c r="E145" s="43" t="s">
        <v>271</v>
      </c>
      <c r="F145" s="43">
        <v>-13.290388865305054</v>
      </c>
      <c r="G145" s="43">
        <v>33.115645292739593</v>
      </c>
      <c r="H145" s="43" t="s">
        <v>64</v>
      </c>
      <c r="I145" s="43" t="s">
        <v>65</v>
      </c>
      <c r="J145" s="35">
        <v>42626</v>
      </c>
      <c r="K145" s="35">
        <v>42627</v>
      </c>
      <c r="L145" s="66">
        <v>44197</v>
      </c>
      <c r="M145" s="67">
        <v>44561</v>
      </c>
      <c r="N145" s="73">
        <v>215</v>
      </c>
      <c r="O145" s="73">
        <f t="shared" si="66"/>
        <v>215</v>
      </c>
      <c r="P145" s="63">
        <v>0</v>
      </c>
      <c r="Q145" s="81">
        <f t="shared" si="67"/>
        <v>365</v>
      </c>
      <c r="R145" s="72">
        <f t="shared" si="68"/>
        <v>78475</v>
      </c>
      <c r="S145" s="175">
        <f t="shared" si="69"/>
        <v>0</v>
      </c>
    </row>
    <row r="146" spans="2:19">
      <c r="B146" s="33" t="s">
        <v>387</v>
      </c>
      <c r="C146" s="34" t="s">
        <v>388</v>
      </c>
      <c r="D146" s="34" t="s">
        <v>388</v>
      </c>
      <c r="E146" s="43" t="s">
        <v>271</v>
      </c>
      <c r="F146" s="43">
        <v>-13.282662997298258</v>
      </c>
      <c r="G146" s="43">
        <v>33.341310158601949</v>
      </c>
      <c r="H146" s="43" t="s">
        <v>64</v>
      </c>
      <c r="I146" s="43" t="s">
        <v>65</v>
      </c>
      <c r="J146" s="35">
        <v>42627</v>
      </c>
      <c r="K146" s="35">
        <v>42628</v>
      </c>
      <c r="L146" s="66">
        <v>44197</v>
      </c>
      <c r="M146" s="67">
        <v>44561</v>
      </c>
      <c r="N146" s="73">
        <v>168</v>
      </c>
      <c r="O146" s="73">
        <f t="shared" si="66"/>
        <v>168</v>
      </c>
      <c r="P146" s="63">
        <v>0</v>
      </c>
      <c r="Q146" s="81">
        <f t="shared" si="67"/>
        <v>365</v>
      </c>
      <c r="R146" s="72">
        <f t="shared" si="68"/>
        <v>61320</v>
      </c>
      <c r="S146" s="175">
        <f t="shared" si="69"/>
        <v>0</v>
      </c>
    </row>
    <row r="147" spans="2:19">
      <c r="B147" s="33" t="s">
        <v>389</v>
      </c>
      <c r="C147" s="34" t="s">
        <v>390</v>
      </c>
      <c r="D147" s="34" t="s">
        <v>386</v>
      </c>
      <c r="E147" s="43" t="s">
        <v>271</v>
      </c>
      <c r="F147" s="43">
        <v>-13.310314457770746</v>
      </c>
      <c r="G147" s="43">
        <v>33.341376540809264</v>
      </c>
      <c r="H147" s="43" t="s">
        <v>64</v>
      </c>
      <c r="I147" s="43" t="s">
        <v>65</v>
      </c>
      <c r="J147" s="35">
        <v>42627</v>
      </c>
      <c r="K147" s="35">
        <v>42628</v>
      </c>
      <c r="L147" s="66">
        <v>44197</v>
      </c>
      <c r="M147" s="67">
        <v>44561</v>
      </c>
      <c r="N147" s="73">
        <v>319</v>
      </c>
      <c r="O147" s="73">
        <f t="shared" si="66"/>
        <v>300</v>
      </c>
      <c r="P147" s="63">
        <v>0</v>
      </c>
      <c r="Q147" s="81">
        <f t="shared" si="67"/>
        <v>365</v>
      </c>
      <c r="R147" s="72">
        <f t="shared" si="68"/>
        <v>109500</v>
      </c>
      <c r="S147" s="175">
        <f t="shared" si="69"/>
        <v>0</v>
      </c>
    </row>
    <row r="148" spans="2:19">
      <c r="B148" s="33" t="s">
        <v>391</v>
      </c>
      <c r="C148" s="34" t="s">
        <v>392</v>
      </c>
      <c r="D148" s="34" t="s">
        <v>393</v>
      </c>
      <c r="E148" s="43" t="s">
        <v>271</v>
      </c>
      <c r="F148" s="43">
        <v>-13.26757757012958</v>
      </c>
      <c r="G148" s="43">
        <v>33.356520917490009</v>
      </c>
      <c r="H148" s="43" t="s">
        <v>64</v>
      </c>
      <c r="I148" s="43" t="s">
        <v>65</v>
      </c>
      <c r="J148" s="35">
        <v>42631</v>
      </c>
      <c r="K148" s="35">
        <v>42632</v>
      </c>
      <c r="L148" s="66">
        <v>44197</v>
      </c>
      <c r="M148" s="67">
        <v>44561</v>
      </c>
      <c r="N148" s="73">
        <v>155</v>
      </c>
      <c r="O148" s="73">
        <f t="shared" si="66"/>
        <v>155</v>
      </c>
      <c r="P148" s="63">
        <v>90</v>
      </c>
      <c r="Q148" s="81">
        <f t="shared" si="67"/>
        <v>275</v>
      </c>
      <c r="R148" s="72">
        <f t="shared" si="68"/>
        <v>42625</v>
      </c>
      <c r="S148" s="175">
        <f t="shared" si="69"/>
        <v>0.24657534246575341</v>
      </c>
    </row>
    <row r="149" spans="2:19">
      <c r="B149" s="33" t="s">
        <v>394</v>
      </c>
      <c r="C149" s="34" t="s">
        <v>395</v>
      </c>
      <c r="D149" s="34" t="s">
        <v>395</v>
      </c>
      <c r="E149" s="43" t="s">
        <v>271</v>
      </c>
      <c r="F149" s="43">
        <v>-13.246145250330594</v>
      </c>
      <c r="G149" s="43">
        <v>33.324016417474354</v>
      </c>
      <c r="H149" s="43" t="s">
        <v>64</v>
      </c>
      <c r="I149" s="43" t="s">
        <v>65</v>
      </c>
      <c r="J149" s="35">
        <v>42633</v>
      </c>
      <c r="K149" s="35">
        <v>42634</v>
      </c>
      <c r="L149" s="66">
        <v>44197</v>
      </c>
      <c r="M149" s="67">
        <v>44561</v>
      </c>
      <c r="N149" s="73">
        <v>148</v>
      </c>
      <c r="O149" s="73">
        <f t="shared" si="66"/>
        <v>148</v>
      </c>
      <c r="P149" s="63">
        <v>0</v>
      </c>
      <c r="Q149" s="81">
        <f t="shared" si="67"/>
        <v>365</v>
      </c>
      <c r="R149" s="72">
        <f t="shared" si="68"/>
        <v>54020</v>
      </c>
      <c r="S149" s="175">
        <f t="shared" si="69"/>
        <v>0</v>
      </c>
    </row>
    <row r="150" spans="2:19">
      <c r="B150" s="33" t="s">
        <v>396</v>
      </c>
      <c r="C150" s="34" t="s">
        <v>397</v>
      </c>
      <c r="D150" s="34" t="s">
        <v>398</v>
      </c>
      <c r="E150" s="43" t="s">
        <v>271</v>
      </c>
      <c r="F150" s="43">
        <v>-13.298257410179319</v>
      </c>
      <c r="G150" s="43">
        <v>33.175984690141071</v>
      </c>
      <c r="H150" s="43" t="s">
        <v>64</v>
      </c>
      <c r="I150" s="43" t="s">
        <v>65</v>
      </c>
      <c r="J150" s="35">
        <v>42633</v>
      </c>
      <c r="K150" s="35">
        <v>42634</v>
      </c>
      <c r="L150" s="66">
        <v>44197</v>
      </c>
      <c r="M150" s="67">
        <v>44561</v>
      </c>
      <c r="N150" s="73">
        <v>340</v>
      </c>
      <c r="O150" s="73">
        <f t="shared" si="66"/>
        <v>300</v>
      </c>
      <c r="P150" s="63">
        <v>0</v>
      </c>
      <c r="Q150" s="81">
        <f t="shared" si="67"/>
        <v>365</v>
      </c>
      <c r="R150" s="72">
        <f t="shared" si="68"/>
        <v>109500</v>
      </c>
      <c r="S150" s="175">
        <f t="shared" si="69"/>
        <v>0</v>
      </c>
    </row>
    <row r="151" spans="2:19">
      <c r="B151" s="33" t="s">
        <v>399</v>
      </c>
      <c r="C151" s="34" t="s">
        <v>400</v>
      </c>
      <c r="D151" s="34" t="s">
        <v>401</v>
      </c>
      <c r="E151" s="43" t="s">
        <v>271</v>
      </c>
      <c r="F151" s="43">
        <v>-13.26508826304765</v>
      </c>
      <c r="G151" s="43">
        <v>33.324669225310238</v>
      </c>
      <c r="H151" s="43" t="s">
        <v>64</v>
      </c>
      <c r="I151" s="43" t="s">
        <v>65</v>
      </c>
      <c r="J151" s="35">
        <v>42634</v>
      </c>
      <c r="K151" s="35">
        <v>42635</v>
      </c>
      <c r="L151" s="66">
        <v>44197</v>
      </c>
      <c r="M151" s="67">
        <v>44561</v>
      </c>
      <c r="N151" s="73">
        <v>134</v>
      </c>
      <c r="O151" s="73">
        <f t="shared" si="66"/>
        <v>134</v>
      </c>
      <c r="P151" s="63">
        <v>0</v>
      </c>
      <c r="Q151" s="81">
        <f t="shared" si="67"/>
        <v>365</v>
      </c>
      <c r="R151" s="72">
        <f t="shared" si="68"/>
        <v>48910</v>
      </c>
      <c r="S151" s="175">
        <f t="shared" si="69"/>
        <v>0</v>
      </c>
    </row>
    <row r="152" spans="2:19">
      <c r="B152" s="37" t="s">
        <v>402</v>
      </c>
      <c r="C152" s="38" t="s">
        <v>403</v>
      </c>
      <c r="D152" s="38" t="s">
        <v>404</v>
      </c>
      <c r="E152" s="54" t="s">
        <v>271</v>
      </c>
      <c r="F152" s="54">
        <v>-13.27482386654108</v>
      </c>
      <c r="G152" s="54">
        <v>33.264786709226868</v>
      </c>
      <c r="H152" s="54" t="s">
        <v>64</v>
      </c>
      <c r="I152" s="54" t="s">
        <v>65</v>
      </c>
      <c r="J152" s="39">
        <v>42636</v>
      </c>
      <c r="K152" s="39">
        <v>42637</v>
      </c>
      <c r="L152" s="66">
        <v>44197</v>
      </c>
      <c r="M152" s="67">
        <v>44561</v>
      </c>
      <c r="N152" s="73">
        <v>304</v>
      </c>
      <c r="O152" s="73">
        <f t="shared" si="66"/>
        <v>300</v>
      </c>
      <c r="P152" s="63">
        <v>0</v>
      </c>
      <c r="Q152" s="81">
        <f t="shared" si="67"/>
        <v>365</v>
      </c>
      <c r="R152" s="72">
        <f t="shared" si="68"/>
        <v>109500</v>
      </c>
      <c r="S152" s="175">
        <f t="shared" si="69"/>
        <v>0</v>
      </c>
    </row>
    <row r="153" spans="2:19">
      <c r="B153" s="56"/>
      <c r="C153" s="57"/>
      <c r="D153" s="57"/>
      <c r="E153" s="58"/>
      <c r="F153" s="58"/>
      <c r="G153" s="58"/>
      <c r="H153" s="58"/>
      <c r="I153" s="58"/>
      <c r="J153" s="59"/>
      <c r="K153" s="59"/>
      <c r="L153" s="64"/>
      <c r="M153" s="60"/>
      <c r="N153" s="76">
        <v>2589</v>
      </c>
      <c r="O153" s="76">
        <f>SUM(O141:O152)</f>
        <v>2526</v>
      </c>
      <c r="P153" s="60"/>
      <c r="Q153" s="82">
        <f t="shared" ref="Q153" si="70">SUM(Q141:Q152)</f>
        <v>4290</v>
      </c>
      <c r="R153" s="83">
        <f t="shared" ref="R153" si="71">SUM(R141:R152)</f>
        <v>908040</v>
      </c>
      <c r="S153" s="176">
        <f>AVERAGE(S141:S152)</f>
        <v>2.0547945205479451E-2</v>
      </c>
    </row>
    <row r="154" spans="2:19">
      <c r="B154" s="44" t="s">
        <v>405</v>
      </c>
      <c r="C154" s="45"/>
      <c r="D154" s="45"/>
      <c r="E154" s="46"/>
      <c r="F154" s="46"/>
      <c r="G154" s="46"/>
      <c r="H154" s="46"/>
      <c r="I154" s="46"/>
      <c r="J154" s="46"/>
      <c r="K154" s="46"/>
      <c r="L154" s="65"/>
      <c r="M154" s="42"/>
      <c r="N154" s="77"/>
      <c r="O154" s="77"/>
      <c r="P154" s="42"/>
      <c r="Q154" s="84"/>
      <c r="R154" s="85"/>
      <c r="S154" s="177"/>
    </row>
    <row r="155" spans="2:19">
      <c r="B155" s="33" t="s">
        <v>406</v>
      </c>
      <c r="C155" s="34" t="s">
        <v>407</v>
      </c>
      <c r="D155" s="34" t="s">
        <v>408</v>
      </c>
      <c r="E155" s="43" t="s">
        <v>271</v>
      </c>
      <c r="F155" s="43">
        <v>-13.278619619591753</v>
      </c>
      <c r="G155" s="43">
        <v>33.1260810690573</v>
      </c>
      <c r="H155" s="43" t="s">
        <v>64</v>
      </c>
      <c r="I155" s="43" t="s">
        <v>65</v>
      </c>
      <c r="J155" s="35">
        <v>42633</v>
      </c>
      <c r="K155" s="35">
        <v>42634</v>
      </c>
      <c r="L155" s="66">
        <v>44197</v>
      </c>
      <c r="M155" s="67">
        <v>44561</v>
      </c>
      <c r="N155" s="73">
        <v>189</v>
      </c>
      <c r="O155" s="73">
        <f t="shared" ref="O155:O167" si="72">IF(N155&gt;300,300,N155)</f>
        <v>189</v>
      </c>
      <c r="P155" s="63">
        <v>0</v>
      </c>
      <c r="Q155" s="81">
        <f t="shared" ref="Q155:Q167" si="73">M155-$V$3-P155</f>
        <v>365</v>
      </c>
      <c r="R155" s="72">
        <f t="shared" ref="R155:R167" si="74">Q155*O155</f>
        <v>68985</v>
      </c>
      <c r="S155" s="175">
        <f>SUM(P155)/SUM(P155:Q155)</f>
        <v>0</v>
      </c>
    </row>
    <row r="156" spans="2:19">
      <c r="B156" s="33" t="s">
        <v>409</v>
      </c>
      <c r="C156" s="34" t="s">
        <v>410</v>
      </c>
      <c r="D156" s="34" t="s">
        <v>411</v>
      </c>
      <c r="E156" s="43" t="s">
        <v>271</v>
      </c>
      <c r="F156" s="43">
        <v>-13.29024179</v>
      </c>
      <c r="G156" s="43">
        <v>33.154264339999997</v>
      </c>
      <c r="H156" s="43" t="s">
        <v>64</v>
      </c>
      <c r="I156" s="43" t="s">
        <v>65</v>
      </c>
      <c r="J156" s="35">
        <v>42634</v>
      </c>
      <c r="K156" s="35">
        <v>42635</v>
      </c>
      <c r="L156" s="66">
        <v>44197</v>
      </c>
      <c r="M156" s="67">
        <v>44561</v>
      </c>
      <c r="N156" s="73">
        <v>179</v>
      </c>
      <c r="O156" s="73">
        <f t="shared" si="72"/>
        <v>179</v>
      </c>
      <c r="P156" s="63">
        <v>0</v>
      </c>
      <c r="Q156" s="81">
        <f t="shared" si="73"/>
        <v>365</v>
      </c>
      <c r="R156" s="72">
        <f t="shared" si="74"/>
        <v>65335</v>
      </c>
      <c r="S156" s="175">
        <f t="shared" ref="S156:S167" si="75">SUM(P156)/SUM(P156:Q156)</f>
        <v>0</v>
      </c>
    </row>
    <row r="157" spans="2:19">
      <c r="B157" s="33" t="s">
        <v>412</v>
      </c>
      <c r="C157" s="34" t="s">
        <v>413</v>
      </c>
      <c r="D157" s="34" t="s">
        <v>414</v>
      </c>
      <c r="E157" s="43" t="s">
        <v>271</v>
      </c>
      <c r="F157" s="43">
        <v>-13.30449255613822</v>
      </c>
      <c r="G157" s="43">
        <v>33.15455957086666</v>
      </c>
      <c r="H157" s="43" t="s">
        <v>64</v>
      </c>
      <c r="I157" s="43" t="s">
        <v>65</v>
      </c>
      <c r="J157" s="35">
        <v>42634</v>
      </c>
      <c r="K157" s="35">
        <v>42635</v>
      </c>
      <c r="L157" s="66">
        <v>44197</v>
      </c>
      <c r="M157" s="67">
        <v>44561</v>
      </c>
      <c r="N157" s="73">
        <v>227</v>
      </c>
      <c r="O157" s="73">
        <f t="shared" si="72"/>
        <v>227</v>
      </c>
      <c r="P157" s="63">
        <v>0</v>
      </c>
      <c r="Q157" s="81">
        <f t="shared" si="73"/>
        <v>365</v>
      </c>
      <c r="R157" s="72">
        <f t="shared" si="74"/>
        <v>82855</v>
      </c>
      <c r="S157" s="175">
        <f t="shared" si="75"/>
        <v>0</v>
      </c>
    </row>
    <row r="158" spans="2:19">
      <c r="B158" s="33" t="s">
        <v>415</v>
      </c>
      <c r="C158" s="34" t="s">
        <v>416</v>
      </c>
      <c r="D158" s="34" t="s">
        <v>417</v>
      </c>
      <c r="E158" s="43" t="s">
        <v>271</v>
      </c>
      <c r="F158" s="43">
        <v>-13.327651247872103</v>
      </c>
      <c r="G158" s="43">
        <v>33.098192580355509</v>
      </c>
      <c r="H158" s="43" t="s">
        <v>64</v>
      </c>
      <c r="I158" s="43" t="s">
        <v>65</v>
      </c>
      <c r="J158" s="35">
        <v>42635</v>
      </c>
      <c r="K158" s="35">
        <v>42636</v>
      </c>
      <c r="L158" s="66">
        <v>44197</v>
      </c>
      <c r="M158" s="67">
        <v>44561</v>
      </c>
      <c r="N158" s="73">
        <v>179</v>
      </c>
      <c r="O158" s="73">
        <f t="shared" si="72"/>
        <v>179</v>
      </c>
      <c r="P158" s="63">
        <v>0</v>
      </c>
      <c r="Q158" s="81">
        <f t="shared" si="73"/>
        <v>365</v>
      </c>
      <c r="R158" s="72">
        <f t="shared" si="74"/>
        <v>65335</v>
      </c>
      <c r="S158" s="175">
        <f t="shared" si="75"/>
        <v>0</v>
      </c>
    </row>
    <row r="159" spans="2:19">
      <c r="B159" s="33" t="s">
        <v>418</v>
      </c>
      <c r="C159" s="34" t="s">
        <v>419</v>
      </c>
      <c r="D159" s="34" t="s">
        <v>420</v>
      </c>
      <c r="E159" s="43" t="s">
        <v>271</v>
      </c>
      <c r="F159" s="43">
        <v>-13.291472396096214</v>
      </c>
      <c r="G159" s="43">
        <v>33.378177825060327</v>
      </c>
      <c r="H159" s="43" t="s">
        <v>64</v>
      </c>
      <c r="I159" s="43" t="s">
        <v>65</v>
      </c>
      <c r="J159" s="35">
        <v>42635</v>
      </c>
      <c r="K159" s="35">
        <v>42636</v>
      </c>
      <c r="L159" s="66">
        <v>44197</v>
      </c>
      <c r="M159" s="67">
        <v>44561</v>
      </c>
      <c r="N159" s="73">
        <v>320</v>
      </c>
      <c r="O159" s="73">
        <f t="shared" si="72"/>
        <v>300</v>
      </c>
      <c r="P159" s="63">
        <v>0</v>
      </c>
      <c r="Q159" s="81">
        <f t="shared" si="73"/>
        <v>365</v>
      </c>
      <c r="R159" s="72">
        <f t="shared" si="74"/>
        <v>109500</v>
      </c>
      <c r="S159" s="175">
        <f t="shared" si="75"/>
        <v>0</v>
      </c>
    </row>
    <row r="160" spans="2:19">
      <c r="B160" s="33" t="s">
        <v>421</v>
      </c>
      <c r="C160" s="34" t="s">
        <v>422</v>
      </c>
      <c r="D160" s="34" t="s">
        <v>423</v>
      </c>
      <c r="E160" s="43" t="s">
        <v>271</v>
      </c>
      <c r="F160" s="43">
        <v>-13.22108081577289</v>
      </c>
      <c r="G160" s="43">
        <v>33.315861176788516</v>
      </c>
      <c r="H160" s="43" t="s">
        <v>64</v>
      </c>
      <c r="I160" s="43" t="s">
        <v>65</v>
      </c>
      <c r="J160" s="35">
        <v>42635</v>
      </c>
      <c r="K160" s="35">
        <v>42636</v>
      </c>
      <c r="L160" s="66">
        <v>44197</v>
      </c>
      <c r="M160" s="67">
        <v>44561</v>
      </c>
      <c r="N160" s="73">
        <v>336</v>
      </c>
      <c r="O160" s="73">
        <f t="shared" si="72"/>
        <v>300</v>
      </c>
      <c r="P160" s="63">
        <v>0</v>
      </c>
      <c r="Q160" s="81">
        <f t="shared" si="73"/>
        <v>365</v>
      </c>
      <c r="R160" s="72">
        <f t="shared" si="74"/>
        <v>109500</v>
      </c>
      <c r="S160" s="175">
        <f t="shared" si="75"/>
        <v>0</v>
      </c>
    </row>
    <row r="161" spans="2:19">
      <c r="B161" s="33" t="s">
        <v>424</v>
      </c>
      <c r="C161" s="34" t="s">
        <v>425</v>
      </c>
      <c r="D161" s="34" t="s">
        <v>426</v>
      </c>
      <c r="E161" s="43" t="s">
        <v>271</v>
      </c>
      <c r="F161" s="43">
        <v>-13.246469857591318</v>
      </c>
      <c r="G161" s="43">
        <v>33.287011174307722</v>
      </c>
      <c r="H161" s="43" t="s">
        <v>64</v>
      </c>
      <c r="I161" s="43" t="s">
        <v>65</v>
      </c>
      <c r="J161" s="35">
        <v>42636</v>
      </c>
      <c r="K161" s="35">
        <v>42637</v>
      </c>
      <c r="L161" s="66">
        <v>44197</v>
      </c>
      <c r="M161" s="67">
        <v>44561</v>
      </c>
      <c r="N161" s="73">
        <v>295</v>
      </c>
      <c r="O161" s="73">
        <f t="shared" si="72"/>
        <v>295</v>
      </c>
      <c r="P161" s="63">
        <v>0</v>
      </c>
      <c r="Q161" s="81">
        <f t="shared" si="73"/>
        <v>365</v>
      </c>
      <c r="R161" s="72">
        <f t="shared" si="74"/>
        <v>107675</v>
      </c>
      <c r="S161" s="175">
        <f t="shared" si="75"/>
        <v>0</v>
      </c>
    </row>
    <row r="162" spans="2:19">
      <c r="B162" s="33" t="s">
        <v>427</v>
      </c>
      <c r="C162" s="34" t="s">
        <v>428</v>
      </c>
      <c r="D162" s="34" t="s">
        <v>429</v>
      </c>
      <c r="E162" s="43" t="s">
        <v>271</v>
      </c>
      <c r="F162" s="43">
        <v>-13.452235610717478</v>
      </c>
      <c r="G162" s="43">
        <v>33.289102019797653</v>
      </c>
      <c r="H162" s="43" t="s">
        <v>64</v>
      </c>
      <c r="I162" s="43" t="s">
        <v>65</v>
      </c>
      <c r="J162" s="35">
        <v>42637</v>
      </c>
      <c r="K162" s="35">
        <v>42638</v>
      </c>
      <c r="L162" s="66">
        <v>44197</v>
      </c>
      <c r="M162" s="67">
        <v>44561</v>
      </c>
      <c r="N162" s="73">
        <v>132</v>
      </c>
      <c r="O162" s="73">
        <f t="shared" si="72"/>
        <v>132</v>
      </c>
      <c r="P162" s="63">
        <v>0</v>
      </c>
      <c r="Q162" s="81">
        <f t="shared" si="73"/>
        <v>365</v>
      </c>
      <c r="R162" s="72">
        <f t="shared" si="74"/>
        <v>48180</v>
      </c>
      <c r="S162" s="175">
        <f t="shared" si="75"/>
        <v>0</v>
      </c>
    </row>
    <row r="163" spans="2:19">
      <c r="B163" s="33" t="s">
        <v>430</v>
      </c>
      <c r="C163" s="34" t="s">
        <v>431</v>
      </c>
      <c r="D163" s="34" t="s">
        <v>277</v>
      </c>
      <c r="E163" s="43" t="s">
        <v>271</v>
      </c>
      <c r="F163" s="43">
        <v>-13.28370020005371</v>
      </c>
      <c r="G163" s="43">
        <v>33.322552116581647</v>
      </c>
      <c r="H163" s="43" t="s">
        <v>64</v>
      </c>
      <c r="I163" s="43" t="s">
        <v>65</v>
      </c>
      <c r="J163" s="35">
        <v>42637</v>
      </c>
      <c r="K163" s="35">
        <v>42638</v>
      </c>
      <c r="L163" s="66">
        <v>44197</v>
      </c>
      <c r="M163" s="67">
        <v>44561</v>
      </c>
      <c r="N163" s="73">
        <v>259</v>
      </c>
      <c r="O163" s="73">
        <f t="shared" si="72"/>
        <v>259</v>
      </c>
      <c r="P163" s="63">
        <v>0</v>
      </c>
      <c r="Q163" s="81">
        <f t="shared" si="73"/>
        <v>365</v>
      </c>
      <c r="R163" s="72">
        <f t="shared" si="74"/>
        <v>94535</v>
      </c>
      <c r="S163" s="175">
        <f t="shared" si="75"/>
        <v>0</v>
      </c>
    </row>
    <row r="164" spans="2:19">
      <c r="B164" s="33" t="s">
        <v>432</v>
      </c>
      <c r="C164" s="34" t="s">
        <v>433</v>
      </c>
      <c r="D164" s="34" t="s">
        <v>434</v>
      </c>
      <c r="E164" s="43" t="s">
        <v>271</v>
      </c>
      <c r="F164" s="43">
        <v>-13.297392342470351</v>
      </c>
      <c r="G164" s="43">
        <v>33.335015692006195</v>
      </c>
      <c r="H164" s="43" t="s">
        <v>64</v>
      </c>
      <c r="I164" s="43" t="s">
        <v>65</v>
      </c>
      <c r="J164" s="35">
        <v>42637</v>
      </c>
      <c r="K164" s="35">
        <v>42638</v>
      </c>
      <c r="L164" s="66">
        <v>44197</v>
      </c>
      <c r="M164" s="67">
        <v>44561</v>
      </c>
      <c r="N164" s="73">
        <v>331</v>
      </c>
      <c r="O164" s="73">
        <f t="shared" si="72"/>
        <v>300</v>
      </c>
      <c r="P164" s="63">
        <v>0</v>
      </c>
      <c r="Q164" s="81">
        <f t="shared" si="73"/>
        <v>365</v>
      </c>
      <c r="R164" s="72">
        <f t="shared" si="74"/>
        <v>109500</v>
      </c>
      <c r="S164" s="175">
        <f t="shared" si="75"/>
        <v>0</v>
      </c>
    </row>
    <row r="165" spans="2:19">
      <c r="B165" s="33" t="s">
        <v>435</v>
      </c>
      <c r="C165" s="34" t="s">
        <v>436</v>
      </c>
      <c r="D165" s="34" t="s">
        <v>437</v>
      </c>
      <c r="E165" s="43" t="s">
        <v>271</v>
      </c>
      <c r="F165" s="43">
        <v>-13.459878045808047</v>
      </c>
      <c r="G165" s="43">
        <v>33.295421269965907</v>
      </c>
      <c r="H165" s="43" t="s">
        <v>64</v>
      </c>
      <c r="I165" s="43" t="s">
        <v>65</v>
      </c>
      <c r="J165" s="35">
        <v>42638</v>
      </c>
      <c r="K165" s="35">
        <v>42639</v>
      </c>
      <c r="L165" s="66">
        <v>44197</v>
      </c>
      <c r="M165" s="67">
        <v>44561</v>
      </c>
      <c r="N165" s="73">
        <v>211</v>
      </c>
      <c r="O165" s="73">
        <f t="shared" si="72"/>
        <v>211</v>
      </c>
      <c r="P165" s="63">
        <v>0</v>
      </c>
      <c r="Q165" s="81">
        <f t="shared" si="73"/>
        <v>365</v>
      </c>
      <c r="R165" s="72">
        <f t="shared" si="74"/>
        <v>77015</v>
      </c>
      <c r="S165" s="175">
        <f t="shared" si="75"/>
        <v>0</v>
      </c>
    </row>
    <row r="166" spans="2:19">
      <c r="B166" s="33" t="s">
        <v>438</v>
      </c>
      <c r="C166" s="34" t="s">
        <v>439</v>
      </c>
      <c r="D166" s="34" t="s">
        <v>440</v>
      </c>
      <c r="E166" s="43" t="s">
        <v>271</v>
      </c>
      <c r="F166" s="43">
        <v>-13.405243710181985</v>
      </c>
      <c r="G166" s="43">
        <v>33.20491779514159</v>
      </c>
      <c r="H166" s="43" t="s">
        <v>64</v>
      </c>
      <c r="I166" s="43" t="s">
        <v>65</v>
      </c>
      <c r="J166" s="35">
        <v>42638</v>
      </c>
      <c r="K166" s="35">
        <v>42639</v>
      </c>
      <c r="L166" s="66">
        <v>44197</v>
      </c>
      <c r="M166" s="67">
        <v>44561</v>
      </c>
      <c r="N166" s="73">
        <v>104</v>
      </c>
      <c r="O166" s="73">
        <f t="shared" si="72"/>
        <v>104</v>
      </c>
      <c r="P166" s="63">
        <v>0</v>
      </c>
      <c r="Q166" s="81">
        <f t="shared" si="73"/>
        <v>365</v>
      </c>
      <c r="R166" s="72">
        <f t="shared" si="74"/>
        <v>37960</v>
      </c>
      <c r="S166" s="175">
        <f t="shared" si="75"/>
        <v>0</v>
      </c>
    </row>
    <row r="167" spans="2:19">
      <c r="B167" s="47" t="s">
        <v>441</v>
      </c>
      <c r="C167" s="48" t="s">
        <v>442</v>
      </c>
      <c r="D167" s="48" t="s">
        <v>443</v>
      </c>
      <c r="E167" s="55" t="s">
        <v>271</v>
      </c>
      <c r="F167" s="55">
        <v>-13.457862363116707</v>
      </c>
      <c r="G167" s="55">
        <v>33.344587019706985</v>
      </c>
      <c r="H167" s="55" t="s">
        <v>64</v>
      </c>
      <c r="I167" s="55" t="s">
        <v>65</v>
      </c>
      <c r="J167" s="49">
        <v>42638</v>
      </c>
      <c r="K167" s="49">
        <v>42639</v>
      </c>
      <c r="L167" s="66">
        <v>44197</v>
      </c>
      <c r="M167" s="67">
        <v>44561</v>
      </c>
      <c r="N167" s="73">
        <v>181</v>
      </c>
      <c r="O167" s="73">
        <f t="shared" si="72"/>
        <v>181</v>
      </c>
      <c r="P167" s="63">
        <v>0</v>
      </c>
      <c r="Q167" s="81">
        <f t="shared" si="73"/>
        <v>365</v>
      </c>
      <c r="R167" s="72">
        <f t="shared" si="74"/>
        <v>66065</v>
      </c>
      <c r="S167" s="175">
        <f t="shared" si="75"/>
        <v>0</v>
      </c>
    </row>
    <row r="168" spans="2:19">
      <c r="B168" s="56"/>
      <c r="C168" s="57"/>
      <c r="D168" s="57"/>
      <c r="E168" s="58"/>
      <c r="F168" s="58"/>
      <c r="G168" s="58"/>
      <c r="H168" s="58"/>
      <c r="I168" s="58"/>
      <c r="J168" s="59"/>
      <c r="K168" s="59"/>
      <c r="L168" s="64"/>
      <c r="M168" s="60"/>
      <c r="N168" s="76">
        <v>2943</v>
      </c>
      <c r="O168" s="76">
        <f>SUM(O155:O167)</f>
        <v>2856</v>
      </c>
      <c r="P168" s="60"/>
      <c r="Q168" s="82">
        <f t="shared" ref="Q168" si="76">SUM(Q155:Q167)</f>
        <v>4745</v>
      </c>
      <c r="R168" s="83">
        <f t="shared" ref="R168" si="77">SUM(R155:R167)</f>
        <v>1042440</v>
      </c>
      <c r="S168" s="176">
        <f>AVERAGE(S155:S167)</f>
        <v>0</v>
      </c>
    </row>
    <row r="169" spans="2:19">
      <c r="B169" s="32" t="s">
        <v>444</v>
      </c>
      <c r="C169" s="40"/>
      <c r="D169" s="40"/>
      <c r="E169" s="41"/>
      <c r="F169" s="41"/>
      <c r="G169" s="41"/>
      <c r="H169" s="41"/>
      <c r="I169" s="41"/>
      <c r="J169" s="41"/>
      <c r="K169" s="41"/>
      <c r="L169" s="65"/>
      <c r="M169" s="42"/>
      <c r="N169" s="75"/>
      <c r="O169" s="75"/>
      <c r="P169" s="42"/>
      <c r="Q169" s="84"/>
      <c r="R169" s="85"/>
      <c r="S169" s="177"/>
    </row>
    <row r="170" spans="2:19">
      <c r="B170" s="33" t="s">
        <v>445</v>
      </c>
      <c r="C170" s="34" t="s">
        <v>446</v>
      </c>
      <c r="D170" s="34" t="s">
        <v>447</v>
      </c>
      <c r="E170" s="43" t="s">
        <v>271</v>
      </c>
      <c r="F170" s="43">
        <v>-13.430553123619005</v>
      </c>
      <c r="G170" s="43">
        <v>33.168551902036327</v>
      </c>
      <c r="H170" s="43" t="s">
        <v>64</v>
      </c>
      <c r="I170" s="43" t="s">
        <v>65</v>
      </c>
      <c r="J170" s="35">
        <v>42639</v>
      </c>
      <c r="K170" s="35">
        <v>42640</v>
      </c>
      <c r="L170" s="66">
        <v>44197</v>
      </c>
      <c r="M170" s="67">
        <v>44561</v>
      </c>
      <c r="N170" s="73">
        <v>538</v>
      </c>
      <c r="O170" s="73">
        <f t="shared" ref="O170:O180" si="78">IF(N170&gt;300,300,N170)</f>
        <v>300</v>
      </c>
      <c r="P170" s="63">
        <v>0</v>
      </c>
      <c r="Q170" s="81">
        <f t="shared" ref="Q170:Q180" si="79">M170-$V$3-P170</f>
        <v>365</v>
      </c>
      <c r="R170" s="72">
        <f t="shared" ref="R170:R180" si="80">Q170*O170</f>
        <v>109500</v>
      </c>
      <c r="S170" s="175">
        <f>SUM(P170)/SUM(P170:Q170)</f>
        <v>0</v>
      </c>
    </row>
    <row r="171" spans="2:19">
      <c r="B171" s="33" t="s">
        <v>448</v>
      </c>
      <c r="C171" s="34" t="s">
        <v>449</v>
      </c>
      <c r="D171" s="34" t="s">
        <v>450</v>
      </c>
      <c r="E171" s="43" t="s">
        <v>271</v>
      </c>
      <c r="F171" s="43">
        <v>-13.410591332711743</v>
      </c>
      <c r="G171" s="43">
        <v>33.404235567478359</v>
      </c>
      <c r="H171" s="43" t="s">
        <v>64</v>
      </c>
      <c r="I171" s="43" t="s">
        <v>65</v>
      </c>
      <c r="J171" s="35">
        <v>42639</v>
      </c>
      <c r="K171" s="35">
        <v>42640</v>
      </c>
      <c r="L171" s="66">
        <v>44197</v>
      </c>
      <c r="M171" s="67">
        <v>44561</v>
      </c>
      <c r="N171" s="73">
        <v>394</v>
      </c>
      <c r="O171" s="73">
        <f t="shared" si="78"/>
        <v>300</v>
      </c>
      <c r="P171" s="63">
        <v>0</v>
      </c>
      <c r="Q171" s="81">
        <f t="shared" si="79"/>
        <v>365</v>
      </c>
      <c r="R171" s="72">
        <f t="shared" si="80"/>
        <v>109500</v>
      </c>
      <c r="S171" s="175">
        <f t="shared" ref="S171:S180" si="81">SUM(P171)/SUM(P171:Q171)</f>
        <v>0</v>
      </c>
    </row>
    <row r="172" spans="2:19">
      <c r="B172" s="33" t="s">
        <v>451</v>
      </c>
      <c r="C172" s="34" t="s">
        <v>452</v>
      </c>
      <c r="D172" s="34" t="s">
        <v>453</v>
      </c>
      <c r="E172" s="43" t="s">
        <v>271</v>
      </c>
      <c r="F172" s="43">
        <v>-13.383999132543112</v>
      </c>
      <c r="G172" s="43">
        <v>33.291837351918595</v>
      </c>
      <c r="H172" s="43" t="s">
        <v>64</v>
      </c>
      <c r="I172" s="43" t="s">
        <v>65</v>
      </c>
      <c r="J172" s="35">
        <v>42640</v>
      </c>
      <c r="K172" s="35">
        <v>42641</v>
      </c>
      <c r="L172" s="66">
        <v>44197</v>
      </c>
      <c r="M172" s="67">
        <v>44561</v>
      </c>
      <c r="N172" s="73">
        <v>251</v>
      </c>
      <c r="O172" s="73">
        <f t="shared" si="78"/>
        <v>251</v>
      </c>
      <c r="P172" s="63">
        <v>0</v>
      </c>
      <c r="Q172" s="81">
        <f t="shared" si="79"/>
        <v>365</v>
      </c>
      <c r="R172" s="72">
        <f t="shared" si="80"/>
        <v>91615</v>
      </c>
      <c r="S172" s="175">
        <f t="shared" si="81"/>
        <v>0</v>
      </c>
    </row>
    <row r="173" spans="2:19">
      <c r="B173" s="33" t="s">
        <v>454</v>
      </c>
      <c r="C173" s="34" t="s">
        <v>455</v>
      </c>
      <c r="D173" s="34" t="s">
        <v>456</v>
      </c>
      <c r="E173" s="43" t="s">
        <v>271</v>
      </c>
      <c r="F173" s="43">
        <v>-13.43903021970516</v>
      </c>
      <c r="G173" s="43">
        <v>33.420126101416095</v>
      </c>
      <c r="H173" s="43" t="s">
        <v>64</v>
      </c>
      <c r="I173" s="43" t="s">
        <v>65</v>
      </c>
      <c r="J173" s="35">
        <v>42640</v>
      </c>
      <c r="K173" s="35">
        <v>42641</v>
      </c>
      <c r="L173" s="66">
        <v>44197</v>
      </c>
      <c r="M173" s="67">
        <v>44561</v>
      </c>
      <c r="N173" s="73">
        <v>473</v>
      </c>
      <c r="O173" s="73">
        <f t="shared" si="78"/>
        <v>300</v>
      </c>
      <c r="P173" s="63">
        <v>0</v>
      </c>
      <c r="Q173" s="81">
        <f t="shared" si="79"/>
        <v>365</v>
      </c>
      <c r="R173" s="72">
        <f t="shared" si="80"/>
        <v>109500</v>
      </c>
      <c r="S173" s="175">
        <f t="shared" si="81"/>
        <v>0</v>
      </c>
    </row>
    <row r="174" spans="2:19">
      <c r="B174" s="33" t="s">
        <v>457</v>
      </c>
      <c r="C174" s="34" t="s">
        <v>458</v>
      </c>
      <c r="D174" s="34" t="s">
        <v>459</v>
      </c>
      <c r="E174" s="43" t="s">
        <v>271</v>
      </c>
      <c r="F174" s="43">
        <v>-13.273730677166103</v>
      </c>
      <c r="G174" s="43">
        <v>33.366241565941976</v>
      </c>
      <c r="H174" s="43" t="s">
        <v>64</v>
      </c>
      <c r="I174" s="43" t="s">
        <v>65</v>
      </c>
      <c r="J174" s="35">
        <v>42640</v>
      </c>
      <c r="K174" s="35">
        <v>42641</v>
      </c>
      <c r="L174" s="66">
        <v>44197</v>
      </c>
      <c r="M174" s="67">
        <v>44561</v>
      </c>
      <c r="N174" s="73">
        <v>248</v>
      </c>
      <c r="O174" s="73">
        <f t="shared" si="78"/>
        <v>248</v>
      </c>
      <c r="P174" s="63">
        <v>0</v>
      </c>
      <c r="Q174" s="81">
        <f t="shared" si="79"/>
        <v>365</v>
      </c>
      <c r="R174" s="72">
        <f t="shared" si="80"/>
        <v>90520</v>
      </c>
      <c r="S174" s="175">
        <f t="shared" si="81"/>
        <v>0</v>
      </c>
    </row>
    <row r="175" spans="2:19">
      <c r="B175" s="33" t="s">
        <v>460</v>
      </c>
      <c r="C175" s="34" t="s">
        <v>461</v>
      </c>
      <c r="D175" s="34" t="s">
        <v>462</v>
      </c>
      <c r="E175" s="43" t="s">
        <v>271</v>
      </c>
      <c r="F175" s="43">
        <v>-13.387072705526913</v>
      </c>
      <c r="G175" s="43">
        <v>33.175300872278143</v>
      </c>
      <c r="H175" s="43" t="s">
        <v>64</v>
      </c>
      <c r="I175" s="43" t="s">
        <v>65</v>
      </c>
      <c r="J175" s="35">
        <v>42641</v>
      </c>
      <c r="K175" s="35">
        <v>42642</v>
      </c>
      <c r="L175" s="66">
        <v>44197</v>
      </c>
      <c r="M175" s="67">
        <v>44561</v>
      </c>
      <c r="N175" s="73">
        <v>320</v>
      </c>
      <c r="O175" s="73">
        <f t="shared" si="78"/>
        <v>300</v>
      </c>
      <c r="P175" s="63">
        <v>0</v>
      </c>
      <c r="Q175" s="81">
        <f t="shared" si="79"/>
        <v>365</v>
      </c>
      <c r="R175" s="72">
        <f t="shared" si="80"/>
        <v>109500</v>
      </c>
      <c r="S175" s="175">
        <f t="shared" si="81"/>
        <v>0</v>
      </c>
    </row>
    <row r="176" spans="2:19">
      <c r="B176" s="33" t="s">
        <v>463</v>
      </c>
      <c r="C176" s="34" t="s">
        <v>464</v>
      </c>
      <c r="D176" s="34" t="s">
        <v>465</v>
      </c>
      <c r="E176" s="43" t="s">
        <v>271</v>
      </c>
      <c r="F176" s="43">
        <v>-13.53625293698498</v>
      </c>
      <c r="G176" s="43">
        <v>33.29202184862644</v>
      </c>
      <c r="H176" s="43" t="s">
        <v>64</v>
      </c>
      <c r="I176" s="43" t="s">
        <v>65</v>
      </c>
      <c r="J176" s="35">
        <v>42643</v>
      </c>
      <c r="K176" s="35">
        <v>42644</v>
      </c>
      <c r="L176" s="66">
        <v>44197</v>
      </c>
      <c r="M176" s="67">
        <v>44561</v>
      </c>
      <c r="N176" s="73">
        <v>449</v>
      </c>
      <c r="O176" s="73">
        <f t="shared" si="78"/>
        <v>300</v>
      </c>
      <c r="P176" s="63">
        <v>0</v>
      </c>
      <c r="Q176" s="81">
        <f t="shared" si="79"/>
        <v>365</v>
      </c>
      <c r="R176" s="72">
        <f t="shared" si="80"/>
        <v>109500</v>
      </c>
      <c r="S176" s="175">
        <f t="shared" si="81"/>
        <v>0</v>
      </c>
    </row>
    <row r="177" spans="2:19">
      <c r="B177" s="33" t="s">
        <v>466</v>
      </c>
      <c r="C177" s="34" t="s">
        <v>467</v>
      </c>
      <c r="D177" s="34" t="s">
        <v>468</v>
      </c>
      <c r="E177" s="43" t="s">
        <v>271</v>
      </c>
      <c r="F177" s="43">
        <v>-13.287420184047818</v>
      </c>
      <c r="G177" s="43">
        <v>33.246575940028215</v>
      </c>
      <c r="H177" s="43" t="s">
        <v>64</v>
      </c>
      <c r="I177" s="43" t="s">
        <v>65</v>
      </c>
      <c r="J177" s="35">
        <v>42643</v>
      </c>
      <c r="K177" s="35">
        <v>42644</v>
      </c>
      <c r="L177" s="66">
        <v>44197</v>
      </c>
      <c r="M177" s="67">
        <v>44561</v>
      </c>
      <c r="N177" s="73">
        <v>176</v>
      </c>
      <c r="O177" s="73">
        <f t="shared" si="78"/>
        <v>176</v>
      </c>
      <c r="P177" s="63">
        <v>0</v>
      </c>
      <c r="Q177" s="81">
        <f t="shared" si="79"/>
        <v>365</v>
      </c>
      <c r="R177" s="72">
        <f t="shared" si="80"/>
        <v>64240</v>
      </c>
      <c r="S177" s="175">
        <f t="shared" si="81"/>
        <v>0</v>
      </c>
    </row>
    <row r="178" spans="2:19">
      <c r="B178" s="33" t="s">
        <v>469</v>
      </c>
      <c r="C178" s="34" t="s">
        <v>470</v>
      </c>
      <c r="D178" s="34" t="s">
        <v>470</v>
      </c>
      <c r="E178" s="43" t="s">
        <v>271</v>
      </c>
      <c r="F178" s="43">
        <v>-13.467472056225166</v>
      </c>
      <c r="G178" s="43">
        <v>33.829485321394422</v>
      </c>
      <c r="H178" s="43" t="s">
        <v>64</v>
      </c>
      <c r="I178" s="43" t="s">
        <v>65</v>
      </c>
      <c r="J178" s="35">
        <v>42643</v>
      </c>
      <c r="K178" s="35">
        <v>42644</v>
      </c>
      <c r="L178" s="66">
        <v>44197</v>
      </c>
      <c r="M178" s="67">
        <v>44561</v>
      </c>
      <c r="N178" s="73">
        <v>208</v>
      </c>
      <c r="O178" s="73">
        <f t="shared" si="78"/>
        <v>208</v>
      </c>
      <c r="P178" s="63">
        <v>90</v>
      </c>
      <c r="Q178" s="81">
        <f t="shared" si="79"/>
        <v>275</v>
      </c>
      <c r="R178" s="72">
        <f t="shared" si="80"/>
        <v>57200</v>
      </c>
      <c r="S178" s="175">
        <f t="shared" si="81"/>
        <v>0.24657534246575341</v>
      </c>
    </row>
    <row r="179" spans="2:19">
      <c r="B179" s="33" t="s">
        <v>471</v>
      </c>
      <c r="C179" s="34" t="s">
        <v>472</v>
      </c>
      <c r="D179" s="34" t="s">
        <v>472</v>
      </c>
      <c r="E179" s="43" t="s">
        <v>271</v>
      </c>
      <c r="F179" s="43">
        <v>-13.519579001672046</v>
      </c>
      <c r="G179" s="43">
        <v>33.361383263260144</v>
      </c>
      <c r="H179" s="43" t="s">
        <v>64</v>
      </c>
      <c r="I179" s="43" t="s">
        <v>65</v>
      </c>
      <c r="J179" s="35">
        <v>42644</v>
      </c>
      <c r="K179" s="35">
        <v>42645</v>
      </c>
      <c r="L179" s="66">
        <v>44197</v>
      </c>
      <c r="M179" s="67">
        <v>44561</v>
      </c>
      <c r="N179" s="73">
        <v>295</v>
      </c>
      <c r="O179" s="73">
        <f t="shared" si="78"/>
        <v>295</v>
      </c>
      <c r="P179" s="63">
        <v>0</v>
      </c>
      <c r="Q179" s="81">
        <f t="shared" si="79"/>
        <v>365</v>
      </c>
      <c r="R179" s="72">
        <f t="shared" si="80"/>
        <v>107675</v>
      </c>
      <c r="S179" s="175">
        <f t="shared" si="81"/>
        <v>0</v>
      </c>
    </row>
    <row r="180" spans="2:19">
      <c r="B180" s="37" t="s">
        <v>473</v>
      </c>
      <c r="C180" s="38" t="s">
        <v>474</v>
      </c>
      <c r="D180" s="38" t="s">
        <v>475</v>
      </c>
      <c r="E180" s="54" t="s">
        <v>271</v>
      </c>
      <c r="F180" s="54">
        <v>-13.273730677166103</v>
      </c>
      <c r="G180" s="54">
        <v>33.366241565941976</v>
      </c>
      <c r="H180" s="54" t="s">
        <v>64</v>
      </c>
      <c r="I180" s="54" t="s">
        <v>65</v>
      </c>
      <c r="J180" s="39">
        <v>42645</v>
      </c>
      <c r="K180" s="39">
        <v>42646</v>
      </c>
      <c r="L180" s="66">
        <v>44197</v>
      </c>
      <c r="M180" s="67">
        <v>44561</v>
      </c>
      <c r="N180" s="73">
        <v>580</v>
      </c>
      <c r="O180" s="73">
        <f t="shared" si="78"/>
        <v>300</v>
      </c>
      <c r="P180" s="63">
        <v>0</v>
      </c>
      <c r="Q180" s="81">
        <f t="shared" si="79"/>
        <v>365</v>
      </c>
      <c r="R180" s="72">
        <f t="shared" si="80"/>
        <v>109500</v>
      </c>
      <c r="S180" s="175">
        <f t="shared" si="81"/>
        <v>0</v>
      </c>
    </row>
    <row r="181" spans="2:19">
      <c r="B181" s="56"/>
      <c r="C181" s="57"/>
      <c r="D181" s="57"/>
      <c r="E181" s="58"/>
      <c r="F181" s="58"/>
      <c r="G181" s="58"/>
      <c r="H181" s="58"/>
      <c r="I181" s="58"/>
      <c r="J181" s="59"/>
      <c r="K181" s="59"/>
      <c r="L181" s="64"/>
      <c r="M181" s="60"/>
      <c r="N181" s="76">
        <v>3932</v>
      </c>
      <c r="O181" s="76">
        <f>SUM(O170:O180)</f>
        <v>2978</v>
      </c>
      <c r="P181" s="60"/>
      <c r="Q181" s="82">
        <f t="shared" ref="Q181" si="82">SUM(Q170:Q180)</f>
        <v>3925</v>
      </c>
      <c r="R181" s="83">
        <f t="shared" ref="R181" si="83">SUM(R170:R180)</f>
        <v>1068250</v>
      </c>
      <c r="S181" s="176">
        <f>AVERAGE(S170:S180)</f>
        <v>2.2415940224159402E-2</v>
      </c>
    </row>
    <row r="182" spans="2:19">
      <c r="B182" s="44" t="s">
        <v>476</v>
      </c>
      <c r="C182" s="45"/>
      <c r="D182" s="45"/>
      <c r="E182" s="46"/>
      <c r="F182" s="46"/>
      <c r="G182" s="46"/>
      <c r="H182" s="46"/>
      <c r="I182" s="46"/>
      <c r="J182" s="46"/>
      <c r="K182" s="46"/>
      <c r="L182" s="65"/>
      <c r="M182" s="42"/>
      <c r="N182" s="77"/>
      <c r="O182" s="77"/>
      <c r="P182" s="42"/>
      <c r="Q182" s="84"/>
      <c r="R182" s="85"/>
      <c r="S182" s="177"/>
    </row>
    <row r="183" spans="2:19">
      <c r="B183" s="33" t="s">
        <v>477</v>
      </c>
      <c r="C183" s="34" t="s">
        <v>478</v>
      </c>
      <c r="D183" s="34" t="s">
        <v>478</v>
      </c>
      <c r="E183" s="43" t="s">
        <v>63</v>
      </c>
      <c r="F183" s="43">
        <v>-13.454832489999999</v>
      </c>
      <c r="G183" s="43">
        <v>33.742503859999999</v>
      </c>
      <c r="H183" s="43" t="s">
        <v>64</v>
      </c>
      <c r="I183" s="43" t="s">
        <v>65</v>
      </c>
      <c r="J183" s="35">
        <v>42537</v>
      </c>
      <c r="K183" s="35">
        <v>42538</v>
      </c>
      <c r="L183" s="66">
        <v>44197</v>
      </c>
      <c r="M183" s="67">
        <v>44561</v>
      </c>
      <c r="N183" s="73">
        <v>312</v>
      </c>
      <c r="O183" s="73">
        <f t="shared" ref="O183:O189" si="84">IF(N183&gt;300,300,N183)</f>
        <v>300</v>
      </c>
      <c r="P183" s="63">
        <v>0</v>
      </c>
      <c r="Q183" s="81">
        <f t="shared" ref="Q183:Q189" si="85">M183-$V$3-P183</f>
        <v>365</v>
      </c>
      <c r="R183" s="72">
        <f t="shared" ref="R183:R189" si="86">Q183*O183</f>
        <v>109500</v>
      </c>
      <c r="S183" s="175">
        <f>SUM(P183)/SUM(P183:Q183)</f>
        <v>0</v>
      </c>
    </row>
    <row r="184" spans="2:19">
      <c r="B184" s="33" t="s">
        <v>479</v>
      </c>
      <c r="C184" s="34" t="s">
        <v>480</v>
      </c>
      <c r="D184" s="34" t="s">
        <v>481</v>
      </c>
      <c r="E184" s="43" t="s">
        <v>63</v>
      </c>
      <c r="F184" s="43">
        <v>-13.43840041</v>
      </c>
      <c r="G184" s="43">
        <v>33.791096969999998</v>
      </c>
      <c r="H184" s="43" t="s">
        <v>64</v>
      </c>
      <c r="I184" s="43" t="s">
        <v>65</v>
      </c>
      <c r="J184" s="35">
        <v>42546</v>
      </c>
      <c r="K184" s="35">
        <v>42547</v>
      </c>
      <c r="L184" s="66">
        <v>44197</v>
      </c>
      <c r="M184" s="67">
        <v>44561</v>
      </c>
      <c r="N184" s="73">
        <v>397</v>
      </c>
      <c r="O184" s="73">
        <f t="shared" si="84"/>
        <v>300</v>
      </c>
      <c r="P184" s="63">
        <v>0</v>
      </c>
      <c r="Q184" s="81">
        <f t="shared" si="85"/>
        <v>365</v>
      </c>
      <c r="R184" s="72">
        <f t="shared" si="86"/>
        <v>109500</v>
      </c>
      <c r="S184" s="175">
        <f t="shared" ref="S184:S189" si="87">SUM(P184)/SUM(P184:Q184)</f>
        <v>0</v>
      </c>
    </row>
    <row r="185" spans="2:19">
      <c r="B185" s="33" t="s">
        <v>482</v>
      </c>
      <c r="C185" s="34" t="s">
        <v>483</v>
      </c>
      <c r="D185" s="34" t="s">
        <v>483</v>
      </c>
      <c r="E185" s="43" t="s">
        <v>63</v>
      </c>
      <c r="F185" s="43">
        <v>-13.48812094</v>
      </c>
      <c r="G185" s="43">
        <v>33.767580240000001</v>
      </c>
      <c r="H185" s="43" t="s">
        <v>64</v>
      </c>
      <c r="I185" s="43" t="s">
        <v>65</v>
      </c>
      <c r="J185" s="35">
        <v>42546</v>
      </c>
      <c r="K185" s="35">
        <v>42547</v>
      </c>
      <c r="L185" s="66">
        <v>44197</v>
      </c>
      <c r="M185" s="67">
        <v>44561</v>
      </c>
      <c r="N185" s="73">
        <v>424</v>
      </c>
      <c r="O185" s="73">
        <f t="shared" si="84"/>
        <v>300</v>
      </c>
      <c r="P185" s="63">
        <v>0</v>
      </c>
      <c r="Q185" s="81">
        <f t="shared" si="85"/>
        <v>365</v>
      </c>
      <c r="R185" s="72">
        <f t="shared" si="86"/>
        <v>109500</v>
      </c>
      <c r="S185" s="175">
        <f t="shared" si="87"/>
        <v>0</v>
      </c>
    </row>
    <row r="186" spans="2:19">
      <c r="B186" s="33" t="s">
        <v>484</v>
      </c>
      <c r="C186" s="34" t="s">
        <v>485</v>
      </c>
      <c r="D186" s="34" t="s">
        <v>486</v>
      </c>
      <c r="E186" s="43" t="s">
        <v>63</v>
      </c>
      <c r="F186" s="43">
        <v>-13.50084799</v>
      </c>
      <c r="G186" s="43">
        <v>33.774624600000003</v>
      </c>
      <c r="H186" s="43" t="s">
        <v>64</v>
      </c>
      <c r="I186" s="43" t="s">
        <v>65</v>
      </c>
      <c r="J186" s="35">
        <v>42548</v>
      </c>
      <c r="K186" s="35">
        <v>42549</v>
      </c>
      <c r="L186" s="66">
        <v>44197</v>
      </c>
      <c r="M186" s="67">
        <v>44561</v>
      </c>
      <c r="N186" s="73">
        <v>377</v>
      </c>
      <c r="O186" s="73">
        <f t="shared" si="84"/>
        <v>300</v>
      </c>
      <c r="P186" s="63">
        <v>0</v>
      </c>
      <c r="Q186" s="81">
        <f t="shared" si="85"/>
        <v>365</v>
      </c>
      <c r="R186" s="72">
        <f t="shared" si="86"/>
        <v>109500</v>
      </c>
      <c r="S186" s="175">
        <f t="shared" si="87"/>
        <v>0</v>
      </c>
    </row>
    <row r="187" spans="2:19">
      <c r="B187" s="33" t="s">
        <v>487</v>
      </c>
      <c r="C187" s="34" t="s">
        <v>488</v>
      </c>
      <c r="D187" s="34" t="s">
        <v>266</v>
      </c>
      <c r="E187" s="43" t="s">
        <v>63</v>
      </c>
      <c r="F187" s="43">
        <v>-13.51171978</v>
      </c>
      <c r="G187" s="43">
        <v>33.785036320000003</v>
      </c>
      <c r="H187" s="43" t="s">
        <v>64</v>
      </c>
      <c r="I187" s="43" t="s">
        <v>65</v>
      </c>
      <c r="J187" s="35">
        <v>42552</v>
      </c>
      <c r="K187" s="35">
        <v>42553</v>
      </c>
      <c r="L187" s="66">
        <v>44197</v>
      </c>
      <c r="M187" s="67">
        <v>44561</v>
      </c>
      <c r="N187" s="73">
        <v>739</v>
      </c>
      <c r="O187" s="73">
        <f t="shared" si="84"/>
        <v>300</v>
      </c>
      <c r="P187" s="63">
        <v>0</v>
      </c>
      <c r="Q187" s="81">
        <f t="shared" si="85"/>
        <v>365</v>
      </c>
      <c r="R187" s="72">
        <f t="shared" si="86"/>
        <v>109500</v>
      </c>
      <c r="S187" s="175">
        <f t="shared" si="87"/>
        <v>0</v>
      </c>
    </row>
    <row r="188" spans="2:19">
      <c r="B188" s="33" t="s">
        <v>489</v>
      </c>
      <c r="C188" s="34" t="s">
        <v>490</v>
      </c>
      <c r="D188" s="34" t="s">
        <v>211</v>
      </c>
      <c r="E188" s="43" t="s">
        <v>63</v>
      </c>
      <c r="F188" s="43">
        <v>-13.62739792</v>
      </c>
      <c r="G188" s="43">
        <v>33.700097669999998</v>
      </c>
      <c r="H188" s="43" t="s">
        <v>64</v>
      </c>
      <c r="I188" s="43" t="s">
        <v>65</v>
      </c>
      <c r="J188" s="35">
        <v>42554</v>
      </c>
      <c r="K188" s="35">
        <v>42555</v>
      </c>
      <c r="L188" s="66">
        <v>44197</v>
      </c>
      <c r="M188" s="67">
        <v>44561</v>
      </c>
      <c r="N188" s="73">
        <v>427</v>
      </c>
      <c r="O188" s="73">
        <f t="shared" si="84"/>
        <v>300</v>
      </c>
      <c r="P188" s="63">
        <v>5</v>
      </c>
      <c r="Q188" s="81">
        <f t="shared" si="85"/>
        <v>360</v>
      </c>
      <c r="R188" s="72">
        <f t="shared" si="86"/>
        <v>108000</v>
      </c>
      <c r="S188" s="175">
        <f t="shared" si="87"/>
        <v>1.3698630136986301E-2</v>
      </c>
    </row>
    <row r="189" spans="2:19">
      <c r="B189" s="47" t="s">
        <v>491</v>
      </c>
      <c r="C189" s="48" t="s">
        <v>492</v>
      </c>
      <c r="D189" s="48" t="s">
        <v>492</v>
      </c>
      <c r="E189" s="55" t="s">
        <v>63</v>
      </c>
      <c r="F189" s="55">
        <v>-13.66046525</v>
      </c>
      <c r="G189" s="55">
        <v>33.518961079999997</v>
      </c>
      <c r="H189" s="55" t="s">
        <v>64</v>
      </c>
      <c r="I189" s="55" t="s">
        <v>65</v>
      </c>
      <c r="J189" s="49">
        <v>42569</v>
      </c>
      <c r="K189" s="49">
        <v>42570</v>
      </c>
      <c r="L189" s="66">
        <v>44197</v>
      </c>
      <c r="M189" s="67">
        <v>44561</v>
      </c>
      <c r="N189" s="73">
        <v>343</v>
      </c>
      <c r="O189" s="73">
        <f t="shared" si="84"/>
        <v>300</v>
      </c>
      <c r="P189" s="63">
        <v>0</v>
      </c>
      <c r="Q189" s="81">
        <f t="shared" si="85"/>
        <v>365</v>
      </c>
      <c r="R189" s="72">
        <f t="shared" si="86"/>
        <v>109500</v>
      </c>
      <c r="S189" s="175">
        <f t="shared" si="87"/>
        <v>0</v>
      </c>
    </row>
    <row r="190" spans="2:19">
      <c r="B190" s="56"/>
      <c r="C190" s="57"/>
      <c r="D190" s="57"/>
      <c r="E190" s="58"/>
      <c r="F190" s="58"/>
      <c r="G190" s="58"/>
      <c r="H190" s="58"/>
      <c r="I190" s="58"/>
      <c r="J190" s="59"/>
      <c r="K190" s="59"/>
      <c r="L190" s="64"/>
      <c r="M190" s="60"/>
      <c r="N190" s="76">
        <v>3019</v>
      </c>
      <c r="O190" s="76">
        <f>SUM(O183:O189)</f>
        <v>2100</v>
      </c>
      <c r="P190" s="60"/>
      <c r="Q190" s="82">
        <f t="shared" ref="Q190" si="88">SUM(Q183:Q189)</f>
        <v>2550</v>
      </c>
      <c r="R190" s="83">
        <f t="shared" ref="R190" si="89">SUM(R183:R189)</f>
        <v>765000</v>
      </c>
      <c r="S190" s="176">
        <f>AVERAGE(S183:S189)</f>
        <v>1.9569471624266144E-3</v>
      </c>
    </row>
    <row r="191" spans="2:19">
      <c r="B191" s="32" t="s">
        <v>493</v>
      </c>
      <c r="C191" s="40"/>
      <c r="D191" s="40"/>
      <c r="E191" s="41"/>
      <c r="F191" s="41"/>
      <c r="G191" s="41"/>
      <c r="H191" s="41"/>
      <c r="I191" s="41"/>
      <c r="J191" s="41"/>
      <c r="K191" s="41"/>
      <c r="L191" s="65"/>
      <c r="M191" s="42"/>
      <c r="N191" s="75"/>
      <c r="O191" s="75"/>
      <c r="P191" s="42"/>
      <c r="Q191" s="84"/>
      <c r="R191" s="85"/>
      <c r="S191" s="177"/>
    </row>
    <row r="192" spans="2:19">
      <c r="B192" s="33" t="s">
        <v>494</v>
      </c>
      <c r="C192" s="34" t="s">
        <v>495</v>
      </c>
      <c r="D192" s="34" t="s">
        <v>496</v>
      </c>
      <c r="E192" s="43" t="s">
        <v>63</v>
      </c>
      <c r="F192" s="43">
        <v>-13.547581170000001</v>
      </c>
      <c r="G192" s="43">
        <v>33.516672800000002</v>
      </c>
      <c r="H192" s="43" t="s">
        <v>64</v>
      </c>
      <c r="I192" s="43" t="s">
        <v>65</v>
      </c>
      <c r="J192" s="35">
        <v>42552</v>
      </c>
      <c r="K192" s="35">
        <v>42553</v>
      </c>
      <c r="L192" s="66">
        <v>44197</v>
      </c>
      <c r="M192" s="67">
        <v>44561</v>
      </c>
      <c r="N192" s="73">
        <v>283</v>
      </c>
      <c r="O192" s="73">
        <f t="shared" ref="O192:O200" si="90">IF(N192&gt;300,300,N192)</f>
        <v>283</v>
      </c>
      <c r="P192" s="63">
        <v>0</v>
      </c>
      <c r="Q192" s="81">
        <f t="shared" ref="Q192:Q200" si="91">M192-$V$3-P192</f>
        <v>365</v>
      </c>
      <c r="R192" s="72">
        <f t="shared" ref="R192:R200" si="92">Q192*O192</f>
        <v>103295</v>
      </c>
      <c r="S192" s="175">
        <f>SUM(P192)/SUM(P192:Q192)</f>
        <v>0</v>
      </c>
    </row>
    <row r="193" spans="2:19">
      <c r="B193" s="33" t="s">
        <v>497</v>
      </c>
      <c r="C193" s="34" t="s">
        <v>498</v>
      </c>
      <c r="D193" s="34" t="s">
        <v>499</v>
      </c>
      <c r="E193" s="43" t="s">
        <v>63</v>
      </c>
      <c r="F193" s="43">
        <v>-13.62388981</v>
      </c>
      <c r="G193" s="43">
        <v>33.700078099999999</v>
      </c>
      <c r="H193" s="43" t="s">
        <v>64</v>
      </c>
      <c r="I193" s="43" t="s">
        <v>65</v>
      </c>
      <c r="J193" s="35">
        <v>42553</v>
      </c>
      <c r="K193" s="35">
        <v>42554</v>
      </c>
      <c r="L193" s="66">
        <v>44197</v>
      </c>
      <c r="M193" s="67">
        <v>44561</v>
      </c>
      <c r="N193" s="73">
        <v>206</v>
      </c>
      <c r="O193" s="73">
        <f t="shared" si="90"/>
        <v>206</v>
      </c>
      <c r="P193" s="63">
        <v>0</v>
      </c>
      <c r="Q193" s="81">
        <f t="shared" si="91"/>
        <v>365</v>
      </c>
      <c r="R193" s="72">
        <f t="shared" si="92"/>
        <v>75190</v>
      </c>
      <c r="S193" s="175">
        <f t="shared" ref="S193:S200" si="93">SUM(P193)/SUM(P193:Q193)</f>
        <v>0</v>
      </c>
    </row>
    <row r="194" spans="2:19">
      <c r="B194" s="33" t="s">
        <v>500</v>
      </c>
      <c r="C194" s="34" t="s">
        <v>501</v>
      </c>
      <c r="D194" s="34" t="s">
        <v>501</v>
      </c>
      <c r="E194" s="43" t="s">
        <v>63</v>
      </c>
      <c r="F194" s="43">
        <v>-14.354464460000001</v>
      </c>
      <c r="G194" s="43">
        <v>33.511804069999997</v>
      </c>
      <c r="H194" s="43" t="s">
        <v>64</v>
      </c>
      <c r="I194" s="43" t="s">
        <v>65</v>
      </c>
      <c r="J194" s="35">
        <v>42560</v>
      </c>
      <c r="K194" s="35">
        <v>42561</v>
      </c>
      <c r="L194" s="66">
        <v>44197</v>
      </c>
      <c r="M194" s="67">
        <v>44561</v>
      </c>
      <c r="N194" s="73">
        <v>611</v>
      </c>
      <c r="O194" s="73">
        <f t="shared" si="90"/>
        <v>300</v>
      </c>
      <c r="P194" s="63">
        <v>0</v>
      </c>
      <c r="Q194" s="81">
        <f t="shared" si="91"/>
        <v>365</v>
      </c>
      <c r="R194" s="72">
        <f t="shared" si="92"/>
        <v>109500</v>
      </c>
      <c r="S194" s="175">
        <f t="shared" si="93"/>
        <v>0</v>
      </c>
    </row>
    <row r="195" spans="2:19">
      <c r="B195" s="33" t="s">
        <v>502</v>
      </c>
      <c r="C195" s="34" t="s">
        <v>157</v>
      </c>
      <c r="D195" s="34" t="s">
        <v>157</v>
      </c>
      <c r="E195" s="43" t="s">
        <v>63</v>
      </c>
      <c r="F195" s="43">
        <v>-13.34247983</v>
      </c>
      <c r="G195" s="43">
        <v>33.479869780000001</v>
      </c>
      <c r="H195" s="43" t="s">
        <v>64</v>
      </c>
      <c r="I195" s="43" t="s">
        <v>65</v>
      </c>
      <c r="J195" s="35">
        <v>42571</v>
      </c>
      <c r="K195" s="35">
        <v>42572</v>
      </c>
      <c r="L195" s="66">
        <v>44197</v>
      </c>
      <c r="M195" s="67">
        <v>44561</v>
      </c>
      <c r="N195" s="73">
        <v>290</v>
      </c>
      <c r="O195" s="73">
        <f t="shared" si="90"/>
        <v>290</v>
      </c>
      <c r="P195" s="63">
        <v>95</v>
      </c>
      <c r="Q195" s="81">
        <f t="shared" si="91"/>
        <v>270</v>
      </c>
      <c r="R195" s="72">
        <f t="shared" si="92"/>
        <v>78300</v>
      </c>
      <c r="S195" s="175">
        <f t="shared" si="93"/>
        <v>0.26027397260273971</v>
      </c>
    </row>
    <row r="196" spans="2:19">
      <c r="B196" s="33" t="s">
        <v>503</v>
      </c>
      <c r="C196" s="34" t="s">
        <v>504</v>
      </c>
      <c r="D196" s="34" t="s">
        <v>504</v>
      </c>
      <c r="E196" s="43" t="s">
        <v>63</v>
      </c>
      <c r="F196" s="43">
        <v>-14.45841293</v>
      </c>
      <c r="G196" s="43">
        <v>33.710456919999999</v>
      </c>
      <c r="H196" s="43" t="s">
        <v>64</v>
      </c>
      <c r="I196" s="43" t="s">
        <v>65</v>
      </c>
      <c r="J196" s="35">
        <v>42573</v>
      </c>
      <c r="K196" s="35">
        <v>42574</v>
      </c>
      <c r="L196" s="66">
        <v>44197</v>
      </c>
      <c r="M196" s="67">
        <v>44561</v>
      </c>
      <c r="N196" s="73">
        <v>352</v>
      </c>
      <c r="O196" s="73">
        <f t="shared" si="90"/>
        <v>300</v>
      </c>
      <c r="P196" s="63">
        <v>5</v>
      </c>
      <c r="Q196" s="81">
        <f t="shared" si="91"/>
        <v>360</v>
      </c>
      <c r="R196" s="72">
        <f t="shared" si="92"/>
        <v>108000</v>
      </c>
      <c r="S196" s="175">
        <f t="shared" si="93"/>
        <v>1.3698630136986301E-2</v>
      </c>
    </row>
    <row r="197" spans="2:19">
      <c r="B197" s="33" t="s">
        <v>505</v>
      </c>
      <c r="C197" s="34" t="s">
        <v>506</v>
      </c>
      <c r="D197" s="34" t="s">
        <v>506</v>
      </c>
      <c r="E197" s="43" t="s">
        <v>63</v>
      </c>
      <c r="F197" s="43">
        <v>-14.251090019999999</v>
      </c>
      <c r="G197" s="43">
        <v>33.65719833</v>
      </c>
      <c r="H197" s="43" t="s">
        <v>64</v>
      </c>
      <c r="I197" s="43" t="s">
        <v>65</v>
      </c>
      <c r="J197" s="35">
        <v>42579</v>
      </c>
      <c r="K197" s="35">
        <v>42580</v>
      </c>
      <c r="L197" s="66">
        <v>44197</v>
      </c>
      <c r="M197" s="67">
        <v>44561</v>
      </c>
      <c r="N197" s="73">
        <v>123</v>
      </c>
      <c r="O197" s="73">
        <f t="shared" si="90"/>
        <v>123</v>
      </c>
      <c r="P197" s="63">
        <v>0</v>
      </c>
      <c r="Q197" s="81">
        <f t="shared" si="91"/>
        <v>365</v>
      </c>
      <c r="R197" s="72">
        <f t="shared" si="92"/>
        <v>44895</v>
      </c>
      <c r="S197" s="175">
        <f t="shared" si="93"/>
        <v>0</v>
      </c>
    </row>
    <row r="198" spans="2:19">
      <c r="B198" s="33" t="s">
        <v>507</v>
      </c>
      <c r="C198" s="34" t="s">
        <v>508</v>
      </c>
      <c r="D198" s="34" t="s">
        <v>509</v>
      </c>
      <c r="E198" s="43" t="s">
        <v>63</v>
      </c>
      <c r="F198" s="43">
        <v>-13.66585888</v>
      </c>
      <c r="G198" s="43">
        <v>33.647682979999999</v>
      </c>
      <c r="H198" s="43" t="s">
        <v>64</v>
      </c>
      <c r="I198" s="43" t="s">
        <v>65</v>
      </c>
      <c r="J198" s="35">
        <v>42583</v>
      </c>
      <c r="K198" s="35">
        <v>42584</v>
      </c>
      <c r="L198" s="66">
        <v>44197</v>
      </c>
      <c r="M198" s="67">
        <v>44561</v>
      </c>
      <c r="N198" s="73">
        <v>684</v>
      </c>
      <c r="O198" s="73">
        <f t="shared" si="90"/>
        <v>300</v>
      </c>
      <c r="P198" s="63">
        <v>96</v>
      </c>
      <c r="Q198" s="81">
        <f t="shared" si="91"/>
        <v>269</v>
      </c>
      <c r="R198" s="72">
        <f t="shared" si="92"/>
        <v>80700</v>
      </c>
      <c r="S198" s="175">
        <f t="shared" si="93"/>
        <v>0.26301369863013696</v>
      </c>
    </row>
    <row r="199" spans="2:19">
      <c r="B199" s="33" t="s">
        <v>510</v>
      </c>
      <c r="C199" s="34" t="s">
        <v>511</v>
      </c>
      <c r="D199" s="34" t="s">
        <v>512</v>
      </c>
      <c r="E199" s="43" t="s">
        <v>63</v>
      </c>
      <c r="F199" s="43">
        <v>-13.26571671</v>
      </c>
      <c r="G199" s="43">
        <v>33.60104338</v>
      </c>
      <c r="H199" s="43" t="s">
        <v>64</v>
      </c>
      <c r="I199" s="43" t="s">
        <v>65</v>
      </c>
      <c r="J199" s="35">
        <v>42586</v>
      </c>
      <c r="K199" s="35">
        <v>42587</v>
      </c>
      <c r="L199" s="66">
        <v>44197</v>
      </c>
      <c r="M199" s="67">
        <v>44561</v>
      </c>
      <c r="N199" s="73">
        <v>776</v>
      </c>
      <c r="O199" s="73">
        <f t="shared" si="90"/>
        <v>300</v>
      </c>
      <c r="P199" s="63">
        <v>0</v>
      </c>
      <c r="Q199" s="81">
        <f t="shared" si="91"/>
        <v>365</v>
      </c>
      <c r="R199" s="72">
        <f t="shared" si="92"/>
        <v>109500</v>
      </c>
      <c r="S199" s="175">
        <f t="shared" si="93"/>
        <v>0</v>
      </c>
    </row>
    <row r="200" spans="2:19">
      <c r="B200" s="37" t="s">
        <v>513</v>
      </c>
      <c r="C200" s="38" t="s">
        <v>514</v>
      </c>
      <c r="D200" s="38" t="s">
        <v>515</v>
      </c>
      <c r="E200" s="54" t="s">
        <v>63</v>
      </c>
      <c r="F200" s="54">
        <v>-13.328661159999999</v>
      </c>
      <c r="G200" s="54">
        <v>33.603728420000003</v>
      </c>
      <c r="H200" s="54" t="s">
        <v>64</v>
      </c>
      <c r="I200" s="54" t="s">
        <v>65</v>
      </c>
      <c r="J200" s="39">
        <v>42631</v>
      </c>
      <c r="K200" s="39">
        <v>42632</v>
      </c>
      <c r="L200" s="66">
        <v>44197</v>
      </c>
      <c r="M200" s="67">
        <v>44561</v>
      </c>
      <c r="N200" s="73">
        <v>140</v>
      </c>
      <c r="O200" s="73">
        <f t="shared" si="90"/>
        <v>140</v>
      </c>
      <c r="P200" s="63">
        <v>0</v>
      </c>
      <c r="Q200" s="81">
        <f t="shared" si="91"/>
        <v>365</v>
      </c>
      <c r="R200" s="72">
        <f t="shared" si="92"/>
        <v>51100</v>
      </c>
      <c r="S200" s="175">
        <f t="shared" si="93"/>
        <v>0</v>
      </c>
    </row>
    <row r="201" spans="2:19">
      <c r="B201" s="56"/>
      <c r="C201" s="57"/>
      <c r="D201" s="57"/>
      <c r="E201" s="58"/>
      <c r="F201" s="58"/>
      <c r="G201" s="58"/>
      <c r="H201" s="58"/>
      <c r="I201" s="58"/>
      <c r="J201" s="59"/>
      <c r="K201" s="59"/>
      <c r="L201" s="64"/>
      <c r="M201" s="60"/>
      <c r="N201" s="76">
        <v>3465</v>
      </c>
      <c r="O201" s="76">
        <f>SUM(O192:O200)</f>
        <v>2242</v>
      </c>
      <c r="P201" s="60"/>
      <c r="Q201" s="82">
        <f t="shared" ref="Q201" si="94">SUM(Q192:Q200)</f>
        <v>3089</v>
      </c>
      <c r="R201" s="83">
        <f t="shared" ref="R201" si="95">SUM(R192:R200)</f>
        <v>760480</v>
      </c>
      <c r="S201" s="176">
        <f>AVERAGE(S192:S200)</f>
        <v>5.9665144596651447E-2</v>
      </c>
    </row>
    <row r="202" spans="2:19">
      <c r="B202" s="44" t="s">
        <v>516</v>
      </c>
      <c r="C202" s="45"/>
      <c r="D202" s="45"/>
      <c r="E202" s="46"/>
      <c r="F202" s="46"/>
      <c r="G202" s="46"/>
      <c r="H202" s="46"/>
      <c r="I202" s="46"/>
      <c r="J202" s="46"/>
      <c r="K202" s="46"/>
      <c r="L202" s="65"/>
      <c r="M202" s="42"/>
      <c r="N202" s="77"/>
      <c r="O202" s="77"/>
      <c r="P202" s="42"/>
      <c r="Q202" s="84"/>
      <c r="R202" s="85"/>
      <c r="S202" s="177"/>
    </row>
    <row r="203" spans="2:19">
      <c r="B203" s="33" t="s">
        <v>517</v>
      </c>
      <c r="C203" s="34" t="s">
        <v>518</v>
      </c>
      <c r="D203" s="34" t="s">
        <v>519</v>
      </c>
      <c r="E203" s="43" t="s">
        <v>63</v>
      </c>
      <c r="F203" s="43">
        <v>-13.37794274</v>
      </c>
      <c r="G203" s="43">
        <v>33.480143060000003</v>
      </c>
      <c r="H203" s="43" t="s">
        <v>64</v>
      </c>
      <c r="I203" s="43" t="s">
        <v>65</v>
      </c>
      <c r="J203" s="35">
        <v>42616</v>
      </c>
      <c r="K203" s="35">
        <v>42617</v>
      </c>
      <c r="L203" s="66">
        <v>44197</v>
      </c>
      <c r="M203" s="67">
        <v>44561</v>
      </c>
      <c r="N203" s="73">
        <v>353</v>
      </c>
      <c r="O203" s="73">
        <f t="shared" ref="O203:O211" si="96">IF(N203&gt;300,300,N203)</f>
        <v>300</v>
      </c>
      <c r="P203" s="63">
        <v>0</v>
      </c>
      <c r="Q203" s="81">
        <f t="shared" ref="Q203:Q211" si="97">M203-$V$3-P203</f>
        <v>365</v>
      </c>
      <c r="R203" s="72">
        <f t="shared" ref="R203:R211" si="98">Q203*O203</f>
        <v>109500</v>
      </c>
      <c r="S203" s="175">
        <f>SUM(P203)/SUM(P203:Q203)</f>
        <v>0</v>
      </c>
    </row>
    <row r="204" spans="2:19">
      <c r="B204" s="33" t="s">
        <v>520</v>
      </c>
      <c r="C204" s="34" t="s">
        <v>521</v>
      </c>
      <c r="D204" s="34" t="s">
        <v>522</v>
      </c>
      <c r="E204" s="43" t="s">
        <v>63</v>
      </c>
      <c r="F204" s="43">
        <v>-13.358645989999999</v>
      </c>
      <c r="G204" s="43">
        <v>33.59160404</v>
      </c>
      <c r="H204" s="43" t="s">
        <v>64</v>
      </c>
      <c r="I204" s="43" t="s">
        <v>65</v>
      </c>
      <c r="J204" s="35">
        <v>42625</v>
      </c>
      <c r="K204" s="35">
        <v>42626</v>
      </c>
      <c r="L204" s="66">
        <v>44197</v>
      </c>
      <c r="M204" s="67">
        <v>44561</v>
      </c>
      <c r="N204" s="73">
        <v>553</v>
      </c>
      <c r="O204" s="73">
        <f t="shared" si="96"/>
        <v>300</v>
      </c>
      <c r="P204" s="63">
        <v>0</v>
      </c>
      <c r="Q204" s="81">
        <f t="shared" si="97"/>
        <v>365</v>
      </c>
      <c r="R204" s="72">
        <f t="shared" si="98"/>
        <v>109500</v>
      </c>
      <c r="S204" s="175">
        <f t="shared" ref="S204:S211" si="99">SUM(P204)/SUM(P204:Q204)</f>
        <v>0</v>
      </c>
    </row>
    <row r="205" spans="2:19">
      <c r="B205" s="33" t="s">
        <v>523</v>
      </c>
      <c r="C205" s="34" t="s">
        <v>524</v>
      </c>
      <c r="D205" s="34" t="s">
        <v>255</v>
      </c>
      <c r="E205" s="43" t="s">
        <v>63</v>
      </c>
      <c r="F205" s="43">
        <v>-13.5423802</v>
      </c>
      <c r="G205" s="43">
        <v>33.74043649</v>
      </c>
      <c r="H205" s="43" t="s">
        <v>64</v>
      </c>
      <c r="I205" s="43" t="s">
        <v>65</v>
      </c>
      <c r="J205" s="35">
        <v>42627</v>
      </c>
      <c r="K205" s="35">
        <v>42628</v>
      </c>
      <c r="L205" s="66">
        <v>44197</v>
      </c>
      <c r="M205" s="67">
        <v>44561</v>
      </c>
      <c r="N205" s="73">
        <v>262</v>
      </c>
      <c r="O205" s="73">
        <f t="shared" si="96"/>
        <v>262</v>
      </c>
      <c r="P205" s="63">
        <v>0</v>
      </c>
      <c r="Q205" s="81">
        <f t="shared" si="97"/>
        <v>365</v>
      </c>
      <c r="R205" s="72">
        <f t="shared" si="98"/>
        <v>95630</v>
      </c>
      <c r="S205" s="175">
        <f t="shared" si="99"/>
        <v>0</v>
      </c>
    </row>
    <row r="206" spans="2:19">
      <c r="B206" s="33" t="s">
        <v>525</v>
      </c>
      <c r="C206" s="34" t="s">
        <v>526</v>
      </c>
      <c r="D206" s="34" t="s">
        <v>527</v>
      </c>
      <c r="E206" s="43" t="s">
        <v>63</v>
      </c>
      <c r="F206" s="43">
        <v>-13.41998499</v>
      </c>
      <c r="G206" s="43">
        <v>33.760934589999998</v>
      </c>
      <c r="H206" s="43" t="s">
        <v>64</v>
      </c>
      <c r="I206" s="43" t="s">
        <v>65</v>
      </c>
      <c r="J206" s="35">
        <v>42629</v>
      </c>
      <c r="K206" s="35">
        <v>42630</v>
      </c>
      <c r="L206" s="66">
        <v>44197</v>
      </c>
      <c r="M206" s="67">
        <v>44561</v>
      </c>
      <c r="N206" s="73">
        <v>837</v>
      </c>
      <c r="O206" s="73">
        <f t="shared" si="96"/>
        <v>300</v>
      </c>
      <c r="P206" s="63">
        <v>0</v>
      </c>
      <c r="Q206" s="81">
        <f t="shared" si="97"/>
        <v>365</v>
      </c>
      <c r="R206" s="72">
        <f t="shared" si="98"/>
        <v>109500</v>
      </c>
      <c r="S206" s="175">
        <f t="shared" si="99"/>
        <v>0</v>
      </c>
    </row>
    <row r="207" spans="2:19">
      <c r="B207" s="33" t="s">
        <v>528</v>
      </c>
      <c r="C207" s="34" t="s">
        <v>529</v>
      </c>
      <c r="D207" s="34" t="s">
        <v>529</v>
      </c>
      <c r="E207" s="43" t="s">
        <v>63</v>
      </c>
      <c r="F207" s="43">
        <v>-13.74355671</v>
      </c>
      <c r="G207" s="43">
        <v>34.025513590000003</v>
      </c>
      <c r="H207" s="43" t="s">
        <v>64</v>
      </c>
      <c r="I207" s="43" t="s">
        <v>65</v>
      </c>
      <c r="J207" s="35">
        <v>42630</v>
      </c>
      <c r="K207" s="35">
        <v>42631</v>
      </c>
      <c r="L207" s="66">
        <v>44197</v>
      </c>
      <c r="M207" s="67">
        <v>44561</v>
      </c>
      <c r="N207" s="73">
        <v>724</v>
      </c>
      <c r="O207" s="73">
        <f t="shared" si="96"/>
        <v>300</v>
      </c>
      <c r="P207" s="63">
        <v>0</v>
      </c>
      <c r="Q207" s="81">
        <f t="shared" si="97"/>
        <v>365</v>
      </c>
      <c r="R207" s="72">
        <f t="shared" si="98"/>
        <v>109500</v>
      </c>
      <c r="S207" s="175">
        <f t="shared" si="99"/>
        <v>0</v>
      </c>
    </row>
    <row r="208" spans="2:19">
      <c r="B208" s="33" t="s">
        <v>530</v>
      </c>
      <c r="C208" s="34" t="s">
        <v>531</v>
      </c>
      <c r="D208" s="34"/>
      <c r="E208" s="43" t="s">
        <v>63</v>
      </c>
      <c r="F208" s="43">
        <v>-13.39206169</v>
      </c>
      <c r="G208" s="43">
        <v>33.641263379999998</v>
      </c>
      <c r="H208" s="43" t="s">
        <v>64</v>
      </c>
      <c r="I208" s="43" t="s">
        <v>65</v>
      </c>
      <c r="J208" s="35">
        <v>42634</v>
      </c>
      <c r="K208" s="35">
        <v>42635</v>
      </c>
      <c r="L208" s="66">
        <v>44197</v>
      </c>
      <c r="M208" s="67">
        <v>44561</v>
      </c>
      <c r="N208" s="73">
        <v>375</v>
      </c>
      <c r="O208" s="73">
        <f t="shared" si="96"/>
        <v>300</v>
      </c>
      <c r="P208" s="63">
        <v>0</v>
      </c>
      <c r="Q208" s="81">
        <f t="shared" si="97"/>
        <v>365</v>
      </c>
      <c r="R208" s="72">
        <f t="shared" si="98"/>
        <v>109500</v>
      </c>
      <c r="S208" s="175">
        <f t="shared" si="99"/>
        <v>0</v>
      </c>
    </row>
    <row r="209" spans="2:19">
      <c r="B209" s="33" t="s">
        <v>532</v>
      </c>
      <c r="C209" s="34" t="s">
        <v>533</v>
      </c>
      <c r="D209" s="34" t="s">
        <v>533</v>
      </c>
      <c r="E209" s="43" t="s">
        <v>63</v>
      </c>
      <c r="F209" s="43">
        <v>-13.46455997</v>
      </c>
      <c r="G209" s="43">
        <v>33.619514340000002</v>
      </c>
      <c r="H209" s="43" t="s">
        <v>64</v>
      </c>
      <c r="I209" s="43" t="s">
        <v>65</v>
      </c>
      <c r="J209" s="35">
        <v>42635</v>
      </c>
      <c r="K209" s="35">
        <v>42636</v>
      </c>
      <c r="L209" s="66">
        <v>44197</v>
      </c>
      <c r="M209" s="67">
        <v>44561</v>
      </c>
      <c r="N209" s="73">
        <v>437</v>
      </c>
      <c r="O209" s="73">
        <f t="shared" si="96"/>
        <v>300</v>
      </c>
      <c r="P209" s="63">
        <v>0</v>
      </c>
      <c r="Q209" s="81">
        <f t="shared" si="97"/>
        <v>365</v>
      </c>
      <c r="R209" s="72">
        <f t="shared" si="98"/>
        <v>109500</v>
      </c>
      <c r="S209" s="175">
        <f t="shared" si="99"/>
        <v>0</v>
      </c>
    </row>
    <row r="210" spans="2:19">
      <c r="B210" s="33" t="s">
        <v>534</v>
      </c>
      <c r="C210" s="34" t="s">
        <v>535</v>
      </c>
      <c r="D210" s="34" t="s">
        <v>536</v>
      </c>
      <c r="E210" s="43" t="s">
        <v>63</v>
      </c>
      <c r="F210" s="43">
        <v>-13.39952267</v>
      </c>
      <c r="G210" s="43">
        <v>33.535917339999997</v>
      </c>
      <c r="H210" s="43" t="s">
        <v>64</v>
      </c>
      <c r="I210" s="43" t="s">
        <v>65</v>
      </c>
      <c r="J210" s="35">
        <v>42640</v>
      </c>
      <c r="K210" s="35">
        <v>42641</v>
      </c>
      <c r="L210" s="66">
        <v>44197</v>
      </c>
      <c r="M210" s="67">
        <v>44561</v>
      </c>
      <c r="N210" s="73">
        <v>277</v>
      </c>
      <c r="O210" s="73">
        <f t="shared" si="96"/>
        <v>277</v>
      </c>
      <c r="P210" s="63">
        <v>0</v>
      </c>
      <c r="Q210" s="81">
        <f t="shared" si="97"/>
        <v>365</v>
      </c>
      <c r="R210" s="72">
        <f t="shared" si="98"/>
        <v>101105</v>
      </c>
      <c r="S210" s="175">
        <f t="shared" si="99"/>
        <v>0</v>
      </c>
    </row>
    <row r="211" spans="2:19">
      <c r="B211" s="47" t="s">
        <v>537</v>
      </c>
      <c r="C211" s="48" t="s">
        <v>538</v>
      </c>
      <c r="D211" s="48" t="s">
        <v>539</v>
      </c>
      <c r="E211" s="55" t="s">
        <v>63</v>
      </c>
      <c r="F211" s="55">
        <v>-13.349549659999999</v>
      </c>
      <c r="G211" s="55">
        <v>33.571931419999999</v>
      </c>
      <c r="H211" s="55" t="s">
        <v>64</v>
      </c>
      <c r="I211" s="55" t="s">
        <v>65</v>
      </c>
      <c r="J211" s="49">
        <v>42641</v>
      </c>
      <c r="K211" s="49">
        <v>42642</v>
      </c>
      <c r="L211" s="66">
        <v>44197</v>
      </c>
      <c r="M211" s="67">
        <v>44561</v>
      </c>
      <c r="N211" s="73">
        <v>309</v>
      </c>
      <c r="O211" s="73">
        <f t="shared" si="96"/>
        <v>300</v>
      </c>
      <c r="P211" s="63">
        <v>0</v>
      </c>
      <c r="Q211" s="81">
        <f t="shared" si="97"/>
        <v>365</v>
      </c>
      <c r="R211" s="72">
        <f t="shared" si="98"/>
        <v>109500</v>
      </c>
      <c r="S211" s="175">
        <f t="shared" si="99"/>
        <v>0</v>
      </c>
    </row>
    <row r="212" spans="2:19">
      <c r="B212" s="56"/>
      <c r="C212" s="57"/>
      <c r="D212" s="57"/>
      <c r="E212" s="58"/>
      <c r="F212" s="58"/>
      <c r="G212" s="58"/>
      <c r="H212" s="58"/>
      <c r="I212" s="58"/>
      <c r="J212" s="59"/>
      <c r="K212" s="59"/>
      <c r="L212" s="64"/>
      <c r="M212" s="60"/>
      <c r="N212" s="76">
        <v>4127</v>
      </c>
      <c r="O212" s="76">
        <f>SUM(O203:O211)</f>
        <v>2639</v>
      </c>
      <c r="P212" s="60"/>
      <c r="Q212" s="82">
        <f t="shared" ref="Q212" si="100">SUM(Q203:Q211)</f>
        <v>3285</v>
      </c>
      <c r="R212" s="83">
        <f t="shared" ref="R212" si="101">SUM(R203:R211)</f>
        <v>963235</v>
      </c>
      <c r="S212" s="176">
        <f>AVERAGE(S203:S211)</f>
        <v>0</v>
      </c>
    </row>
    <row r="213" spans="2:19">
      <c r="B213" s="32" t="s">
        <v>540</v>
      </c>
      <c r="C213" s="40"/>
      <c r="D213" s="40"/>
      <c r="E213" s="41"/>
      <c r="F213" s="41"/>
      <c r="G213" s="41"/>
      <c r="H213" s="41"/>
      <c r="I213" s="41"/>
      <c r="J213" s="41"/>
      <c r="K213" s="41"/>
      <c r="L213" s="65"/>
      <c r="M213" s="42"/>
      <c r="N213" s="75"/>
      <c r="O213" s="75"/>
      <c r="P213" s="42"/>
      <c r="Q213" s="84"/>
      <c r="R213" s="85"/>
      <c r="S213" s="177"/>
    </row>
    <row r="214" spans="2:19">
      <c r="B214" s="33" t="s">
        <v>541</v>
      </c>
      <c r="C214" s="34" t="s">
        <v>542</v>
      </c>
      <c r="D214" s="34" t="s">
        <v>543</v>
      </c>
      <c r="E214" s="43" t="s">
        <v>63</v>
      </c>
      <c r="F214" s="43">
        <v>-13.709797549999999</v>
      </c>
      <c r="G214" s="43">
        <v>33.624655330000003</v>
      </c>
      <c r="H214" s="43" t="s">
        <v>64</v>
      </c>
      <c r="I214" s="43" t="s">
        <v>65</v>
      </c>
      <c r="J214" s="35">
        <v>42636</v>
      </c>
      <c r="K214" s="35">
        <v>42637</v>
      </c>
      <c r="L214" s="66">
        <v>44197</v>
      </c>
      <c r="M214" s="67">
        <v>44561</v>
      </c>
      <c r="N214" s="73">
        <v>627</v>
      </c>
      <c r="O214" s="73">
        <f t="shared" ref="O214:O221" si="102">IF(N214&gt;300,300,N214)</f>
        <v>300</v>
      </c>
      <c r="P214" s="63">
        <v>0</v>
      </c>
      <c r="Q214" s="81">
        <f t="shared" ref="Q214:Q221" si="103">M214-$V$3-P214</f>
        <v>365</v>
      </c>
      <c r="R214" s="72">
        <f t="shared" ref="R214:R221" si="104">Q214*O214</f>
        <v>109500</v>
      </c>
      <c r="S214" s="175">
        <f>SUM(P214)/SUM(P214:Q214)</f>
        <v>0</v>
      </c>
    </row>
    <row r="215" spans="2:19">
      <c r="B215" s="33" t="s">
        <v>544</v>
      </c>
      <c r="C215" s="34" t="s">
        <v>545</v>
      </c>
      <c r="D215" s="34" t="s">
        <v>546</v>
      </c>
      <c r="E215" s="43" t="s">
        <v>63</v>
      </c>
      <c r="F215" s="43">
        <v>-13.5861</v>
      </c>
      <c r="G215" s="43">
        <v>33.870350000000002</v>
      </c>
      <c r="H215" s="43" t="s">
        <v>64</v>
      </c>
      <c r="I215" s="43" t="s">
        <v>65</v>
      </c>
      <c r="J215" s="35">
        <v>42636</v>
      </c>
      <c r="K215" s="35">
        <v>42637</v>
      </c>
      <c r="L215" s="66">
        <v>44197</v>
      </c>
      <c r="M215" s="67">
        <v>44561</v>
      </c>
      <c r="N215" s="73">
        <v>507</v>
      </c>
      <c r="O215" s="73">
        <f t="shared" si="102"/>
        <v>300</v>
      </c>
      <c r="P215" s="63">
        <v>0</v>
      </c>
      <c r="Q215" s="81">
        <f t="shared" si="103"/>
        <v>365</v>
      </c>
      <c r="R215" s="72">
        <f t="shared" si="104"/>
        <v>109500</v>
      </c>
      <c r="S215" s="175">
        <f t="shared" ref="S215:S221" si="105">SUM(P215)/SUM(P215:Q215)</f>
        <v>0</v>
      </c>
    </row>
    <row r="216" spans="2:19">
      <c r="B216" s="33" t="s">
        <v>547</v>
      </c>
      <c r="C216" s="34" t="s">
        <v>548</v>
      </c>
      <c r="D216" s="34" t="s">
        <v>549</v>
      </c>
      <c r="E216" s="43" t="s">
        <v>63</v>
      </c>
      <c r="F216" s="43">
        <v>-13.442767484019308</v>
      </c>
      <c r="G216" s="43">
        <v>33.593851260882737</v>
      </c>
      <c r="H216" s="43" t="s">
        <v>64</v>
      </c>
      <c r="I216" s="43" t="s">
        <v>65</v>
      </c>
      <c r="J216" s="35">
        <v>42636</v>
      </c>
      <c r="K216" s="35">
        <v>42637</v>
      </c>
      <c r="L216" s="66">
        <v>44197</v>
      </c>
      <c r="M216" s="67">
        <v>44561</v>
      </c>
      <c r="N216" s="73">
        <v>373</v>
      </c>
      <c r="O216" s="73">
        <f t="shared" si="102"/>
        <v>300</v>
      </c>
      <c r="P216" s="63">
        <v>0</v>
      </c>
      <c r="Q216" s="81">
        <f t="shared" si="103"/>
        <v>365</v>
      </c>
      <c r="R216" s="72">
        <f t="shared" si="104"/>
        <v>109500</v>
      </c>
      <c r="S216" s="175">
        <f t="shared" si="105"/>
        <v>0</v>
      </c>
    </row>
    <row r="217" spans="2:19">
      <c r="B217" s="33" t="s">
        <v>550</v>
      </c>
      <c r="C217" s="34" t="s">
        <v>551</v>
      </c>
      <c r="D217" s="34" t="s">
        <v>552</v>
      </c>
      <c r="E217" s="43" t="s">
        <v>63</v>
      </c>
      <c r="F217" s="43">
        <v>-13.342374920922673</v>
      </c>
      <c r="G217" s="43">
        <v>33.561757149945201</v>
      </c>
      <c r="H217" s="43" t="s">
        <v>64</v>
      </c>
      <c r="I217" s="43" t="s">
        <v>65</v>
      </c>
      <c r="J217" s="35">
        <v>42637</v>
      </c>
      <c r="K217" s="35">
        <v>42638</v>
      </c>
      <c r="L217" s="66">
        <v>44197</v>
      </c>
      <c r="M217" s="67">
        <v>44561</v>
      </c>
      <c r="N217" s="73">
        <v>448</v>
      </c>
      <c r="O217" s="73">
        <f t="shared" si="102"/>
        <v>300</v>
      </c>
      <c r="P217" s="63">
        <v>95</v>
      </c>
      <c r="Q217" s="81">
        <f t="shared" si="103"/>
        <v>270</v>
      </c>
      <c r="R217" s="72">
        <f t="shared" si="104"/>
        <v>81000</v>
      </c>
      <c r="S217" s="175">
        <f t="shared" si="105"/>
        <v>0.26027397260273971</v>
      </c>
    </row>
    <row r="218" spans="2:19">
      <c r="B218" s="33" t="s">
        <v>553</v>
      </c>
      <c r="C218" s="34" t="s">
        <v>554</v>
      </c>
      <c r="D218" s="34"/>
      <c r="E218" s="43" t="s">
        <v>63</v>
      </c>
      <c r="F218" s="43">
        <v>-13.497856000000001</v>
      </c>
      <c r="G218" s="43">
        <v>33.768489099999996</v>
      </c>
      <c r="H218" s="43" t="s">
        <v>64</v>
      </c>
      <c r="I218" s="43" t="s">
        <v>65</v>
      </c>
      <c r="J218" s="35">
        <v>42639</v>
      </c>
      <c r="K218" s="35">
        <v>42640</v>
      </c>
      <c r="L218" s="66">
        <v>44197</v>
      </c>
      <c r="M218" s="67">
        <v>44561</v>
      </c>
      <c r="N218" s="73">
        <v>953</v>
      </c>
      <c r="O218" s="73">
        <f t="shared" si="102"/>
        <v>300</v>
      </c>
      <c r="P218" s="63">
        <v>0</v>
      </c>
      <c r="Q218" s="81">
        <f t="shared" si="103"/>
        <v>365</v>
      </c>
      <c r="R218" s="72">
        <f t="shared" si="104"/>
        <v>109500</v>
      </c>
      <c r="S218" s="175">
        <f t="shared" si="105"/>
        <v>0</v>
      </c>
    </row>
    <row r="219" spans="2:19">
      <c r="B219" s="33" t="s">
        <v>555</v>
      </c>
      <c r="C219" s="34" t="s">
        <v>556</v>
      </c>
      <c r="D219" s="34" t="s">
        <v>557</v>
      </c>
      <c r="E219" s="43" t="s">
        <v>63</v>
      </c>
      <c r="F219" s="43">
        <v>-13.69958617</v>
      </c>
      <c r="G219" s="43">
        <v>33.565877610000001</v>
      </c>
      <c r="H219" s="43" t="s">
        <v>64</v>
      </c>
      <c r="I219" s="43" t="s">
        <v>65</v>
      </c>
      <c r="J219" s="35">
        <v>42644</v>
      </c>
      <c r="K219" s="35">
        <v>42645</v>
      </c>
      <c r="L219" s="66">
        <v>44197</v>
      </c>
      <c r="M219" s="67">
        <v>44561</v>
      </c>
      <c r="N219" s="73">
        <v>738</v>
      </c>
      <c r="O219" s="73">
        <f t="shared" si="102"/>
        <v>300</v>
      </c>
      <c r="P219" s="63">
        <v>0</v>
      </c>
      <c r="Q219" s="81">
        <f t="shared" si="103"/>
        <v>365</v>
      </c>
      <c r="R219" s="72">
        <f t="shared" si="104"/>
        <v>109500</v>
      </c>
      <c r="S219" s="175">
        <f t="shared" si="105"/>
        <v>0</v>
      </c>
    </row>
    <row r="220" spans="2:19">
      <c r="B220" s="33" t="s">
        <v>558</v>
      </c>
      <c r="C220" s="34" t="s">
        <v>559</v>
      </c>
      <c r="D220" s="34" t="s">
        <v>519</v>
      </c>
      <c r="E220" s="43" t="s">
        <v>63</v>
      </c>
      <c r="F220" s="43">
        <v>-13.4024772</v>
      </c>
      <c r="G220" s="43">
        <v>33.515271439999999</v>
      </c>
      <c r="H220" s="43" t="s">
        <v>64</v>
      </c>
      <c r="I220" s="43" t="s">
        <v>65</v>
      </c>
      <c r="J220" s="35">
        <v>42648</v>
      </c>
      <c r="K220" s="35">
        <v>42649</v>
      </c>
      <c r="L220" s="66">
        <v>44197</v>
      </c>
      <c r="M220" s="67">
        <v>44561</v>
      </c>
      <c r="N220" s="73">
        <v>315</v>
      </c>
      <c r="O220" s="73">
        <f t="shared" si="102"/>
        <v>300</v>
      </c>
      <c r="P220" s="63">
        <v>0</v>
      </c>
      <c r="Q220" s="81">
        <f t="shared" si="103"/>
        <v>365</v>
      </c>
      <c r="R220" s="72">
        <f t="shared" si="104"/>
        <v>109500</v>
      </c>
      <c r="S220" s="175">
        <f t="shared" si="105"/>
        <v>0</v>
      </c>
    </row>
    <row r="221" spans="2:19">
      <c r="B221" s="37" t="s">
        <v>560</v>
      </c>
      <c r="C221" s="38" t="s">
        <v>561</v>
      </c>
      <c r="D221" s="38" t="s">
        <v>561</v>
      </c>
      <c r="E221" s="54" t="s">
        <v>63</v>
      </c>
      <c r="F221" s="54">
        <v>-13.604843161596454</v>
      </c>
      <c r="G221" s="54">
        <v>33.65878509600568</v>
      </c>
      <c r="H221" s="54" t="s">
        <v>64</v>
      </c>
      <c r="I221" s="54" t="s">
        <v>65</v>
      </c>
      <c r="J221" s="39">
        <v>42677</v>
      </c>
      <c r="K221" s="39">
        <v>42678</v>
      </c>
      <c r="L221" s="66">
        <v>44197</v>
      </c>
      <c r="M221" s="67">
        <v>44561</v>
      </c>
      <c r="N221" s="73">
        <v>482</v>
      </c>
      <c r="O221" s="73">
        <f t="shared" si="102"/>
        <v>300</v>
      </c>
      <c r="P221" s="63">
        <v>99</v>
      </c>
      <c r="Q221" s="81">
        <f t="shared" si="103"/>
        <v>266</v>
      </c>
      <c r="R221" s="72">
        <f t="shared" si="104"/>
        <v>79800</v>
      </c>
      <c r="S221" s="175">
        <f t="shared" si="105"/>
        <v>0.27123287671232876</v>
      </c>
    </row>
    <row r="222" spans="2:19">
      <c r="B222" s="56"/>
      <c r="C222" s="57"/>
      <c r="D222" s="57"/>
      <c r="E222" s="58"/>
      <c r="F222" s="58"/>
      <c r="G222" s="58"/>
      <c r="H222" s="58"/>
      <c r="I222" s="58"/>
      <c r="J222" s="59"/>
      <c r="K222" s="59"/>
      <c r="L222" s="64"/>
      <c r="M222" s="60"/>
      <c r="N222" s="76">
        <v>4443</v>
      </c>
      <c r="O222" s="76">
        <f>SUM(O214:O221)</f>
        <v>2400</v>
      </c>
      <c r="P222" s="60"/>
      <c r="Q222" s="82">
        <f t="shared" ref="Q222" si="106">SUM(Q214:Q221)</f>
        <v>2726</v>
      </c>
      <c r="R222" s="83">
        <f t="shared" ref="R222" si="107">SUM(R214:R221)</f>
        <v>817800</v>
      </c>
      <c r="S222" s="176">
        <f>AVERAGE(S214:S221)</f>
        <v>6.6438356164383566E-2</v>
      </c>
    </row>
    <row r="223" spans="2:19">
      <c r="B223" s="44" t="s">
        <v>562</v>
      </c>
      <c r="C223" s="45"/>
      <c r="D223" s="45"/>
      <c r="E223" s="46"/>
      <c r="F223" s="46"/>
      <c r="G223" s="46"/>
      <c r="H223" s="46"/>
      <c r="I223" s="46"/>
      <c r="J223" s="46"/>
      <c r="K223" s="46"/>
      <c r="L223" s="65"/>
      <c r="M223" s="42"/>
      <c r="N223" s="77"/>
      <c r="O223" s="77"/>
      <c r="P223" s="42"/>
      <c r="Q223" s="84"/>
      <c r="R223" s="85"/>
      <c r="S223" s="177"/>
    </row>
    <row r="224" spans="2:19">
      <c r="B224" s="33" t="s">
        <v>563</v>
      </c>
      <c r="C224" s="34" t="s">
        <v>564</v>
      </c>
      <c r="D224" s="34" t="s">
        <v>564</v>
      </c>
      <c r="E224" s="43" t="s">
        <v>63</v>
      </c>
      <c r="F224" s="43">
        <v>-13.38558123</v>
      </c>
      <c r="G224" s="43">
        <v>33.522263850000002</v>
      </c>
      <c r="H224" s="43" t="s">
        <v>64</v>
      </c>
      <c r="I224" s="43" t="s">
        <v>65</v>
      </c>
      <c r="J224" s="35">
        <v>42646</v>
      </c>
      <c r="K224" s="35">
        <v>42647</v>
      </c>
      <c r="L224" s="66">
        <v>44197</v>
      </c>
      <c r="M224" s="67">
        <v>44561</v>
      </c>
      <c r="N224" s="73">
        <v>320</v>
      </c>
      <c r="O224" s="73">
        <f t="shared" ref="O224:O230" si="108">IF(N224&gt;300,300,N224)</f>
        <v>300</v>
      </c>
      <c r="P224" s="63">
        <v>0</v>
      </c>
      <c r="Q224" s="81">
        <f t="shared" ref="Q224:Q230" si="109">M224-$V$3-P224</f>
        <v>365</v>
      </c>
      <c r="R224" s="72">
        <f t="shared" ref="R224:R230" si="110">Q224*O224</f>
        <v>109500</v>
      </c>
      <c r="S224" s="175">
        <f>SUM(P224)/SUM(P224:Q224)</f>
        <v>0</v>
      </c>
    </row>
    <row r="225" spans="2:19">
      <c r="B225" s="33" t="s">
        <v>565</v>
      </c>
      <c r="C225" s="34" t="s">
        <v>566</v>
      </c>
      <c r="D225" s="34" t="s">
        <v>564</v>
      </c>
      <c r="E225" s="43" t="s">
        <v>63</v>
      </c>
      <c r="F225" s="43">
        <v>-13.394009260000001</v>
      </c>
      <c r="G225" s="43">
        <v>33.530566729999997</v>
      </c>
      <c r="H225" s="43" t="s">
        <v>64</v>
      </c>
      <c r="I225" s="43" t="s">
        <v>65</v>
      </c>
      <c r="J225" s="35">
        <v>42646</v>
      </c>
      <c r="K225" s="35">
        <v>42647</v>
      </c>
      <c r="L225" s="66">
        <v>44197</v>
      </c>
      <c r="M225" s="67">
        <v>44561</v>
      </c>
      <c r="N225" s="73">
        <v>292</v>
      </c>
      <c r="O225" s="73">
        <f t="shared" si="108"/>
        <v>292</v>
      </c>
      <c r="P225" s="63">
        <v>0</v>
      </c>
      <c r="Q225" s="81">
        <f t="shared" si="109"/>
        <v>365</v>
      </c>
      <c r="R225" s="72">
        <f t="shared" si="110"/>
        <v>106580</v>
      </c>
      <c r="S225" s="175">
        <f t="shared" ref="S225:S230" si="111">SUM(P225)/SUM(P225:Q225)</f>
        <v>0</v>
      </c>
    </row>
    <row r="226" spans="2:19">
      <c r="B226" s="33" t="s">
        <v>567</v>
      </c>
      <c r="C226" s="34" t="s">
        <v>568</v>
      </c>
      <c r="D226" s="34" t="s">
        <v>568</v>
      </c>
      <c r="E226" s="43" t="s">
        <v>63</v>
      </c>
      <c r="F226" s="43">
        <v>-13.29263145</v>
      </c>
      <c r="G226" s="43">
        <v>33.554819909999999</v>
      </c>
      <c r="H226" s="43" t="s">
        <v>64</v>
      </c>
      <c r="I226" s="43" t="s">
        <v>65</v>
      </c>
      <c r="J226" s="35">
        <v>42675</v>
      </c>
      <c r="K226" s="35">
        <v>42676</v>
      </c>
      <c r="L226" s="66">
        <v>44197</v>
      </c>
      <c r="M226" s="67">
        <v>44561</v>
      </c>
      <c r="N226" s="73">
        <v>437</v>
      </c>
      <c r="O226" s="73">
        <f t="shared" si="108"/>
        <v>300</v>
      </c>
      <c r="P226" s="63">
        <v>0</v>
      </c>
      <c r="Q226" s="81">
        <f t="shared" si="109"/>
        <v>365</v>
      </c>
      <c r="R226" s="72">
        <f t="shared" si="110"/>
        <v>109500</v>
      </c>
      <c r="S226" s="175">
        <f t="shared" si="111"/>
        <v>0</v>
      </c>
    </row>
    <row r="227" spans="2:19">
      <c r="B227" s="33" t="s">
        <v>569</v>
      </c>
      <c r="C227" s="34" t="s">
        <v>570</v>
      </c>
      <c r="D227" s="34" t="s">
        <v>570</v>
      </c>
      <c r="E227" s="43" t="s">
        <v>63</v>
      </c>
      <c r="F227" s="43">
        <v>-13.291016369999999</v>
      </c>
      <c r="G227" s="43">
        <v>33.565571579999997</v>
      </c>
      <c r="H227" s="43" t="s">
        <v>64</v>
      </c>
      <c r="I227" s="43" t="s">
        <v>65</v>
      </c>
      <c r="J227" s="35">
        <v>42675</v>
      </c>
      <c r="K227" s="35">
        <v>42676</v>
      </c>
      <c r="L227" s="66">
        <v>44197</v>
      </c>
      <c r="M227" s="67">
        <v>44561</v>
      </c>
      <c r="N227" s="73">
        <v>194</v>
      </c>
      <c r="O227" s="73">
        <f t="shared" si="108"/>
        <v>194</v>
      </c>
      <c r="P227" s="63">
        <v>0</v>
      </c>
      <c r="Q227" s="81">
        <f t="shared" si="109"/>
        <v>365</v>
      </c>
      <c r="R227" s="72">
        <f t="shared" si="110"/>
        <v>70810</v>
      </c>
      <c r="S227" s="175">
        <f t="shared" si="111"/>
        <v>0</v>
      </c>
    </row>
    <row r="228" spans="2:19">
      <c r="B228" s="33" t="s">
        <v>571</v>
      </c>
      <c r="C228" s="34" t="s">
        <v>526</v>
      </c>
      <c r="D228" s="34" t="s">
        <v>572</v>
      </c>
      <c r="E228" s="43" t="s">
        <v>63</v>
      </c>
      <c r="F228" s="43">
        <v>-13.46139749</v>
      </c>
      <c r="G228" s="43">
        <v>33.698060239999997</v>
      </c>
      <c r="H228" s="43" t="s">
        <v>64</v>
      </c>
      <c r="I228" s="43" t="s">
        <v>65</v>
      </c>
      <c r="J228" s="35">
        <v>42681</v>
      </c>
      <c r="K228" s="35">
        <v>42682</v>
      </c>
      <c r="L228" s="66">
        <v>44197</v>
      </c>
      <c r="M228" s="67">
        <v>44561</v>
      </c>
      <c r="N228" s="73">
        <v>292</v>
      </c>
      <c r="O228" s="73">
        <f t="shared" si="108"/>
        <v>292</v>
      </c>
      <c r="P228" s="63">
        <v>0</v>
      </c>
      <c r="Q228" s="81">
        <f t="shared" si="109"/>
        <v>365</v>
      </c>
      <c r="R228" s="72">
        <f t="shared" si="110"/>
        <v>106580</v>
      </c>
      <c r="S228" s="175">
        <f t="shared" si="111"/>
        <v>0</v>
      </c>
    </row>
    <row r="229" spans="2:19">
      <c r="B229" s="33" t="s">
        <v>573</v>
      </c>
      <c r="C229" s="34" t="s">
        <v>574</v>
      </c>
      <c r="D229" s="34" t="s">
        <v>574</v>
      </c>
      <c r="E229" s="43" t="s">
        <v>63</v>
      </c>
      <c r="F229" s="43">
        <v>-13.017616329999999</v>
      </c>
      <c r="G229" s="43">
        <v>33.60162948</v>
      </c>
      <c r="H229" s="43" t="s">
        <v>64</v>
      </c>
      <c r="I229" s="43" t="s">
        <v>65</v>
      </c>
      <c r="J229" s="35">
        <v>42721</v>
      </c>
      <c r="K229" s="35">
        <v>42722</v>
      </c>
      <c r="L229" s="66">
        <v>44197</v>
      </c>
      <c r="M229" s="67">
        <v>44561</v>
      </c>
      <c r="N229" s="73">
        <v>993</v>
      </c>
      <c r="O229" s="73">
        <f t="shared" si="108"/>
        <v>300</v>
      </c>
      <c r="P229" s="63">
        <v>96</v>
      </c>
      <c r="Q229" s="81">
        <f t="shared" si="109"/>
        <v>269</v>
      </c>
      <c r="R229" s="72">
        <f t="shared" si="110"/>
        <v>80700</v>
      </c>
      <c r="S229" s="175">
        <f t="shared" si="111"/>
        <v>0.26301369863013696</v>
      </c>
    </row>
    <row r="230" spans="2:19">
      <c r="B230" s="37" t="s">
        <v>575</v>
      </c>
      <c r="C230" s="38" t="s">
        <v>576</v>
      </c>
      <c r="D230" s="38" t="s">
        <v>115</v>
      </c>
      <c r="E230" s="54" t="s">
        <v>63</v>
      </c>
      <c r="F230" s="54">
        <v>-13.55680699</v>
      </c>
      <c r="G230" s="54">
        <v>33.5195948</v>
      </c>
      <c r="H230" s="54" t="s">
        <v>64</v>
      </c>
      <c r="I230" s="54" t="s">
        <v>65</v>
      </c>
      <c r="J230" s="39">
        <v>42726</v>
      </c>
      <c r="K230" s="39">
        <v>42727</v>
      </c>
      <c r="L230" s="66">
        <v>44197</v>
      </c>
      <c r="M230" s="67">
        <v>44561</v>
      </c>
      <c r="N230" s="73">
        <v>358</v>
      </c>
      <c r="O230" s="73">
        <f t="shared" si="108"/>
        <v>300</v>
      </c>
      <c r="P230" s="63">
        <v>0</v>
      </c>
      <c r="Q230" s="81">
        <f t="shared" si="109"/>
        <v>365</v>
      </c>
      <c r="R230" s="72">
        <f t="shared" si="110"/>
        <v>109500</v>
      </c>
      <c r="S230" s="175">
        <f t="shared" si="111"/>
        <v>0</v>
      </c>
    </row>
    <row r="231" spans="2:19">
      <c r="B231" s="56"/>
      <c r="C231" s="57"/>
      <c r="D231" s="57"/>
      <c r="E231" s="58"/>
      <c r="F231" s="58"/>
      <c r="G231" s="58"/>
      <c r="H231" s="58"/>
      <c r="I231" s="58"/>
      <c r="J231" s="59"/>
      <c r="K231" s="59"/>
      <c r="L231" s="64"/>
      <c r="M231" s="60"/>
      <c r="N231" s="76">
        <v>2886</v>
      </c>
      <c r="O231" s="76">
        <f>SUM(O224:O230)</f>
        <v>1978</v>
      </c>
      <c r="P231" s="60"/>
      <c r="Q231" s="82">
        <f t="shared" ref="Q231" si="112">SUM(Q224:Q230)</f>
        <v>2459</v>
      </c>
      <c r="R231" s="83">
        <f t="shared" ref="R231" si="113">SUM(R224:R230)</f>
        <v>693170</v>
      </c>
      <c r="S231" s="176">
        <f>AVERAGE(S224:S230)</f>
        <v>3.7573385518590997E-2</v>
      </c>
    </row>
    <row r="233" spans="2:19">
      <c r="C233">
        <f>COUNTA(C5:C230)</f>
        <v>190</v>
      </c>
      <c r="O233" s="23">
        <f>SUM(O231,O222,O212,O201,O190,O181,O168,O153,O139,O124,O108,O94,O80,O68,O58,O46,O36,O24,O14,)</f>
        <v>48098</v>
      </c>
    </row>
  </sheetData>
  <mergeCells count="4">
    <mergeCell ref="P2:R2"/>
    <mergeCell ref="B2:K2"/>
    <mergeCell ref="N2:O2"/>
    <mergeCell ref="L2:M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6177-A9A8-4EC4-83BF-B251417231F4}">
  <dimension ref="A1:G38"/>
  <sheetViews>
    <sheetView zoomScale="70" zoomScaleNormal="7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PTDs'!R212*0.95</f>
        <v>915073.25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2517.1147740989254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915073.25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21.803183126361006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4417.5364285436144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38.264586386763561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3761.3565852285192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3616.5443566972212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3616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23" priority="2" operator="notEqual">
      <formula>#REF!+#REF!</formula>
    </cfRule>
  </conditionalFormatting>
  <conditionalFormatting sqref="E14">
    <cfRule type="cellIs" dxfId="22" priority="3" operator="notEqual">
      <formula>#REF!+#REF!</formula>
    </cfRule>
  </conditionalFormatting>
  <conditionalFormatting sqref="E18">
    <cfRule type="cellIs" dxfId="21" priority="4" operator="notEqual">
      <formula>#REF!+#REF!</formula>
    </cfRule>
  </conditionalFormatting>
  <conditionalFormatting sqref="E27">
    <cfRule type="cellIs" dxfId="20" priority="5" operator="notEqual">
      <formula>#REF!+#REF!</formula>
    </cfRule>
  </conditionalFormatting>
  <conditionalFormatting sqref="E28">
    <cfRule type="cellIs" dxfId="19" priority="6" operator="notEqual">
      <formula>#REF!+#REF!</formula>
    </cfRule>
  </conditionalFormatting>
  <conditionalFormatting sqref="E31">
    <cfRule type="cellIs" dxfId="18" priority="7" operator="notEqual">
      <formula>#REF!+#REF!</formula>
    </cfRule>
  </conditionalFormatting>
  <conditionalFormatting sqref="E37">
    <cfRule type="cellIs" dxfId="17" priority="8" operator="notEqual">
      <formula>#REF!+#REF!</formula>
    </cfRule>
  </conditionalFormatting>
  <conditionalFormatting sqref="E10">
    <cfRule type="cellIs" dxfId="16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ECD4F-FAFA-4D20-A568-D7D22C872AF3}">
  <dimension ref="A1:G38"/>
  <sheetViews>
    <sheetView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PTDs'!R222*0.95</f>
        <v>776910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2137.0656820590002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776910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18.511207712280005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3750.5502720135451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32.4871695350514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3193.4443987187783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3070.4967893681055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3070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15" priority="2" operator="notEqual">
      <formula>#REF!+#REF!</formula>
    </cfRule>
  </conditionalFormatting>
  <conditionalFormatting sqref="E14">
    <cfRule type="cellIs" dxfId="14" priority="3" operator="notEqual">
      <formula>#REF!+#REF!</formula>
    </cfRule>
  </conditionalFormatting>
  <conditionalFormatting sqref="E18">
    <cfRule type="cellIs" dxfId="13" priority="4" operator="notEqual">
      <formula>#REF!+#REF!</formula>
    </cfRule>
  </conditionalFormatting>
  <conditionalFormatting sqref="E27">
    <cfRule type="cellIs" dxfId="12" priority="5" operator="notEqual">
      <formula>#REF!+#REF!</formula>
    </cfRule>
  </conditionalFormatting>
  <conditionalFormatting sqref="E28">
    <cfRule type="cellIs" dxfId="11" priority="6" operator="notEqual">
      <formula>#REF!+#REF!</formula>
    </cfRule>
  </conditionalFormatting>
  <conditionalFormatting sqref="E31">
    <cfRule type="cellIs" dxfId="10" priority="7" operator="notEqual">
      <formula>#REF!+#REF!</formula>
    </cfRule>
  </conditionalFormatting>
  <conditionalFormatting sqref="E37">
    <cfRule type="cellIs" dxfId="9" priority="8" operator="notEqual">
      <formula>#REF!+#REF!</formula>
    </cfRule>
  </conditionalFormatting>
  <conditionalFormatting sqref="E10">
    <cfRule type="cellIs" dxfId="8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F69E-1B28-40EA-A8D9-266353567D2F}">
  <dimension ref="A1:G38"/>
  <sheetViews>
    <sheetView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PTDs'!R231*0.95</f>
        <v>658511.5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1811.3839799863504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658511.5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15.690161225142004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3178.978884876045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27.536232950124219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2706.7740937391736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2602.5632911302155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2602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7" priority="2" operator="notEqual">
      <formula>#REF!+#REF!</formula>
    </cfRule>
  </conditionalFormatting>
  <conditionalFormatting sqref="E14">
    <cfRule type="cellIs" dxfId="6" priority="3" operator="notEqual">
      <formula>#REF!+#REF!</formula>
    </cfRule>
  </conditionalFormatting>
  <conditionalFormatting sqref="E18">
    <cfRule type="cellIs" dxfId="5" priority="4" operator="notEqual">
      <formula>#REF!+#REF!</formula>
    </cfRule>
  </conditionalFormatting>
  <conditionalFormatting sqref="E27">
    <cfRule type="cellIs" dxfId="4" priority="5" operator="notEqual">
      <formula>#REF!+#REF!</formula>
    </cfRule>
  </conditionalFormatting>
  <conditionalFormatting sqref="E28">
    <cfRule type="cellIs" dxfId="3" priority="6" operator="notEqual">
      <formula>#REF!+#REF!</formula>
    </cfRule>
  </conditionalFormatting>
  <conditionalFormatting sqref="E31">
    <cfRule type="cellIs" dxfId="2" priority="7" operator="notEqual">
      <formula>#REF!+#REF!</formula>
    </cfRule>
  </conditionalFormatting>
  <conditionalFormatting sqref="E37">
    <cfRule type="cellIs" dxfId="1" priority="8" operator="notEqual">
      <formula>#REF!+#REF!</formula>
    </cfRule>
  </conditionalFormatting>
  <conditionalFormatting sqref="E10">
    <cfRule type="cellIs" dxfId="0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D5B3-3715-48B2-B4F0-6DA49CBF4C2F}">
  <dimension ref="A2:C11"/>
  <sheetViews>
    <sheetView workbookViewId="0"/>
  </sheetViews>
  <sheetFormatPr defaultColWidth="8.7265625" defaultRowHeight="14.5"/>
  <cols>
    <col min="1" max="1" width="48.54296875" customWidth="1"/>
  </cols>
  <sheetData>
    <row r="2" spans="1:3">
      <c r="A2" t="s">
        <v>690</v>
      </c>
      <c r="B2" s="18" t="s">
        <v>64</v>
      </c>
      <c r="C2" s="18"/>
    </row>
    <row r="4" spans="1:3">
      <c r="A4" t="s">
        <v>691</v>
      </c>
      <c r="B4">
        <v>1.4</v>
      </c>
      <c r="C4" t="s">
        <v>692</v>
      </c>
    </row>
    <row r="5" spans="1:3">
      <c r="B5">
        <v>1400</v>
      </c>
      <c r="C5" t="s">
        <v>693</v>
      </c>
    </row>
    <row r="6" spans="1:3">
      <c r="A6" t="s">
        <v>694</v>
      </c>
      <c r="B6">
        <f>B5*12</f>
        <v>16800</v>
      </c>
      <c r="C6" t="s">
        <v>695</v>
      </c>
    </row>
    <row r="9" spans="1:3">
      <c r="A9" t="s">
        <v>696</v>
      </c>
      <c r="B9" s="13">
        <f>B6/9.73</f>
        <v>1726.6187050359711</v>
      </c>
      <c r="C9" t="s">
        <v>697</v>
      </c>
    </row>
    <row r="11" spans="1:3" ht="29">
      <c r="A11" s="21" t="s">
        <v>698</v>
      </c>
    </row>
  </sheetData>
  <pageMargins left="0.7" right="0.7" top="0.75" bottom="0.75" header="0.3" footer="0.3"/>
  <pageSetup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28AD-373E-49D0-B3EE-5B14F2A0C4A5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3B50-BED6-490A-A859-3CA4F2CC5286}">
  <sheetPr codeName="Sheet3"/>
  <dimension ref="B1:K436"/>
  <sheetViews>
    <sheetView zoomScale="70" zoomScaleNormal="70" workbookViewId="0">
      <selection activeCell="B1" sqref="B1"/>
    </sheetView>
  </sheetViews>
  <sheetFormatPr defaultRowHeight="14.5"/>
  <cols>
    <col min="1" max="1" width="4.26953125" customWidth="1"/>
    <col min="2" max="2" width="22.81640625" customWidth="1"/>
    <col min="3" max="3" width="84.54296875" customWidth="1"/>
    <col min="4" max="4" width="9.54296875" style="109" bestFit="1" customWidth="1"/>
    <col min="5" max="5" width="10.453125" bestFit="1" customWidth="1"/>
  </cols>
  <sheetData>
    <row r="1" spans="2:11">
      <c r="B1" s="18"/>
    </row>
    <row r="2" spans="2:11">
      <c r="B2" s="18" t="s">
        <v>58</v>
      </c>
    </row>
    <row r="3" spans="2:11">
      <c r="B3" s="86" t="s">
        <v>577</v>
      </c>
      <c r="C3" s="87"/>
      <c r="D3" s="110"/>
      <c r="E3" s="88"/>
    </row>
    <row r="4" spans="2:11">
      <c r="B4" s="4" t="s">
        <v>578</v>
      </c>
      <c r="C4" s="5" t="s">
        <v>579</v>
      </c>
      <c r="D4" s="111" t="s">
        <v>580</v>
      </c>
      <c r="E4" s="6" t="s">
        <v>581</v>
      </c>
      <c r="I4" s="13"/>
    </row>
    <row r="5" spans="2:11" ht="15" customHeight="1">
      <c r="B5" s="12" t="s">
        <v>582</v>
      </c>
      <c r="C5" t="s">
        <v>583</v>
      </c>
      <c r="D5" s="112">
        <f>'Total PTDs'!O14</f>
        <v>2436</v>
      </c>
      <c r="E5" s="2"/>
      <c r="I5" s="13"/>
    </row>
    <row r="6" spans="2:11" ht="15" customHeight="1">
      <c r="B6" s="1" t="s">
        <v>584</v>
      </c>
      <c r="C6" t="s">
        <v>585</v>
      </c>
      <c r="D6" s="163">
        <v>9.0999999999999998E-2</v>
      </c>
      <c r="E6" s="2" t="s">
        <v>586</v>
      </c>
    </row>
    <row r="7" spans="2:11" ht="16">
      <c r="B7" s="1" t="s">
        <v>587</v>
      </c>
      <c r="C7" t="s">
        <v>588</v>
      </c>
      <c r="D7" s="122">
        <v>0.90269999999999995</v>
      </c>
      <c r="E7" s="2" t="s">
        <v>586</v>
      </c>
    </row>
    <row r="8" spans="2:11" ht="16">
      <c r="B8" s="86" t="s">
        <v>589</v>
      </c>
      <c r="C8" s="87" t="s">
        <v>590</v>
      </c>
      <c r="D8" s="120">
        <f>D5*(1-D6)*(1-D7)</f>
        <v>215.45372520000012</v>
      </c>
      <c r="E8" s="88"/>
    </row>
    <row r="9" spans="2:11">
      <c r="B9" s="9" t="s">
        <v>591</v>
      </c>
      <c r="C9" s="10"/>
      <c r="D9" s="113"/>
      <c r="E9" s="11"/>
    </row>
    <row r="10" spans="2:11">
      <c r="B10" s="3" t="s">
        <v>578</v>
      </c>
      <c r="C10" s="7" t="s">
        <v>579</v>
      </c>
      <c r="D10" s="114" t="s">
        <v>580</v>
      </c>
      <c r="E10" s="8" t="s">
        <v>581</v>
      </c>
      <c r="G10" s="167" t="s">
        <v>592</v>
      </c>
      <c r="H10" s="15" t="s">
        <v>593</v>
      </c>
      <c r="I10" s="15" t="s">
        <v>594</v>
      </c>
      <c r="J10" s="15" t="s">
        <v>595</v>
      </c>
      <c r="K10" s="15" t="s">
        <v>596</v>
      </c>
    </row>
    <row r="11" spans="2:11" ht="16.5">
      <c r="B11" s="1" t="s">
        <v>597</v>
      </c>
      <c r="C11" t="s">
        <v>598</v>
      </c>
      <c r="D11" s="124">
        <v>584.50880720367104</v>
      </c>
      <c r="E11" s="2" t="s">
        <v>599</v>
      </c>
      <c r="G11" s="15">
        <v>17.359756944444442</v>
      </c>
      <c r="H11" s="15">
        <v>5.0100694444444436</v>
      </c>
      <c r="I11" s="15">
        <f>G11+H11</f>
        <v>22.369826388888885</v>
      </c>
      <c r="J11" s="15">
        <f>I11*60</f>
        <v>1342.1895833333331</v>
      </c>
      <c r="K11" s="15">
        <f>J11/7</f>
        <v>191.741369047619</v>
      </c>
    </row>
    <row r="12" spans="2:11" ht="16.5">
      <c r="B12" s="1" t="s">
        <v>600</v>
      </c>
      <c r="C12" t="s">
        <v>601</v>
      </c>
      <c r="D12" s="124">
        <f>K11</f>
        <v>191.741369047619</v>
      </c>
      <c r="E12" s="95" t="s">
        <v>599</v>
      </c>
    </row>
    <row r="13" spans="2:11" ht="16.5">
      <c r="B13" s="9" t="s">
        <v>602</v>
      </c>
      <c r="C13" s="10" t="s">
        <v>603</v>
      </c>
      <c r="D13" s="115">
        <f>(D11-D12)/D11</f>
        <v>0.67196153986982254</v>
      </c>
      <c r="E13" s="11" t="s">
        <v>586</v>
      </c>
      <c r="G13" s="169">
        <f>D11-D12</f>
        <v>392.76743815605204</v>
      </c>
      <c r="H13">
        <f>G13/60</f>
        <v>6.5461239692675344</v>
      </c>
    </row>
    <row r="14" spans="2:11">
      <c r="B14" s="89" t="s">
        <v>604</v>
      </c>
      <c r="C14" s="90"/>
      <c r="D14" s="116"/>
      <c r="E14" s="91"/>
    </row>
    <row r="15" spans="2:11">
      <c r="B15" s="3" t="s">
        <v>578</v>
      </c>
      <c r="C15" s="7" t="s">
        <v>579</v>
      </c>
      <c r="D15" s="114" t="s">
        <v>580</v>
      </c>
      <c r="E15" s="8" t="s">
        <v>581</v>
      </c>
    </row>
    <row r="16" spans="2:11" ht="16">
      <c r="B16" s="12" t="s">
        <v>582</v>
      </c>
      <c r="C16" t="s">
        <v>583</v>
      </c>
      <c r="D16" s="112">
        <f>D5</f>
        <v>2436</v>
      </c>
      <c r="E16" s="2"/>
    </row>
    <row r="17" spans="2:5" ht="16">
      <c r="B17" s="1" t="s">
        <v>584</v>
      </c>
      <c r="C17" t="s">
        <v>585</v>
      </c>
      <c r="D17" s="163">
        <v>9.0999999999999998E-2</v>
      </c>
      <c r="E17" s="2" t="s">
        <v>586</v>
      </c>
    </row>
    <row r="18" spans="2:5" ht="16.5">
      <c r="B18" s="3" t="s">
        <v>605</v>
      </c>
      <c r="C18" t="s">
        <v>606</v>
      </c>
      <c r="D18" s="122">
        <v>0.8589</v>
      </c>
      <c r="E18" s="2" t="s">
        <v>586</v>
      </c>
    </row>
    <row r="19" spans="2:5" ht="16">
      <c r="B19" s="89" t="s">
        <v>607</v>
      </c>
      <c r="C19" s="90" t="s">
        <v>608</v>
      </c>
      <c r="D19" s="121">
        <f>D16*(1-D17)*D18</f>
        <v>1901.8828836</v>
      </c>
      <c r="E19" s="91"/>
    </row>
    <row r="20" spans="2:5">
      <c r="B20" s="92" t="s">
        <v>609</v>
      </c>
      <c r="C20" s="93"/>
      <c r="D20" s="117"/>
      <c r="E20" s="94"/>
    </row>
    <row r="21" spans="2:5">
      <c r="B21" s="4" t="s">
        <v>578</v>
      </c>
      <c r="C21" s="5" t="s">
        <v>579</v>
      </c>
      <c r="D21" s="111" t="s">
        <v>580</v>
      </c>
      <c r="E21" s="6" t="s">
        <v>581</v>
      </c>
    </row>
    <row r="22" spans="2:5">
      <c r="B22" s="92" t="s">
        <v>610</v>
      </c>
      <c r="C22" s="93" t="s">
        <v>611</v>
      </c>
      <c r="D22" s="118">
        <f ca="1">'GS5329'!E38</f>
        <v>3230</v>
      </c>
      <c r="E22" s="94" t="s">
        <v>612</v>
      </c>
    </row>
    <row r="25" spans="2:5">
      <c r="B25" s="18" t="s">
        <v>87</v>
      </c>
    </row>
    <row r="26" spans="2:5">
      <c r="B26" s="86" t="s">
        <v>577</v>
      </c>
      <c r="C26" s="87"/>
      <c r="D26" s="110"/>
      <c r="E26" s="88"/>
    </row>
    <row r="27" spans="2:5">
      <c r="B27" s="4" t="s">
        <v>578</v>
      </c>
      <c r="C27" s="5" t="s">
        <v>579</v>
      </c>
      <c r="D27" s="111" t="s">
        <v>580</v>
      </c>
      <c r="E27" s="6" t="s">
        <v>581</v>
      </c>
    </row>
    <row r="28" spans="2:5" ht="15.75" customHeight="1">
      <c r="B28" s="12" t="s">
        <v>582</v>
      </c>
      <c r="C28" t="s">
        <v>583</v>
      </c>
      <c r="D28" s="112">
        <f>'Total PTDs'!$O$24</f>
        <v>2224</v>
      </c>
      <c r="E28" s="2"/>
    </row>
    <row r="29" spans="2:5" ht="15" customHeight="1">
      <c r="B29" s="1" t="s">
        <v>584</v>
      </c>
      <c r="C29" t="s">
        <v>585</v>
      </c>
      <c r="D29" s="163">
        <v>9.0999999999999998E-2</v>
      </c>
      <c r="E29" s="2" t="s">
        <v>586</v>
      </c>
    </row>
    <row r="30" spans="2:5" ht="16">
      <c r="B30" s="1" t="s">
        <v>587</v>
      </c>
      <c r="C30" t="s">
        <v>588</v>
      </c>
      <c r="D30" s="122">
        <v>0.90269999999999995</v>
      </c>
      <c r="E30" s="2" t="s">
        <v>586</v>
      </c>
    </row>
    <row r="31" spans="2:5" ht="16">
      <c r="B31" s="86" t="s">
        <v>589</v>
      </c>
      <c r="C31" s="87" t="s">
        <v>590</v>
      </c>
      <c r="D31" s="120">
        <f>D28*(1-D29)*(1-D30)</f>
        <v>196.7032368000001</v>
      </c>
      <c r="E31" s="88"/>
    </row>
    <row r="32" spans="2:5">
      <c r="B32" s="9" t="s">
        <v>591</v>
      </c>
      <c r="C32" s="10"/>
      <c r="D32" s="113"/>
      <c r="E32" s="11"/>
    </row>
    <row r="33" spans="2:5">
      <c r="B33" s="3" t="s">
        <v>578</v>
      </c>
      <c r="C33" s="7" t="s">
        <v>579</v>
      </c>
      <c r="D33" s="114" t="s">
        <v>580</v>
      </c>
      <c r="E33" s="8" t="s">
        <v>581</v>
      </c>
    </row>
    <row r="34" spans="2:5" ht="16.5">
      <c r="B34" s="1" t="s">
        <v>597</v>
      </c>
      <c r="C34" t="s">
        <v>598</v>
      </c>
      <c r="D34" s="124">
        <v>584.50880720367104</v>
      </c>
      <c r="E34" s="2" t="s">
        <v>599</v>
      </c>
    </row>
    <row r="35" spans="2:5" ht="16.5">
      <c r="B35" s="1" t="s">
        <v>600</v>
      </c>
      <c r="C35" t="s">
        <v>601</v>
      </c>
      <c r="D35" s="124">
        <f>$D$12</f>
        <v>191.741369047619</v>
      </c>
      <c r="E35" s="95" t="s">
        <v>599</v>
      </c>
    </row>
    <row r="36" spans="2:5" ht="16.5">
      <c r="B36" s="9" t="s">
        <v>602</v>
      </c>
      <c r="C36" s="10" t="s">
        <v>603</v>
      </c>
      <c r="D36" s="115">
        <f>(D34-D35)/D34</f>
        <v>0.67196153986982254</v>
      </c>
      <c r="E36" s="11" t="s">
        <v>586</v>
      </c>
    </row>
    <row r="37" spans="2:5">
      <c r="B37" s="89" t="s">
        <v>604</v>
      </c>
      <c r="C37" s="90"/>
      <c r="D37" s="116"/>
      <c r="E37" s="91"/>
    </row>
    <row r="38" spans="2:5">
      <c r="B38" s="3" t="s">
        <v>578</v>
      </c>
      <c r="C38" s="7" t="s">
        <v>579</v>
      </c>
      <c r="D38" s="114" t="s">
        <v>580</v>
      </c>
      <c r="E38" s="8" t="s">
        <v>581</v>
      </c>
    </row>
    <row r="39" spans="2:5" ht="16">
      <c r="B39" s="12" t="s">
        <v>582</v>
      </c>
      <c r="C39" t="s">
        <v>583</v>
      </c>
      <c r="D39" s="112">
        <f>D28</f>
        <v>2224</v>
      </c>
      <c r="E39" s="2"/>
    </row>
    <row r="40" spans="2:5" ht="16">
      <c r="B40" s="1" t="s">
        <v>584</v>
      </c>
      <c r="C40" t="s">
        <v>585</v>
      </c>
      <c r="D40" s="124">
        <v>9.0999999999999998E-2</v>
      </c>
      <c r="E40" s="2" t="s">
        <v>586</v>
      </c>
    </row>
    <row r="41" spans="2:5" ht="16.5">
      <c r="B41" s="3" t="s">
        <v>605</v>
      </c>
      <c r="C41" t="s">
        <v>606</v>
      </c>
      <c r="D41" s="122">
        <v>0.8589</v>
      </c>
      <c r="E41" s="2" t="s">
        <v>586</v>
      </c>
    </row>
    <row r="42" spans="2:5" ht="16">
      <c r="B42" s="89" t="s">
        <v>607</v>
      </c>
      <c r="C42" s="90" t="s">
        <v>608</v>
      </c>
      <c r="D42" s="121">
        <f>D39*(1-D40)*D41</f>
        <v>1736.3659823999999</v>
      </c>
      <c r="E42" s="91"/>
    </row>
    <row r="43" spans="2:5">
      <c r="B43" s="92" t="s">
        <v>609</v>
      </c>
      <c r="C43" s="93"/>
      <c r="D43" s="117"/>
      <c r="E43" s="94"/>
    </row>
    <row r="44" spans="2:5">
      <c r="B44" s="4" t="s">
        <v>578</v>
      </c>
      <c r="C44" s="5" t="s">
        <v>579</v>
      </c>
      <c r="D44" s="111" t="s">
        <v>580</v>
      </c>
      <c r="E44" s="6" t="s">
        <v>581</v>
      </c>
    </row>
    <row r="45" spans="2:5">
      <c r="B45" s="92" t="s">
        <v>610</v>
      </c>
      <c r="C45" s="93" t="s">
        <v>611</v>
      </c>
      <c r="D45" s="118">
        <f ca="1">'GS5330'!E38</f>
        <v>3037</v>
      </c>
      <c r="E45" s="94" t="s">
        <v>612</v>
      </c>
    </row>
    <row r="48" spans="2:5">
      <c r="B48" s="18" t="s">
        <v>613</v>
      </c>
    </row>
    <row r="49" spans="2:5">
      <c r="B49" s="86" t="s">
        <v>577</v>
      </c>
      <c r="C49" s="87"/>
      <c r="D49" s="110"/>
      <c r="E49" s="88"/>
    </row>
    <row r="50" spans="2:5">
      <c r="B50" s="4" t="s">
        <v>578</v>
      </c>
      <c r="C50" s="5" t="s">
        <v>579</v>
      </c>
      <c r="D50" s="111" t="s">
        <v>580</v>
      </c>
      <c r="E50" s="6" t="s">
        <v>581</v>
      </c>
    </row>
    <row r="51" spans="2:5" ht="16">
      <c r="B51" s="12" t="s">
        <v>582</v>
      </c>
      <c r="C51" t="s">
        <v>583</v>
      </c>
      <c r="D51" s="112">
        <f>'Total PTDs'!$O$36</f>
        <v>2871</v>
      </c>
      <c r="E51" s="2"/>
    </row>
    <row r="52" spans="2:5" ht="16">
      <c r="B52" s="1" t="s">
        <v>584</v>
      </c>
      <c r="C52" t="s">
        <v>585</v>
      </c>
      <c r="D52" s="163">
        <v>9.0999999999999998E-2</v>
      </c>
      <c r="E52" s="2" t="s">
        <v>586</v>
      </c>
    </row>
    <row r="53" spans="2:5" ht="16">
      <c r="B53" s="1" t="s">
        <v>587</v>
      </c>
      <c r="C53" t="s">
        <v>588</v>
      </c>
      <c r="D53" s="122">
        <v>0.90269999999999995</v>
      </c>
      <c r="E53" s="2" t="s">
        <v>586</v>
      </c>
    </row>
    <row r="54" spans="2:5" ht="16">
      <c r="B54" s="86" t="s">
        <v>589</v>
      </c>
      <c r="C54" s="87" t="s">
        <v>590</v>
      </c>
      <c r="D54" s="120">
        <f>D51*(1-D52)*(1-D53)</f>
        <v>253.92760470000013</v>
      </c>
      <c r="E54" s="88"/>
    </row>
    <row r="55" spans="2:5">
      <c r="B55" s="9" t="s">
        <v>591</v>
      </c>
      <c r="C55" s="10"/>
      <c r="D55" s="113"/>
      <c r="E55" s="11"/>
    </row>
    <row r="56" spans="2:5">
      <c r="B56" s="3" t="s">
        <v>578</v>
      </c>
      <c r="C56" s="7" t="s">
        <v>579</v>
      </c>
      <c r="D56" s="114" t="s">
        <v>580</v>
      </c>
      <c r="E56" s="8" t="s">
        <v>581</v>
      </c>
    </row>
    <row r="57" spans="2:5" ht="16.5">
      <c r="B57" s="1" t="s">
        <v>597</v>
      </c>
      <c r="C57" t="s">
        <v>598</v>
      </c>
      <c r="D57" s="124">
        <v>584.50880720367104</v>
      </c>
      <c r="E57" s="2" t="s">
        <v>599</v>
      </c>
    </row>
    <row r="58" spans="2:5" ht="16.5">
      <c r="B58" s="1" t="s">
        <v>600</v>
      </c>
      <c r="C58" t="s">
        <v>601</v>
      </c>
      <c r="D58" s="124">
        <f>$D$12</f>
        <v>191.741369047619</v>
      </c>
      <c r="E58" s="95" t="s">
        <v>599</v>
      </c>
    </row>
    <row r="59" spans="2:5" ht="16.5">
      <c r="B59" s="9" t="s">
        <v>602</v>
      </c>
      <c r="C59" s="10" t="s">
        <v>603</v>
      </c>
      <c r="D59" s="115">
        <f>(D57-D58)/D57</f>
        <v>0.67196153986982254</v>
      </c>
      <c r="E59" s="11" t="s">
        <v>586</v>
      </c>
    </row>
    <row r="60" spans="2:5">
      <c r="B60" s="89" t="s">
        <v>604</v>
      </c>
      <c r="C60" s="90"/>
      <c r="D60" s="116"/>
      <c r="E60" s="91"/>
    </row>
    <row r="61" spans="2:5">
      <c r="B61" s="3" t="s">
        <v>578</v>
      </c>
      <c r="C61" s="7" t="s">
        <v>579</v>
      </c>
      <c r="D61" s="114" t="s">
        <v>580</v>
      </c>
      <c r="E61" s="8" t="s">
        <v>581</v>
      </c>
    </row>
    <row r="62" spans="2:5" ht="16">
      <c r="B62" s="12" t="s">
        <v>582</v>
      </c>
      <c r="C62" t="s">
        <v>583</v>
      </c>
      <c r="D62" s="112">
        <f>D51</f>
        <v>2871</v>
      </c>
      <c r="E62" s="2"/>
    </row>
    <row r="63" spans="2:5" ht="16">
      <c r="B63" s="1" t="s">
        <v>584</v>
      </c>
      <c r="C63" t="s">
        <v>585</v>
      </c>
      <c r="D63" s="124">
        <v>9.0999999999999998E-2</v>
      </c>
      <c r="E63" s="2" t="s">
        <v>586</v>
      </c>
    </row>
    <row r="64" spans="2:5" ht="16.5">
      <c r="B64" s="3" t="s">
        <v>605</v>
      </c>
      <c r="C64" t="s">
        <v>606</v>
      </c>
      <c r="D64" s="122">
        <v>0.8589</v>
      </c>
      <c r="E64" s="2" t="s">
        <v>586</v>
      </c>
    </row>
    <row r="65" spans="2:5" ht="16">
      <c r="B65" s="89" t="s">
        <v>607</v>
      </c>
      <c r="C65" s="90" t="s">
        <v>608</v>
      </c>
      <c r="D65" s="121">
        <f>D62*(1-D63)*D64</f>
        <v>2241.5048271000001</v>
      </c>
      <c r="E65" s="91"/>
    </row>
    <row r="66" spans="2:5">
      <c r="B66" s="92" t="s">
        <v>609</v>
      </c>
      <c r="C66" s="93"/>
      <c r="D66" s="117"/>
      <c r="E66" s="94"/>
    </row>
    <row r="67" spans="2:5">
      <c r="B67" s="4" t="s">
        <v>578</v>
      </c>
      <c r="C67" s="5" t="s">
        <v>579</v>
      </c>
      <c r="D67" s="111" t="s">
        <v>580</v>
      </c>
      <c r="E67" s="6" t="s">
        <v>581</v>
      </c>
    </row>
    <row r="68" spans="2:5">
      <c r="B68" s="92" t="s">
        <v>610</v>
      </c>
      <c r="C68" s="93" t="s">
        <v>611</v>
      </c>
      <c r="D68" s="118">
        <f ca="1">'GS5331'!E38</f>
        <v>3674</v>
      </c>
      <c r="E68" s="94" t="s">
        <v>612</v>
      </c>
    </row>
    <row r="71" spans="2:5">
      <c r="B71" s="18" t="s">
        <v>614</v>
      </c>
    </row>
    <row r="72" spans="2:5">
      <c r="B72" s="86" t="s">
        <v>577</v>
      </c>
      <c r="C72" s="87"/>
      <c r="D72" s="110"/>
      <c r="E72" s="88"/>
    </row>
    <row r="73" spans="2:5">
      <c r="B73" s="4" t="s">
        <v>578</v>
      </c>
      <c r="C73" s="5" t="s">
        <v>579</v>
      </c>
      <c r="D73" s="111" t="s">
        <v>580</v>
      </c>
      <c r="E73" s="6" t="s">
        <v>581</v>
      </c>
    </row>
    <row r="74" spans="2:5" ht="16">
      <c r="B74" s="12" t="s">
        <v>582</v>
      </c>
      <c r="C74" t="s">
        <v>583</v>
      </c>
      <c r="D74" s="112">
        <f>'Total PTDs'!$O$46</f>
        <v>2202</v>
      </c>
      <c r="E74" s="2"/>
    </row>
    <row r="75" spans="2:5" ht="16">
      <c r="B75" s="1" t="s">
        <v>584</v>
      </c>
      <c r="C75" t="s">
        <v>585</v>
      </c>
      <c r="D75" s="163">
        <v>9.0999999999999998E-2</v>
      </c>
      <c r="E75" s="2" t="s">
        <v>586</v>
      </c>
    </row>
    <row r="76" spans="2:5" ht="16">
      <c r="B76" s="1" t="s">
        <v>587</v>
      </c>
      <c r="C76" t="s">
        <v>588</v>
      </c>
      <c r="D76" s="122">
        <v>0.90269999999999995</v>
      </c>
      <c r="E76" s="2" t="s">
        <v>586</v>
      </c>
    </row>
    <row r="77" spans="2:5" ht="16">
      <c r="B77" s="86" t="s">
        <v>589</v>
      </c>
      <c r="C77" s="87" t="s">
        <v>590</v>
      </c>
      <c r="D77" s="120">
        <f>D74*(1-D75)*(1-D76)</f>
        <v>194.75743140000012</v>
      </c>
      <c r="E77" s="88"/>
    </row>
    <row r="78" spans="2:5">
      <c r="B78" s="9" t="s">
        <v>591</v>
      </c>
      <c r="C78" s="10"/>
      <c r="D78" s="113"/>
      <c r="E78" s="11"/>
    </row>
    <row r="79" spans="2:5">
      <c r="B79" s="3" t="s">
        <v>578</v>
      </c>
      <c r="C79" s="7" t="s">
        <v>579</v>
      </c>
      <c r="D79" s="114" t="s">
        <v>580</v>
      </c>
      <c r="E79" s="8" t="s">
        <v>581</v>
      </c>
    </row>
    <row r="80" spans="2:5" ht="16.5">
      <c r="B80" s="1" t="s">
        <v>597</v>
      </c>
      <c r="C80" t="s">
        <v>598</v>
      </c>
      <c r="D80" s="124">
        <v>584.50880720367104</v>
      </c>
      <c r="E80" s="2" t="s">
        <v>599</v>
      </c>
    </row>
    <row r="81" spans="2:5" ht="16.5">
      <c r="B81" s="1" t="s">
        <v>600</v>
      </c>
      <c r="C81" t="s">
        <v>601</v>
      </c>
      <c r="D81" s="124">
        <f>$D$12</f>
        <v>191.741369047619</v>
      </c>
      <c r="E81" s="95" t="s">
        <v>599</v>
      </c>
    </row>
    <row r="82" spans="2:5" ht="16.5">
      <c r="B82" s="9" t="s">
        <v>602</v>
      </c>
      <c r="C82" s="10" t="s">
        <v>603</v>
      </c>
      <c r="D82" s="115">
        <f>(D80-D81)/D80</f>
        <v>0.67196153986982254</v>
      </c>
      <c r="E82" s="11" t="s">
        <v>586</v>
      </c>
    </row>
    <row r="83" spans="2:5">
      <c r="B83" s="89" t="s">
        <v>604</v>
      </c>
      <c r="C83" s="90"/>
      <c r="D83" s="116"/>
      <c r="E83" s="91"/>
    </row>
    <row r="84" spans="2:5">
      <c r="B84" s="3" t="s">
        <v>578</v>
      </c>
      <c r="C84" s="7" t="s">
        <v>579</v>
      </c>
      <c r="D84" s="114" t="s">
        <v>580</v>
      </c>
      <c r="E84" s="8" t="s">
        <v>581</v>
      </c>
    </row>
    <row r="85" spans="2:5" ht="16">
      <c r="B85" s="12" t="s">
        <v>582</v>
      </c>
      <c r="C85" t="s">
        <v>583</v>
      </c>
      <c r="D85" s="112">
        <f>D74</f>
        <v>2202</v>
      </c>
      <c r="E85" s="2"/>
    </row>
    <row r="86" spans="2:5" ht="16">
      <c r="B86" s="1" t="s">
        <v>584</v>
      </c>
      <c r="C86" t="s">
        <v>585</v>
      </c>
      <c r="D86" s="124">
        <v>9.0999999999999998E-2</v>
      </c>
      <c r="E86" s="2" t="s">
        <v>586</v>
      </c>
    </row>
    <row r="87" spans="2:5" ht="16.5">
      <c r="B87" s="3" t="s">
        <v>605</v>
      </c>
      <c r="C87" t="s">
        <v>606</v>
      </c>
      <c r="D87" s="122">
        <v>0.8589</v>
      </c>
      <c r="E87" s="2" t="s">
        <v>586</v>
      </c>
    </row>
    <row r="88" spans="2:5" ht="16">
      <c r="B88" s="89" t="s">
        <v>607</v>
      </c>
      <c r="C88" s="90" t="s">
        <v>608</v>
      </c>
      <c r="D88" s="121">
        <f>D85*(1-D86)*D87</f>
        <v>1719.1897002000001</v>
      </c>
      <c r="E88" s="91"/>
    </row>
    <row r="89" spans="2:5">
      <c r="B89" s="92" t="s">
        <v>609</v>
      </c>
      <c r="C89" s="93"/>
      <c r="D89" s="117"/>
      <c r="E89" s="94"/>
    </row>
    <row r="90" spans="2:5">
      <c r="B90" s="4" t="s">
        <v>578</v>
      </c>
      <c r="C90" s="5" t="s">
        <v>579</v>
      </c>
      <c r="D90" s="111" t="s">
        <v>580</v>
      </c>
      <c r="E90" s="6" t="s">
        <v>581</v>
      </c>
    </row>
    <row r="91" spans="2:5">
      <c r="B91" s="92" t="s">
        <v>610</v>
      </c>
      <c r="C91" s="93" t="s">
        <v>611</v>
      </c>
      <c r="D91" s="118">
        <f ca="1">'GS5332'!E38</f>
        <v>2909</v>
      </c>
      <c r="E91" s="94" t="s">
        <v>612</v>
      </c>
    </row>
    <row r="94" spans="2:5">
      <c r="B94" s="18" t="s">
        <v>615</v>
      </c>
    </row>
    <row r="95" spans="2:5">
      <c r="B95" s="86" t="s">
        <v>577</v>
      </c>
      <c r="C95" s="87"/>
      <c r="D95" s="110"/>
      <c r="E95" s="88"/>
    </row>
    <row r="96" spans="2:5">
      <c r="B96" s="4" t="s">
        <v>578</v>
      </c>
      <c r="C96" s="5" t="s">
        <v>579</v>
      </c>
      <c r="D96" s="111" t="s">
        <v>580</v>
      </c>
      <c r="E96" s="6" t="s">
        <v>581</v>
      </c>
    </row>
    <row r="97" spans="2:5" ht="16">
      <c r="B97" s="12" t="s">
        <v>582</v>
      </c>
      <c r="C97" t="s">
        <v>583</v>
      </c>
      <c r="D97" s="112">
        <f>'Total PTDs'!$O$58</f>
        <v>2321</v>
      </c>
      <c r="E97" s="2"/>
    </row>
    <row r="98" spans="2:5" ht="16">
      <c r="B98" s="1" t="s">
        <v>584</v>
      </c>
      <c r="C98" t="s">
        <v>585</v>
      </c>
      <c r="D98" s="163">
        <v>9.0999999999999998E-2</v>
      </c>
      <c r="E98" s="2" t="s">
        <v>586</v>
      </c>
    </row>
    <row r="99" spans="2:5" ht="16">
      <c r="B99" s="1" t="s">
        <v>587</v>
      </c>
      <c r="C99" t="s">
        <v>588</v>
      </c>
      <c r="D99" s="122">
        <v>0.90269999999999995</v>
      </c>
      <c r="E99" s="2" t="s">
        <v>586</v>
      </c>
    </row>
    <row r="100" spans="2:5" ht="16">
      <c r="B100" s="86" t="s">
        <v>589</v>
      </c>
      <c r="C100" s="87" t="s">
        <v>590</v>
      </c>
      <c r="D100" s="120">
        <f>D97*(1-D98)*(1-D99)</f>
        <v>205.28246970000012</v>
      </c>
      <c r="E100" s="88"/>
    </row>
    <row r="101" spans="2:5">
      <c r="B101" s="9" t="s">
        <v>591</v>
      </c>
      <c r="C101" s="10"/>
      <c r="D101" s="113"/>
      <c r="E101" s="11"/>
    </row>
    <row r="102" spans="2:5">
      <c r="B102" s="3" t="s">
        <v>578</v>
      </c>
      <c r="C102" s="7" t="s">
        <v>579</v>
      </c>
      <c r="D102" s="114" t="s">
        <v>580</v>
      </c>
      <c r="E102" s="8" t="s">
        <v>581</v>
      </c>
    </row>
    <row r="103" spans="2:5" ht="16.5">
      <c r="B103" s="1" t="s">
        <v>597</v>
      </c>
      <c r="C103" t="s">
        <v>598</v>
      </c>
      <c r="D103" s="124">
        <v>584.50880720367104</v>
      </c>
      <c r="E103" s="2" t="s">
        <v>599</v>
      </c>
    </row>
    <row r="104" spans="2:5" ht="16.5">
      <c r="B104" s="1" t="s">
        <v>600</v>
      </c>
      <c r="C104" t="s">
        <v>601</v>
      </c>
      <c r="D104" s="124">
        <f>$D$12</f>
        <v>191.741369047619</v>
      </c>
      <c r="E104" s="95" t="s">
        <v>599</v>
      </c>
    </row>
    <row r="105" spans="2:5" ht="16.5">
      <c r="B105" s="9" t="s">
        <v>602</v>
      </c>
      <c r="C105" s="10" t="s">
        <v>603</v>
      </c>
      <c r="D105" s="115">
        <f>(D103-D104)/D103</f>
        <v>0.67196153986982254</v>
      </c>
      <c r="E105" s="11" t="s">
        <v>586</v>
      </c>
    </row>
    <row r="106" spans="2:5">
      <c r="B106" s="89" t="s">
        <v>604</v>
      </c>
      <c r="C106" s="90"/>
      <c r="D106" s="116"/>
      <c r="E106" s="91"/>
    </row>
    <row r="107" spans="2:5">
      <c r="B107" s="3" t="s">
        <v>578</v>
      </c>
      <c r="C107" s="7" t="s">
        <v>579</v>
      </c>
      <c r="D107" s="114" t="s">
        <v>580</v>
      </c>
      <c r="E107" s="8" t="s">
        <v>581</v>
      </c>
    </row>
    <row r="108" spans="2:5" ht="16">
      <c r="B108" s="12" t="s">
        <v>582</v>
      </c>
      <c r="C108" t="s">
        <v>583</v>
      </c>
      <c r="D108" s="112">
        <f>D97</f>
        <v>2321</v>
      </c>
      <c r="E108" s="2"/>
    </row>
    <row r="109" spans="2:5" ht="16">
      <c r="B109" s="1" t="s">
        <v>584</v>
      </c>
      <c r="C109" t="s">
        <v>585</v>
      </c>
      <c r="D109" s="124">
        <v>9.0999999999999998E-2</v>
      </c>
      <c r="E109" s="2" t="s">
        <v>586</v>
      </c>
    </row>
    <row r="110" spans="2:5" ht="16.5">
      <c r="B110" s="3" t="s">
        <v>605</v>
      </c>
      <c r="C110" t="s">
        <v>606</v>
      </c>
      <c r="D110" s="122">
        <v>0.8589</v>
      </c>
      <c r="E110" s="2" t="s">
        <v>586</v>
      </c>
    </row>
    <row r="111" spans="2:5" ht="16">
      <c r="B111" s="89" t="s">
        <v>607</v>
      </c>
      <c r="C111" s="90" t="s">
        <v>608</v>
      </c>
      <c r="D111" s="121">
        <f>D108*(1-D109)*D110</f>
        <v>1812.0977721000002</v>
      </c>
      <c r="E111" s="91"/>
    </row>
    <row r="112" spans="2:5">
      <c r="B112" s="92" t="s">
        <v>609</v>
      </c>
      <c r="C112" s="93"/>
      <c r="D112" s="117"/>
      <c r="E112" s="94"/>
    </row>
    <row r="113" spans="2:5">
      <c r="B113" s="4" t="s">
        <v>578</v>
      </c>
      <c r="C113" s="5" t="s">
        <v>579</v>
      </c>
      <c r="D113" s="111" t="s">
        <v>580</v>
      </c>
      <c r="E113" s="6" t="s">
        <v>581</v>
      </c>
    </row>
    <row r="114" spans="2:5">
      <c r="B114" s="92" t="s">
        <v>610</v>
      </c>
      <c r="C114" s="93" t="s">
        <v>611</v>
      </c>
      <c r="D114" s="118">
        <f ca="1">'GS5335'!E38</f>
        <v>3072</v>
      </c>
      <c r="E114" s="94" t="s">
        <v>612</v>
      </c>
    </row>
    <row r="117" spans="2:5">
      <c r="B117" s="18" t="s">
        <v>616</v>
      </c>
    </row>
    <row r="118" spans="2:5">
      <c r="B118" s="86" t="s">
        <v>577</v>
      </c>
      <c r="C118" s="87"/>
      <c r="D118" s="110"/>
      <c r="E118" s="88"/>
    </row>
    <row r="119" spans="2:5">
      <c r="B119" s="4" t="s">
        <v>578</v>
      </c>
      <c r="C119" s="5" t="s">
        <v>579</v>
      </c>
      <c r="D119" s="111" t="s">
        <v>580</v>
      </c>
      <c r="E119" s="6" t="s">
        <v>581</v>
      </c>
    </row>
    <row r="120" spans="2:5" ht="16">
      <c r="B120" s="12" t="s">
        <v>582</v>
      </c>
      <c r="C120" t="s">
        <v>583</v>
      </c>
      <c r="D120" s="112">
        <f>'Total PTDs'!$O$68</f>
        <v>2121</v>
      </c>
      <c r="E120" s="2"/>
    </row>
    <row r="121" spans="2:5" ht="16">
      <c r="B121" s="1" t="s">
        <v>584</v>
      </c>
      <c r="C121" t="s">
        <v>585</v>
      </c>
      <c r="D121" s="163">
        <v>9.0999999999999998E-2</v>
      </c>
      <c r="E121" s="2" t="s">
        <v>586</v>
      </c>
    </row>
    <row r="122" spans="2:5" ht="16">
      <c r="B122" s="1" t="s">
        <v>587</v>
      </c>
      <c r="C122" t="s">
        <v>588</v>
      </c>
      <c r="D122" s="122">
        <v>0.90269999999999995</v>
      </c>
      <c r="E122" s="2" t="s">
        <v>586</v>
      </c>
    </row>
    <row r="123" spans="2:5" ht="16">
      <c r="B123" s="86" t="s">
        <v>589</v>
      </c>
      <c r="C123" s="87" t="s">
        <v>590</v>
      </c>
      <c r="D123" s="120">
        <f>D120*(1-D121)*(1-D122)</f>
        <v>187.59332970000011</v>
      </c>
      <c r="E123" s="88"/>
    </row>
    <row r="124" spans="2:5">
      <c r="B124" s="9" t="s">
        <v>591</v>
      </c>
      <c r="C124" s="10"/>
      <c r="D124" s="113"/>
      <c r="E124" s="11"/>
    </row>
    <row r="125" spans="2:5">
      <c r="B125" s="3" t="s">
        <v>578</v>
      </c>
      <c r="C125" s="7" t="s">
        <v>579</v>
      </c>
      <c r="D125" s="114" t="s">
        <v>580</v>
      </c>
      <c r="E125" s="8" t="s">
        <v>581</v>
      </c>
    </row>
    <row r="126" spans="2:5" ht="16.5">
      <c r="B126" s="1" t="s">
        <v>597</v>
      </c>
      <c r="C126" t="s">
        <v>598</v>
      </c>
      <c r="D126" s="124">
        <v>584.50880720367104</v>
      </c>
      <c r="E126" s="2" t="s">
        <v>599</v>
      </c>
    </row>
    <row r="127" spans="2:5" ht="16.5">
      <c r="B127" s="1" t="s">
        <v>600</v>
      </c>
      <c r="C127" t="s">
        <v>601</v>
      </c>
      <c r="D127" s="124">
        <f>$D$12</f>
        <v>191.741369047619</v>
      </c>
      <c r="E127" s="95" t="s">
        <v>599</v>
      </c>
    </row>
    <row r="128" spans="2:5" ht="16.5">
      <c r="B128" s="9" t="s">
        <v>602</v>
      </c>
      <c r="C128" s="10" t="s">
        <v>603</v>
      </c>
      <c r="D128" s="115">
        <f>(D126-D127)/D126</f>
        <v>0.67196153986982254</v>
      </c>
      <c r="E128" s="11" t="s">
        <v>586</v>
      </c>
    </row>
    <row r="129" spans="2:5">
      <c r="B129" s="89" t="s">
        <v>604</v>
      </c>
      <c r="C129" s="90"/>
      <c r="D129" s="116"/>
      <c r="E129" s="91"/>
    </row>
    <row r="130" spans="2:5">
      <c r="B130" s="3" t="s">
        <v>578</v>
      </c>
      <c r="C130" s="7" t="s">
        <v>579</v>
      </c>
      <c r="D130" s="114" t="s">
        <v>580</v>
      </c>
      <c r="E130" s="8" t="s">
        <v>581</v>
      </c>
    </row>
    <row r="131" spans="2:5" ht="16">
      <c r="B131" s="12" t="s">
        <v>582</v>
      </c>
      <c r="C131" t="s">
        <v>583</v>
      </c>
      <c r="D131" s="112">
        <f>D120</f>
        <v>2121</v>
      </c>
      <c r="E131" s="2"/>
    </row>
    <row r="132" spans="2:5" ht="16">
      <c r="B132" s="1" t="s">
        <v>584</v>
      </c>
      <c r="C132" t="s">
        <v>585</v>
      </c>
      <c r="D132" s="124">
        <v>9.0999999999999998E-2</v>
      </c>
      <c r="E132" s="2" t="s">
        <v>586</v>
      </c>
    </row>
    <row r="133" spans="2:5" ht="16.5">
      <c r="B133" s="3" t="s">
        <v>605</v>
      </c>
      <c r="C133" t="s">
        <v>606</v>
      </c>
      <c r="D133" s="122">
        <v>0.8589</v>
      </c>
      <c r="E133" s="2" t="s">
        <v>586</v>
      </c>
    </row>
    <row r="134" spans="2:5" ht="16">
      <c r="B134" s="89" t="s">
        <v>607</v>
      </c>
      <c r="C134" s="90" t="s">
        <v>608</v>
      </c>
      <c r="D134" s="121">
        <f>D131*(1-D132)*D133</f>
        <v>1655.9497521000001</v>
      </c>
      <c r="E134" s="91"/>
    </row>
    <row r="135" spans="2:5">
      <c r="B135" s="92" t="s">
        <v>609</v>
      </c>
      <c r="C135" s="93"/>
      <c r="D135" s="117"/>
      <c r="E135" s="94"/>
    </row>
    <row r="136" spans="2:5">
      <c r="B136" s="4" t="s">
        <v>578</v>
      </c>
      <c r="C136" s="5" t="s">
        <v>579</v>
      </c>
      <c r="D136" s="111" t="s">
        <v>580</v>
      </c>
      <c r="E136" s="6" t="s">
        <v>581</v>
      </c>
    </row>
    <row r="137" spans="2:5">
      <c r="B137" s="92" t="s">
        <v>610</v>
      </c>
      <c r="C137" s="93" t="s">
        <v>611</v>
      </c>
      <c r="D137" s="118">
        <f ca="1">'GS5336'!E38</f>
        <v>2906</v>
      </c>
      <c r="E137" s="94" t="s">
        <v>612</v>
      </c>
    </row>
    <row r="140" spans="2:5">
      <c r="B140" s="18" t="s">
        <v>617</v>
      </c>
    </row>
    <row r="141" spans="2:5">
      <c r="B141" s="86" t="s">
        <v>577</v>
      </c>
      <c r="C141" s="87"/>
      <c r="D141" s="110"/>
      <c r="E141" s="88"/>
    </row>
    <row r="142" spans="2:5">
      <c r="B142" s="4" t="s">
        <v>578</v>
      </c>
      <c r="C142" s="5" t="s">
        <v>579</v>
      </c>
      <c r="D142" s="111" t="s">
        <v>580</v>
      </c>
      <c r="E142" s="6" t="s">
        <v>581</v>
      </c>
    </row>
    <row r="143" spans="2:5" ht="16">
      <c r="B143" s="12" t="s">
        <v>582</v>
      </c>
      <c r="C143" t="s">
        <v>583</v>
      </c>
      <c r="D143" s="112">
        <f>'Total PTDs'!$O$80</f>
        <v>2353</v>
      </c>
      <c r="E143" s="2"/>
    </row>
    <row r="144" spans="2:5" ht="16">
      <c r="B144" s="1" t="s">
        <v>584</v>
      </c>
      <c r="C144" t="s">
        <v>585</v>
      </c>
      <c r="D144" s="163">
        <v>9.0999999999999998E-2</v>
      </c>
      <c r="E144" s="2" t="s">
        <v>586</v>
      </c>
    </row>
    <row r="145" spans="2:5" ht="16">
      <c r="B145" s="1" t="s">
        <v>587</v>
      </c>
      <c r="C145" t="s">
        <v>588</v>
      </c>
      <c r="D145" s="122">
        <v>0.90269999999999995</v>
      </c>
      <c r="E145" s="2" t="s">
        <v>586</v>
      </c>
    </row>
    <row r="146" spans="2:5" ht="16">
      <c r="B146" s="86" t="s">
        <v>589</v>
      </c>
      <c r="C146" s="87" t="s">
        <v>590</v>
      </c>
      <c r="D146" s="120">
        <f>D143*(1-D144)*(1-D145)</f>
        <v>208.1127321000001</v>
      </c>
      <c r="E146" s="88"/>
    </row>
    <row r="147" spans="2:5">
      <c r="B147" s="9" t="s">
        <v>591</v>
      </c>
      <c r="C147" s="10"/>
      <c r="D147" s="113"/>
      <c r="E147" s="11"/>
    </row>
    <row r="148" spans="2:5">
      <c r="B148" s="3" t="s">
        <v>578</v>
      </c>
      <c r="C148" s="7" t="s">
        <v>579</v>
      </c>
      <c r="D148" s="114" t="s">
        <v>580</v>
      </c>
      <c r="E148" s="8" t="s">
        <v>581</v>
      </c>
    </row>
    <row r="149" spans="2:5" ht="16.5">
      <c r="B149" s="1" t="s">
        <v>597</v>
      </c>
      <c r="C149" t="s">
        <v>598</v>
      </c>
      <c r="D149" s="124">
        <v>584.50880720367104</v>
      </c>
      <c r="E149" s="2" t="s">
        <v>599</v>
      </c>
    </row>
    <row r="150" spans="2:5" ht="16.5">
      <c r="B150" s="1" t="s">
        <v>600</v>
      </c>
      <c r="C150" t="s">
        <v>601</v>
      </c>
      <c r="D150" s="124">
        <f>$D$12</f>
        <v>191.741369047619</v>
      </c>
      <c r="E150" s="95" t="s">
        <v>599</v>
      </c>
    </row>
    <row r="151" spans="2:5" ht="16.5">
      <c r="B151" s="9" t="s">
        <v>602</v>
      </c>
      <c r="C151" s="10" t="s">
        <v>603</v>
      </c>
      <c r="D151" s="115">
        <f>(D149-D150)/D149</f>
        <v>0.67196153986982254</v>
      </c>
      <c r="E151" s="11" t="s">
        <v>586</v>
      </c>
    </row>
    <row r="152" spans="2:5">
      <c r="B152" s="89" t="s">
        <v>604</v>
      </c>
      <c r="C152" s="90"/>
      <c r="D152" s="116"/>
      <c r="E152" s="91"/>
    </row>
    <row r="153" spans="2:5">
      <c r="B153" s="3" t="s">
        <v>578</v>
      </c>
      <c r="C153" s="7" t="s">
        <v>579</v>
      </c>
      <c r="D153" s="114" t="s">
        <v>580</v>
      </c>
      <c r="E153" s="8" t="s">
        <v>581</v>
      </c>
    </row>
    <row r="154" spans="2:5" ht="16">
      <c r="B154" s="12" t="s">
        <v>582</v>
      </c>
      <c r="C154" t="s">
        <v>583</v>
      </c>
      <c r="D154" s="112">
        <f>D143</f>
        <v>2353</v>
      </c>
      <c r="E154" s="2"/>
    </row>
    <row r="155" spans="2:5" ht="16">
      <c r="B155" s="1" t="s">
        <v>584</v>
      </c>
      <c r="C155" t="s">
        <v>585</v>
      </c>
      <c r="D155" s="124">
        <v>9.0999999999999998E-2</v>
      </c>
      <c r="E155" s="2" t="s">
        <v>586</v>
      </c>
    </row>
    <row r="156" spans="2:5" ht="16.5">
      <c r="B156" s="3" t="s">
        <v>605</v>
      </c>
      <c r="C156" t="s">
        <v>606</v>
      </c>
      <c r="D156" s="122">
        <v>0.8589</v>
      </c>
      <c r="E156" s="2" t="s">
        <v>586</v>
      </c>
    </row>
    <row r="157" spans="2:5" ht="16">
      <c r="B157" s="89" t="s">
        <v>607</v>
      </c>
      <c r="C157" s="90" t="s">
        <v>608</v>
      </c>
      <c r="D157" s="121">
        <f>D154*(1-D155)*D156</f>
        <v>1837.0814553</v>
      </c>
      <c r="E157" s="91"/>
    </row>
    <row r="158" spans="2:5">
      <c r="B158" s="92" t="s">
        <v>609</v>
      </c>
      <c r="C158" s="93"/>
      <c r="D158" s="117"/>
      <c r="E158" s="94"/>
    </row>
    <row r="159" spans="2:5">
      <c r="B159" s="4" t="s">
        <v>578</v>
      </c>
      <c r="C159" s="5" t="s">
        <v>579</v>
      </c>
      <c r="D159" s="111" t="s">
        <v>580</v>
      </c>
      <c r="E159" s="6" t="s">
        <v>581</v>
      </c>
    </row>
    <row r="160" spans="2:5">
      <c r="B160" s="92" t="s">
        <v>610</v>
      </c>
      <c r="C160" s="93" t="s">
        <v>611</v>
      </c>
      <c r="D160" s="118">
        <f ca="1">'GS5337'!E38</f>
        <v>3219</v>
      </c>
      <c r="E160" s="94" t="s">
        <v>612</v>
      </c>
    </row>
    <row r="163" spans="2:5">
      <c r="B163" s="18" t="s">
        <v>618</v>
      </c>
    </row>
    <row r="164" spans="2:5">
      <c r="B164" s="86" t="s">
        <v>577</v>
      </c>
      <c r="C164" s="87"/>
      <c r="D164" s="110"/>
      <c r="E164" s="88"/>
    </row>
    <row r="165" spans="2:5">
      <c r="B165" s="4" t="s">
        <v>578</v>
      </c>
      <c r="C165" s="5" t="s">
        <v>579</v>
      </c>
      <c r="D165" s="111" t="s">
        <v>580</v>
      </c>
      <c r="E165" s="6" t="s">
        <v>581</v>
      </c>
    </row>
    <row r="166" spans="2:5" ht="16">
      <c r="B166" s="12" t="s">
        <v>582</v>
      </c>
      <c r="C166" t="s">
        <v>583</v>
      </c>
      <c r="D166" s="112">
        <f>'Total PTDs'!$O$94</f>
        <v>3019</v>
      </c>
      <c r="E166" s="2"/>
    </row>
    <row r="167" spans="2:5" ht="16">
      <c r="B167" s="1" t="s">
        <v>584</v>
      </c>
      <c r="C167" t="s">
        <v>585</v>
      </c>
      <c r="D167" s="163">
        <v>9.0999999999999998E-2</v>
      </c>
      <c r="E167" s="2" t="s">
        <v>586</v>
      </c>
    </row>
    <row r="168" spans="2:5" ht="16">
      <c r="B168" s="1" t="s">
        <v>587</v>
      </c>
      <c r="C168" t="s">
        <v>588</v>
      </c>
      <c r="D168" s="122">
        <v>0.90269999999999995</v>
      </c>
      <c r="E168" s="2" t="s">
        <v>586</v>
      </c>
    </row>
    <row r="169" spans="2:5" ht="16">
      <c r="B169" s="86" t="s">
        <v>589</v>
      </c>
      <c r="C169" s="87" t="s">
        <v>590</v>
      </c>
      <c r="D169" s="120">
        <f>D166*(1-D167)*(1-D168)</f>
        <v>267.01756830000016</v>
      </c>
      <c r="E169" s="88"/>
    </row>
    <row r="170" spans="2:5">
      <c r="B170" s="9" t="s">
        <v>591</v>
      </c>
      <c r="C170" s="10"/>
      <c r="D170" s="113"/>
      <c r="E170" s="11"/>
    </row>
    <row r="171" spans="2:5">
      <c r="B171" s="3" t="s">
        <v>578</v>
      </c>
      <c r="C171" s="7" t="s">
        <v>579</v>
      </c>
      <c r="D171" s="114" t="s">
        <v>580</v>
      </c>
      <c r="E171" s="8" t="s">
        <v>581</v>
      </c>
    </row>
    <row r="172" spans="2:5" ht="16.5">
      <c r="B172" s="1" t="s">
        <v>597</v>
      </c>
      <c r="C172" t="s">
        <v>598</v>
      </c>
      <c r="D172" s="124">
        <v>584.50880720367104</v>
      </c>
      <c r="E172" s="2" t="s">
        <v>599</v>
      </c>
    </row>
    <row r="173" spans="2:5" ht="16.5">
      <c r="B173" s="1" t="s">
        <v>600</v>
      </c>
      <c r="C173" t="s">
        <v>601</v>
      </c>
      <c r="D173" s="124">
        <f>$D$12</f>
        <v>191.741369047619</v>
      </c>
      <c r="E173" s="95" t="s">
        <v>599</v>
      </c>
    </row>
    <row r="174" spans="2:5" ht="16.5">
      <c r="B174" s="9" t="s">
        <v>602</v>
      </c>
      <c r="C174" s="10" t="s">
        <v>603</v>
      </c>
      <c r="D174" s="115">
        <f>(D172-D173)/D172</f>
        <v>0.67196153986982254</v>
      </c>
      <c r="E174" s="11" t="s">
        <v>586</v>
      </c>
    </row>
    <row r="175" spans="2:5">
      <c r="B175" s="89" t="s">
        <v>604</v>
      </c>
      <c r="C175" s="90"/>
      <c r="D175" s="116"/>
      <c r="E175" s="91"/>
    </row>
    <row r="176" spans="2:5">
      <c r="B176" s="3" t="s">
        <v>578</v>
      </c>
      <c r="C176" s="7" t="s">
        <v>579</v>
      </c>
      <c r="D176" s="114" t="s">
        <v>580</v>
      </c>
      <c r="E176" s="8" t="s">
        <v>581</v>
      </c>
    </row>
    <row r="177" spans="2:5" ht="16">
      <c r="B177" s="12" t="s">
        <v>582</v>
      </c>
      <c r="C177" t="s">
        <v>583</v>
      </c>
      <c r="D177" s="112">
        <f>D166</f>
        <v>3019</v>
      </c>
      <c r="E177" s="2"/>
    </row>
    <row r="178" spans="2:5" ht="16">
      <c r="B178" s="1" t="s">
        <v>584</v>
      </c>
      <c r="C178" t="s">
        <v>585</v>
      </c>
      <c r="D178" s="124">
        <v>9.0999999999999998E-2</v>
      </c>
      <c r="E178" s="2" t="s">
        <v>586</v>
      </c>
    </row>
    <row r="179" spans="2:5" ht="16.5">
      <c r="B179" s="3" t="s">
        <v>605</v>
      </c>
      <c r="C179" t="s">
        <v>606</v>
      </c>
      <c r="D179" s="122">
        <v>0.8589</v>
      </c>
      <c r="E179" s="2" t="s">
        <v>586</v>
      </c>
    </row>
    <row r="180" spans="2:5" ht="16">
      <c r="B180" s="89" t="s">
        <v>607</v>
      </c>
      <c r="C180" s="90" t="s">
        <v>608</v>
      </c>
      <c r="D180" s="121">
        <f>D177*(1-D178)*D179</f>
        <v>2357.0543619</v>
      </c>
      <c r="E180" s="91"/>
    </row>
    <row r="181" spans="2:5">
      <c r="B181" s="92" t="s">
        <v>609</v>
      </c>
      <c r="C181" s="93"/>
      <c r="D181" s="117"/>
      <c r="E181" s="94"/>
    </row>
    <row r="182" spans="2:5">
      <c r="B182" s="4" t="s">
        <v>578</v>
      </c>
      <c r="C182" s="5" t="s">
        <v>579</v>
      </c>
      <c r="D182" s="111" t="s">
        <v>580</v>
      </c>
      <c r="E182" s="6" t="s">
        <v>581</v>
      </c>
    </row>
    <row r="183" spans="2:5">
      <c r="B183" s="92" t="s">
        <v>610</v>
      </c>
      <c r="C183" s="93" t="s">
        <v>611</v>
      </c>
      <c r="D183" s="118">
        <f ca="1">'GS5338'!E38</f>
        <v>4024</v>
      </c>
      <c r="E183" s="94" t="s">
        <v>612</v>
      </c>
    </row>
    <row r="186" spans="2:5">
      <c r="B186" s="18" t="s">
        <v>619</v>
      </c>
    </row>
    <row r="187" spans="2:5">
      <c r="B187" s="86" t="s">
        <v>577</v>
      </c>
      <c r="C187" s="87"/>
      <c r="D187" s="110"/>
      <c r="E187" s="88"/>
    </row>
    <row r="188" spans="2:5">
      <c r="B188" s="4" t="s">
        <v>578</v>
      </c>
      <c r="C188" s="5" t="s">
        <v>579</v>
      </c>
      <c r="D188" s="111" t="s">
        <v>580</v>
      </c>
      <c r="E188" s="6" t="s">
        <v>581</v>
      </c>
    </row>
    <row r="189" spans="2:5" ht="16">
      <c r="B189" s="12" t="s">
        <v>582</v>
      </c>
      <c r="C189" t="s">
        <v>583</v>
      </c>
      <c r="D189" s="112">
        <f>'Total PTDs'!$O$108</f>
        <v>2671</v>
      </c>
      <c r="E189" s="2"/>
    </row>
    <row r="190" spans="2:5" ht="16">
      <c r="B190" s="1" t="s">
        <v>584</v>
      </c>
      <c r="C190" t="s">
        <v>585</v>
      </c>
      <c r="D190" s="163">
        <v>9.0999999999999998E-2</v>
      </c>
      <c r="E190" s="2" t="s">
        <v>586</v>
      </c>
    </row>
    <row r="191" spans="2:5" ht="16">
      <c r="B191" s="1" t="s">
        <v>587</v>
      </c>
      <c r="C191" t="s">
        <v>588</v>
      </c>
      <c r="D191" s="122">
        <v>0.90269999999999995</v>
      </c>
      <c r="E191" s="2" t="s">
        <v>586</v>
      </c>
    </row>
    <row r="192" spans="2:5" ht="16">
      <c r="B192" s="86" t="s">
        <v>589</v>
      </c>
      <c r="C192" s="87" t="s">
        <v>590</v>
      </c>
      <c r="D192" s="120">
        <f>D189*(1-D190)*(1-D191)</f>
        <v>236.23846470000015</v>
      </c>
      <c r="E192" s="88"/>
    </row>
    <row r="193" spans="2:5">
      <c r="B193" s="9" t="s">
        <v>591</v>
      </c>
      <c r="C193" s="10"/>
      <c r="D193" s="113"/>
      <c r="E193" s="11"/>
    </row>
    <row r="194" spans="2:5">
      <c r="B194" s="3" t="s">
        <v>578</v>
      </c>
      <c r="C194" s="7" t="s">
        <v>579</v>
      </c>
      <c r="D194" s="114" t="s">
        <v>580</v>
      </c>
      <c r="E194" s="8" t="s">
        <v>581</v>
      </c>
    </row>
    <row r="195" spans="2:5" ht="16.5">
      <c r="B195" s="1" t="s">
        <v>597</v>
      </c>
      <c r="C195" t="s">
        <v>598</v>
      </c>
      <c r="D195" s="124">
        <v>584.50880720367104</v>
      </c>
      <c r="E195" s="2" t="s">
        <v>599</v>
      </c>
    </row>
    <row r="196" spans="2:5" ht="16.5">
      <c r="B196" s="1" t="s">
        <v>600</v>
      </c>
      <c r="C196" t="s">
        <v>601</v>
      </c>
      <c r="D196" s="124">
        <f>$D$12</f>
        <v>191.741369047619</v>
      </c>
      <c r="E196" s="95" t="s">
        <v>599</v>
      </c>
    </row>
    <row r="197" spans="2:5" ht="16.5">
      <c r="B197" s="9" t="s">
        <v>602</v>
      </c>
      <c r="C197" s="10" t="s">
        <v>603</v>
      </c>
      <c r="D197" s="115">
        <f>(D195-D196)/D195</f>
        <v>0.67196153986982254</v>
      </c>
      <c r="E197" s="11" t="s">
        <v>586</v>
      </c>
    </row>
    <row r="198" spans="2:5">
      <c r="B198" s="89" t="s">
        <v>604</v>
      </c>
      <c r="C198" s="90"/>
      <c r="D198" s="116"/>
      <c r="E198" s="91"/>
    </row>
    <row r="199" spans="2:5">
      <c r="B199" s="3" t="s">
        <v>578</v>
      </c>
      <c r="C199" s="7" t="s">
        <v>579</v>
      </c>
      <c r="D199" s="114" t="s">
        <v>580</v>
      </c>
      <c r="E199" s="8" t="s">
        <v>581</v>
      </c>
    </row>
    <row r="200" spans="2:5" ht="16">
      <c r="B200" s="12" t="s">
        <v>582</v>
      </c>
      <c r="C200" t="s">
        <v>583</v>
      </c>
      <c r="D200" s="112">
        <f>D189</f>
        <v>2671</v>
      </c>
      <c r="E200" s="2"/>
    </row>
    <row r="201" spans="2:5" ht="16">
      <c r="B201" s="1" t="s">
        <v>584</v>
      </c>
      <c r="C201" t="s">
        <v>585</v>
      </c>
      <c r="D201" s="124">
        <v>9.0999999999999998E-2</v>
      </c>
      <c r="E201" s="2" t="s">
        <v>586</v>
      </c>
    </row>
    <row r="202" spans="2:5" ht="16.5">
      <c r="B202" s="3" t="s">
        <v>605</v>
      </c>
      <c r="C202" t="s">
        <v>606</v>
      </c>
      <c r="D202" s="122">
        <v>0.8589</v>
      </c>
      <c r="E202" s="2" t="s">
        <v>586</v>
      </c>
    </row>
    <row r="203" spans="2:5" ht="16">
      <c r="B203" s="89" t="s">
        <v>607</v>
      </c>
      <c r="C203" s="90" t="s">
        <v>608</v>
      </c>
      <c r="D203" s="121">
        <f>D200*(1-D201)*D202</f>
        <v>2085.3568071000004</v>
      </c>
      <c r="E203" s="91"/>
    </row>
    <row r="204" spans="2:5">
      <c r="B204" s="92" t="s">
        <v>609</v>
      </c>
      <c r="C204" s="93"/>
      <c r="D204" s="117"/>
      <c r="E204" s="94"/>
    </row>
    <row r="205" spans="2:5">
      <c r="B205" s="4" t="s">
        <v>578</v>
      </c>
      <c r="C205" s="5" t="s">
        <v>579</v>
      </c>
      <c r="D205" s="111" t="s">
        <v>580</v>
      </c>
      <c r="E205" s="6" t="s">
        <v>581</v>
      </c>
    </row>
    <row r="206" spans="2:5">
      <c r="B206" s="92" t="s">
        <v>610</v>
      </c>
      <c r="C206" s="93" t="s">
        <v>611</v>
      </c>
      <c r="D206" s="118">
        <f ca="1">'GS5339'!E38</f>
        <v>3600</v>
      </c>
      <c r="E206" s="94" t="s">
        <v>612</v>
      </c>
    </row>
    <row r="209" spans="2:5">
      <c r="B209" s="18" t="s">
        <v>620</v>
      </c>
    </row>
    <row r="210" spans="2:5">
      <c r="B210" s="86" t="s">
        <v>577</v>
      </c>
      <c r="C210" s="87"/>
      <c r="D210" s="110"/>
      <c r="E210" s="88"/>
    </row>
    <row r="211" spans="2:5">
      <c r="B211" s="4" t="s">
        <v>578</v>
      </c>
      <c r="C211" s="5" t="s">
        <v>579</v>
      </c>
      <c r="D211" s="111" t="s">
        <v>580</v>
      </c>
      <c r="E211" s="6" t="s">
        <v>581</v>
      </c>
    </row>
    <row r="212" spans="2:5" ht="16">
      <c r="B212" s="12" t="s">
        <v>582</v>
      </c>
      <c r="C212" t="s">
        <v>583</v>
      </c>
      <c r="D212" s="112">
        <f>'Total PTDs'!$O$124</f>
        <v>2992</v>
      </c>
      <c r="E212" s="2"/>
    </row>
    <row r="213" spans="2:5" ht="16">
      <c r="B213" s="1" t="s">
        <v>584</v>
      </c>
      <c r="C213" t="s">
        <v>585</v>
      </c>
      <c r="D213" s="163">
        <v>9.0999999999999998E-2</v>
      </c>
      <c r="E213" s="2" t="s">
        <v>586</v>
      </c>
    </row>
    <row r="214" spans="2:5" ht="16">
      <c r="B214" s="1" t="s">
        <v>587</v>
      </c>
      <c r="C214" t="s">
        <v>588</v>
      </c>
      <c r="D214" s="122">
        <v>0.90269999999999995</v>
      </c>
      <c r="E214" s="2" t="s">
        <v>586</v>
      </c>
    </row>
    <row r="215" spans="2:5" ht="16">
      <c r="B215" s="86" t="s">
        <v>589</v>
      </c>
      <c r="C215" s="87" t="s">
        <v>590</v>
      </c>
      <c r="D215" s="120">
        <f>D212*(1-D213)*(1-D214)</f>
        <v>264.62953440000013</v>
      </c>
      <c r="E215" s="88"/>
    </row>
    <row r="216" spans="2:5">
      <c r="B216" s="9" t="s">
        <v>591</v>
      </c>
      <c r="C216" s="10"/>
      <c r="D216" s="113"/>
      <c r="E216" s="11"/>
    </row>
    <row r="217" spans="2:5">
      <c r="B217" s="3" t="s">
        <v>578</v>
      </c>
      <c r="C217" s="7" t="s">
        <v>579</v>
      </c>
      <c r="D217" s="114" t="s">
        <v>580</v>
      </c>
      <c r="E217" s="8" t="s">
        <v>581</v>
      </c>
    </row>
    <row r="218" spans="2:5" ht="16.5">
      <c r="B218" s="1" t="s">
        <v>597</v>
      </c>
      <c r="C218" t="s">
        <v>598</v>
      </c>
      <c r="D218" s="124">
        <v>584.50880720367104</v>
      </c>
      <c r="E218" s="2" t="s">
        <v>599</v>
      </c>
    </row>
    <row r="219" spans="2:5" ht="16.5">
      <c r="B219" s="1" t="s">
        <v>600</v>
      </c>
      <c r="C219" t="s">
        <v>601</v>
      </c>
      <c r="D219" s="124">
        <f>$D$12</f>
        <v>191.741369047619</v>
      </c>
      <c r="E219" s="95" t="s">
        <v>599</v>
      </c>
    </row>
    <row r="220" spans="2:5" ht="16.5">
      <c r="B220" s="9" t="s">
        <v>602</v>
      </c>
      <c r="C220" s="10" t="s">
        <v>603</v>
      </c>
      <c r="D220" s="115">
        <f>(D218-D219)/D218</f>
        <v>0.67196153986982254</v>
      </c>
      <c r="E220" s="11" t="s">
        <v>586</v>
      </c>
    </row>
    <row r="221" spans="2:5">
      <c r="B221" s="89" t="s">
        <v>604</v>
      </c>
      <c r="C221" s="90"/>
      <c r="D221" s="116"/>
      <c r="E221" s="91"/>
    </row>
    <row r="222" spans="2:5">
      <c r="B222" s="3" t="s">
        <v>578</v>
      </c>
      <c r="C222" s="7" t="s">
        <v>579</v>
      </c>
      <c r="D222" s="114" t="s">
        <v>580</v>
      </c>
      <c r="E222" s="8" t="s">
        <v>581</v>
      </c>
    </row>
    <row r="223" spans="2:5" ht="16">
      <c r="B223" s="12" t="s">
        <v>582</v>
      </c>
      <c r="C223" t="s">
        <v>583</v>
      </c>
      <c r="D223" s="112">
        <f>D212</f>
        <v>2992</v>
      </c>
      <c r="E223" s="2"/>
    </row>
    <row r="224" spans="2:5" ht="16">
      <c r="B224" s="1" t="s">
        <v>584</v>
      </c>
      <c r="C224" t="s">
        <v>585</v>
      </c>
      <c r="D224" s="124">
        <v>9.0999999999999998E-2</v>
      </c>
      <c r="E224" s="2" t="s">
        <v>586</v>
      </c>
    </row>
    <row r="225" spans="2:5" ht="16.5">
      <c r="B225" s="3" t="s">
        <v>605</v>
      </c>
      <c r="C225" t="s">
        <v>606</v>
      </c>
      <c r="D225" s="122">
        <v>0.8589</v>
      </c>
      <c r="E225" s="2" t="s">
        <v>586</v>
      </c>
    </row>
    <row r="226" spans="2:5" ht="16">
      <c r="B226" s="89" t="s">
        <v>607</v>
      </c>
      <c r="C226" s="90" t="s">
        <v>608</v>
      </c>
      <c r="D226" s="121">
        <f>D223*(1-D224)*D225</f>
        <v>2335.9743791999999</v>
      </c>
      <c r="E226" s="91"/>
    </row>
    <row r="227" spans="2:5">
      <c r="B227" s="92" t="s">
        <v>609</v>
      </c>
      <c r="C227" s="93"/>
      <c r="D227" s="117"/>
      <c r="E227" s="94"/>
    </row>
    <row r="228" spans="2:5">
      <c r="B228" s="4" t="s">
        <v>578</v>
      </c>
      <c r="C228" s="5" t="s">
        <v>579</v>
      </c>
      <c r="D228" s="111" t="s">
        <v>580</v>
      </c>
      <c r="E228" s="6" t="s">
        <v>581</v>
      </c>
    </row>
    <row r="229" spans="2:5">
      <c r="B229" s="92" t="s">
        <v>610</v>
      </c>
      <c r="C229" s="93" t="s">
        <v>611</v>
      </c>
      <c r="D229" s="118">
        <f ca="1">'GS5340'!E38</f>
        <v>4100</v>
      </c>
      <c r="E229" s="94" t="s">
        <v>612</v>
      </c>
    </row>
    <row r="232" spans="2:5">
      <c r="B232" s="18" t="s">
        <v>621</v>
      </c>
    </row>
    <row r="233" spans="2:5">
      <c r="B233" s="86" t="s">
        <v>577</v>
      </c>
      <c r="C233" s="87"/>
      <c r="D233" s="110"/>
      <c r="E233" s="88"/>
    </row>
    <row r="234" spans="2:5">
      <c r="B234" s="4" t="s">
        <v>578</v>
      </c>
      <c r="C234" s="5" t="s">
        <v>579</v>
      </c>
      <c r="D234" s="111" t="s">
        <v>580</v>
      </c>
      <c r="E234" s="6" t="s">
        <v>581</v>
      </c>
    </row>
    <row r="235" spans="2:5" ht="16">
      <c r="B235" s="12" t="s">
        <v>582</v>
      </c>
      <c r="C235" t="s">
        <v>583</v>
      </c>
      <c r="D235" s="112">
        <f>'Total PTDs'!$O$139</f>
        <v>3169</v>
      </c>
      <c r="E235" s="2"/>
    </row>
    <row r="236" spans="2:5" ht="16">
      <c r="B236" s="1" t="s">
        <v>584</v>
      </c>
      <c r="C236" t="s">
        <v>585</v>
      </c>
      <c r="D236" s="163">
        <v>9.0999999999999998E-2</v>
      </c>
      <c r="E236" s="2" t="s">
        <v>586</v>
      </c>
    </row>
    <row r="237" spans="2:5" ht="16">
      <c r="B237" s="1" t="s">
        <v>587</v>
      </c>
      <c r="C237" t="s">
        <v>588</v>
      </c>
      <c r="D237" s="122">
        <v>0.90269999999999995</v>
      </c>
      <c r="E237" s="2" t="s">
        <v>586</v>
      </c>
    </row>
    <row r="238" spans="2:5" ht="16">
      <c r="B238" s="86" t="s">
        <v>589</v>
      </c>
      <c r="C238" s="87" t="s">
        <v>590</v>
      </c>
      <c r="D238" s="120">
        <f>D235*(1-D236)*(1-D237)</f>
        <v>280.28442330000019</v>
      </c>
      <c r="E238" s="88"/>
    </row>
    <row r="239" spans="2:5">
      <c r="B239" s="9" t="s">
        <v>591</v>
      </c>
      <c r="C239" s="10"/>
      <c r="D239" s="113"/>
      <c r="E239" s="11"/>
    </row>
    <row r="240" spans="2:5">
      <c r="B240" s="3" t="s">
        <v>578</v>
      </c>
      <c r="C240" s="7" t="s">
        <v>579</v>
      </c>
      <c r="D240" s="114" t="s">
        <v>580</v>
      </c>
      <c r="E240" s="8" t="s">
        <v>581</v>
      </c>
    </row>
    <row r="241" spans="2:5" ht="16.5">
      <c r="B241" s="1" t="s">
        <v>597</v>
      </c>
      <c r="C241" t="s">
        <v>598</v>
      </c>
      <c r="D241" s="124">
        <v>584.50880720367104</v>
      </c>
      <c r="E241" s="2" t="s">
        <v>599</v>
      </c>
    </row>
    <row r="242" spans="2:5" ht="16.5">
      <c r="B242" s="1" t="s">
        <v>600</v>
      </c>
      <c r="C242" t="s">
        <v>601</v>
      </c>
      <c r="D242" s="124">
        <f>$D$12</f>
        <v>191.741369047619</v>
      </c>
      <c r="E242" s="95" t="s">
        <v>599</v>
      </c>
    </row>
    <row r="243" spans="2:5" ht="16.5">
      <c r="B243" s="9" t="s">
        <v>602</v>
      </c>
      <c r="C243" s="10" t="s">
        <v>603</v>
      </c>
      <c r="D243" s="115">
        <f>(D241-D242)/D241</f>
        <v>0.67196153986982254</v>
      </c>
      <c r="E243" s="11" t="s">
        <v>586</v>
      </c>
    </row>
    <row r="244" spans="2:5">
      <c r="B244" s="89" t="s">
        <v>604</v>
      </c>
      <c r="C244" s="90"/>
      <c r="D244" s="116"/>
      <c r="E244" s="91"/>
    </row>
    <row r="245" spans="2:5">
      <c r="B245" s="3" t="s">
        <v>578</v>
      </c>
      <c r="C245" s="7" t="s">
        <v>579</v>
      </c>
      <c r="D245" s="114" t="s">
        <v>580</v>
      </c>
      <c r="E245" s="8" t="s">
        <v>581</v>
      </c>
    </row>
    <row r="246" spans="2:5" ht="16">
      <c r="B246" s="12" t="s">
        <v>582</v>
      </c>
      <c r="C246" t="s">
        <v>583</v>
      </c>
      <c r="D246" s="112">
        <f>D235</f>
        <v>3169</v>
      </c>
      <c r="E246" s="2"/>
    </row>
    <row r="247" spans="2:5" ht="16">
      <c r="B247" s="1" t="s">
        <v>584</v>
      </c>
      <c r="C247" t="s">
        <v>585</v>
      </c>
      <c r="D247" s="124">
        <v>9.0999999999999998E-2</v>
      </c>
      <c r="E247" s="2" t="s">
        <v>586</v>
      </c>
    </row>
    <row r="248" spans="2:5" ht="16.5">
      <c r="B248" s="3" t="s">
        <v>605</v>
      </c>
      <c r="C248" t="s">
        <v>606</v>
      </c>
      <c r="D248" s="122">
        <v>0.8589</v>
      </c>
      <c r="E248" s="2" t="s">
        <v>586</v>
      </c>
    </row>
    <row r="249" spans="2:5" ht="16">
      <c r="B249" s="89" t="s">
        <v>607</v>
      </c>
      <c r="C249" s="90" t="s">
        <v>608</v>
      </c>
      <c r="D249" s="121">
        <f>D246*(1-D247)*D248</f>
        <v>2474.1653769</v>
      </c>
      <c r="E249" s="91"/>
    </row>
    <row r="250" spans="2:5">
      <c r="B250" s="92" t="s">
        <v>609</v>
      </c>
      <c r="C250" s="93"/>
      <c r="D250" s="117"/>
      <c r="E250" s="94"/>
    </row>
    <row r="251" spans="2:5">
      <c r="B251" s="4" t="s">
        <v>578</v>
      </c>
      <c r="C251" s="5" t="s">
        <v>579</v>
      </c>
      <c r="D251" s="111" t="s">
        <v>580</v>
      </c>
      <c r="E251" s="6" t="s">
        <v>581</v>
      </c>
    </row>
    <row r="252" spans="2:5">
      <c r="B252" s="92" t="s">
        <v>610</v>
      </c>
      <c r="C252" s="93" t="s">
        <v>611</v>
      </c>
      <c r="D252" s="118">
        <f ca="1">'GS5341'!E38</f>
        <v>4206</v>
      </c>
      <c r="E252" s="94" t="s">
        <v>612</v>
      </c>
    </row>
    <row r="255" spans="2:5">
      <c r="B255" s="18" t="s">
        <v>622</v>
      </c>
    </row>
    <row r="256" spans="2:5">
      <c r="B256" s="86" t="s">
        <v>577</v>
      </c>
      <c r="C256" s="87"/>
      <c r="D256" s="110"/>
      <c r="E256" s="88"/>
    </row>
    <row r="257" spans="2:5">
      <c r="B257" s="4" t="s">
        <v>578</v>
      </c>
      <c r="C257" s="5" t="s">
        <v>579</v>
      </c>
      <c r="D257" s="111" t="s">
        <v>580</v>
      </c>
      <c r="E257" s="6" t="s">
        <v>581</v>
      </c>
    </row>
    <row r="258" spans="2:5" ht="16">
      <c r="B258" s="12" t="s">
        <v>582</v>
      </c>
      <c r="C258" t="s">
        <v>583</v>
      </c>
      <c r="D258" s="112">
        <f>'Total PTDs'!$O$153</f>
        <v>2526</v>
      </c>
      <c r="E258" s="2"/>
    </row>
    <row r="259" spans="2:5" ht="16">
      <c r="B259" s="1" t="s">
        <v>584</v>
      </c>
      <c r="C259" t="s">
        <v>585</v>
      </c>
      <c r="D259" s="163">
        <v>9.0999999999999998E-2</v>
      </c>
      <c r="E259" s="2" t="s">
        <v>586</v>
      </c>
    </row>
    <row r="260" spans="2:5" ht="16">
      <c r="B260" s="1" t="s">
        <v>587</v>
      </c>
      <c r="C260" t="s">
        <v>588</v>
      </c>
      <c r="D260" s="122">
        <v>0.90269999999999995</v>
      </c>
      <c r="E260" s="2" t="s">
        <v>586</v>
      </c>
    </row>
    <row r="261" spans="2:5" ht="16">
      <c r="B261" s="86" t="s">
        <v>589</v>
      </c>
      <c r="C261" s="87" t="s">
        <v>590</v>
      </c>
      <c r="D261" s="120">
        <f>D258*(1-D259)*(1-D260)</f>
        <v>223.41383820000013</v>
      </c>
      <c r="E261" s="88"/>
    </row>
    <row r="262" spans="2:5">
      <c r="B262" s="9" t="s">
        <v>591</v>
      </c>
      <c r="C262" s="10"/>
      <c r="D262" s="113"/>
      <c r="E262" s="11"/>
    </row>
    <row r="263" spans="2:5">
      <c r="B263" s="3" t="s">
        <v>578</v>
      </c>
      <c r="C263" s="7" t="s">
        <v>579</v>
      </c>
      <c r="D263" s="114" t="s">
        <v>580</v>
      </c>
      <c r="E263" s="8" t="s">
        <v>581</v>
      </c>
    </row>
    <row r="264" spans="2:5" ht="16.5">
      <c r="B264" s="1" t="s">
        <v>597</v>
      </c>
      <c r="C264" t="s">
        <v>598</v>
      </c>
      <c r="D264" s="124">
        <v>584.50880720367104</v>
      </c>
      <c r="E264" s="2" t="s">
        <v>599</v>
      </c>
    </row>
    <row r="265" spans="2:5" ht="16.5">
      <c r="B265" s="1" t="s">
        <v>600</v>
      </c>
      <c r="C265" t="s">
        <v>601</v>
      </c>
      <c r="D265" s="124">
        <f>$D$12</f>
        <v>191.741369047619</v>
      </c>
      <c r="E265" s="95" t="s">
        <v>599</v>
      </c>
    </row>
    <row r="266" spans="2:5" ht="16.5">
      <c r="B266" s="9" t="s">
        <v>602</v>
      </c>
      <c r="C266" s="10" t="s">
        <v>603</v>
      </c>
      <c r="D266" s="115">
        <f>(D264-D265)/D264</f>
        <v>0.67196153986982254</v>
      </c>
      <c r="E266" s="11" t="s">
        <v>586</v>
      </c>
    </row>
    <row r="267" spans="2:5">
      <c r="B267" s="89" t="s">
        <v>604</v>
      </c>
      <c r="C267" s="90"/>
      <c r="D267" s="116"/>
      <c r="E267" s="91"/>
    </row>
    <row r="268" spans="2:5">
      <c r="B268" s="3" t="s">
        <v>578</v>
      </c>
      <c r="C268" s="7" t="s">
        <v>579</v>
      </c>
      <c r="D268" s="114" t="s">
        <v>580</v>
      </c>
      <c r="E268" s="8" t="s">
        <v>581</v>
      </c>
    </row>
    <row r="269" spans="2:5" ht="16">
      <c r="B269" s="12" t="s">
        <v>582</v>
      </c>
      <c r="C269" t="s">
        <v>583</v>
      </c>
      <c r="D269" s="112">
        <f>D258</f>
        <v>2526</v>
      </c>
      <c r="E269" s="2"/>
    </row>
    <row r="270" spans="2:5" ht="16">
      <c r="B270" s="1" t="s">
        <v>584</v>
      </c>
      <c r="C270" t="s">
        <v>585</v>
      </c>
      <c r="D270" s="124">
        <v>9.0999999999999998E-2</v>
      </c>
      <c r="E270" s="2" t="s">
        <v>586</v>
      </c>
    </row>
    <row r="271" spans="2:5" ht="16.5">
      <c r="B271" s="3" t="s">
        <v>605</v>
      </c>
      <c r="C271" t="s">
        <v>606</v>
      </c>
      <c r="D271" s="122">
        <v>0.8589</v>
      </c>
      <c r="E271" s="2" t="s">
        <v>586</v>
      </c>
    </row>
    <row r="272" spans="2:5" ht="16">
      <c r="B272" s="89" t="s">
        <v>607</v>
      </c>
      <c r="C272" s="90" t="s">
        <v>608</v>
      </c>
      <c r="D272" s="121">
        <f>D269*(1-D270)*D271</f>
        <v>1972.1494926</v>
      </c>
      <c r="E272" s="91"/>
    </row>
    <row r="273" spans="2:5">
      <c r="B273" s="92" t="s">
        <v>609</v>
      </c>
      <c r="C273" s="93"/>
      <c r="D273" s="117"/>
      <c r="E273" s="94"/>
    </row>
    <row r="274" spans="2:5">
      <c r="B274" s="4" t="s">
        <v>578</v>
      </c>
      <c r="C274" s="5" t="s">
        <v>579</v>
      </c>
      <c r="D274" s="111" t="s">
        <v>580</v>
      </c>
      <c r="E274" s="6" t="s">
        <v>581</v>
      </c>
    </row>
    <row r="275" spans="2:5">
      <c r="B275" s="92" t="s">
        <v>610</v>
      </c>
      <c r="C275" s="93" t="s">
        <v>611</v>
      </c>
      <c r="D275" s="118">
        <f ca="1">'GS5342'!E38</f>
        <v>3409</v>
      </c>
      <c r="E275" s="94" t="s">
        <v>612</v>
      </c>
    </row>
    <row r="278" spans="2:5">
      <c r="B278" s="18" t="s">
        <v>623</v>
      </c>
    </row>
    <row r="279" spans="2:5">
      <c r="B279" s="86" t="s">
        <v>577</v>
      </c>
      <c r="C279" s="87"/>
      <c r="D279" s="110"/>
      <c r="E279" s="88"/>
    </row>
    <row r="280" spans="2:5">
      <c r="B280" s="4" t="s">
        <v>578</v>
      </c>
      <c r="C280" s="5" t="s">
        <v>579</v>
      </c>
      <c r="D280" s="111" t="s">
        <v>580</v>
      </c>
      <c r="E280" s="6" t="s">
        <v>581</v>
      </c>
    </row>
    <row r="281" spans="2:5" ht="16">
      <c r="B281" s="12" t="s">
        <v>582</v>
      </c>
      <c r="C281" t="s">
        <v>583</v>
      </c>
      <c r="D281" s="112">
        <f>'Total PTDs'!$O$168</f>
        <v>2856</v>
      </c>
      <c r="E281" s="2"/>
    </row>
    <row r="282" spans="2:5" ht="16">
      <c r="B282" s="1" t="s">
        <v>584</v>
      </c>
      <c r="C282" t="s">
        <v>585</v>
      </c>
      <c r="D282" s="163">
        <v>9.0999999999999998E-2</v>
      </c>
      <c r="E282" s="2" t="s">
        <v>586</v>
      </c>
    </row>
    <row r="283" spans="2:5" ht="16">
      <c r="B283" s="1" t="s">
        <v>587</v>
      </c>
      <c r="C283" t="s">
        <v>588</v>
      </c>
      <c r="D283" s="122">
        <v>0.90269999999999995</v>
      </c>
      <c r="E283" s="2" t="s">
        <v>586</v>
      </c>
    </row>
    <row r="284" spans="2:5" ht="16">
      <c r="B284" s="86" t="s">
        <v>589</v>
      </c>
      <c r="C284" s="87" t="s">
        <v>590</v>
      </c>
      <c r="D284" s="120">
        <f>D281*(1-D282)*(1-D283)</f>
        <v>252.60091920000016</v>
      </c>
      <c r="E284" s="88"/>
    </row>
    <row r="285" spans="2:5">
      <c r="B285" s="9" t="s">
        <v>591</v>
      </c>
      <c r="C285" s="10"/>
      <c r="D285" s="113"/>
      <c r="E285" s="11"/>
    </row>
    <row r="286" spans="2:5">
      <c r="B286" s="3" t="s">
        <v>578</v>
      </c>
      <c r="C286" s="7" t="s">
        <v>579</v>
      </c>
      <c r="D286" s="114" t="s">
        <v>580</v>
      </c>
      <c r="E286" s="8" t="s">
        <v>581</v>
      </c>
    </row>
    <row r="287" spans="2:5" ht="16.5">
      <c r="B287" s="1" t="s">
        <v>597</v>
      </c>
      <c r="C287" t="s">
        <v>598</v>
      </c>
      <c r="D287" s="124">
        <v>584.50880720367104</v>
      </c>
      <c r="E287" s="2" t="s">
        <v>599</v>
      </c>
    </row>
    <row r="288" spans="2:5" ht="16.5">
      <c r="B288" s="1" t="s">
        <v>600</v>
      </c>
      <c r="C288" t="s">
        <v>601</v>
      </c>
      <c r="D288" s="124">
        <f>$D$12</f>
        <v>191.741369047619</v>
      </c>
      <c r="E288" s="95" t="s">
        <v>599</v>
      </c>
    </row>
    <row r="289" spans="2:5" ht="16.5">
      <c r="B289" s="9" t="s">
        <v>602</v>
      </c>
      <c r="C289" s="10" t="s">
        <v>603</v>
      </c>
      <c r="D289" s="115">
        <f>(D287-D288)/D287</f>
        <v>0.67196153986982254</v>
      </c>
      <c r="E289" s="11" t="s">
        <v>586</v>
      </c>
    </row>
    <row r="290" spans="2:5">
      <c r="B290" s="89" t="s">
        <v>604</v>
      </c>
      <c r="C290" s="90"/>
      <c r="D290" s="116"/>
      <c r="E290" s="91"/>
    </row>
    <row r="291" spans="2:5">
      <c r="B291" s="3" t="s">
        <v>578</v>
      </c>
      <c r="C291" s="7" t="s">
        <v>579</v>
      </c>
      <c r="D291" s="114" t="s">
        <v>580</v>
      </c>
      <c r="E291" s="8" t="s">
        <v>581</v>
      </c>
    </row>
    <row r="292" spans="2:5" ht="16">
      <c r="B292" s="12" t="s">
        <v>582</v>
      </c>
      <c r="C292" t="s">
        <v>583</v>
      </c>
      <c r="D292" s="112">
        <f>D281</f>
        <v>2856</v>
      </c>
      <c r="E292" s="2"/>
    </row>
    <row r="293" spans="2:5" ht="16">
      <c r="B293" s="1" t="s">
        <v>584</v>
      </c>
      <c r="C293" t="s">
        <v>585</v>
      </c>
      <c r="D293" s="124">
        <v>9.0999999999999998E-2</v>
      </c>
      <c r="E293" s="2" t="s">
        <v>586</v>
      </c>
    </row>
    <row r="294" spans="2:5" ht="16.5">
      <c r="B294" s="3" t="s">
        <v>605</v>
      </c>
      <c r="C294" t="s">
        <v>606</v>
      </c>
      <c r="D294" s="122">
        <v>0.8589</v>
      </c>
      <c r="E294" s="2" t="s">
        <v>586</v>
      </c>
    </row>
    <row r="295" spans="2:5" ht="16">
      <c r="B295" s="89" t="s">
        <v>607</v>
      </c>
      <c r="C295" s="90" t="s">
        <v>608</v>
      </c>
      <c r="D295" s="121">
        <f>D292*(1-D293)*D294</f>
        <v>2229.7937256</v>
      </c>
      <c r="E295" s="91"/>
    </row>
    <row r="296" spans="2:5">
      <c r="B296" s="92" t="s">
        <v>609</v>
      </c>
      <c r="C296" s="93"/>
      <c r="D296" s="117"/>
      <c r="E296" s="94"/>
    </row>
    <row r="297" spans="2:5">
      <c r="B297" s="4" t="s">
        <v>578</v>
      </c>
      <c r="C297" s="5" t="s">
        <v>579</v>
      </c>
      <c r="D297" s="111" t="s">
        <v>580</v>
      </c>
      <c r="E297" s="6" t="s">
        <v>581</v>
      </c>
    </row>
    <row r="298" spans="2:5">
      <c r="B298" s="92" t="s">
        <v>610</v>
      </c>
      <c r="C298" s="93" t="s">
        <v>611</v>
      </c>
      <c r="D298" s="118">
        <f ca="1">'GS5343'!E38</f>
        <v>3913</v>
      </c>
      <c r="E298" s="94" t="s">
        <v>612</v>
      </c>
    </row>
    <row r="301" spans="2:5">
      <c r="B301" s="18" t="s">
        <v>624</v>
      </c>
    </row>
    <row r="302" spans="2:5">
      <c r="B302" s="86" t="s">
        <v>577</v>
      </c>
      <c r="C302" s="87"/>
      <c r="D302" s="110"/>
      <c r="E302" s="88"/>
    </row>
    <row r="303" spans="2:5">
      <c r="B303" s="4" t="s">
        <v>578</v>
      </c>
      <c r="C303" s="5" t="s">
        <v>579</v>
      </c>
      <c r="D303" s="111" t="s">
        <v>580</v>
      </c>
      <c r="E303" s="6" t="s">
        <v>581</v>
      </c>
    </row>
    <row r="304" spans="2:5" ht="16">
      <c r="B304" s="12" t="s">
        <v>582</v>
      </c>
      <c r="C304" t="s">
        <v>583</v>
      </c>
      <c r="D304" s="112">
        <f>'Total PTDs'!$O$181</f>
        <v>2978</v>
      </c>
      <c r="E304" s="2"/>
    </row>
    <row r="305" spans="2:5" ht="16">
      <c r="B305" s="1" t="s">
        <v>584</v>
      </c>
      <c r="C305" t="s">
        <v>585</v>
      </c>
      <c r="D305" s="163">
        <v>9.0999999999999998E-2</v>
      </c>
      <c r="E305" s="2" t="s">
        <v>586</v>
      </c>
    </row>
    <row r="306" spans="2:5" ht="16">
      <c r="B306" s="1" t="s">
        <v>587</v>
      </c>
      <c r="C306" t="s">
        <v>588</v>
      </c>
      <c r="D306" s="122">
        <v>0.90269999999999995</v>
      </c>
      <c r="E306" s="2" t="s">
        <v>586</v>
      </c>
    </row>
    <row r="307" spans="2:5" ht="16">
      <c r="B307" s="86" t="s">
        <v>589</v>
      </c>
      <c r="C307" s="87" t="s">
        <v>590</v>
      </c>
      <c r="D307" s="120">
        <f>D304*(1-D305)*(1-D306)</f>
        <v>263.39129460000015</v>
      </c>
      <c r="E307" s="88"/>
    </row>
    <row r="308" spans="2:5">
      <c r="B308" s="9" t="s">
        <v>591</v>
      </c>
      <c r="C308" s="10"/>
      <c r="D308" s="113"/>
      <c r="E308" s="11"/>
    </row>
    <row r="309" spans="2:5">
      <c r="B309" s="3" t="s">
        <v>578</v>
      </c>
      <c r="C309" s="7" t="s">
        <v>579</v>
      </c>
      <c r="D309" s="114" t="s">
        <v>580</v>
      </c>
      <c r="E309" s="8" t="s">
        <v>581</v>
      </c>
    </row>
    <row r="310" spans="2:5" ht="16.5">
      <c r="B310" s="1" t="s">
        <v>597</v>
      </c>
      <c r="C310" t="s">
        <v>598</v>
      </c>
      <c r="D310" s="124">
        <v>584.50880720367104</v>
      </c>
      <c r="E310" s="2" t="s">
        <v>599</v>
      </c>
    </row>
    <row r="311" spans="2:5" ht="16.5">
      <c r="B311" s="1" t="s">
        <v>600</v>
      </c>
      <c r="C311" t="s">
        <v>601</v>
      </c>
      <c r="D311" s="124">
        <f>$D$12</f>
        <v>191.741369047619</v>
      </c>
      <c r="E311" s="95" t="s">
        <v>599</v>
      </c>
    </row>
    <row r="312" spans="2:5" ht="16.5">
      <c r="B312" s="9" t="s">
        <v>602</v>
      </c>
      <c r="C312" s="10" t="s">
        <v>603</v>
      </c>
      <c r="D312" s="115">
        <f>(D310-D311)/D310</f>
        <v>0.67196153986982254</v>
      </c>
      <c r="E312" s="11" t="s">
        <v>586</v>
      </c>
    </row>
    <row r="313" spans="2:5">
      <c r="B313" s="89" t="s">
        <v>604</v>
      </c>
      <c r="C313" s="90"/>
      <c r="D313" s="116"/>
      <c r="E313" s="91"/>
    </row>
    <row r="314" spans="2:5">
      <c r="B314" s="3" t="s">
        <v>578</v>
      </c>
      <c r="C314" s="7" t="s">
        <v>579</v>
      </c>
      <c r="D314" s="114" t="s">
        <v>580</v>
      </c>
      <c r="E314" s="8" t="s">
        <v>581</v>
      </c>
    </row>
    <row r="315" spans="2:5" ht="16">
      <c r="B315" s="12" t="s">
        <v>582</v>
      </c>
      <c r="C315" t="s">
        <v>583</v>
      </c>
      <c r="D315" s="112">
        <f>D304</f>
        <v>2978</v>
      </c>
      <c r="E315" s="2"/>
    </row>
    <row r="316" spans="2:5" ht="16">
      <c r="B316" s="1" t="s">
        <v>584</v>
      </c>
      <c r="C316" t="s">
        <v>585</v>
      </c>
      <c r="D316" s="124">
        <v>9.0999999999999998E-2</v>
      </c>
      <c r="E316" s="2" t="s">
        <v>586</v>
      </c>
    </row>
    <row r="317" spans="2:5" ht="16.5">
      <c r="B317" s="3" t="s">
        <v>605</v>
      </c>
      <c r="C317" t="s">
        <v>606</v>
      </c>
      <c r="D317" s="122">
        <v>0.8589</v>
      </c>
      <c r="E317" s="2" t="s">
        <v>586</v>
      </c>
    </row>
    <row r="318" spans="2:5" ht="16">
      <c r="B318" s="89" t="s">
        <v>607</v>
      </c>
      <c r="C318" s="90" t="s">
        <v>608</v>
      </c>
      <c r="D318" s="121">
        <f>D315*(1-D316)*D317</f>
        <v>2325.0440177999999</v>
      </c>
      <c r="E318" s="91"/>
    </row>
    <row r="319" spans="2:5">
      <c r="B319" s="92" t="s">
        <v>609</v>
      </c>
      <c r="C319" s="93"/>
      <c r="D319" s="117"/>
      <c r="E319" s="94"/>
    </row>
    <row r="320" spans="2:5">
      <c r="B320" s="4" t="s">
        <v>578</v>
      </c>
      <c r="C320" s="5" t="s">
        <v>579</v>
      </c>
      <c r="D320" s="111" t="s">
        <v>580</v>
      </c>
      <c r="E320" s="6" t="s">
        <v>581</v>
      </c>
    </row>
    <row r="321" spans="2:5">
      <c r="B321" s="92" t="s">
        <v>610</v>
      </c>
      <c r="C321" s="93" t="s">
        <v>611</v>
      </c>
      <c r="D321" s="118">
        <f ca="1">'GS5344'!E38</f>
        <v>4010</v>
      </c>
      <c r="E321" s="94" t="s">
        <v>612</v>
      </c>
    </row>
    <row r="324" spans="2:5">
      <c r="B324" s="18" t="s">
        <v>625</v>
      </c>
    </row>
    <row r="325" spans="2:5">
      <c r="B325" s="86" t="s">
        <v>577</v>
      </c>
      <c r="C325" s="87"/>
      <c r="D325" s="110"/>
      <c r="E325" s="88"/>
    </row>
    <row r="326" spans="2:5">
      <c r="B326" s="4" t="s">
        <v>578</v>
      </c>
      <c r="C326" s="5" t="s">
        <v>579</v>
      </c>
      <c r="D326" s="111" t="s">
        <v>580</v>
      </c>
      <c r="E326" s="6" t="s">
        <v>581</v>
      </c>
    </row>
    <row r="327" spans="2:5" ht="16">
      <c r="B327" s="12" t="s">
        <v>582</v>
      </c>
      <c r="C327" t="s">
        <v>583</v>
      </c>
      <c r="D327" s="112">
        <f>'Total PTDs'!$O$190</f>
        <v>2100</v>
      </c>
      <c r="E327" s="2"/>
    </row>
    <row r="328" spans="2:5" ht="16">
      <c r="B328" s="1" t="s">
        <v>584</v>
      </c>
      <c r="C328" t="s">
        <v>585</v>
      </c>
      <c r="D328" s="163">
        <v>9.0999999999999998E-2</v>
      </c>
      <c r="E328" s="2" t="s">
        <v>586</v>
      </c>
    </row>
    <row r="329" spans="2:5" ht="16">
      <c r="B329" s="1" t="s">
        <v>587</v>
      </c>
      <c r="C329" t="s">
        <v>588</v>
      </c>
      <c r="D329" s="122">
        <v>0.90269999999999995</v>
      </c>
      <c r="E329" s="2" t="s">
        <v>586</v>
      </c>
    </row>
    <row r="330" spans="2:5" ht="16">
      <c r="B330" s="86" t="s">
        <v>589</v>
      </c>
      <c r="C330" s="87" t="s">
        <v>590</v>
      </c>
      <c r="D330" s="120">
        <f>D327*(1-D328)*(1-D329)</f>
        <v>185.73597000000012</v>
      </c>
      <c r="E330" s="88"/>
    </row>
    <row r="331" spans="2:5">
      <c r="B331" s="9" t="s">
        <v>591</v>
      </c>
      <c r="C331" s="10"/>
      <c r="D331" s="113"/>
      <c r="E331" s="11"/>
    </row>
    <row r="332" spans="2:5">
      <c r="B332" s="3" t="s">
        <v>578</v>
      </c>
      <c r="C332" s="7" t="s">
        <v>579</v>
      </c>
      <c r="D332" s="114" t="s">
        <v>580</v>
      </c>
      <c r="E332" s="8" t="s">
        <v>581</v>
      </c>
    </row>
    <row r="333" spans="2:5" ht="16.5">
      <c r="B333" s="1" t="s">
        <v>597</v>
      </c>
      <c r="C333" t="s">
        <v>598</v>
      </c>
      <c r="D333" s="124">
        <v>584.50880720367104</v>
      </c>
      <c r="E333" s="2" t="s">
        <v>599</v>
      </c>
    </row>
    <row r="334" spans="2:5" ht="16.5">
      <c r="B334" s="1" t="s">
        <v>600</v>
      </c>
      <c r="C334" t="s">
        <v>601</v>
      </c>
      <c r="D334" s="124">
        <f>$D$12</f>
        <v>191.741369047619</v>
      </c>
      <c r="E334" s="95" t="s">
        <v>599</v>
      </c>
    </row>
    <row r="335" spans="2:5" ht="16.5">
      <c r="B335" s="9" t="s">
        <v>602</v>
      </c>
      <c r="C335" s="10" t="s">
        <v>603</v>
      </c>
      <c r="D335" s="115">
        <f>(D333-D334)/D333</f>
        <v>0.67196153986982254</v>
      </c>
      <c r="E335" s="11" t="s">
        <v>586</v>
      </c>
    </row>
    <row r="336" spans="2:5">
      <c r="B336" s="89" t="s">
        <v>604</v>
      </c>
      <c r="C336" s="90"/>
      <c r="D336" s="116"/>
      <c r="E336" s="91"/>
    </row>
    <row r="337" spans="2:5">
      <c r="B337" s="3" t="s">
        <v>578</v>
      </c>
      <c r="C337" s="7" t="s">
        <v>579</v>
      </c>
      <c r="D337" s="114" t="s">
        <v>580</v>
      </c>
      <c r="E337" s="8" t="s">
        <v>581</v>
      </c>
    </row>
    <row r="338" spans="2:5" ht="16">
      <c r="B338" s="12" t="s">
        <v>582</v>
      </c>
      <c r="C338" t="s">
        <v>583</v>
      </c>
      <c r="D338" s="112">
        <f>D327</f>
        <v>2100</v>
      </c>
      <c r="E338" s="2"/>
    </row>
    <row r="339" spans="2:5" ht="16">
      <c r="B339" s="1" t="s">
        <v>584</v>
      </c>
      <c r="C339" t="s">
        <v>585</v>
      </c>
      <c r="D339" s="124">
        <v>9.0999999999999998E-2</v>
      </c>
      <c r="E339" s="2" t="s">
        <v>586</v>
      </c>
    </row>
    <row r="340" spans="2:5" ht="16.5">
      <c r="B340" s="3" t="s">
        <v>605</v>
      </c>
      <c r="C340" t="s">
        <v>606</v>
      </c>
      <c r="D340" s="122">
        <v>0.8589</v>
      </c>
      <c r="E340" s="2" t="s">
        <v>586</v>
      </c>
    </row>
    <row r="341" spans="2:5" ht="16">
      <c r="B341" s="89" t="s">
        <v>607</v>
      </c>
      <c r="C341" s="90" t="s">
        <v>608</v>
      </c>
      <c r="D341" s="121">
        <f>D338*(1-D339)*D340</f>
        <v>1639.55421</v>
      </c>
      <c r="E341" s="91"/>
    </row>
    <row r="342" spans="2:5">
      <c r="B342" s="92" t="s">
        <v>609</v>
      </c>
      <c r="C342" s="93"/>
      <c r="D342" s="117"/>
      <c r="E342" s="94"/>
    </row>
    <row r="343" spans="2:5">
      <c r="B343" s="4" t="s">
        <v>578</v>
      </c>
      <c r="C343" s="5" t="s">
        <v>579</v>
      </c>
      <c r="D343" s="111" t="s">
        <v>580</v>
      </c>
      <c r="E343" s="6" t="s">
        <v>581</v>
      </c>
    </row>
    <row r="344" spans="2:5">
      <c r="B344" s="92" t="s">
        <v>610</v>
      </c>
      <c r="C344" s="93" t="s">
        <v>611</v>
      </c>
      <c r="D344" s="118">
        <f ca="1">'GS5437'!E38</f>
        <v>2872</v>
      </c>
      <c r="E344" s="94" t="s">
        <v>612</v>
      </c>
    </row>
    <row r="347" spans="2:5">
      <c r="B347" s="18" t="s">
        <v>626</v>
      </c>
    </row>
    <row r="348" spans="2:5">
      <c r="B348" s="86" t="s">
        <v>577</v>
      </c>
      <c r="C348" s="87"/>
      <c r="D348" s="110"/>
      <c r="E348" s="88"/>
    </row>
    <row r="349" spans="2:5">
      <c r="B349" s="4" t="s">
        <v>578</v>
      </c>
      <c r="C349" s="5" t="s">
        <v>579</v>
      </c>
      <c r="D349" s="111" t="s">
        <v>580</v>
      </c>
      <c r="E349" s="6" t="s">
        <v>581</v>
      </c>
    </row>
    <row r="350" spans="2:5" ht="16">
      <c r="B350" s="12" t="s">
        <v>582</v>
      </c>
      <c r="C350" t="s">
        <v>583</v>
      </c>
      <c r="D350" s="112">
        <f>'Total PTDs'!$O$201</f>
        <v>2242</v>
      </c>
      <c r="E350" s="2"/>
    </row>
    <row r="351" spans="2:5" ht="16">
      <c r="B351" s="1" t="s">
        <v>584</v>
      </c>
      <c r="C351" t="s">
        <v>585</v>
      </c>
      <c r="D351" s="163">
        <v>9.0999999999999998E-2</v>
      </c>
      <c r="E351" s="2" t="s">
        <v>586</v>
      </c>
    </row>
    <row r="352" spans="2:5" ht="16">
      <c r="B352" s="1" t="s">
        <v>587</v>
      </c>
      <c r="C352" t="s">
        <v>588</v>
      </c>
      <c r="D352" s="122">
        <v>0.90269999999999995</v>
      </c>
      <c r="E352" s="2" t="s">
        <v>586</v>
      </c>
    </row>
    <row r="353" spans="2:5" ht="16">
      <c r="B353" s="86" t="s">
        <v>589</v>
      </c>
      <c r="C353" s="87" t="s">
        <v>590</v>
      </c>
      <c r="D353" s="120">
        <f>D350*(1-D351)*(1-D352)</f>
        <v>198.29525940000011</v>
      </c>
      <c r="E353" s="88"/>
    </row>
    <row r="354" spans="2:5">
      <c r="B354" s="9" t="s">
        <v>591</v>
      </c>
      <c r="C354" s="10"/>
      <c r="D354" s="113"/>
      <c r="E354" s="11"/>
    </row>
    <row r="355" spans="2:5">
      <c r="B355" s="3" t="s">
        <v>578</v>
      </c>
      <c r="C355" s="7" t="s">
        <v>579</v>
      </c>
      <c r="D355" s="114" t="s">
        <v>580</v>
      </c>
      <c r="E355" s="8" t="s">
        <v>581</v>
      </c>
    </row>
    <row r="356" spans="2:5" ht="16.5">
      <c r="B356" s="1" t="s">
        <v>597</v>
      </c>
      <c r="C356" t="s">
        <v>598</v>
      </c>
      <c r="D356" s="124">
        <v>584.50880720367104</v>
      </c>
      <c r="E356" s="2" t="s">
        <v>599</v>
      </c>
    </row>
    <row r="357" spans="2:5" ht="16.5">
      <c r="B357" s="1" t="s">
        <v>600</v>
      </c>
      <c r="C357" t="s">
        <v>601</v>
      </c>
      <c r="D357" s="124">
        <f>$D$12</f>
        <v>191.741369047619</v>
      </c>
      <c r="E357" s="95" t="s">
        <v>599</v>
      </c>
    </row>
    <row r="358" spans="2:5" ht="16.5">
      <c r="B358" s="9" t="s">
        <v>602</v>
      </c>
      <c r="C358" s="10" t="s">
        <v>603</v>
      </c>
      <c r="D358" s="115">
        <f>(D356-D357)/D356</f>
        <v>0.67196153986982254</v>
      </c>
      <c r="E358" s="11" t="s">
        <v>586</v>
      </c>
    </row>
    <row r="359" spans="2:5">
      <c r="B359" s="89" t="s">
        <v>604</v>
      </c>
      <c r="C359" s="90"/>
      <c r="D359" s="116"/>
      <c r="E359" s="91"/>
    </row>
    <row r="360" spans="2:5">
      <c r="B360" s="3" t="s">
        <v>578</v>
      </c>
      <c r="C360" s="7" t="s">
        <v>579</v>
      </c>
      <c r="D360" s="114" t="s">
        <v>580</v>
      </c>
      <c r="E360" s="8" t="s">
        <v>581</v>
      </c>
    </row>
    <row r="361" spans="2:5" ht="16">
      <c r="B361" s="12" t="s">
        <v>582</v>
      </c>
      <c r="C361" t="s">
        <v>583</v>
      </c>
      <c r="D361" s="112">
        <f>D350</f>
        <v>2242</v>
      </c>
      <c r="E361" s="2"/>
    </row>
    <row r="362" spans="2:5" ht="16">
      <c r="B362" s="1" t="s">
        <v>584</v>
      </c>
      <c r="C362" t="s">
        <v>585</v>
      </c>
      <c r="D362" s="124">
        <v>9.0999999999999998E-2</v>
      </c>
      <c r="E362" s="2" t="s">
        <v>586</v>
      </c>
    </row>
    <row r="363" spans="2:5" ht="16.5">
      <c r="B363" s="3" t="s">
        <v>605</v>
      </c>
      <c r="C363" t="s">
        <v>606</v>
      </c>
      <c r="D363" s="122">
        <v>0.8589</v>
      </c>
      <c r="E363" s="2" t="s">
        <v>586</v>
      </c>
    </row>
    <row r="364" spans="2:5" ht="16">
      <c r="B364" s="89" t="s">
        <v>607</v>
      </c>
      <c r="C364" s="90" t="s">
        <v>608</v>
      </c>
      <c r="D364" s="121">
        <f>D361*(1-D362)*D363</f>
        <v>1750.4193041999999</v>
      </c>
      <c r="E364" s="91"/>
    </row>
    <row r="365" spans="2:5">
      <c r="B365" s="92" t="s">
        <v>609</v>
      </c>
      <c r="C365" s="93"/>
      <c r="D365" s="117"/>
      <c r="E365" s="94"/>
    </row>
    <row r="366" spans="2:5">
      <c r="B366" s="4" t="s">
        <v>578</v>
      </c>
      <c r="C366" s="5" t="s">
        <v>579</v>
      </c>
      <c r="D366" s="111" t="s">
        <v>580</v>
      </c>
      <c r="E366" s="6" t="s">
        <v>581</v>
      </c>
    </row>
    <row r="367" spans="2:5">
      <c r="B367" s="92" t="s">
        <v>610</v>
      </c>
      <c r="C367" s="93" t="s">
        <v>611</v>
      </c>
      <c r="D367" s="118">
        <f ca="1">'GS5438'!E38</f>
        <v>2855</v>
      </c>
      <c r="E367" s="94" t="s">
        <v>612</v>
      </c>
    </row>
    <row r="370" spans="2:5">
      <c r="B370" s="18" t="s">
        <v>627</v>
      </c>
    </row>
    <row r="371" spans="2:5">
      <c r="B371" s="86" t="s">
        <v>577</v>
      </c>
      <c r="C371" s="87"/>
      <c r="D371" s="110"/>
      <c r="E371" s="88"/>
    </row>
    <row r="372" spans="2:5">
      <c r="B372" s="4" t="s">
        <v>578</v>
      </c>
      <c r="C372" s="5" t="s">
        <v>579</v>
      </c>
      <c r="D372" s="111" t="s">
        <v>580</v>
      </c>
      <c r="E372" s="6" t="s">
        <v>581</v>
      </c>
    </row>
    <row r="373" spans="2:5" ht="16">
      <c r="B373" s="12" t="s">
        <v>582</v>
      </c>
      <c r="C373" t="s">
        <v>583</v>
      </c>
      <c r="D373" s="112">
        <f>'Total PTDs'!$O$212</f>
        <v>2639</v>
      </c>
      <c r="E373" s="2"/>
    </row>
    <row r="374" spans="2:5" ht="16">
      <c r="B374" s="1" t="s">
        <v>584</v>
      </c>
      <c r="C374" t="s">
        <v>585</v>
      </c>
      <c r="D374" s="163">
        <v>9.0999999999999998E-2</v>
      </c>
      <c r="E374" s="2" t="s">
        <v>586</v>
      </c>
    </row>
    <row r="375" spans="2:5" ht="16">
      <c r="B375" s="1" t="s">
        <v>587</v>
      </c>
      <c r="C375" t="s">
        <v>588</v>
      </c>
      <c r="D375" s="122">
        <v>0.90269999999999995</v>
      </c>
      <c r="E375" s="2" t="s">
        <v>586</v>
      </c>
    </row>
    <row r="376" spans="2:5" ht="16">
      <c r="B376" s="86" t="s">
        <v>589</v>
      </c>
      <c r="C376" s="87" t="s">
        <v>590</v>
      </c>
      <c r="D376" s="120">
        <f>D373*(1-D374)*(1-D375)</f>
        <v>233.40820230000014</v>
      </c>
      <c r="E376" s="88"/>
    </row>
    <row r="377" spans="2:5">
      <c r="B377" s="9" t="s">
        <v>591</v>
      </c>
      <c r="C377" s="10"/>
      <c r="D377" s="113"/>
      <c r="E377" s="11"/>
    </row>
    <row r="378" spans="2:5">
      <c r="B378" s="3" t="s">
        <v>578</v>
      </c>
      <c r="C378" s="7" t="s">
        <v>579</v>
      </c>
      <c r="D378" s="114" t="s">
        <v>580</v>
      </c>
      <c r="E378" s="8" t="s">
        <v>581</v>
      </c>
    </row>
    <row r="379" spans="2:5" ht="16.5">
      <c r="B379" s="1" t="s">
        <v>597</v>
      </c>
      <c r="C379" t="s">
        <v>598</v>
      </c>
      <c r="D379" s="124">
        <v>584.50880720367104</v>
      </c>
      <c r="E379" s="2" t="s">
        <v>599</v>
      </c>
    </row>
    <row r="380" spans="2:5" ht="16.5">
      <c r="B380" s="1" t="s">
        <v>600</v>
      </c>
      <c r="C380" t="s">
        <v>601</v>
      </c>
      <c r="D380" s="124">
        <f>$D$12</f>
        <v>191.741369047619</v>
      </c>
      <c r="E380" s="95" t="s">
        <v>599</v>
      </c>
    </row>
    <row r="381" spans="2:5" ht="16.5">
      <c r="B381" s="9" t="s">
        <v>602</v>
      </c>
      <c r="C381" s="10" t="s">
        <v>603</v>
      </c>
      <c r="D381" s="115">
        <f>(D379-D380)/D379</f>
        <v>0.67196153986982254</v>
      </c>
      <c r="E381" s="11" t="s">
        <v>586</v>
      </c>
    </row>
    <row r="382" spans="2:5">
      <c r="B382" s="89" t="s">
        <v>604</v>
      </c>
      <c r="C382" s="90"/>
      <c r="D382" s="116"/>
      <c r="E382" s="91"/>
    </row>
    <row r="383" spans="2:5">
      <c r="B383" s="3" t="s">
        <v>578</v>
      </c>
      <c r="C383" s="7" t="s">
        <v>579</v>
      </c>
      <c r="D383" s="114" t="s">
        <v>580</v>
      </c>
      <c r="E383" s="8" t="s">
        <v>581</v>
      </c>
    </row>
    <row r="384" spans="2:5" ht="16">
      <c r="B384" s="12" t="s">
        <v>582</v>
      </c>
      <c r="C384" t="s">
        <v>583</v>
      </c>
      <c r="D384" s="112">
        <f>D373</f>
        <v>2639</v>
      </c>
      <c r="E384" s="2"/>
    </row>
    <row r="385" spans="2:5" ht="16">
      <c r="B385" s="1" t="s">
        <v>584</v>
      </c>
      <c r="C385" t="s">
        <v>585</v>
      </c>
      <c r="D385" s="124">
        <v>9.0999999999999998E-2</v>
      </c>
      <c r="E385" s="2" t="s">
        <v>586</v>
      </c>
    </row>
    <row r="386" spans="2:5" ht="16.5">
      <c r="B386" s="3" t="s">
        <v>605</v>
      </c>
      <c r="C386" t="s">
        <v>606</v>
      </c>
      <c r="D386" s="122">
        <v>0.8589</v>
      </c>
      <c r="E386" s="2" t="s">
        <v>586</v>
      </c>
    </row>
    <row r="387" spans="2:5" ht="16">
      <c r="B387" s="89" t="s">
        <v>607</v>
      </c>
      <c r="C387" s="90" t="s">
        <v>608</v>
      </c>
      <c r="D387" s="121">
        <f>D384*(1-D385)*D386</f>
        <v>2060.3731238999999</v>
      </c>
      <c r="E387" s="91"/>
    </row>
    <row r="388" spans="2:5">
      <c r="B388" s="92" t="s">
        <v>609</v>
      </c>
      <c r="C388" s="93"/>
      <c r="D388" s="117"/>
      <c r="E388" s="94"/>
    </row>
    <row r="389" spans="2:5">
      <c r="B389" s="4" t="s">
        <v>578</v>
      </c>
      <c r="C389" s="5" t="s">
        <v>579</v>
      </c>
      <c r="D389" s="111" t="s">
        <v>580</v>
      </c>
      <c r="E389" s="6" t="s">
        <v>581</v>
      </c>
    </row>
    <row r="390" spans="2:5">
      <c r="B390" s="92" t="s">
        <v>610</v>
      </c>
      <c r="C390" s="93" t="s">
        <v>611</v>
      </c>
      <c r="D390" s="118">
        <f ca="1">'GS5439'!E38</f>
        <v>3616</v>
      </c>
      <c r="E390" s="94" t="s">
        <v>612</v>
      </c>
    </row>
    <row r="393" spans="2:5">
      <c r="B393" s="18" t="s">
        <v>628</v>
      </c>
    </row>
    <row r="394" spans="2:5">
      <c r="B394" s="86" t="s">
        <v>577</v>
      </c>
      <c r="C394" s="87"/>
      <c r="D394" s="110"/>
      <c r="E394" s="88"/>
    </row>
    <row r="395" spans="2:5">
      <c r="B395" s="4" t="s">
        <v>578</v>
      </c>
      <c r="C395" s="5" t="s">
        <v>579</v>
      </c>
      <c r="D395" s="111" t="s">
        <v>580</v>
      </c>
      <c r="E395" s="6" t="s">
        <v>581</v>
      </c>
    </row>
    <row r="396" spans="2:5" ht="16">
      <c r="B396" s="12" t="s">
        <v>582</v>
      </c>
      <c r="C396" t="s">
        <v>583</v>
      </c>
      <c r="D396" s="112">
        <f>'Total PTDs'!$O$222</f>
        <v>2400</v>
      </c>
      <c r="E396" s="2"/>
    </row>
    <row r="397" spans="2:5" ht="16">
      <c r="B397" s="1" t="s">
        <v>584</v>
      </c>
      <c r="C397" t="s">
        <v>585</v>
      </c>
      <c r="D397" s="163">
        <v>9.0999999999999998E-2</v>
      </c>
      <c r="E397" s="2" t="s">
        <v>586</v>
      </c>
    </row>
    <row r="398" spans="2:5" ht="16">
      <c r="B398" s="1" t="s">
        <v>587</v>
      </c>
      <c r="C398" t="s">
        <v>588</v>
      </c>
      <c r="D398" s="122">
        <v>0.90269999999999995</v>
      </c>
      <c r="E398" s="2" t="s">
        <v>586</v>
      </c>
    </row>
    <row r="399" spans="2:5" ht="16">
      <c r="B399" s="86" t="s">
        <v>589</v>
      </c>
      <c r="C399" s="87" t="s">
        <v>590</v>
      </c>
      <c r="D399" s="120">
        <f>D396*(1-D397)*(1-D398)</f>
        <v>212.26968000000011</v>
      </c>
      <c r="E399" s="88"/>
    </row>
    <row r="400" spans="2:5">
      <c r="B400" s="9" t="s">
        <v>591</v>
      </c>
      <c r="C400" s="10"/>
      <c r="D400" s="113"/>
      <c r="E400" s="11"/>
    </row>
    <row r="401" spans="2:5">
      <c r="B401" s="3" t="s">
        <v>578</v>
      </c>
      <c r="C401" s="7" t="s">
        <v>579</v>
      </c>
      <c r="D401" s="114" t="s">
        <v>580</v>
      </c>
      <c r="E401" s="8" t="s">
        <v>581</v>
      </c>
    </row>
    <row r="402" spans="2:5" ht="16.5">
      <c r="B402" s="1" t="s">
        <v>597</v>
      </c>
      <c r="C402" t="s">
        <v>598</v>
      </c>
      <c r="D402" s="124">
        <v>584.50880720367104</v>
      </c>
      <c r="E402" s="2" t="s">
        <v>599</v>
      </c>
    </row>
    <row r="403" spans="2:5" ht="16.5">
      <c r="B403" s="1" t="s">
        <v>600</v>
      </c>
      <c r="C403" t="s">
        <v>601</v>
      </c>
      <c r="D403" s="124">
        <f>$D$12</f>
        <v>191.741369047619</v>
      </c>
      <c r="E403" s="95" t="s">
        <v>599</v>
      </c>
    </row>
    <row r="404" spans="2:5" ht="16.5">
      <c r="B404" s="9" t="s">
        <v>602</v>
      </c>
      <c r="C404" s="10" t="s">
        <v>603</v>
      </c>
      <c r="D404" s="115">
        <f>(D402-D403)/D402</f>
        <v>0.67196153986982254</v>
      </c>
      <c r="E404" s="11" t="s">
        <v>586</v>
      </c>
    </row>
    <row r="405" spans="2:5">
      <c r="B405" s="89" t="s">
        <v>604</v>
      </c>
      <c r="C405" s="90"/>
      <c r="D405" s="116"/>
      <c r="E405" s="91"/>
    </row>
    <row r="406" spans="2:5">
      <c r="B406" s="3" t="s">
        <v>578</v>
      </c>
      <c r="C406" s="7" t="s">
        <v>579</v>
      </c>
      <c r="D406" s="114" t="s">
        <v>580</v>
      </c>
      <c r="E406" s="8" t="s">
        <v>581</v>
      </c>
    </row>
    <row r="407" spans="2:5" ht="16">
      <c r="B407" s="12" t="s">
        <v>582</v>
      </c>
      <c r="C407" t="s">
        <v>583</v>
      </c>
      <c r="D407" s="112">
        <f>D396</f>
        <v>2400</v>
      </c>
      <c r="E407" s="2"/>
    </row>
    <row r="408" spans="2:5" ht="16">
      <c r="B408" s="1" t="s">
        <v>584</v>
      </c>
      <c r="C408" t="s">
        <v>585</v>
      </c>
      <c r="D408" s="124">
        <v>9.0999999999999998E-2</v>
      </c>
      <c r="E408" s="2" t="s">
        <v>586</v>
      </c>
    </row>
    <row r="409" spans="2:5" ht="16.5">
      <c r="B409" s="3" t="s">
        <v>605</v>
      </c>
      <c r="C409" t="s">
        <v>606</v>
      </c>
      <c r="D409" s="122">
        <v>0.8589</v>
      </c>
      <c r="E409" s="2" t="s">
        <v>586</v>
      </c>
    </row>
    <row r="410" spans="2:5" ht="16">
      <c r="B410" s="89" t="s">
        <v>607</v>
      </c>
      <c r="C410" s="90" t="s">
        <v>608</v>
      </c>
      <c r="D410" s="121">
        <f>D407*(1-D408)*D409</f>
        <v>1873.7762399999999</v>
      </c>
      <c r="E410" s="91"/>
    </row>
    <row r="411" spans="2:5">
      <c r="B411" s="92" t="s">
        <v>609</v>
      </c>
      <c r="C411" s="93"/>
      <c r="D411" s="117"/>
      <c r="E411" s="94"/>
    </row>
    <row r="412" spans="2:5">
      <c r="B412" s="4" t="s">
        <v>578</v>
      </c>
      <c r="C412" s="5" t="s">
        <v>579</v>
      </c>
      <c r="D412" s="111" t="s">
        <v>580</v>
      </c>
      <c r="E412" s="6" t="s">
        <v>581</v>
      </c>
    </row>
    <row r="413" spans="2:5">
      <c r="B413" s="92" t="s">
        <v>610</v>
      </c>
      <c r="C413" s="93" t="s">
        <v>611</v>
      </c>
      <c r="D413" s="118">
        <f ca="1">'GS5440'!E38</f>
        <v>3070</v>
      </c>
      <c r="E413" s="94" t="s">
        <v>612</v>
      </c>
    </row>
    <row r="416" spans="2:5">
      <c r="B416" s="18" t="s">
        <v>629</v>
      </c>
    </row>
    <row r="417" spans="2:5">
      <c r="B417" s="86" t="s">
        <v>577</v>
      </c>
      <c r="C417" s="87"/>
      <c r="D417" s="110"/>
      <c r="E417" s="88"/>
    </row>
    <row r="418" spans="2:5">
      <c r="B418" s="4" t="s">
        <v>578</v>
      </c>
      <c r="C418" s="5" t="s">
        <v>579</v>
      </c>
      <c r="D418" s="111" t="s">
        <v>580</v>
      </c>
      <c r="E418" s="6" t="s">
        <v>581</v>
      </c>
    </row>
    <row r="419" spans="2:5" ht="16">
      <c r="B419" s="12" t="s">
        <v>582</v>
      </c>
      <c r="C419" t="s">
        <v>583</v>
      </c>
      <c r="D419" s="119">
        <f>'Total PTDs'!$O$231</f>
        <v>1978</v>
      </c>
      <c r="E419" s="2"/>
    </row>
    <row r="420" spans="2:5" ht="16">
      <c r="B420" s="1" t="s">
        <v>584</v>
      </c>
      <c r="C420" t="s">
        <v>585</v>
      </c>
      <c r="D420" s="163">
        <v>9.0999999999999998E-2</v>
      </c>
      <c r="E420" s="2" t="s">
        <v>586</v>
      </c>
    </row>
    <row r="421" spans="2:5" ht="16">
      <c r="B421" s="1" t="s">
        <v>587</v>
      </c>
      <c r="C421" t="s">
        <v>588</v>
      </c>
      <c r="D421" s="122">
        <v>0.90269999999999995</v>
      </c>
      <c r="E421" s="2" t="s">
        <v>586</v>
      </c>
    </row>
    <row r="422" spans="2:5" ht="16">
      <c r="B422" s="86" t="s">
        <v>589</v>
      </c>
      <c r="C422" s="87" t="s">
        <v>590</v>
      </c>
      <c r="D422" s="120">
        <f>D419*(1-D420)*(1-D421)</f>
        <v>174.94559460000008</v>
      </c>
      <c r="E422" s="88"/>
    </row>
    <row r="423" spans="2:5">
      <c r="B423" s="9" t="s">
        <v>591</v>
      </c>
      <c r="C423" s="10"/>
      <c r="D423" s="113"/>
      <c r="E423" s="11"/>
    </row>
    <row r="424" spans="2:5">
      <c r="B424" s="3" t="s">
        <v>578</v>
      </c>
      <c r="C424" s="7" t="s">
        <v>579</v>
      </c>
      <c r="D424" s="114" t="s">
        <v>580</v>
      </c>
      <c r="E424" s="8" t="s">
        <v>581</v>
      </c>
    </row>
    <row r="425" spans="2:5" ht="16.5">
      <c r="B425" s="1" t="s">
        <v>597</v>
      </c>
      <c r="C425" t="s">
        <v>598</v>
      </c>
      <c r="D425" s="124">
        <v>584.50880720367104</v>
      </c>
      <c r="E425" s="2" t="s">
        <v>599</v>
      </c>
    </row>
    <row r="426" spans="2:5" ht="16.5">
      <c r="B426" s="1" t="s">
        <v>600</v>
      </c>
      <c r="C426" t="s">
        <v>601</v>
      </c>
      <c r="D426" s="124">
        <f>$D$12</f>
        <v>191.741369047619</v>
      </c>
      <c r="E426" s="95" t="s">
        <v>599</v>
      </c>
    </row>
    <row r="427" spans="2:5" ht="16.5">
      <c r="B427" s="9" t="s">
        <v>602</v>
      </c>
      <c r="C427" s="10" t="s">
        <v>603</v>
      </c>
      <c r="D427" s="115">
        <f>(D425-D426)/D425</f>
        <v>0.67196153986982254</v>
      </c>
      <c r="E427" s="11" t="s">
        <v>586</v>
      </c>
    </row>
    <row r="428" spans="2:5">
      <c r="B428" s="89" t="s">
        <v>604</v>
      </c>
      <c r="C428" s="90"/>
      <c r="D428" s="116"/>
      <c r="E428" s="91"/>
    </row>
    <row r="429" spans="2:5">
      <c r="B429" s="3" t="s">
        <v>578</v>
      </c>
      <c r="C429" s="7" t="s">
        <v>579</v>
      </c>
      <c r="D429" s="114" t="s">
        <v>580</v>
      </c>
      <c r="E429" s="8" t="s">
        <v>581</v>
      </c>
    </row>
    <row r="430" spans="2:5" ht="16">
      <c r="B430" s="12" t="s">
        <v>582</v>
      </c>
      <c r="C430" t="s">
        <v>583</v>
      </c>
      <c r="D430" s="112">
        <f>D419</f>
        <v>1978</v>
      </c>
      <c r="E430" s="2"/>
    </row>
    <row r="431" spans="2:5" ht="16">
      <c r="B431" s="1" t="s">
        <v>584</v>
      </c>
      <c r="C431" t="s">
        <v>585</v>
      </c>
      <c r="D431" s="124">
        <v>9.0999999999999998E-2</v>
      </c>
      <c r="E431" s="2" t="s">
        <v>586</v>
      </c>
    </row>
    <row r="432" spans="2:5" ht="16.5">
      <c r="B432" s="3" t="s">
        <v>605</v>
      </c>
      <c r="C432" t="s">
        <v>606</v>
      </c>
      <c r="D432" s="122">
        <v>0.8589</v>
      </c>
      <c r="E432" s="2" t="s">
        <v>586</v>
      </c>
    </row>
    <row r="433" spans="2:5" ht="16">
      <c r="B433" s="89" t="s">
        <v>607</v>
      </c>
      <c r="C433" s="90" t="s">
        <v>608</v>
      </c>
      <c r="D433" s="121">
        <f>D430*(1-D431)*D432</f>
        <v>1544.3039177999999</v>
      </c>
      <c r="E433" s="91"/>
    </row>
    <row r="434" spans="2:5">
      <c r="B434" s="92" t="s">
        <v>609</v>
      </c>
      <c r="C434" s="93"/>
      <c r="D434" s="117"/>
      <c r="E434" s="94"/>
    </row>
    <row r="435" spans="2:5">
      <c r="B435" s="4" t="s">
        <v>578</v>
      </c>
      <c r="C435" s="5" t="s">
        <v>579</v>
      </c>
      <c r="D435" s="111" t="s">
        <v>580</v>
      </c>
      <c r="E435" s="6" t="s">
        <v>581</v>
      </c>
    </row>
    <row r="436" spans="2:5">
      <c r="B436" s="92" t="s">
        <v>610</v>
      </c>
      <c r="C436" s="93" t="s">
        <v>611</v>
      </c>
      <c r="D436" s="118">
        <f ca="1">'GS5441'!E38</f>
        <v>2602</v>
      </c>
      <c r="E436" s="94" t="s">
        <v>612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5761-3A04-49C7-B641-7B9486B15913}">
  <dimension ref="A1:G38"/>
  <sheetViews>
    <sheetView tabSelected="1" zoomScale="60" zoomScaleNormal="6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165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PTDs'!R14*0.95</f>
        <v>817323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2248.2307274427003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817323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19.474116462684005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3945.6449266619388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34.177074392010425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3359.5597383146414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3230.2166883895279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3230</v>
      </c>
    </row>
  </sheetData>
  <mergeCells count="6">
    <mergeCell ref="B26:E26"/>
    <mergeCell ref="B33:E33"/>
    <mergeCell ref="B12:E12"/>
    <mergeCell ref="B20:E20"/>
    <mergeCell ref="B2:E2"/>
    <mergeCell ref="B4:E4"/>
  </mergeCells>
  <conditionalFormatting sqref="E6">
    <cfRule type="cellIs" dxfId="151" priority="81" operator="notEqual">
      <formula>#REF!+#REF!</formula>
    </cfRule>
  </conditionalFormatting>
  <conditionalFormatting sqref="E10">
    <cfRule type="cellIs" dxfId="150" priority="82" operator="notEqual">
      <formula>#REF!+#REF!</formula>
    </cfRule>
  </conditionalFormatting>
  <conditionalFormatting sqref="E14">
    <cfRule type="cellIs" dxfId="149" priority="83" operator="notEqual">
      <formula>#REF!+#REF!</formula>
    </cfRule>
  </conditionalFormatting>
  <conditionalFormatting sqref="E18">
    <cfRule type="cellIs" dxfId="148" priority="84" operator="notEqual">
      <formula>#REF!+#REF!</formula>
    </cfRule>
  </conditionalFormatting>
  <conditionalFormatting sqref="E27">
    <cfRule type="cellIs" dxfId="147" priority="85" operator="notEqual">
      <formula>#REF!+#REF!</formula>
    </cfRule>
  </conditionalFormatting>
  <conditionalFormatting sqref="E28">
    <cfRule type="cellIs" dxfId="146" priority="86" operator="notEqual">
      <formula>#REF!+#REF!</formula>
    </cfRule>
  </conditionalFormatting>
  <conditionalFormatting sqref="E31">
    <cfRule type="cellIs" dxfId="145" priority="87" operator="notEqual">
      <formula>#REF!+#REF!</formula>
    </cfRule>
  </conditionalFormatting>
  <conditionalFormatting sqref="E37">
    <cfRule type="cellIs" dxfId="144" priority="88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28B3E-ECFA-459A-BCA6-7581604E256E}">
  <dimension ref="A1:G38"/>
  <sheetViews>
    <sheetView zoomScale="85" zoomScaleNormal="85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PTDs'!R24*0.95</f>
        <v>768607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2114.2264132143005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768607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18.313374555756006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3710.4673551910969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32.139972345351786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3159.3153891262104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3037.6817466448515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3037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143" priority="2" operator="notEqual">
      <formula>#REF!+#REF!</formula>
    </cfRule>
  </conditionalFormatting>
  <conditionalFormatting sqref="E14">
    <cfRule type="cellIs" dxfId="142" priority="4" operator="notEqual">
      <formula>#REF!+#REF!</formula>
    </cfRule>
  </conditionalFormatting>
  <conditionalFormatting sqref="E18">
    <cfRule type="cellIs" dxfId="141" priority="5" operator="notEqual">
      <formula>#REF!+#REF!</formula>
    </cfRule>
  </conditionalFormatting>
  <conditionalFormatting sqref="E27">
    <cfRule type="cellIs" dxfId="140" priority="6" operator="notEqual">
      <formula>#REF!+#REF!</formula>
    </cfRule>
  </conditionalFormatting>
  <conditionalFormatting sqref="E28">
    <cfRule type="cellIs" dxfId="139" priority="7" operator="notEqual">
      <formula>#REF!+#REF!</formula>
    </cfRule>
  </conditionalFormatting>
  <conditionalFormatting sqref="E31">
    <cfRule type="cellIs" dxfId="138" priority="8" operator="notEqual">
      <formula>#REF!+#REF!</formula>
    </cfRule>
  </conditionalFormatting>
  <conditionalFormatting sqref="E37">
    <cfRule type="cellIs" dxfId="137" priority="9" operator="notEqual">
      <formula>#REF!+#REF!</formula>
    </cfRule>
  </conditionalFormatting>
  <conditionalFormatting sqref="E10">
    <cfRule type="cellIs" dxfId="136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CE4D-E3B3-4F10-883F-32A12091451D}">
  <dimension ref="A1:G38"/>
  <sheetViews>
    <sheetView topLeftCell="A4" zoomScale="70" zoomScaleNormal="7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PTDs'!R36*0.95</f>
        <v>929684.25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2557.3056156128255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929684.25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22.151315156949003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4488.0713554005088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38.875558100445495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3821.4142703010248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3674.2898208944353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3674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135" priority="2" operator="notEqual">
      <formula>#REF!+#REF!</formula>
    </cfRule>
  </conditionalFormatting>
  <conditionalFormatting sqref="E14">
    <cfRule type="cellIs" dxfId="134" priority="3" operator="notEqual">
      <formula>#REF!+#REF!</formula>
    </cfRule>
  </conditionalFormatting>
  <conditionalFormatting sqref="E18">
    <cfRule type="cellIs" dxfId="133" priority="4" operator="notEqual">
      <formula>#REF!+#REF!</formula>
    </cfRule>
  </conditionalFormatting>
  <conditionalFormatting sqref="E27">
    <cfRule type="cellIs" dxfId="132" priority="5" operator="notEqual">
      <formula>#REF!+#REF!</formula>
    </cfRule>
  </conditionalFormatting>
  <conditionalFormatting sqref="E28">
    <cfRule type="cellIs" dxfId="131" priority="6" operator="notEqual">
      <formula>#REF!+#REF!</formula>
    </cfRule>
  </conditionalFormatting>
  <conditionalFormatting sqref="E31">
    <cfRule type="cellIs" dxfId="130" priority="7" operator="notEqual">
      <formula>#REF!+#REF!</formula>
    </cfRule>
  </conditionalFormatting>
  <conditionalFormatting sqref="E37">
    <cfRule type="cellIs" dxfId="129" priority="8" operator="notEqual">
      <formula>#REF!+#REF!</formula>
    </cfRule>
  </conditionalFormatting>
  <conditionalFormatting sqref="E10">
    <cfRule type="cellIs" dxfId="128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E2542-CB2C-443E-A79D-1633F00A666B}">
  <dimension ref="A1:G38"/>
  <sheetViews>
    <sheetView zoomScale="70" zoomScaleNormal="7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PTDs'!R46*0.95</f>
        <v>736183.5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2025.0382844191504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736183.5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17.540829288918005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3553.942189155609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30.784155402051095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3026.040435190931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2909.5378784360801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2909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127" priority="2" operator="notEqual">
      <formula>#REF!+#REF!</formula>
    </cfRule>
  </conditionalFormatting>
  <conditionalFormatting sqref="E14">
    <cfRule type="cellIs" dxfId="126" priority="3" operator="notEqual">
      <formula>#REF!+#REF!</formula>
    </cfRule>
  </conditionalFormatting>
  <conditionalFormatting sqref="E18">
    <cfRule type="cellIs" dxfId="125" priority="4" operator="notEqual">
      <formula>#REF!+#REF!</formula>
    </cfRule>
  </conditionalFormatting>
  <conditionalFormatting sqref="E27">
    <cfRule type="cellIs" dxfId="124" priority="5" operator="notEqual">
      <formula>#REF!+#REF!</formula>
    </cfRule>
  </conditionalFormatting>
  <conditionalFormatting sqref="E28">
    <cfRule type="cellIs" dxfId="123" priority="6" operator="notEqual">
      <formula>#REF!+#REF!</formula>
    </cfRule>
  </conditionalFormatting>
  <conditionalFormatting sqref="E31">
    <cfRule type="cellIs" dxfId="122" priority="7" operator="notEqual">
      <formula>#REF!+#REF!</formula>
    </cfRule>
  </conditionalFormatting>
  <conditionalFormatting sqref="E37">
    <cfRule type="cellIs" dxfId="121" priority="8" operator="notEqual">
      <formula>#REF!+#REF!</formula>
    </cfRule>
  </conditionalFormatting>
  <conditionalFormatting sqref="E10">
    <cfRule type="cellIs" dxfId="120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DBE2-5D85-4EF0-889A-3F5B01A4B86A}">
  <dimension ref="A1:G38"/>
  <sheetViews>
    <sheetView zoomScale="60" zoomScaleNormal="6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PTDs'!R58*0.95</f>
        <v>777296.64999999991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2138.1292498415846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777296.64999999991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18.520420308928198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3752.4168334719807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32.503337642168987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3195.0337015682253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3072.0249040578487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3072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119" priority="2" operator="notEqual">
      <formula>#REF!+#REF!</formula>
    </cfRule>
  </conditionalFormatting>
  <conditionalFormatting sqref="E14">
    <cfRule type="cellIs" dxfId="118" priority="3" operator="notEqual">
      <formula>#REF!+#REF!</formula>
    </cfRule>
  </conditionalFormatting>
  <conditionalFormatting sqref="E18">
    <cfRule type="cellIs" dxfId="117" priority="4" operator="notEqual">
      <formula>#REF!+#REF!</formula>
    </cfRule>
  </conditionalFormatting>
  <conditionalFormatting sqref="E27">
    <cfRule type="cellIs" dxfId="116" priority="5" operator="notEqual">
      <formula>#REF!+#REF!</formula>
    </cfRule>
  </conditionalFormatting>
  <conditionalFormatting sqref="E28">
    <cfRule type="cellIs" dxfId="115" priority="6" operator="notEqual">
      <formula>#REF!+#REF!</formula>
    </cfRule>
  </conditionalFormatting>
  <conditionalFormatting sqref="E31">
    <cfRule type="cellIs" dxfId="114" priority="7" operator="notEqual">
      <formula>#REF!+#REF!</formula>
    </cfRule>
  </conditionalFormatting>
  <conditionalFormatting sqref="E37">
    <cfRule type="cellIs" dxfId="113" priority="8" operator="notEqual">
      <formula>#REF!+#REF!</formula>
    </cfRule>
  </conditionalFormatting>
  <conditionalFormatting sqref="E10">
    <cfRule type="cellIs" dxfId="112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4F4E-A940-4B78-8E99-52D641C4ECDA}">
  <dimension ref="A1:G38"/>
  <sheetViews>
    <sheetView zoomScale="70" zoomScaleNormal="70" workbookViewId="0">
      <selection activeCell="E9" sqref="E9"/>
    </sheetView>
  </sheetViews>
  <sheetFormatPr defaultColWidth="8.7265625" defaultRowHeight="14.5"/>
  <cols>
    <col min="1" max="1" width="5.26953125" customWidth="1"/>
    <col min="2" max="2" width="67.7265625" bestFit="1" customWidth="1"/>
    <col min="3" max="3" width="17.26953125" bestFit="1" customWidth="1"/>
    <col min="4" max="4" width="11" bestFit="1" customWidth="1"/>
    <col min="5" max="5" width="15" customWidth="1"/>
    <col min="6" max="6" width="5.1796875" customWidth="1"/>
  </cols>
  <sheetData>
    <row r="1" spans="1:6">
      <c r="B1" t="s">
        <v>630</v>
      </c>
    </row>
    <row r="2" spans="1:6" s="25" customFormat="1" ht="23.5">
      <c r="B2" s="194" t="s">
        <v>631</v>
      </c>
      <c r="C2" s="195"/>
      <c r="D2" s="195"/>
      <c r="E2" s="196"/>
      <c r="F2" s="24"/>
    </row>
    <row r="4" spans="1:6">
      <c r="B4" s="190" t="s">
        <v>632</v>
      </c>
      <c r="C4" s="191"/>
      <c r="D4" s="191"/>
      <c r="E4" s="192"/>
    </row>
    <row r="5" spans="1:6">
      <c r="B5" s="15" t="s">
        <v>633</v>
      </c>
      <c r="C5" s="15" t="s">
        <v>634</v>
      </c>
      <c r="D5" s="15" t="s">
        <v>635</v>
      </c>
      <c r="E5" s="26">
        <v>9.0999999999999998E-2</v>
      </c>
    </row>
    <row r="6" spans="1:6">
      <c r="B6" s="15" t="s">
        <v>636</v>
      </c>
      <c r="C6" s="15" t="s">
        <v>637</v>
      </c>
      <c r="D6" s="15" t="s">
        <v>638</v>
      </c>
      <c r="E6" s="17">
        <f>'Total PTDs'!R68*0.95</f>
        <v>735456.75</v>
      </c>
    </row>
    <row r="7" spans="1:6" s="18" customFormat="1">
      <c r="A7"/>
      <c r="B7" s="15" t="s">
        <v>639</v>
      </c>
      <c r="C7" s="15" t="s">
        <v>640</v>
      </c>
      <c r="D7" s="15" t="s">
        <v>641</v>
      </c>
      <c r="E7" s="125">
        <v>4.0000000000000002E-4</v>
      </c>
      <c r="F7"/>
    </row>
    <row r="8" spans="1:6" ht="29">
      <c r="B8" s="14" t="s">
        <v>642</v>
      </c>
      <c r="C8" s="15" t="s">
        <v>643</v>
      </c>
      <c r="D8" s="15" t="s">
        <v>644</v>
      </c>
      <c r="E8" s="19">
        <f ca="1">7.5-E9</f>
        <v>7.4347500000000002</v>
      </c>
    </row>
    <row r="9" spans="1:6">
      <c r="B9" s="15" t="s">
        <v>645</v>
      </c>
      <c r="C9" s="15" t="s">
        <v>646</v>
      </c>
      <c r="D9" s="15" t="s">
        <v>644</v>
      </c>
      <c r="E9" s="19">
        <f ca="1">0.0087*E8</f>
        <v>6.5250000000000002E-2</v>
      </c>
    </row>
    <row r="10" spans="1:6">
      <c r="B10" s="15" t="s">
        <v>647</v>
      </c>
      <c r="C10" s="15" t="s">
        <v>648</v>
      </c>
      <c r="D10" s="15" t="s">
        <v>649</v>
      </c>
      <c r="E10" s="20">
        <f ca="1">(1-E5)*E6*E7*(E8+E9)</f>
        <v>2023.0391950980752</v>
      </c>
    </row>
    <row r="12" spans="1:6">
      <c r="B12" s="190" t="s">
        <v>650</v>
      </c>
      <c r="C12" s="191"/>
      <c r="D12" s="191"/>
      <c r="E12" s="192"/>
    </row>
    <row r="13" spans="1:6">
      <c r="B13" s="15" t="s">
        <v>651</v>
      </c>
      <c r="C13" s="15" t="s">
        <v>634</v>
      </c>
      <c r="D13" s="15" t="s">
        <v>635</v>
      </c>
      <c r="E13" s="100">
        <f>E5</f>
        <v>9.0999999999999998E-2</v>
      </c>
    </row>
    <row r="14" spans="1:6">
      <c r="B14" s="15" t="s">
        <v>636</v>
      </c>
      <c r="C14" s="15" t="s">
        <v>637</v>
      </c>
      <c r="D14" s="15" t="s">
        <v>638</v>
      </c>
      <c r="E14" s="17">
        <f>E6</f>
        <v>735456.75</v>
      </c>
      <c r="F14" s="18"/>
    </row>
    <row r="15" spans="1:6">
      <c r="B15" s="15" t="s">
        <v>652</v>
      </c>
      <c r="C15" s="15" t="s">
        <v>653</v>
      </c>
      <c r="D15" s="15" t="s">
        <v>641</v>
      </c>
      <c r="E15" s="125">
        <v>4.0000000000000002E-4</v>
      </c>
    </row>
    <row r="16" spans="1:6">
      <c r="B16" s="15" t="s">
        <v>654</v>
      </c>
      <c r="C16" s="15" t="s">
        <v>646</v>
      </c>
      <c r="D16" s="15" t="s">
        <v>644</v>
      </c>
      <c r="E16" s="19">
        <f ca="1">0.0087*E8</f>
        <v>6.5250000000000002E-2</v>
      </c>
    </row>
    <row r="17" spans="2:6">
      <c r="B17" s="15" t="s">
        <v>655</v>
      </c>
      <c r="C17" s="15" t="s">
        <v>656</v>
      </c>
      <c r="D17" s="15" t="s">
        <v>644</v>
      </c>
      <c r="E17" s="166">
        <v>2.7999999999999998E-4</v>
      </c>
    </row>
    <row r="18" spans="2:6">
      <c r="B18" s="15" t="s">
        <v>657</v>
      </c>
      <c r="C18" s="15" t="s">
        <v>658</v>
      </c>
      <c r="D18" s="15" t="s">
        <v>649</v>
      </c>
      <c r="E18" s="22">
        <f ca="1">(1-E13)*E14*E15*(E16+E17)</f>
        <v>17.523513228879004</v>
      </c>
    </row>
    <row r="20" spans="2:6">
      <c r="B20" s="190" t="s">
        <v>659</v>
      </c>
      <c r="C20" s="191"/>
      <c r="D20" s="191"/>
      <c r="E20" s="192"/>
    </row>
    <row r="21" spans="2:6">
      <c r="B21" s="14" t="s">
        <v>660</v>
      </c>
      <c r="C21" s="15" t="s">
        <v>660</v>
      </c>
      <c r="D21" s="15" t="s">
        <v>635</v>
      </c>
      <c r="E21" s="100">
        <v>0.92</v>
      </c>
    </row>
    <row r="22" spans="2:6">
      <c r="B22" s="15" t="s">
        <v>661</v>
      </c>
      <c r="C22" s="15" t="s">
        <v>662</v>
      </c>
      <c r="D22" s="15" t="s">
        <v>663</v>
      </c>
      <c r="E22" s="16">
        <v>112</v>
      </c>
      <c r="F22" s="18"/>
    </row>
    <row r="23" spans="2:6">
      <c r="B23" s="15" t="s">
        <v>664</v>
      </c>
      <c r="C23" s="15" t="s">
        <v>665</v>
      </c>
      <c r="D23" s="15" t="s">
        <v>666</v>
      </c>
      <c r="E23" s="170">
        <v>9.4600000000000009</v>
      </c>
    </row>
    <row r="24" spans="2:6">
      <c r="B24" s="15" t="s">
        <v>667</v>
      </c>
      <c r="C24" s="15" t="s">
        <v>668</v>
      </c>
      <c r="D24" s="15" t="s">
        <v>669</v>
      </c>
      <c r="E24" s="16">
        <v>1.5599999999999999E-2</v>
      </c>
    </row>
    <row r="26" spans="2:6">
      <c r="B26" s="190" t="s">
        <v>670</v>
      </c>
      <c r="C26" s="191"/>
      <c r="D26" s="191"/>
      <c r="E26" s="192"/>
    </row>
    <row r="27" spans="2:6">
      <c r="B27" s="15" t="s">
        <v>671</v>
      </c>
      <c r="C27" s="15" t="s">
        <v>672</v>
      </c>
      <c r="D27" s="15" t="s">
        <v>673</v>
      </c>
      <c r="E27" s="17">
        <f ca="1">E10*((E22*E21)+E23)*E24</f>
        <v>3550.4337873971217</v>
      </c>
    </row>
    <row r="28" spans="2:6">
      <c r="B28" s="15" t="s">
        <v>674</v>
      </c>
      <c r="C28" s="15" t="s">
        <v>675</v>
      </c>
      <c r="D28" s="15" t="s">
        <v>673</v>
      </c>
      <c r="E28" s="27">
        <f ca="1">E18*((E22*E21)+E23)*E24</f>
        <v>30.753765716682654</v>
      </c>
    </row>
    <row r="29" spans="2:6">
      <c r="B29" s="15" t="s">
        <v>676</v>
      </c>
      <c r="C29" s="15" t="s">
        <v>677</v>
      </c>
      <c r="D29" s="15" t="s">
        <v>678</v>
      </c>
      <c r="E29" s="100">
        <v>0.8589</v>
      </c>
    </row>
    <row r="30" spans="2:6">
      <c r="B30" s="15" t="s">
        <v>679</v>
      </c>
      <c r="C30" s="15" t="s">
        <v>680</v>
      </c>
      <c r="D30" s="15" t="s">
        <v>673</v>
      </c>
      <c r="E30" s="16">
        <v>0</v>
      </c>
    </row>
    <row r="31" spans="2:6">
      <c r="B31" s="15" t="s">
        <v>681</v>
      </c>
      <c r="C31" s="15" t="s">
        <v>682</v>
      </c>
      <c r="D31" s="15" t="s">
        <v>673</v>
      </c>
      <c r="E31" s="17">
        <f ca="1">((E27-E28)*E29)-E30</f>
        <v>3023.0531706213292</v>
      </c>
    </row>
    <row r="32" spans="2:6">
      <c r="B32" s="5"/>
      <c r="C32" s="5"/>
      <c r="D32" s="5"/>
      <c r="E32" s="28"/>
    </row>
    <row r="33" spans="2:7">
      <c r="B33" s="193" t="s">
        <v>683</v>
      </c>
      <c r="C33" s="193"/>
      <c r="D33" s="193"/>
      <c r="E33" s="193"/>
    </row>
    <row r="34" spans="2:7">
      <c r="B34" s="4" t="s">
        <v>684</v>
      </c>
      <c r="C34" s="15"/>
      <c r="D34" s="6"/>
      <c r="E34" s="100">
        <f>1-E35</f>
        <v>0.96150000000000002</v>
      </c>
    </row>
    <row r="35" spans="2:7">
      <c r="B35" s="4" t="s">
        <v>685</v>
      </c>
      <c r="C35" s="15" t="s">
        <v>686</v>
      </c>
      <c r="D35" s="6" t="s">
        <v>687</v>
      </c>
      <c r="E35" s="26">
        <v>3.85E-2</v>
      </c>
    </row>
    <row r="37" spans="2:7" s="99" customFormat="1">
      <c r="B37" s="98" t="s">
        <v>681</v>
      </c>
      <c r="C37" s="98" t="s">
        <v>688</v>
      </c>
      <c r="D37" s="98" t="s">
        <v>673</v>
      </c>
      <c r="E37" s="101">
        <f ca="1">E31*(1-E35)</f>
        <v>2906.6656235524079</v>
      </c>
      <c r="F37"/>
      <c r="G37"/>
    </row>
    <row r="38" spans="2:7">
      <c r="B38" s="97" t="s">
        <v>689</v>
      </c>
      <c r="C38" s="96" t="s">
        <v>688</v>
      </c>
      <c r="D38" s="96" t="s">
        <v>673</v>
      </c>
      <c r="E38" s="102">
        <f ca="1">ROUNDDOWN(IF(E37&gt;=10000,"10,000.00",E37),0)</f>
        <v>2906</v>
      </c>
    </row>
  </sheetData>
  <mergeCells count="6">
    <mergeCell ref="B33:E33"/>
    <mergeCell ref="B2:E2"/>
    <mergeCell ref="B4:E4"/>
    <mergeCell ref="B12:E12"/>
    <mergeCell ref="B20:E20"/>
    <mergeCell ref="B26:E26"/>
  </mergeCells>
  <conditionalFormatting sqref="E6">
    <cfRule type="cellIs" dxfId="111" priority="2" operator="notEqual">
      <formula>#REF!+#REF!</formula>
    </cfRule>
  </conditionalFormatting>
  <conditionalFormatting sqref="E14">
    <cfRule type="cellIs" dxfId="110" priority="3" operator="notEqual">
      <formula>#REF!+#REF!</formula>
    </cfRule>
  </conditionalFormatting>
  <conditionalFormatting sqref="E18">
    <cfRule type="cellIs" dxfId="109" priority="4" operator="notEqual">
      <formula>#REF!+#REF!</formula>
    </cfRule>
  </conditionalFormatting>
  <conditionalFormatting sqref="E27">
    <cfRule type="cellIs" dxfId="108" priority="5" operator="notEqual">
      <formula>#REF!+#REF!</formula>
    </cfRule>
  </conditionalFormatting>
  <conditionalFormatting sqref="E28">
    <cfRule type="cellIs" dxfId="107" priority="6" operator="notEqual">
      <formula>#REF!+#REF!</formula>
    </cfRule>
  </conditionalFormatting>
  <conditionalFormatting sqref="E31">
    <cfRule type="cellIs" dxfId="106" priority="7" operator="notEqual">
      <formula>#REF!+#REF!</formula>
    </cfRule>
  </conditionalFormatting>
  <conditionalFormatting sqref="E37">
    <cfRule type="cellIs" dxfId="105" priority="8" operator="notEqual">
      <formula>#REF!+#REF!</formula>
    </cfRule>
  </conditionalFormatting>
  <conditionalFormatting sqref="E10">
    <cfRule type="cellIs" dxfId="104" priority="1" operator="notEqual">
      <formula>#REF!+#REF!</formula>
    </cfRule>
  </conditionalFormatting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7" ma:contentTypeDescription="Create a new document." ma:contentTypeScope="" ma:versionID="439770bec7794d21e15900065ecc15c8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1bbc5ad7ea28e613aaec200fd9de14a7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05b797-93a9-4c36-9d72-1ad65c8e5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7f6c16-a42c-4dfe-b35d-62a0e7d34d20}" ma:internalName="TaxCatchAll" ma:showField="CatchAllData" ma:web="83a6049c-05c8-4e22-bd03-2c19a5f84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cf76f155ced4ddcb4097134ff3c332f xmlns="8bcd9205-aa71-43b1-82fe-dcc00a36dd04">
      <Terms xmlns="http://schemas.microsoft.com/office/infopath/2007/PartnerControls"/>
    </lcf76f155ced4ddcb4097134ff3c332f>
    <TaxCatchAll xmlns="83a6049c-05c8-4e22-bd03-2c19a5f84a8b" xsi:nil="true"/>
  </documentManagement>
</p:properties>
</file>

<file path=customXml/itemProps1.xml><?xml version="1.0" encoding="utf-8"?>
<ds:datastoreItem xmlns:ds="http://schemas.openxmlformats.org/officeDocument/2006/customXml" ds:itemID="{BE0DAEFA-4521-41D8-BAAB-E4BEA085B1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39B4E9-D05B-4F7C-85C9-DC376A9A0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7A23DD-0D1E-4743-A696-B3155B8A6C76}">
  <ds:schemaRefs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sharepoint/v3"/>
    <ds:schemaRef ds:uri="8bcd9205-aa71-43b1-82fe-dcc00a36dd04"/>
    <ds:schemaRef ds:uri="http://schemas.microsoft.com/office/2006/metadata/properties"/>
    <ds:schemaRef ds:uri="http://schemas.openxmlformats.org/package/2006/metadata/core-properties"/>
    <ds:schemaRef ds:uri="83a6049c-05c8-4e22-bd03-2c19a5f84a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Summary</vt:lpstr>
      <vt:lpstr>Total PTDs</vt:lpstr>
      <vt:lpstr>SDGs Calculations</vt:lpstr>
      <vt:lpstr>GS5329</vt:lpstr>
      <vt:lpstr>GS5330</vt:lpstr>
      <vt:lpstr>GS5331</vt:lpstr>
      <vt:lpstr>GS5332</vt:lpstr>
      <vt:lpstr>GS5335</vt:lpstr>
      <vt:lpstr>GS5336</vt:lpstr>
      <vt:lpstr>GS5337</vt:lpstr>
      <vt:lpstr>GS5338</vt:lpstr>
      <vt:lpstr>GS5339</vt:lpstr>
      <vt:lpstr>GS5340</vt:lpstr>
      <vt:lpstr>GS5341</vt:lpstr>
      <vt:lpstr>GS5342</vt:lpstr>
      <vt:lpstr>GS5343</vt:lpstr>
      <vt:lpstr>GS5344</vt:lpstr>
      <vt:lpstr>GS5437</vt:lpstr>
      <vt:lpstr>GS5438</vt:lpstr>
      <vt:lpstr>GS5439</vt:lpstr>
      <vt:lpstr>GS5440</vt:lpstr>
      <vt:lpstr>GS5441</vt:lpstr>
      <vt:lpstr>Water Supply Calculations (2)</vt:lpstr>
      <vt:lpstr>Sheet1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co2balance PC 3</dc:creator>
  <cp:keywords/>
  <dc:description/>
  <cp:lastModifiedBy>Amie Nevin</cp:lastModifiedBy>
  <cp:revision/>
  <dcterms:created xsi:type="dcterms:W3CDTF">2014-12-10T09:27:05Z</dcterms:created>
  <dcterms:modified xsi:type="dcterms:W3CDTF">2023-01-09T10:36:44Z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AuthorIds_UIVersion_512">
    <vt:lpwstr>151</vt:lpwstr>
  </property>
  <property fmtid="{D5CDD505-2E9C-101B-9397-08002B2CF9AE}" pid="4" name="MediaServiceImageTags">
    <vt:lpwstr/>
  </property>
</Properties>
</file>