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comments6.xml" ContentType="application/vnd.openxmlformats-officedocument.spreadsheetml.comments+xml"/>
  <Override PartName="/xl/threadedComments/threadedComment6.xml" ContentType="application/vnd.ms-excel.threadedcomments+xml"/>
  <Override PartName="/xl/comments7.xml" ContentType="application/vnd.openxmlformats-officedocument.spreadsheetml.comments+xml"/>
  <Override PartName="/xl/threadedComments/threadedComment7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staincertcom-my.sharepoint.com/personal/shivraj_sharma_sustain-cert_com/Documents/Projects/GS1294_GS5951/PD Reply 27092022/TR Docket/"/>
    </mc:Choice>
  </mc:AlternateContent>
  <xr:revisionPtr revIDLastSave="271" documentId="8_{6D939C25-B32B-4545-B5D8-D4E33BB8925A}" xr6:coauthVersionLast="47" xr6:coauthVersionMax="47" xr10:uidLastSave="{A0415E5A-2835-4AB3-B964-041982439CB9}"/>
  <bookViews>
    <workbookView xWindow="-110" yWindow="-110" windowWidth="19420" windowHeight="10420" tabRatio="598" xr2:uid="{29D7A39C-795C-4093-8B50-33C807715594}"/>
  </bookViews>
  <sheets>
    <sheet name="All VPAs SDG Summary" sheetId="42" r:id="rId1"/>
    <sheet name="VPA 122 Summary" sheetId="2" r:id="rId2"/>
    <sheet name="VPA 122 ER Calcs" sheetId="3" r:id="rId3"/>
    <sheet name="VPA 122 PTDs" sheetId="1" r:id="rId4"/>
    <sheet name="VPA 122 Downdays" sheetId="43" r:id="rId5"/>
    <sheet name="VPA 122 SDGs calcs" sheetId="4" r:id="rId6"/>
    <sheet name="VPA 123 Summary" sheetId="5" r:id="rId7"/>
    <sheet name="VPA 123 ER Calcs" sheetId="6" r:id="rId8"/>
    <sheet name="VPA 123 PTDs" sheetId="7" r:id="rId9"/>
    <sheet name="VPA 123 Downdays" sheetId="8" r:id="rId10"/>
    <sheet name="VPA 123 SDGs Calculations" sheetId="10" r:id="rId11"/>
    <sheet name="VPA 124 Summary" sheetId="11" r:id="rId12"/>
    <sheet name="VPA 124 ER Calcs" sheetId="12" r:id="rId13"/>
    <sheet name="VPA 124 PTDs" sheetId="13" r:id="rId14"/>
    <sheet name="VPA 124 Downdays" sheetId="14" r:id="rId15"/>
    <sheet name="VPA 124 SDGs Calculations" sheetId="16" r:id="rId16"/>
    <sheet name="VPA 125 Summary" sheetId="17" r:id="rId17"/>
    <sheet name="VPA 125 ER Calcs" sheetId="18" r:id="rId18"/>
    <sheet name="VPA 125 PTDs" sheetId="19" r:id="rId19"/>
    <sheet name="VPA 125 Downdays" sheetId="20" r:id="rId20"/>
    <sheet name="VPA 125 SDGs Calculations" sheetId="22" r:id="rId21"/>
    <sheet name="VPA 126 Summary" sheetId="24" r:id="rId22"/>
    <sheet name="VPA 126 ER Calcs" sheetId="25" r:id="rId23"/>
    <sheet name="VPA 126 PTDs" sheetId="26" r:id="rId24"/>
    <sheet name="VPA 126 Downdays" sheetId="27" r:id="rId25"/>
    <sheet name="VPA 126 SDGs Calculations" sheetId="29" r:id="rId26"/>
    <sheet name="VPA 129 Summary" sheetId="30" r:id="rId27"/>
    <sheet name="VPA 129 ER Calcs" sheetId="31" r:id="rId28"/>
    <sheet name="VPA 129 PTDs" sheetId="32" r:id="rId29"/>
    <sheet name="VPA 129 Downdays" sheetId="33" r:id="rId30"/>
    <sheet name="VPA 129 SDGs Calculations" sheetId="35" r:id="rId31"/>
    <sheet name="VPA 130 Summary" sheetId="36" r:id="rId32"/>
    <sheet name="VPA 130 ER Calcs" sheetId="37" r:id="rId33"/>
    <sheet name="VPA 130 PTDs" sheetId="38" r:id="rId34"/>
    <sheet name="VPA 130 Downdays" sheetId="39" r:id="rId35"/>
    <sheet name="VPA 130 SDGs Calculations" sheetId="41" r:id="rId36"/>
  </sheets>
  <externalReferences>
    <externalReference r:id="rId37"/>
    <externalReference r:id="rId38"/>
  </externalReferences>
  <definedNames>
    <definedName name="_xlnm._FilterDatabase" localSheetId="8" hidden="1">'VPA 123 PTDs'!$B$2:$I$2</definedName>
    <definedName name="_xlnm._FilterDatabase" localSheetId="13" hidden="1">'VPA 124 PTDs'!$B$2:$I$2</definedName>
    <definedName name="_xlnm._FilterDatabase" localSheetId="18" hidden="1">'VPA 125 PTDs'!$B$2:$I$2</definedName>
    <definedName name="_xlnm._FilterDatabase" localSheetId="23" hidden="1">'VPA 126 PTDs'!$B$2:$I$2</definedName>
    <definedName name="_xlnm._FilterDatabase" localSheetId="28" hidden="1">'VPA 129 PTDs'!$B$2:$I$2</definedName>
    <definedName name="_xlnm._FilterDatabase" localSheetId="33" hidden="1">'VPA 130 PTDs'!$B$2:$I$2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2" l="1"/>
  <c r="E23" i="3"/>
  <c r="D18" i="4" l="1"/>
  <c r="J4" i="39" l="1"/>
  <c r="J12" i="33"/>
  <c r="J10" i="33"/>
  <c r="J6" i="33"/>
  <c r="C28" i="38" l="1"/>
  <c r="C35" i="32"/>
  <c r="C33" i="32"/>
  <c r="O6" i="3"/>
  <c r="J6" i="3"/>
  <c r="E7" i="3"/>
  <c r="E6" i="3"/>
  <c r="E26" i="2"/>
  <c r="E25" i="2"/>
  <c r="E22" i="2" l="1"/>
  <c r="E13" i="2"/>
  <c r="E12" i="2"/>
  <c r="E9" i="2"/>
  <c r="M7" i="42" l="1"/>
  <c r="M5" i="42"/>
  <c r="M4" i="42"/>
  <c r="M3" i="42"/>
  <c r="M2" i="42"/>
  <c r="L6" i="42"/>
  <c r="L5" i="42"/>
  <c r="L4" i="42"/>
  <c r="L3" i="42"/>
  <c r="L2" i="42"/>
  <c r="K5" i="42"/>
  <c r="K4" i="42"/>
  <c r="K3" i="42"/>
  <c r="K2" i="42"/>
  <c r="J6" i="42"/>
  <c r="J5" i="42"/>
  <c r="J4" i="42"/>
  <c r="J3" i="42"/>
  <c r="J2" i="42"/>
  <c r="O20" i="1"/>
  <c r="O21" i="1"/>
  <c r="O22" i="1"/>
  <c r="O23" i="1"/>
  <c r="O24" i="1"/>
  <c r="O25" i="1"/>
  <c r="O26" i="1"/>
  <c r="O27" i="1"/>
  <c r="O28" i="1"/>
  <c r="O19" i="1"/>
  <c r="M20" i="1"/>
  <c r="M21" i="1"/>
  <c r="M22" i="1"/>
  <c r="M23" i="1"/>
  <c r="P23" i="1" s="1"/>
  <c r="M24" i="1"/>
  <c r="M25" i="1"/>
  <c r="M26" i="1"/>
  <c r="M27" i="1"/>
  <c r="P27" i="1" s="1"/>
  <c r="M28" i="1"/>
  <c r="M19" i="1"/>
  <c r="N28" i="1"/>
  <c r="L28" i="1"/>
  <c r="N27" i="1"/>
  <c r="L27" i="1"/>
  <c r="N26" i="1"/>
  <c r="L26" i="1"/>
  <c r="N25" i="1"/>
  <c r="L25" i="1"/>
  <c r="N24" i="1"/>
  <c r="L24" i="1"/>
  <c r="N23" i="1"/>
  <c r="L23" i="1"/>
  <c r="N22" i="1"/>
  <c r="L22" i="1"/>
  <c r="P22" i="1" s="1"/>
  <c r="N21" i="1"/>
  <c r="L21" i="1"/>
  <c r="N20" i="1"/>
  <c r="L20" i="1"/>
  <c r="N19" i="1"/>
  <c r="P19" i="1"/>
  <c r="L19" i="1"/>
  <c r="D24" i="1"/>
  <c r="I2" i="42" s="1"/>
  <c r="I6" i="42"/>
  <c r="I5" i="42"/>
  <c r="I4" i="42"/>
  <c r="I3" i="42"/>
  <c r="H6" i="42"/>
  <c r="H5" i="42"/>
  <c r="H4" i="42"/>
  <c r="H3" i="42"/>
  <c r="H2" i="42"/>
  <c r="J12" i="43"/>
  <c r="J11" i="43"/>
  <c r="J10" i="43"/>
  <c r="J9" i="43"/>
  <c r="J8" i="43"/>
  <c r="J7" i="43"/>
  <c r="J6" i="43"/>
  <c r="J5" i="43"/>
  <c r="J4" i="43"/>
  <c r="J3" i="43"/>
  <c r="J13" i="43" s="1"/>
  <c r="P21" i="1" l="1"/>
  <c r="P25" i="1"/>
  <c r="P26" i="1"/>
  <c r="O29" i="1"/>
  <c r="P20" i="1"/>
  <c r="P24" i="1"/>
  <c r="P28" i="1"/>
  <c r="M29" i="1"/>
  <c r="P29" i="1" l="1"/>
  <c r="F6" i="42" l="1"/>
  <c r="F5" i="42"/>
  <c r="F4" i="42"/>
  <c r="F3" i="42"/>
  <c r="E6" i="42"/>
  <c r="E5" i="42"/>
  <c r="E4" i="42"/>
  <c r="E3" i="42"/>
  <c r="D8" i="42"/>
  <c r="D7" i="42"/>
  <c r="D6" i="42"/>
  <c r="D5" i="42"/>
  <c r="D4" i="42"/>
  <c r="D3" i="42"/>
  <c r="D2" i="42"/>
  <c r="C8" i="42"/>
  <c r="C7" i="42"/>
  <c r="C6" i="42"/>
  <c r="C5" i="42"/>
  <c r="C4" i="42"/>
  <c r="C3" i="42"/>
  <c r="D9" i="4"/>
  <c r="E23" i="25" l="1"/>
  <c r="I3" i="38"/>
  <c r="I5" i="38"/>
  <c r="I4" i="38"/>
  <c r="I6" i="38"/>
  <c r="I7" i="38"/>
  <c r="I8" i="38"/>
  <c r="I9" i="38"/>
  <c r="I10" i="38"/>
  <c r="I11" i="38"/>
  <c r="I12" i="38"/>
  <c r="C12" i="41"/>
  <c r="C9" i="41"/>
  <c r="C5" i="41"/>
  <c r="C4" i="41"/>
  <c r="C3" i="41" s="1"/>
  <c r="I13" i="38"/>
  <c r="J16" i="39"/>
  <c r="I16" i="39"/>
  <c r="K15" i="39"/>
  <c r="K14" i="39"/>
  <c r="K13" i="39"/>
  <c r="K12" i="39"/>
  <c r="K11" i="39"/>
  <c r="K10" i="39"/>
  <c r="K9" i="39"/>
  <c r="K8" i="39"/>
  <c r="K7" i="39"/>
  <c r="K6" i="39"/>
  <c r="K5" i="39"/>
  <c r="K4" i="39"/>
  <c r="K16" i="39" s="1"/>
  <c r="H8" i="42" s="1"/>
  <c r="C29" i="38"/>
  <c r="C23" i="38"/>
  <c r="F24" i="38"/>
  <c r="D24" i="38"/>
  <c r="E24" i="38" s="1"/>
  <c r="C24" i="38"/>
  <c r="J35" i="37"/>
  <c r="O35" i="37" s="1"/>
  <c r="E27" i="36" s="1"/>
  <c r="E35" i="37"/>
  <c r="O34" i="37"/>
  <c r="J34" i="37"/>
  <c r="J29" i="37"/>
  <c r="O29" i="37" s="1"/>
  <c r="E29" i="37"/>
  <c r="J23" i="37"/>
  <c r="O13" i="37"/>
  <c r="J13" i="37"/>
  <c r="E13" i="37"/>
  <c r="E7" i="37"/>
  <c r="E15" i="37" s="1"/>
  <c r="E26" i="36"/>
  <c r="E23" i="36"/>
  <c r="E13" i="36"/>
  <c r="E12" i="36"/>
  <c r="E9" i="36"/>
  <c r="I14" i="38" l="1"/>
  <c r="I15" i="38" s="1"/>
  <c r="M8" i="42" s="1"/>
  <c r="G24" i="38"/>
  <c r="D23" i="38"/>
  <c r="E23" i="38" s="1"/>
  <c r="C26" i="38"/>
  <c r="D26" i="38" s="1"/>
  <c r="I8" i="42" s="1"/>
  <c r="J3" i="38"/>
  <c r="J7" i="38"/>
  <c r="J7" i="37"/>
  <c r="F23" i="38"/>
  <c r="G23" i="38" l="1"/>
  <c r="L12" i="38" s="1"/>
  <c r="M12" i="38" s="1"/>
  <c r="J15" i="38"/>
  <c r="O7" i="37"/>
  <c r="O15" i="37" s="1"/>
  <c r="J15" i="37"/>
  <c r="L28" i="38"/>
  <c r="M28" i="38" s="1"/>
  <c r="L21" i="38"/>
  <c r="M21" i="38" s="1"/>
  <c r="L14" i="38"/>
  <c r="M14" i="38" s="1"/>
  <c r="P14" i="38" s="1"/>
  <c r="L10" i="38"/>
  <c r="M10" i="38" s="1"/>
  <c r="L8" i="38"/>
  <c r="M8" i="38" s="1"/>
  <c r="L4" i="38"/>
  <c r="M4" i="38" s="1"/>
  <c r="L27" i="38"/>
  <c r="M27" i="38" s="1"/>
  <c r="L25" i="38"/>
  <c r="M25" i="38" s="1"/>
  <c r="L19" i="38"/>
  <c r="M19" i="38" s="1"/>
  <c r="L11" i="38"/>
  <c r="M11" i="38" s="1"/>
  <c r="L9" i="38"/>
  <c r="M9" i="38" s="1"/>
  <c r="L7" i="38"/>
  <c r="M7" i="38" s="1"/>
  <c r="L23" i="38"/>
  <c r="M23" i="38" s="1"/>
  <c r="L20" i="38"/>
  <c r="M20" i="38" s="1"/>
  <c r="L26" i="38"/>
  <c r="M26" i="38" s="1"/>
  <c r="L22" i="38"/>
  <c r="M22" i="38" s="1"/>
  <c r="L5" i="38"/>
  <c r="M5" i="38" s="1"/>
  <c r="L3" i="38"/>
  <c r="M3" i="38" s="1"/>
  <c r="N29" i="38"/>
  <c r="O29" i="38" s="1"/>
  <c r="N27" i="38"/>
  <c r="O27" i="38" s="1"/>
  <c r="N25" i="38"/>
  <c r="O25" i="38" s="1"/>
  <c r="N19" i="38"/>
  <c r="O19" i="38" s="1"/>
  <c r="N13" i="38"/>
  <c r="O13" i="38" s="1"/>
  <c r="N11" i="38"/>
  <c r="O11" i="38" s="1"/>
  <c r="N9" i="38"/>
  <c r="O9" i="38" s="1"/>
  <c r="N7" i="38"/>
  <c r="O7" i="38" s="1"/>
  <c r="N24" i="38"/>
  <c r="O24" i="38" s="1"/>
  <c r="N28" i="38"/>
  <c r="O28" i="38" s="1"/>
  <c r="N21" i="38"/>
  <c r="O21" i="38" s="1"/>
  <c r="N14" i="38"/>
  <c r="O14" i="38" s="1"/>
  <c r="N12" i="38"/>
  <c r="O12" i="38" s="1"/>
  <c r="N10" i="38"/>
  <c r="O10" i="38" s="1"/>
  <c r="N8" i="38"/>
  <c r="O8" i="38" s="1"/>
  <c r="N22" i="38"/>
  <c r="O22" i="38" s="1"/>
  <c r="N5" i="38"/>
  <c r="O5" i="38" s="1"/>
  <c r="N3" i="38"/>
  <c r="O3" i="38" s="1"/>
  <c r="N30" i="38"/>
  <c r="O30" i="38" s="1"/>
  <c r="N23" i="38"/>
  <c r="O23" i="38" s="1"/>
  <c r="N20" i="38"/>
  <c r="O20" i="38" s="1"/>
  <c r="N6" i="38"/>
  <c r="O6" i="38" s="1"/>
  <c r="N4" i="38"/>
  <c r="O4" i="38" s="1"/>
  <c r="N26" i="38"/>
  <c r="O26" i="38" s="1"/>
  <c r="L6" i="38" l="1"/>
  <c r="M6" i="38" s="1"/>
  <c r="L24" i="38"/>
  <c r="M24" i="38" s="1"/>
  <c r="P24" i="38" s="1"/>
  <c r="L30" i="38"/>
  <c r="M30" i="38" s="1"/>
  <c r="P30" i="38" s="1"/>
  <c r="L13" i="38"/>
  <c r="M13" i="38" s="1"/>
  <c r="L29" i="38"/>
  <c r="M29" i="38" s="1"/>
  <c r="C18" i="41"/>
  <c r="C17" i="41" s="1"/>
  <c r="E8" i="42" s="1"/>
  <c r="L8" i="42"/>
  <c r="P26" i="38"/>
  <c r="P7" i="38"/>
  <c r="O15" i="38"/>
  <c r="O6" i="37" s="1"/>
  <c r="P5" i="38"/>
  <c r="P20" i="38"/>
  <c r="P9" i="38"/>
  <c r="P25" i="38"/>
  <c r="P8" i="38"/>
  <c r="P21" i="38"/>
  <c r="P3" i="38"/>
  <c r="P19" i="38"/>
  <c r="P22" i="38"/>
  <c r="P23" i="38"/>
  <c r="P11" i="38"/>
  <c r="P27" i="38"/>
  <c r="P10" i="38"/>
  <c r="P28" i="38"/>
  <c r="P4" i="38"/>
  <c r="O31" i="38"/>
  <c r="P13" i="38"/>
  <c r="P29" i="38"/>
  <c r="P12" i="38"/>
  <c r="M31" i="38" l="1"/>
  <c r="M15" i="38"/>
  <c r="J6" i="37" s="1"/>
  <c r="J14" i="37" s="1"/>
  <c r="J18" i="37" s="1"/>
  <c r="J28" i="37" s="1"/>
  <c r="E7" i="36" s="1"/>
  <c r="P6" i="38"/>
  <c r="P15" i="38" s="1"/>
  <c r="J8" i="42" s="1"/>
  <c r="P31" i="38"/>
  <c r="K8" i="42" s="1"/>
  <c r="O14" i="37"/>
  <c r="O18" i="37" s="1"/>
  <c r="O28" i="37" s="1"/>
  <c r="E21" i="36" s="1"/>
  <c r="O10" i="37"/>
  <c r="O27" i="37" s="1"/>
  <c r="J10" i="37" l="1"/>
  <c r="J27" i="37" s="1"/>
  <c r="E6" i="36" s="1"/>
  <c r="E6" i="37"/>
  <c r="E23" i="37" s="1"/>
  <c r="E20" i="36"/>
  <c r="O31" i="37"/>
  <c r="E14" i="37" l="1"/>
  <c r="E18" i="37" s="1"/>
  <c r="E28" i="37" s="1"/>
  <c r="J31" i="37"/>
  <c r="E10" i="37"/>
  <c r="E27" i="37" s="1"/>
  <c r="E31" i="37" s="1"/>
  <c r="E36" i="37" s="1"/>
  <c r="O36" i="37"/>
  <c r="O38" i="37" s="1"/>
  <c r="E29" i="36" s="1"/>
  <c r="E24" i="36"/>
  <c r="E28" i="36" s="1"/>
  <c r="J36" i="37"/>
  <c r="E10" i="36"/>
  <c r="E14" i="36" l="1"/>
  <c r="J38" i="37"/>
  <c r="E35" i="36"/>
  <c r="K7" i="36"/>
  <c r="L7" i="36" s="1"/>
  <c r="E38" i="37" l="1"/>
  <c r="E15" i="36"/>
  <c r="K6" i="36" l="1"/>
  <c r="K8" i="36" s="1"/>
  <c r="E34" i="36"/>
  <c r="E36" i="36" l="1"/>
  <c r="C23" i="41" s="1"/>
  <c r="F8" i="42" s="1"/>
  <c r="J6" i="36"/>
  <c r="J8" i="36" l="1"/>
  <c r="L6" i="36"/>
  <c r="L8" i="36" s="1"/>
  <c r="C12" i="35" l="1"/>
  <c r="C9" i="35"/>
  <c r="C5" i="35"/>
  <c r="C4" i="35"/>
  <c r="C3" i="35"/>
  <c r="J17" i="33"/>
  <c r="I17" i="33"/>
  <c r="K16" i="33"/>
  <c r="K15" i="33"/>
  <c r="K14" i="33"/>
  <c r="K13" i="33"/>
  <c r="K12" i="33"/>
  <c r="K11" i="33"/>
  <c r="K10" i="33"/>
  <c r="K9" i="33"/>
  <c r="K8" i="33"/>
  <c r="K7" i="33"/>
  <c r="K6" i="33"/>
  <c r="K5" i="33"/>
  <c r="K4" i="33"/>
  <c r="C34" i="32"/>
  <c r="F26" i="32"/>
  <c r="C26" i="32"/>
  <c r="D26" i="32" s="1"/>
  <c r="E26" i="32" s="1"/>
  <c r="G26" i="32" s="1"/>
  <c r="F25" i="32"/>
  <c r="C25" i="32"/>
  <c r="C27" i="32" s="1"/>
  <c r="I16" i="32"/>
  <c r="J12" i="32"/>
  <c r="J7" i="32"/>
  <c r="J4" i="32"/>
  <c r="J16" i="32" s="1"/>
  <c r="E35" i="31"/>
  <c r="J35" i="31" s="1"/>
  <c r="J34" i="31"/>
  <c r="O34" i="31" s="1"/>
  <c r="E25" i="30" s="1"/>
  <c r="E29" i="31"/>
  <c r="J29" i="31" s="1"/>
  <c r="O29" i="31" s="1"/>
  <c r="J23" i="31"/>
  <c r="O13" i="31"/>
  <c r="J13" i="31"/>
  <c r="E13" i="31"/>
  <c r="E7" i="31"/>
  <c r="J7" i="31" s="1"/>
  <c r="E22" i="30"/>
  <c r="E12" i="30"/>
  <c r="E9" i="30"/>
  <c r="K17" i="33" l="1"/>
  <c r="H7" i="42" s="1"/>
  <c r="C18" i="35"/>
  <c r="C17" i="35" s="1"/>
  <c r="E7" i="42" s="1"/>
  <c r="L7" i="42"/>
  <c r="N32" i="32"/>
  <c r="O32" i="32" s="1"/>
  <c r="N28" i="32"/>
  <c r="O28" i="32" s="1"/>
  <c r="N26" i="32"/>
  <c r="O26" i="32" s="1"/>
  <c r="N24" i="32"/>
  <c r="O24" i="32" s="1"/>
  <c r="N12" i="32"/>
  <c r="O12" i="32" s="1"/>
  <c r="N9" i="32"/>
  <c r="O9" i="32" s="1"/>
  <c r="N6" i="32"/>
  <c r="O6" i="32" s="1"/>
  <c r="N3" i="32"/>
  <c r="O3" i="32" s="1"/>
  <c r="N29" i="32"/>
  <c r="O29" i="32" s="1"/>
  <c r="N21" i="32"/>
  <c r="O21" i="32" s="1"/>
  <c r="N31" i="32"/>
  <c r="O31" i="32" s="1"/>
  <c r="N27" i="32"/>
  <c r="O27" i="32" s="1"/>
  <c r="N23" i="32"/>
  <c r="O23" i="32" s="1"/>
  <c r="N15" i="32"/>
  <c r="O15" i="32" s="1"/>
  <c r="N8" i="32"/>
  <c r="O8" i="32" s="1"/>
  <c r="N5" i="32"/>
  <c r="O5" i="32" s="1"/>
  <c r="N33" i="32"/>
  <c r="O33" i="32" s="1"/>
  <c r="N30" i="32"/>
  <c r="O30" i="32" s="1"/>
  <c r="N25" i="32"/>
  <c r="O25" i="32" s="1"/>
  <c r="N22" i="32"/>
  <c r="O22" i="32" s="1"/>
  <c r="N14" i="32"/>
  <c r="O14" i="32" s="1"/>
  <c r="N11" i="32"/>
  <c r="O11" i="32" s="1"/>
  <c r="N7" i="32"/>
  <c r="O7" i="32" s="1"/>
  <c r="N4" i="32"/>
  <c r="O4" i="32" s="1"/>
  <c r="N13" i="32"/>
  <c r="O13" i="32" s="1"/>
  <c r="N10" i="32"/>
  <c r="O10" i="32" s="1"/>
  <c r="J15" i="31"/>
  <c r="O7" i="31"/>
  <c r="O15" i="31" s="1"/>
  <c r="O35" i="31"/>
  <c r="E26" i="30" s="1"/>
  <c r="E13" i="30"/>
  <c r="D27" i="32"/>
  <c r="I7" i="42" s="1"/>
  <c r="I11" i="42" s="1"/>
  <c r="D25" i="32"/>
  <c r="E25" i="32" s="1"/>
  <c r="G25" i="32" s="1"/>
  <c r="D26" i="33"/>
  <c r="E15" i="31"/>
  <c r="H10" i="42" l="1"/>
  <c r="H11" i="42"/>
  <c r="L10" i="42"/>
  <c r="L11" i="42"/>
  <c r="L33" i="32"/>
  <c r="M33" i="32" s="1"/>
  <c r="P33" i="32" s="1"/>
  <c r="L30" i="32"/>
  <c r="M30" i="32" s="1"/>
  <c r="P30" i="32" s="1"/>
  <c r="L25" i="32"/>
  <c r="M25" i="32" s="1"/>
  <c r="P25" i="32" s="1"/>
  <c r="L22" i="32"/>
  <c r="M22" i="32" s="1"/>
  <c r="P22" i="32" s="1"/>
  <c r="L14" i="32"/>
  <c r="M13" i="32"/>
  <c r="P13" i="32" s="1"/>
  <c r="L11" i="32"/>
  <c r="M10" i="32"/>
  <c r="P10" i="32" s="1"/>
  <c r="L7" i="32"/>
  <c r="L4" i="32"/>
  <c r="L27" i="32"/>
  <c r="M27" i="32" s="1"/>
  <c r="P27" i="32" s="1"/>
  <c r="L15" i="32"/>
  <c r="L29" i="32"/>
  <c r="M29" i="32" s="1"/>
  <c r="P29" i="32" s="1"/>
  <c r="L21" i="32"/>
  <c r="M21" i="32" s="1"/>
  <c r="L13" i="32"/>
  <c r="M12" i="32"/>
  <c r="P12" i="32" s="1"/>
  <c r="L10" i="32"/>
  <c r="M9" i="32"/>
  <c r="P9" i="32" s="1"/>
  <c r="M6" i="32"/>
  <c r="P6" i="32" s="1"/>
  <c r="M3" i="32"/>
  <c r="L31" i="32"/>
  <c r="M31" i="32" s="1"/>
  <c r="P31" i="32" s="1"/>
  <c r="L23" i="32"/>
  <c r="M23" i="32" s="1"/>
  <c r="P23" i="32" s="1"/>
  <c r="M14" i="32"/>
  <c r="P14" i="32" s="1"/>
  <c r="M4" i="32"/>
  <c r="P4" i="32" s="1"/>
  <c r="L32" i="32"/>
  <c r="M32" i="32" s="1"/>
  <c r="P32" i="32" s="1"/>
  <c r="L28" i="32"/>
  <c r="M28" i="32" s="1"/>
  <c r="P28" i="32" s="1"/>
  <c r="L26" i="32"/>
  <c r="M26" i="32" s="1"/>
  <c r="P26" i="32" s="1"/>
  <c r="L24" i="32"/>
  <c r="M24" i="32" s="1"/>
  <c r="P24" i="32" s="1"/>
  <c r="M15" i="32"/>
  <c r="P15" i="32" s="1"/>
  <c r="L12" i="32"/>
  <c r="L9" i="32"/>
  <c r="M8" i="32"/>
  <c r="P8" i="32" s="1"/>
  <c r="L6" i="32"/>
  <c r="M5" i="32"/>
  <c r="P5" i="32" s="1"/>
  <c r="L3" i="32"/>
  <c r="M11" i="32"/>
  <c r="P11" i="32" s="1"/>
  <c r="L8" i="32"/>
  <c r="M7" i="32"/>
  <c r="P7" i="32" s="1"/>
  <c r="L5" i="32"/>
  <c r="O34" i="32"/>
  <c r="O16" i="32"/>
  <c r="O6" i="31" s="1"/>
  <c r="P21" i="32" l="1"/>
  <c r="P34" i="32" s="1"/>
  <c r="K7" i="42" s="1"/>
  <c r="M34" i="32"/>
  <c r="M16" i="32"/>
  <c r="J6" i="31" s="1"/>
  <c r="P3" i="32"/>
  <c r="P16" i="32" s="1"/>
  <c r="O10" i="31"/>
  <c r="O27" i="31" s="1"/>
  <c r="O14" i="31"/>
  <c r="O18" i="31" s="1"/>
  <c r="O28" i="31" s="1"/>
  <c r="E20" i="30" s="1"/>
  <c r="E6" i="31" l="1"/>
  <c r="E14" i="31" s="1"/>
  <c r="E18" i="31" s="1"/>
  <c r="J7" i="42"/>
  <c r="E23" i="31"/>
  <c r="J10" i="31"/>
  <c r="J27" i="31" s="1"/>
  <c r="J14" i="31"/>
  <c r="J18" i="31" s="1"/>
  <c r="J28" i="31" s="1"/>
  <c r="E7" i="30" s="1"/>
  <c r="E10" i="31"/>
  <c r="O31" i="31"/>
  <c r="E19" i="30"/>
  <c r="E27" i="31" l="1"/>
  <c r="E28" i="31"/>
  <c r="E31" i="31" s="1"/>
  <c r="E36" i="31" s="1"/>
  <c r="J11" i="42"/>
  <c r="J10" i="42"/>
  <c r="E23" i="30"/>
  <c r="E27" i="30" s="1"/>
  <c r="O36" i="31"/>
  <c r="E6" i="30"/>
  <c r="J31" i="31"/>
  <c r="E10" i="30" l="1"/>
  <c r="E14" i="30" s="1"/>
  <c r="J36" i="31"/>
  <c r="K7" i="30"/>
  <c r="L7" i="30" s="1"/>
  <c r="O38" i="31"/>
  <c r="E28" i="30" s="1"/>
  <c r="E33" i="30" s="1"/>
  <c r="J38" i="31" l="1"/>
  <c r="K6" i="30"/>
  <c r="E15" i="30" l="1"/>
  <c r="E32" i="30" s="1"/>
  <c r="E34" i="30" s="1"/>
  <c r="C23" i="35" s="1"/>
  <c r="F7" i="42" s="1"/>
  <c r="E38" i="31"/>
  <c r="K8" i="30" s="1"/>
  <c r="J6" i="30" l="1"/>
  <c r="J8" i="30" s="1"/>
  <c r="L6" i="30" l="1"/>
  <c r="L8" i="30" s="1"/>
  <c r="I4" i="26"/>
  <c r="I5" i="26"/>
  <c r="I6" i="26"/>
  <c r="I7" i="26"/>
  <c r="I9" i="26"/>
  <c r="C12" i="29"/>
  <c r="C9" i="29"/>
  <c r="C5" i="29"/>
  <c r="C4" i="29"/>
  <c r="C3" i="29" s="1"/>
  <c r="I8" i="26"/>
  <c r="J11" i="27"/>
  <c r="I11" i="27"/>
  <c r="K10" i="27"/>
  <c r="K9" i="27"/>
  <c r="K8" i="27"/>
  <c r="K7" i="27"/>
  <c r="K6" i="27"/>
  <c r="K5" i="27"/>
  <c r="K4" i="27"/>
  <c r="K11" i="27" s="1"/>
  <c r="D22" i="26" s="1"/>
  <c r="F20" i="26"/>
  <c r="C20" i="26"/>
  <c r="D20" i="26" s="1"/>
  <c r="E20" i="26" s="1"/>
  <c r="F19" i="26"/>
  <c r="C19" i="26"/>
  <c r="C22" i="26" s="1"/>
  <c r="J10" i="26"/>
  <c r="C18" i="29" s="1"/>
  <c r="C17" i="29" s="1"/>
  <c r="E35" i="25"/>
  <c r="J35" i="25" s="1"/>
  <c r="E14" i="24" s="1"/>
  <c r="O34" i="25"/>
  <c r="J34" i="25"/>
  <c r="O29" i="25"/>
  <c r="J29" i="25"/>
  <c r="J23" i="25"/>
  <c r="O13" i="25"/>
  <c r="J13" i="25"/>
  <c r="E13" i="25"/>
  <c r="E7" i="25"/>
  <c r="O7" i="25" s="1"/>
  <c r="O15" i="25" s="1"/>
  <c r="E26" i="24"/>
  <c r="E23" i="24"/>
  <c r="E22" i="24"/>
  <c r="E13" i="24"/>
  <c r="K11" i="24"/>
  <c r="J11" i="24"/>
  <c r="E9" i="24"/>
  <c r="E8" i="24"/>
  <c r="N7" i="24"/>
  <c r="N6" i="24"/>
  <c r="G20" i="26" l="1"/>
  <c r="I3" i="26"/>
  <c r="O35" i="25"/>
  <c r="E27" i="24" s="1"/>
  <c r="D19" i="26"/>
  <c r="E19" i="26" s="1"/>
  <c r="G19" i="26" s="1"/>
  <c r="E15" i="25"/>
  <c r="J7" i="25"/>
  <c r="J15" i="25" s="1"/>
  <c r="L15" i="26" l="1"/>
  <c r="M15" i="26" s="1"/>
  <c r="L20" i="26"/>
  <c r="M20" i="26" s="1"/>
  <c r="L18" i="26"/>
  <c r="M18" i="26" s="1"/>
  <c r="L14" i="26"/>
  <c r="M14" i="26" s="1"/>
  <c r="L8" i="26"/>
  <c r="M8" i="26" s="1"/>
  <c r="L6" i="26"/>
  <c r="M6" i="26" s="1"/>
  <c r="L4" i="26"/>
  <c r="M4" i="26" s="1"/>
  <c r="L17" i="26"/>
  <c r="M17" i="26" s="1"/>
  <c r="L19" i="26"/>
  <c r="M19" i="26" s="1"/>
  <c r="L16" i="26"/>
  <c r="M16" i="26" s="1"/>
  <c r="L9" i="26"/>
  <c r="M9" i="26" s="1"/>
  <c r="L7" i="26"/>
  <c r="M7" i="26" s="1"/>
  <c r="P7" i="26" s="1"/>
  <c r="L5" i="26"/>
  <c r="M5" i="26" s="1"/>
  <c r="L3" i="26"/>
  <c r="M3" i="26" s="1"/>
  <c r="I10" i="26"/>
  <c r="M6" i="42" s="1"/>
  <c r="N17" i="26"/>
  <c r="O17" i="26" s="1"/>
  <c r="N19" i="26"/>
  <c r="O19" i="26" s="1"/>
  <c r="N16" i="26"/>
  <c r="O16" i="26" s="1"/>
  <c r="N9" i="26"/>
  <c r="O9" i="26" s="1"/>
  <c r="N7" i="26"/>
  <c r="O7" i="26" s="1"/>
  <c r="N5" i="26"/>
  <c r="O5" i="26" s="1"/>
  <c r="N3" i="26"/>
  <c r="O3" i="26" s="1"/>
  <c r="O10" i="26" s="1"/>
  <c r="O6" i="25" s="1"/>
  <c r="N15" i="26"/>
  <c r="O15" i="26" s="1"/>
  <c r="N20" i="26"/>
  <c r="O20" i="26" s="1"/>
  <c r="N18" i="26"/>
  <c r="O18" i="26" s="1"/>
  <c r="N14" i="26"/>
  <c r="O14" i="26" s="1"/>
  <c r="N8" i="26"/>
  <c r="O8" i="26" s="1"/>
  <c r="N6" i="26"/>
  <c r="O6" i="26" s="1"/>
  <c r="N4" i="26"/>
  <c r="O4" i="26" s="1"/>
  <c r="M11" i="42" l="1"/>
  <c r="M10" i="42"/>
  <c r="P17" i="26"/>
  <c r="O21" i="26"/>
  <c r="M21" i="26"/>
  <c r="P14" i="26"/>
  <c r="O10" i="25"/>
  <c r="O27" i="25" s="1"/>
  <c r="O14" i="25"/>
  <c r="O18" i="25" s="1"/>
  <c r="O28" i="25" s="1"/>
  <c r="E21" i="24" s="1"/>
  <c r="P9" i="26"/>
  <c r="P4" i="26"/>
  <c r="P18" i="26"/>
  <c r="M10" i="26"/>
  <c r="J6" i="25" s="1"/>
  <c r="P3" i="26"/>
  <c r="P16" i="26"/>
  <c r="P6" i="26"/>
  <c r="P20" i="26"/>
  <c r="P5" i="26"/>
  <c r="P19" i="26"/>
  <c r="P8" i="26"/>
  <c r="P15" i="26"/>
  <c r="O31" i="25" l="1"/>
  <c r="E20" i="24"/>
  <c r="P21" i="26"/>
  <c r="K6" i="42" s="1"/>
  <c r="J14" i="25"/>
  <c r="J18" i="25" s="1"/>
  <c r="J28" i="25" s="1"/>
  <c r="E7" i="24" s="1"/>
  <c r="J10" i="25"/>
  <c r="J27" i="25" s="1"/>
  <c r="P10" i="26"/>
  <c r="E6" i="25" s="1"/>
  <c r="K10" i="42" l="1"/>
  <c r="K11" i="42"/>
  <c r="E14" i="25"/>
  <c r="E18" i="25" s="1"/>
  <c r="E28" i="25" s="1"/>
  <c r="E10" i="25"/>
  <c r="E27" i="25" s="1"/>
  <c r="E31" i="25" s="1"/>
  <c r="E36" i="25" s="1"/>
  <c r="J31" i="25"/>
  <c r="E6" i="24"/>
  <c r="O36" i="25"/>
  <c r="O38" i="25" s="1"/>
  <c r="E24" i="24"/>
  <c r="E28" i="24" s="1"/>
  <c r="E11" i="24" l="1"/>
  <c r="E15" i="24" s="1"/>
  <c r="J36" i="25"/>
  <c r="J38" i="25" s="1"/>
  <c r="E29" i="24"/>
  <c r="M10" i="24"/>
  <c r="N10" i="24" s="1"/>
  <c r="E34" i="24" l="1"/>
  <c r="L9" i="24" s="1"/>
  <c r="N9" i="24" s="1"/>
  <c r="M9" i="24"/>
  <c r="M11" i="24" s="1"/>
  <c r="E38" i="25"/>
  <c r="E16" i="24"/>
  <c r="E33" i="24" s="1"/>
  <c r="E36" i="24" l="1"/>
  <c r="C23" i="29" s="1"/>
  <c r="L8" i="24"/>
  <c r="E35" i="24"/>
  <c r="L11" i="24" l="1"/>
  <c r="N8" i="24"/>
  <c r="N11" i="24" s="1"/>
  <c r="E23" i="12" l="1"/>
  <c r="E23" i="18"/>
  <c r="E23" i="6"/>
  <c r="C12" i="22" l="1"/>
  <c r="C9" i="22"/>
  <c r="C5" i="22"/>
  <c r="C4" i="22"/>
  <c r="C3" i="22"/>
  <c r="J12" i="20"/>
  <c r="I12" i="20"/>
  <c r="K11" i="20"/>
  <c r="K10" i="20"/>
  <c r="K9" i="20"/>
  <c r="K6" i="20"/>
  <c r="K5" i="20"/>
  <c r="K4" i="20"/>
  <c r="K12" i="20" s="1"/>
  <c r="F20" i="19"/>
  <c r="D20" i="19"/>
  <c r="E20" i="19" s="1"/>
  <c r="C20" i="19"/>
  <c r="F19" i="19"/>
  <c r="G19" i="19" s="1"/>
  <c r="D19" i="19"/>
  <c r="E19" i="19" s="1"/>
  <c r="C19" i="19"/>
  <c r="C21" i="19" s="1"/>
  <c r="I10" i="19"/>
  <c r="J5" i="19"/>
  <c r="E35" i="18"/>
  <c r="O35" i="18" s="1"/>
  <c r="E27" i="17" s="1"/>
  <c r="O34" i="18"/>
  <c r="J34" i="18"/>
  <c r="E29" i="18"/>
  <c r="O29" i="18" s="1"/>
  <c r="E22" i="17" s="1"/>
  <c r="J23" i="18"/>
  <c r="O13" i="18"/>
  <c r="J13" i="18"/>
  <c r="E13" i="18"/>
  <c r="E7" i="18"/>
  <c r="J7" i="18" s="1"/>
  <c r="J15" i="18" s="1"/>
  <c r="E26" i="17"/>
  <c r="E23" i="17"/>
  <c r="E13" i="17"/>
  <c r="K11" i="17"/>
  <c r="J11" i="17"/>
  <c r="E9" i="17"/>
  <c r="N7" i="17"/>
  <c r="N6" i="17"/>
  <c r="D21" i="19" l="1"/>
  <c r="L15" i="19"/>
  <c r="M15" i="19" s="1"/>
  <c r="L8" i="19"/>
  <c r="M8" i="19" s="1"/>
  <c r="L20" i="19"/>
  <c r="M20" i="19" s="1"/>
  <c r="L18" i="19"/>
  <c r="M18" i="19" s="1"/>
  <c r="L14" i="19"/>
  <c r="M14" i="19" s="1"/>
  <c r="L7" i="19"/>
  <c r="M7" i="19" s="1"/>
  <c r="L4" i="19"/>
  <c r="M4" i="19" s="1"/>
  <c r="L17" i="19"/>
  <c r="M17" i="19" s="1"/>
  <c r="L6" i="19"/>
  <c r="M6" i="19" s="1"/>
  <c r="L3" i="19"/>
  <c r="M3" i="19" s="1"/>
  <c r="L19" i="19"/>
  <c r="M19" i="19" s="1"/>
  <c r="L16" i="19"/>
  <c r="M16" i="19" s="1"/>
  <c r="L9" i="19"/>
  <c r="M9" i="19" s="1"/>
  <c r="L5" i="19"/>
  <c r="M5" i="19" s="1"/>
  <c r="G20" i="19"/>
  <c r="O7" i="18"/>
  <c r="O15" i="18" s="1"/>
  <c r="J29" i="18"/>
  <c r="E8" i="17" s="1"/>
  <c r="J35" i="18"/>
  <c r="E14" i="17" s="1"/>
  <c r="C23" i="19"/>
  <c r="D23" i="19" s="1"/>
  <c r="E15" i="18"/>
  <c r="J10" i="19"/>
  <c r="C18" i="22" s="1"/>
  <c r="C17" i="22" s="1"/>
  <c r="M10" i="19" l="1"/>
  <c r="J6" i="18" s="1"/>
  <c r="N17" i="19"/>
  <c r="O17" i="19" s="1"/>
  <c r="P17" i="19" s="1"/>
  <c r="N6" i="19"/>
  <c r="O6" i="19" s="1"/>
  <c r="P6" i="19" s="1"/>
  <c r="N3" i="19"/>
  <c r="O3" i="19" s="1"/>
  <c r="N19" i="19"/>
  <c r="O19" i="19" s="1"/>
  <c r="N16" i="19"/>
  <c r="O16" i="19" s="1"/>
  <c r="N9" i="19"/>
  <c r="O9" i="19" s="1"/>
  <c r="N5" i="19"/>
  <c r="O5" i="19" s="1"/>
  <c r="P5" i="19" s="1"/>
  <c r="N15" i="19"/>
  <c r="O15" i="19" s="1"/>
  <c r="N8" i="19"/>
  <c r="O8" i="19" s="1"/>
  <c r="N20" i="19"/>
  <c r="O20" i="19" s="1"/>
  <c r="P20" i="19" s="1"/>
  <c r="N18" i="19"/>
  <c r="O18" i="19" s="1"/>
  <c r="N14" i="19"/>
  <c r="O14" i="19" s="1"/>
  <c r="N7" i="19"/>
  <c r="O7" i="19" s="1"/>
  <c r="N4" i="19"/>
  <c r="O4" i="19" s="1"/>
  <c r="P4" i="19" s="1"/>
  <c r="P9" i="19"/>
  <c r="P7" i="19"/>
  <c r="P8" i="19"/>
  <c r="P16" i="19"/>
  <c r="M21" i="19"/>
  <c r="P14" i="19"/>
  <c r="P15" i="19"/>
  <c r="P19" i="19"/>
  <c r="G21" i="19"/>
  <c r="P18" i="19"/>
  <c r="O10" i="19" l="1"/>
  <c r="O6" i="18" s="1"/>
  <c r="P3" i="19"/>
  <c r="P10" i="19" s="1"/>
  <c r="E6" i="18" s="1"/>
  <c r="J10" i="18"/>
  <c r="J27" i="18" s="1"/>
  <c r="J14" i="18"/>
  <c r="J18" i="18" s="1"/>
  <c r="J28" i="18" s="1"/>
  <c r="E7" i="17" s="1"/>
  <c r="P21" i="19"/>
  <c r="O21" i="19"/>
  <c r="E6" i="17" l="1"/>
  <c r="J31" i="18"/>
  <c r="E14" i="18"/>
  <c r="E18" i="18" s="1"/>
  <c r="E28" i="18" s="1"/>
  <c r="E10" i="18"/>
  <c r="E27" i="18" s="1"/>
  <c r="O10" i="18"/>
  <c r="O27" i="18" s="1"/>
  <c r="O14" i="18"/>
  <c r="O18" i="18" s="1"/>
  <c r="O28" i="18" s="1"/>
  <c r="E21" i="17" s="1"/>
  <c r="E31" i="18" l="1"/>
  <c r="E36" i="18" s="1"/>
  <c r="J36" i="18"/>
  <c r="J38" i="18" s="1"/>
  <c r="E11" i="17"/>
  <c r="E15" i="17" s="1"/>
  <c r="E20" i="17"/>
  <c r="O31" i="18"/>
  <c r="E16" i="17" l="1"/>
  <c r="E33" i="17" s="1"/>
  <c r="M9" i="17"/>
  <c r="E24" i="17"/>
  <c r="E28" i="17" s="1"/>
  <c r="O36" i="18"/>
  <c r="O38" i="18" s="1"/>
  <c r="L8" i="17" l="1"/>
  <c r="E29" i="17"/>
  <c r="M10" i="17"/>
  <c r="N10" i="17" s="1"/>
  <c r="E38" i="18"/>
  <c r="E36" i="17" l="1"/>
  <c r="C23" i="22" s="1"/>
  <c r="E34" i="17"/>
  <c r="N8" i="17"/>
  <c r="M11" i="17"/>
  <c r="L9" i="17" l="1"/>
  <c r="E35" i="17"/>
  <c r="N9" i="17" l="1"/>
  <c r="N11" i="17" s="1"/>
  <c r="L11" i="17"/>
  <c r="C12" i="16" l="1"/>
  <c r="C5" i="16"/>
  <c r="C4" i="16"/>
  <c r="C3" i="16" s="1"/>
  <c r="J13" i="14"/>
  <c r="I13" i="14"/>
  <c r="K12" i="14"/>
  <c r="K11" i="14"/>
  <c r="K10" i="14"/>
  <c r="K9" i="14"/>
  <c r="K8" i="14"/>
  <c r="K7" i="14"/>
  <c r="K6" i="14"/>
  <c r="K5" i="14"/>
  <c r="K4" i="14"/>
  <c r="K13" i="14" s="1"/>
  <c r="F23" i="13"/>
  <c r="C23" i="13"/>
  <c r="D23" i="13" s="1"/>
  <c r="E23" i="13" s="1"/>
  <c r="G23" i="13" s="1"/>
  <c r="F22" i="13"/>
  <c r="C22" i="13"/>
  <c r="C25" i="13" s="1"/>
  <c r="E35" i="12"/>
  <c r="J35" i="12" s="1"/>
  <c r="E14" i="11" s="1"/>
  <c r="O34" i="12"/>
  <c r="J34" i="12"/>
  <c r="E29" i="12"/>
  <c r="J29" i="12" s="1"/>
  <c r="J23" i="12"/>
  <c r="O13" i="12"/>
  <c r="J13" i="12"/>
  <c r="E13" i="12"/>
  <c r="E7" i="12"/>
  <c r="O7" i="12" s="1"/>
  <c r="O15" i="12" s="1"/>
  <c r="E26" i="11"/>
  <c r="E23" i="11"/>
  <c r="E13" i="11"/>
  <c r="K11" i="11"/>
  <c r="J11" i="11"/>
  <c r="E9" i="11"/>
  <c r="N7" i="11"/>
  <c r="N6" i="11"/>
  <c r="D25" i="13" l="1"/>
  <c r="N25" i="13"/>
  <c r="N23" i="13"/>
  <c r="O23" i="13" s="1"/>
  <c r="N21" i="13"/>
  <c r="O21" i="13" s="1"/>
  <c r="N9" i="13"/>
  <c r="N3" i="13"/>
  <c r="N28" i="13"/>
  <c r="N20" i="13"/>
  <c r="N10" i="13"/>
  <c r="N7" i="13"/>
  <c r="O7" i="13" s="1"/>
  <c r="N4" i="13"/>
  <c r="N27" i="13"/>
  <c r="O27" i="13" s="1"/>
  <c r="N22" i="13"/>
  <c r="O22" i="13" s="1"/>
  <c r="N5" i="13"/>
  <c r="N26" i="13"/>
  <c r="O26" i="13" s="1"/>
  <c r="N24" i="13"/>
  <c r="O24" i="13" s="1"/>
  <c r="N11" i="13"/>
  <c r="O11" i="13" s="1"/>
  <c r="N8" i="13"/>
  <c r="O8" i="13" s="1"/>
  <c r="N6" i="13"/>
  <c r="O25" i="13"/>
  <c r="O28" i="13"/>
  <c r="E15" i="12"/>
  <c r="O29" i="12"/>
  <c r="O35" i="12"/>
  <c r="E27" i="11" s="1"/>
  <c r="J7" i="12"/>
  <c r="J15" i="12" s="1"/>
  <c r="D22" i="13"/>
  <c r="E22" i="13" s="1"/>
  <c r="G22" i="13" s="1"/>
  <c r="O4" i="13" l="1"/>
  <c r="L27" i="13"/>
  <c r="M27" i="13" s="1"/>
  <c r="P27" i="13" s="1"/>
  <c r="L22" i="13"/>
  <c r="M22" i="13" s="1"/>
  <c r="P22" i="13" s="1"/>
  <c r="L5" i="13"/>
  <c r="M5" i="13" s="1"/>
  <c r="L26" i="13"/>
  <c r="M26" i="13" s="1"/>
  <c r="P26" i="13" s="1"/>
  <c r="L24" i="13"/>
  <c r="M24" i="13" s="1"/>
  <c r="P24" i="13" s="1"/>
  <c r="L11" i="13"/>
  <c r="M11" i="13" s="1"/>
  <c r="P11" i="13" s="1"/>
  <c r="L8" i="13"/>
  <c r="M8" i="13" s="1"/>
  <c r="P8" i="13" s="1"/>
  <c r="L6" i="13"/>
  <c r="M6" i="13" s="1"/>
  <c r="L25" i="13"/>
  <c r="M25" i="13" s="1"/>
  <c r="P25" i="13" s="1"/>
  <c r="L23" i="13"/>
  <c r="M23" i="13" s="1"/>
  <c r="P23" i="13" s="1"/>
  <c r="L21" i="13"/>
  <c r="M21" i="13" s="1"/>
  <c r="P21" i="13" s="1"/>
  <c r="L9" i="13"/>
  <c r="M9" i="13" s="1"/>
  <c r="L3" i="13"/>
  <c r="L28" i="13"/>
  <c r="M28" i="13" s="1"/>
  <c r="P28" i="13" s="1"/>
  <c r="L20" i="13"/>
  <c r="M20" i="13" s="1"/>
  <c r="L10" i="13"/>
  <c r="M10" i="13" s="1"/>
  <c r="L7" i="13"/>
  <c r="M7" i="13" s="1"/>
  <c r="P7" i="13" s="1"/>
  <c r="L4" i="13"/>
  <c r="M4" i="13" s="1"/>
  <c r="P4" i="13" s="1"/>
  <c r="O20" i="13"/>
  <c r="O29" i="13" s="1"/>
  <c r="I12" i="13"/>
  <c r="J12" i="13"/>
  <c r="C18" i="16" s="1"/>
  <c r="C17" i="16" s="1"/>
  <c r="O6" i="13"/>
  <c r="O5" i="13"/>
  <c r="O10" i="13"/>
  <c r="O9" i="13"/>
  <c r="M29" i="13" l="1"/>
  <c r="P20" i="13"/>
  <c r="P29" i="13" s="1"/>
  <c r="O3" i="13"/>
  <c r="O12" i="13" s="1"/>
  <c r="O6" i="12" s="1"/>
  <c r="P10" i="13"/>
  <c r="P9" i="13"/>
  <c r="P6" i="13"/>
  <c r="P5" i="13"/>
  <c r="M3" i="13"/>
  <c r="M12" i="13" l="1"/>
  <c r="J6" i="12" s="1"/>
  <c r="P3" i="13"/>
  <c r="P12" i="13" s="1"/>
  <c r="E6" i="12" s="1"/>
  <c r="O14" i="12"/>
  <c r="O18" i="12" s="1"/>
  <c r="O28" i="12" s="1"/>
  <c r="E21" i="11" s="1"/>
  <c r="O10" i="12"/>
  <c r="O27" i="12" s="1"/>
  <c r="O31" i="12" l="1"/>
  <c r="E20" i="11"/>
  <c r="E10" i="12"/>
  <c r="E27" i="12" s="1"/>
  <c r="E14" i="12"/>
  <c r="E18" i="12" s="1"/>
  <c r="E28" i="12" s="1"/>
  <c r="J14" i="12"/>
  <c r="J18" i="12" s="1"/>
  <c r="J28" i="12" s="1"/>
  <c r="E7" i="11" s="1"/>
  <c r="J10" i="12"/>
  <c r="J27" i="12" s="1"/>
  <c r="E31" i="12" l="1"/>
  <c r="E36" i="12" s="1"/>
  <c r="E6" i="11"/>
  <c r="J31" i="12"/>
  <c r="O36" i="12"/>
  <c r="O38" i="12" s="1"/>
  <c r="E24" i="11"/>
  <c r="E28" i="11" s="1"/>
  <c r="M10" i="11" l="1"/>
  <c r="N10" i="11" s="1"/>
  <c r="E29" i="11"/>
  <c r="E11" i="11"/>
  <c r="E15" i="11" s="1"/>
  <c r="J36" i="12"/>
  <c r="J38" i="12" s="1"/>
  <c r="M9" i="11" l="1"/>
  <c r="M11" i="11" s="1"/>
  <c r="E38" i="12"/>
  <c r="E16" i="11"/>
  <c r="E33" i="11" s="1"/>
  <c r="E34" i="11"/>
  <c r="L9" i="11" s="1"/>
  <c r="N9" i="11" s="1"/>
  <c r="D12" i="10"/>
  <c r="D9" i="10"/>
  <c r="D20" i="10" s="1"/>
  <c r="D5" i="10"/>
  <c r="D4" i="10"/>
  <c r="D3" i="10" s="1"/>
  <c r="I11" i="8"/>
  <c r="D21" i="7" s="1"/>
  <c r="E21" i="7" s="1"/>
  <c r="G21" i="7" s="1"/>
  <c r="H11" i="8"/>
  <c r="J10" i="8"/>
  <c r="J9" i="8"/>
  <c r="J8" i="8"/>
  <c r="J7" i="8"/>
  <c r="J6" i="8"/>
  <c r="J5" i="8"/>
  <c r="J4" i="8"/>
  <c r="J3" i="8"/>
  <c r="J11" i="8" s="1"/>
  <c r="F21" i="7"/>
  <c r="C21" i="7"/>
  <c r="C24" i="7" s="1"/>
  <c r="F20" i="7"/>
  <c r="C20" i="7"/>
  <c r="D20" i="7" s="1"/>
  <c r="E20" i="7" s="1"/>
  <c r="G20" i="7" s="1"/>
  <c r="I11" i="7"/>
  <c r="J7" i="7"/>
  <c r="J6" i="7"/>
  <c r="J3" i="7"/>
  <c r="J11" i="7" s="1"/>
  <c r="D18" i="10" s="1"/>
  <c r="D17" i="10" s="1"/>
  <c r="J35" i="6"/>
  <c r="E14" i="5" s="1"/>
  <c r="E35" i="6"/>
  <c r="O35" i="6" s="1"/>
  <c r="E27" i="5" s="1"/>
  <c r="O34" i="6"/>
  <c r="J34" i="6"/>
  <c r="O29" i="6"/>
  <c r="J29" i="6"/>
  <c r="E8" i="5" s="1"/>
  <c r="J23" i="6"/>
  <c r="O13" i="6"/>
  <c r="J13" i="6"/>
  <c r="E13" i="6"/>
  <c r="O7" i="6"/>
  <c r="O15" i="6" s="1"/>
  <c r="E7" i="6"/>
  <c r="J7" i="6" s="1"/>
  <c r="J15" i="6" s="1"/>
  <c r="E26" i="5"/>
  <c r="E23" i="5"/>
  <c r="E22" i="5"/>
  <c r="E13" i="5"/>
  <c r="K11" i="5"/>
  <c r="J11" i="5"/>
  <c r="E9" i="5"/>
  <c r="N7" i="5"/>
  <c r="N6" i="5"/>
  <c r="E35" i="11" l="1"/>
  <c r="L8" i="11"/>
  <c r="E36" i="11"/>
  <c r="C23" i="16" s="1"/>
  <c r="N25" i="7"/>
  <c r="O25" i="7" s="1"/>
  <c r="N23" i="7"/>
  <c r="O23" i="7" s="1"/>
  <c r="N20" i="7"/>
  <c r="O20" i="7" s="1"/>
  <c r="N9" i="7"/>
  <c r="O9" i="7" s="1"/>
  <c r="N6" i="7"/>
  <c r="O6" i="7" s="1"/>
  <c r="N3" i="7"/>
  <c r="O3" i="7" s="1"/>
  <c r="N24" i="7"/>
  <c r="O24" i="7" s="1"/>
  <c r="N22" i="7"/>
  <c r="O22" i="7" s="1"/>
  <c r="N8" i="7"/>
  <c r="O8" i="7" s="1"/>
  <c r="N26" i="7"/>
  <c r="O26" i="7" s="1"/>
  <c r="N27" i="7"/>
  <c r="O27" i="7" s="1"/>
  <c r="N21" i="7"/>
  <c r="O21" i="7" s="1"/>
  <c r="N7" i="7"/>
  <c r="O7" i="7" s="1"/>
  <c r="N5" i="7"/>
  <c r="O5" i="7" s="1"/>
  <c r="N10" i="7"/>
  <c r="O10" i="7" s="1"/>
  <c r="N4" i="7"/>
  <c r="O4" i="7" s="1"/>
  <c r="L27" i="7"/>
  <c r="M27" i="7" s="1"/>
  <c r="L21" i="7"/>
  <c r="M21" i="7" s="1"/>
  <c r="P21" i="7" s="1"/>
  <c r="L7" i="7"/>
  <c r="M7" i="7" s="1"/>
  <c r="P7" i="7" s="1"/>
  <c r="L5" i="7"/>
  <c r="M5" i="7" s="1"/>
  <c r="L26" i="7"/>
  <c r="M26" i="7" s="1"/>
  <c r="L10" i="7"/>
  <c r="M10" i="7" s="1"/>
  <c r="L4" i="7"/>
  <c r="M4" i="7" s="1"/>
  <c r="P4" i="7" s="1"/>
  <c r="L24" i="7"/>
  <c r="M24" i="7" s="1"/>
  <c r="L22" i="7"/>
  <c r="M22" i="7" s="1"/>
  <c r="P22" i="7" s="1"/>
  <c r="L25" i="7"/>
  <c r="M25" i="7" s="1"/>
  <c r="P25" i="7" s="1"/>
  <c r="L23" i="7"/>
  <c r="M23" i="7" s="1"/>
  <c r="P23" i="7" s="1"/>
  <c r="L20" i="7"/>
  <c r="M20" i="7" s="1"/>
  <c r="L9" i="7"/>
  <c r="M9" i="7" s="1"/>
  <c r="P9" i="7" s="1"/>
  <c r="L6" i="7"/>
  <c r="M6" i="7" s="1"/>
  <c r="P6" i="7" s="1"/>
  <c r="L3" i="7"/>
  <c r="M3" i="7" s="1"/>
  <c r="L8" i="7"/>
  <c r="M8" i="7" s="1"/>
  <c r="P8" i="7" s="1"/>
  <c r="D24" i="7"/>
  <c r="E15" i="6"/>
  <c r="L11" i="11" l="1"/>
  <c r="N8" i="11"/>
  <c r="N11" i="11" s="1"/>
  <c r="P10" i="7"/>
  <c r="O11" i="7"/>
  <c r="O6" i="6" s="1"/>
  <c r="M11" i="7"/>
  <c r="J6" i="6" s="1"/>
  <c r="P3" i="7"/>
  <c r="P11" i="7" s="1"/>
  <c r="E6" i="6" s="1"/>
  <c r="O28" i="7"/>
  <c r="P26" i="7"/>
  <c r="P27" i="7"/>
  <c r="P20" i="7"/>
  <c r="P28" i="7" s="1"/>
  <c r="M28" i="7"/>
  <c r="P24" i="7"/>
  <c r="P5" i="7"/>
  <c r="J10" i="6" l="1"/>
  <c r="J27" i="6" s="1"/>
  <c r="J14" i="6"/>
  <c r="J18" i="6" s="1"/>
  <c r="J28" i="6" s="1"/>
  <c r="E7" i="5" s="1"/>
  <c r="E14" i="6"/>
  <c r="E18" i="6" s="1"/>
  <c r="E28" i="6" s="1"/>
  <c r="E10" i="6"/>
  <c r="E27" i="6" s="1"/>
  <c r="E31" i="6" s="1"/>
  <c r="E36" i="6" s="1"/>
  <c r="O10" i="6"/>
  <c r="O27" i="6" s="1"/>
  <c r="O14" i="6"/>
  <c r="O18" i="6" s="1"/>
  <c r="O28" i="6" s="1"/>
  <c r="E21" i="5" s="1"/>
  <c r="E20" i="5" l="1"/>
  <c r="O31" i="6"/>
  <c r="J31" i="6"/>
  <c r="E6" i="5"/>
  <c r="E24" i="5" l="1"/>
  <c r="E28" i="5" s="1"/>
  <c r="O36" i="6"/>
  <c r="O38" i="6" s="1"/>
  <c r="J36" i="6"/>
  <c r="J38" i="6" s="1"/>
  <c r="E11" i="5"/>
  <c r="E15" i="5" s="1"/>
  <c r="E38" i="6" l="1"/>
  <c r="E16" i="5"/>
  <c r="E33" i="5" s="1"/>
  <c r="M9" i="5"/>
  <c r="M11" i="5" s="1"/>
  <c r="E29" i="5"/>
  <c r="M10" i="5"/>
  <c r="N10" i="5" s="1"/>
  <c r="E34" i="5" l="1"/>
  <c r="L9" i="5" s="1"/>
  <c r="N9" i="5" s="1"/>
  <c r="E36" i="5"/>
  <c r="D23" i="10" s="1"/>
  <c r="L8" i="5"/>
  <c r="E35" i="5"/>
  <c r="L11" i="5" l="1"/>
  <c r="N8" i="5"/>
  <c r="N11" i="5" s="1"/>
  <c r="D20" i="4" l="1"/>
  <c r="D17" i="4"/>
  <c r="E2" i="42" s="1"/>
  <c r="D12" i="4"/>
  <c r="D5" i="4"/>
  <c r="D4" i="4"/>
  <c r="D3" i="4"/>
  <c r="C2" i="42" s="1"/>
  <c r="F22" i="1"/>
  <c r="D22" i="1"/>
  <c r="E22" i="1" s="1"/>
  <c r="C22" i="1"/>
  <c r="F21" i="1"/>
  <c r="D21" i="1"/>
  <c r="E21" i="1" s="1"/>
  <c r="G21" i="1" s="1"/>
  <c r="C21" i="1"/>
  <c r="C24" i="1" s="1"/>
  <c r="J9" i="1"/>
  <c r="J8" i="1"/>
  <c r="J7" i="1"/>
  <c r="J6" i="1"/>
  <c r="I5" i="1"/>
  <c r="I13" i="1" s="1"/>
  <c r="O35" i="3"/>
  <c r="J35" i="3"/>
  <c r="E35" i="3"/>
  <c r="O34" i="3"/>
  <c r="J34" i="3"/>
  <c r="O29" i="3"/>
  <c r="E21" i="2" s="1"/>
  <c r="J29" i="3"/>
  <c r="J23" i="3"/>
  <c r="O13" i="3"/>
  <c r="J13" i="3"/>
  <c r="E13" i="3"/>
  <c r="J7" i="3"/>
  <c r="J15" i="3" s="1"/>
  <c r="E14" i="3"/>
  <c r="K11" i="2"/>
  <c r="J11" i="2"/>
  <c r="N7" i="2"/>
  <c r="N6" i="2"/>
  <c r="E10" i="42" l="1"/>
  <c r="E11" i="42"/>
  <c r="G22" i="1"/>
  <c r="O7" i="3"/>
  <c r="O15" i="3" s="1"/>
  <c r="E10" i="3"/>
  <c r="E27" i="3" s="1"/>
  <c r="L9" i="1"/>
  <c r="M9" i="1" s="1"/>
  <c r="L7" i="1"/>
  <c r="M7" i="1" s="1"/>
  <c r="L5" i="1"/>
  <c r="M5" i="1" s="1"/>
  <c r="L12" i="1"/>
  <c r="M12" i="1" s="1"/>
  <c r="L11" i="1"/>
  <c r="M11" i="1" s="1"/>
  <c r="L8" i="1"/>
  <c r="M8" i="1" s="1"/>
  <c r="L6" i="1"/>
  <c r="L4" i="1"/>
  <c r="M4" i="1" s="1"/>
  <c r="P4" i="1" s="1"/>
  <c r="L10" i="1"/>
  <c r="M10" i="1" s="1"/>
  <c r="L3" i="1"/>
  <c r="M3" i="1" s="1"/>
  <c r="N11" i="1"/>
  <c r="O11" i="1" s="1"/>
  <c r="N8" i="1"/>
  <c r="O8" i="1" s="1"/>
  <c r="N6" i="1"/>
  <c r="O6" i="1" s="1"/>
  <c r="N4" i="1"/>
  <c r="O4" i="1" s="1"/>
  <c r="N10" i="1"/>
  <c r="O10" i="1" s="1"/>
  <c r="N3" i="1"/>
  <c r="O3" i="1" s="1"/>
  <c r="N9" i="1"/>
  <c r="O9" i="1" s="1"/>
  <c r="N7" i="1"/>
  <c r="O7" i="1" s="1"/>
  <c r="N5" i="1"/>
  <c r="O5" i="1" s="1"/>
  <c r="N12" i="1"/>
  <c r="O12" i="1" s="1"/>
  <c r="M6" i="1"/>
  <c r="J13" i="1"/>
  <c r="J10" i="3"/>
  <c r="J27" i="3" s="1"/>
  <c r="E6" i="2" s="1"/>
  <c r="J14" i="3"/>
  <c r="J18" i="3" s="1"/>
  <c r="J28" i="3" s="1"/>
  <c r="E7" i="2" s="1"/>
  <c r="O14" i="3"/>
  <c r="E15" i="3"/>
  <c r="E18" i="3" s="1"/>
  <c r="E28" i="3" s="1"/>
  <c r="O18" i="3" l="1"/>
  <c r="O28" i="3" s="1"/>
  <c r="E20" i="2" s="1"/>
  <c r="P10" i="1"/>
  <c r="O10" i="3"/>
  <c r="O27" i="3" s="1"/>
  <c r="E31" i="3"/>
  <c r="E36" i="3" s="1"/>
  <c r="P8" i="1"/>
  <c r="O13" i="1"/>
  <c r="P11" i="1"/>
  <c r="P9" i="1"/>
  <c r="P12" i="1"/>
  <c r="P6" i="1"/>
  <c r="P3" i="1"/>
  <c r="M13" i="1"/>
  <c r="P7" i="1"/>
  <c r="P5" i="1"/>
  <c r="J31" i="3"/>
  <c r="J36" i="3" l="1"/>
  <c r="E10" i="2"/>
  <c r="O31" i="3"/>
  <c r="E19" i="2"/>
  <c r="P13" i="1"/>
  <c r="O36" i="3" l="1"/>
  <c r="E23" i="2"/>
  <c r="J38" i="3"/>
  <c r="E14" i="2"/>
  <c r="E15" i="2" l="1"/>
  <c r="E32" i="2" s="1"/>
  <c r="O38" i="3"/>
  <c r="E28" i="2" s="1"/>
  <c r="E27" i="2"/>
  <c r="E35" i="2" l="1"/>
  <c r="E33" i="2"/>
  <c r="E38" i="3"/>
  <c r="D23" i="4" s="1"/>
  <c r="F2" i="42" s="1"/>
  <c r="F11" i="42" s="1"/>
  <c r="M9" i="2"/>
  <c r="L8" i="2"/>
  <c r="F10" i="42" l="1"/>
  <c r="L9" i="2"/>
  <c r="N9" i="2" s="1"/>
  <c r="M10" i="2"/>
  <c r="E34" i="2"/>
  <c r="N8" i="2"/>
  <c r="L11" i="2" l="1"/>
  <c r="N10" i="2"/>
  <c r="N11" i="2" s="1"/>
  <c r="M1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tc={13FCCD1E-322E-4891-A5AB-E4F2FA7437C1}</author>
    <author>tc={3CA99E17-7459-40B6-B842-BDCE290346A0}</author>
    <author>tc={A59FFF16-E174-48AF-831E-687C6338C3B6}</author>
    <author>tc={D5D442D5-22F9-462F-8E68-02060940089B}</author>
    <author>tc={2DA2DA31-519E-4B56-8AFD-C859680AD4DA}</author>
  </authors>
  <commentList>
    <comment ref="E6" authorId="0" shapeId="0" xr:uid="{13FCCD1E-322E-4891-A5AB-E4F2FA7437C1}">
      <text>
        <t>[Threaded comment]
Your version of Excel allows you to read this threaded comment; however, any edits to it will get removed if the file is opened in a newer version of Excel. Learn more: https://go.microsoft.com/fwlink/?linkid=870924
Comment:
    Capped at 95%</t>
      </text>
    </comment>
    <comment ref="J6" authorId="1" shapeId="0" xr:uid="{3CA99E17-7459-40B6-B842-BDCE290346A0}">
      <text>
        <t>[Threaded comment]
Your version of Excel allows you to read this threaded comment; however, any edits to it will get removed if the file is opened in a newer version of Excel. Learn more: https://go.microsoft.com/fwlink/?linkid=870924
Comment:
    Capped at 95%</t>
      </text>
    </comment>
    <comment ref="O6" authorId="2" shapeId="0" xr:uid="{A59FFF16-E174-48AF-831E-687C6338C3B6}">
      <text>
        <t>[Threaded comment]
Your version of Excel allows you to read this threaded comment; however, any edits to it will get removed if the file is opened in a newer version of Excel. Learn more: https://go.microsoft.com/fwlink/?linkid=870924
Comment:
    Capped 95%</t>
      </text>
    </comment>
    <comment ref="J23" authorId="3" shapeId="0" xr:uid="{D5D442D5-22F9-462F-8E68-02060940089B}">
      <text>
        <t>[Threaded comment]
Your version of Excel allows you to read this threaded comment; however, any edits to it will get removed if the file is opened in a newer version of Excel. Learn more: https://go.microsoft.com/fwlink/?linkid=870924
Comment:
    AR4 value</t>
      </text>
    </comment>
    <comment ref="O23" authorId="4" shapeId="0" xr:uid="{2DA2DA31-519E-4B56-8AFD-C859680AD4DA}">
      <text>
        <t>[Threaded comment]
Your version of Excel allows you to read this threaded comment; however, any edits to it will get removed if the file is opened in a newer version of Excel. Learn more: https://go.microsoft.com/fwlink/?linkid=870924
Comment:
    AR5 value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tc={0F12DAA1-874C-435C-B226-D1BE92CDA7D3}</author>
    <author>tc={C5A9233E-06C1-42E0-981A-A6B1A6968810}</author>
    <author>tc={A0A77F5B-3831-4F48-B6F1-D31FB101E5A3}</author>
  </authors>
  <commentList>
    <comment ref="E6" authorId="0" shapeId="0" xr:uid="{0F12DAA1-874C-435C-B226-D1BE92CDA7D3}">
      <text>
        <t>[Threaded comment]
Your version of Excel allows you to read this threaded comment; however, any edits to it will get removed if the file is opened in a newer version of Excel. Learn more: https://go.microsoft.com/fwlink/?linkid=870924
Comment:
    Capped at 95%</t>
      </text>
    </comment>
    <comment ref="J6" authorId="1" shapeId="0" xr:uid="{C5A9233E-06C1-42E0-981A-A6B1A6968810}">
      <text>
        <t>[Threaded comment]
Your version of Excel allows you to read this threaded comment; however, any edits to it will get removed if the file is opened in a newer version of Excel. Learn more: https://go.microsoft.com/fwlink/?linkid=870924
Comment:
    Capped at 95%</t>
      </text>
    </comment>
    <comment ref="O6" authorId="2" shapeId="0" xr:uid="{A0A77F5B-3831-4F48-B6F1-D31FB101E5A3}">
      <text>
        <t>[Threaded comment]
Your version of Excel allows you to read this threaded comment; however, any edits to it will get removed if the file is opened in a newer version of Excel. Learn more: https://go.microsoft.com/fwlink/?linkid=870924
Comment:
    Capped at 95%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tc={9D1CA378-3E9E-436B-8FFB-1CCCB352DAEA}</author>
    <author>tc={29A5FDC9-D342-46AA-9AA7-8B4A2AE302D3}</author>
    <author>tc={150D53F0-E664-4677-8605-5EE2BEC1C598}</author>
  </authors>
  <commentList>
    <comment ref="E6" authorId="0" shapeId="0" xr:uid="{9D1CA378-3E9E-436B-8FFB-1CCCB352DAEA}">
      <text>
        <t>[Threaded comment]
Your version of Excel allows you to read this threaded comment; however, any edits to it will get removed if the file is opened in a newer version of Excel. Learn more: https://go.microsoft.com/fwlink/?linkid=870924
Comment:
    Capped at 95%</t>
      </text>
    </comment>
    <comment ref="J6" authorId="1" shapeId="0" xr:uid="{29A5FDC9-D342-46AA-9AA7-8B4A2AE302D3}">
      <text>
        <t>[Threaded comment]
Your version of Excel allows you to read this threaded comment; however, any edits to it will get removed if the file is opened in a newer version of Excel. Learn more: https://go.microsoft.com/fwlink/?linkid=870924
Comment:
    Capped at 95%</t>
      </text>
    </comment>
    <comment ref="O6" authorId="2" shapeId="0" xr:uid="{150D53F0-E664-4677-8605-5EE2BEC1C598}">
      <text>
        <t>[Threaded comment]
Your version of Excel allows you to read this threaded comment; however, any edits to it will get removed if the file is opened in a newer version of Excel. Learn more: https://go.microsoft.com/fwlink/?linkid=870924
Comment:
    Capped at 95%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tc={B8985E1C-209D-4D00-86FE-753DAB1006A9}</author>
    <author>tc={EB5323C6-0227-49A7-9E40-619614018BC7}</author>
    <author>tc={B971601C-F9C5-4EFD-A21D-3FC1C193D2C2}</author>
  </authors>
  <commentList>
    <comment ref="E6" authorId="0" shapeId="0" xr:uid="{B8985E1C-209D-4D00-86FE-753DAB1006A9}">
      <text>
        <t>[Threaded comment]
Your version of Excel allows you to read this threaded comment; however, any edits to it will get removed if the file is opened in a newer version of Excel. Learn more: https://go.microsoft.com/fwlink/?linkid=870924
Comment:
    Capped at 95%</t>
      </text>
    </comment>
    <comment ref="J6" authorId="1" shapeId="0" xr:uid="{EB5323C6-0227-49A7-9E40-619614018BC7}">
      <text>
        <t>[Threaded comment]
Your version of Excel allows you to read this threaded comment; however, any edits to it will get removed if the file is opened in a newer version of Excel. Learn more: https://go.microsoft.com/fwlink/?linkid=870924
Comment:
    Capped at 95%</t>
      </text>
    </comment>
    <comment ref="O6" authorId="2" shapeId="0" xr:uid="{B971601C-F9C5-4EFD-A21D-3FC1C193D2C2}">
      <text>
        <t>[Threaded comment]
Your version of Excel allows you to read this threaded comment; however, any edits to it will get removed if the file is opened in a newer version of Excel. Learn more: https://go.microsoft.com/fwlink/?linkid=870924
Comment:
    Capped at 95%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tc={1682E911-5AB0-4029-87C3-57DEA61B09DB}</author>
    <author>tc={4B44357E-9902-41D4-B140-547BDC07CA58}</author>
    <author>tc={244CF938-7B5A-4795-B692-87DC294A2EF5}</author>
  </authors>
  <commentList>
    <comment ref="E6" authorId="0" shapeId="0" xr:uid="{1682E911-5AB0-4029-87C3-57DEA61B09DB}">
      <text>
        <t>[Threaded comment]
Your version of Excel allows you to read this threaded comment; however, any edits to it will get removed if the file is opened in a newer version of Excel. Learn more: https://go.microsoft.com/fwlink/?linkid=870924
Comment:
    Capped at 95%</t>
      </text>
    </comment>
    <comment ref="J6" authorId="1" shapeId="0" xr:uid="{4B44357E-9902-41D4-B140-547BDC07CA58}">
      <text>
        <t>[Threaded comment]
Your version of Excel allows you to read this threaded comment; however, any edits to it will get removed if the file is opened in a newer version of Excel. Learn more: https://go.microsoft.com/fwlink/?linkid=870924
Comment:
    Capped at 95%</t>
      </text>
    </comment>
    <comment ref="O6" authorId="2" shapeId="0" xr:uid="{244CF938-7B5A-4795-B692-87DC294A2EF5}">
      <text>
        <t>[Threaded comment]
Your version of Excel allows you to read this threaded comment; however, any edits to it will get removed if the file is opened in a newer version of Excel. Learn more: https://go.microsoft.com/fwlink/?linkid=870924
Comment:
    Capped at 95%</t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tc={23FDA656-D78F-43EF-8D3D-1A718EA2C291}</author>
    <author>tc={BEAAD81D-38DA-413D-B0F5-EF4EF3DA8C4A}</author>
    <author>tc={8727F6CC-A02E-4128-913A-6F47ED1CE379}</author>
  </authors>
  <commentList>
    <comment ref="E6" authorId="0" shapeId="0" xr:uid="{23FDA656-D78F-43EF-8D3D-1A718EA2C291}">
      <text>
        <t>[Threaded comment]
Your version of Excel allows you to read this threaded comment; however, any edits to it will get removed if the file is opened in a newer version of Excel. Learn more: https://go.microsoft.com/fwlink/?linkid=870924
Comment:
    Capped at 95%</t>
      </text>
    </comment>
    <comment ref="J6" authorId="1" shapeId="0" xr:uid="{BEAAD81D-38DA-413D-B0F5-EF4EF3DA8C4A}">
      <text>
        <t>[Threaded comment]
Your version of Excel allows you to read this threaded comment; however, any edits to it will get removed if the file is opened in a newer version of Excel. Learn more: https://go.microsoft.com/fwlink/?linkid=870924
Comment:
    Capped at 95%</t>
      </text>
    </comment>
    <comment ref="O6" authorId="2" shapeId="0" xr:uid="{8727F6CC-A02E-4128-913A-6F47ED1CE379}">
      <text>
        <t>[Threaded comment]
Your version of Excel allows you to read this threaded comment; however, any edits to it will get removed if the file is opened in a newer version of Excel. Learn more: https://go.microsoft.com/fwlink/?linkid=870924
Comment:
    Capped at 95%</t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tc={74A26FC7-2C5B-46BD-8070-3AF1B94CC383}</author>
    <author>tc={B552B254-3246-4742-AA5F-E37F09F1D0FE}</author>
    <author>tc={B05F1F6E-C2AF-4C2C-B1E0-2CA3FF4F95CB}</author>
  </authors>
  <commentList>
    <comment ref="E6" authorId="0" shapeId="0" xr:uid="{74A26FC7-2C5B-46BD-8070-3AF1B94CC383}">
      <text>
        <t>[Threaded comment]
Your version of Excel allows you to read this threaded comment; however, any edits to it will get removed if the file is opened in a newer version of Excel. Learn more: https://go.microsoft.com/fwlink/?linkid=870924
Comment:
    Capped at 95%</t>
      </text>
    </comment>
    <comment ref="J6" authorId="1" shapeId="0" xr:uid="{B552B254-3246-4742-AA5F-E37F09F1D0FE}">
      <text>
        <t>[Threaded comment]
Your version of Excel allows you to read this threaded comment; however, any edits to it will get removed if the file is opened in a newer version of Excel. Learn more: https://go.microsoft.com/fwlink/?linkid=870924
Comment:
    Capped at 95%</t>
      </text>
    </comment>
    <comment ref="O6" authorId="2" shapeId="0" xr:uid="{B05F1F6E-C2AF-4C2C-B1E0-2CA3FF4F95CB}">
      <text>
        <t>[Threaded comment]
Your version of Excel allows you to read this threaded comment; however, any edits to it will get removed if the file is opened in a newer version of Excel. Learn more: https://go.microsoft.com/fwlink/?linkid=870924
Comment:
    Capped at 95%</t>
      </text>
    </comment>
  </commentList>
</comments>
</file>

<file path=xl/sharedStrings.xml><?xml version="1.0" encoding="utf-8"?>
<sst xmlns="http://schemas.openxmlformats.org/spreadsheetml/2006/main" count="3384" uniqueCount="404">
  <si>
    <t>Emission Reductions -  01/12/2020 - 30/11/2021</t>
  </si>
  <si>
    <t>ERs_by Vintage</t>
  </si>
  <si>
    <t>2020 Emission Reductions</t>
  </si>
  <si>
    <t>Emission Reductions by Vintage-Capped</t>
  </si>
  <si>
    <t>Emissions Reductions</t>
  </si>
  <si>
    <t>Year</t>
  </si>
  <si>
    <t xml:space="preserve">MP1 </t>
  </si>
  <si>
    <t>MP2</t>
  </si>
  <si>
    <t>MP3</t>
  </si>
  <si>
    <t>MP4</t>
  </si>
  <si>
    <t>Capped Ers</t>
  </si>
  <si>
    <t>Baseline emissions per year</t>
  </si>
  <si>
    <t>BEb,y</t>
  </si>
  <si>
    <t>tCO2/y</t>
  </si>
  <si>
    <t>Project emissions per year</t>
  </si>
  <si>
    <t>PEp,y</t>
  </si>
  <si>
    <t>Usage rate</t>
  </si>
  <si>
    <t>Up,y</t>
  </si>
  <si>
    <t>fraction</t>
  </si>
  <si>
    <t>Leakage</t>
  </si>
  <si>
    <t>LEp,y</t>
  </si>
  <si>
    <t>Emission Reductions</t>
  </si>
  <si>
    <t>Ery</t>
  </si>
  <si>
    <t>Total</t>
  </si>
  <si>
    <t>Suppressed Demand Assessment</t>
  </si>
  <si>
    <t>Percentage of suppressed demand users</t>
  </si>
  <si>
    <r>
      <t xml:space="preserve">Percentage of </t>
    </r>
    <r>
      <rPr>
        <b/>
        <u/>
        <sz val="11"/>
        <color indexed="8"/>
        <rFont val="Calibri"/>
        <family val="2"/>
      </rPr>
      <t>non</t>
    </r>
    <r>
      <rPr>
        <sz val="11"/>
        <color theme="1"/>
        <rFont val="Calibri"/>
        <family val="2"/>
        <scheme val="minor"/>
      </rPr>
      <t xml:space="preserve">-suppressed demand users </t>
    </r>
  </si>
  <si>
    <t>Xboil</t>
  </si>
  <si>
    <t>Percentage</t>
  </si>
  <si>
    <t>ERy</t>
  </si>
  <si>
    <t xml:space="preserve">Capped Emissions Reductions </t>
  </si>
  <si>
    <t>Total ERs for MP4</t>
  </si>
  <si>
    <t>Total Emission Reductions for MP4</t>
  </si>
  <si>
    <t>Emission Reductions claimed for MP4</t>
  </si>
  <si>
    <t>Total Emission Reductions</t>
  </si>
  <si>
    <t>2021 Emission Reductions</t>
  </si>
  <si>
    <t>Baseline Fuel Use (Bby)</t>
  </si>
  <si>
    <t>Portion using safe water</t>
  </si>
  <si>
    <t>Cj</t>
  </si>
  <si>
    <t>Person Days</t>
  </si>
  <si>
    <t>Njy</t>
  </si>
  <si>
    <t>Fuel to treat  1 litre of water using baseline tech</t>
  </si>
  <si>
    <t>Wb,y</t>
  </si>
  <si>
    <t>T/L</t>
  </si>
  <si>
    <t>Quantity safe water litres consumed in project scenario supplied by project technology</t>
  </si>
  <si>
    <t>Qp,y</t>
  </si>
  <si>
    <t>L/pd</t>
  </si>
  <si>
    <t>Quantity of raw water boiled in addition to project technology water</t>
  </si>
  <si>
    <t>Qp, raw, y</t>
  </si>
  <si>
    <t>Quantity fuel consumed in baseline scenario</t>
  </si>
  <si>
    <t>Bb,y</t>
  </si>
  <si>
    <t>T</t>
  </si>
  <si>
    <t>Project Fuel Use (Pby)</t>
  </si>
  <si>
    <t>Portion of safe users</t>
  </si>
  <si>
    <t>Fossil fuel required to treat 1 litre for water in project scenario</t>
  </si>
  <si>
    <t xml:space="preserve">Wp,y </t>
  </si>
  <si>
    <t>Quantity of raw water boiled in addition to project tech water</t>
  </si>
  <si>
    <t>Quantity of safe water boiled</t>
  </si>
  <si>
    <t xml:space="preserve">Qp, cleanboil, y </t>
  </si>
  <si>
    <t>Quantity of fuel consumed in project scenario per HH</t>
  </si>
  <si>
    <t>Bp,y</t>
  </si>
  <si>
    <t>Constants</t>
  </si>
  <si>
    <t>NRB</t>
  </si>
  <si>
    <t>Fraction</t>
  </si>
  <si>
    <t>Emissions factor fuel (co2)</t>
  </si>
  <si>
    <t>EFb,fuel,co2</t>
  </si>
  <si>
    <t>tCO2/TJ</t>
  </si>
  <si>
    <t>Emissions factor fuel (non-co2)</t>
  </si>
  <si>
    <t>EFb, fuel, non-co2</t>
  </si>
  <si>
    <t>TCO2/TJ</t>
  </si>
  <si>
    <t>Net calorific value of fuel</t>
  </si>
  <si>
    <t>NCV,b,fuel</t>
  </si>
  <si>
    <t>TJ/T</t>
  </si>
  <si>
    <t>Emission Reductions Corrected for Suppressed Demand</t>
  </si>
  <si>
    <t>Capped Emission Reductions</t>
  </si>
  <si>
    <t>The Ers have been capped at the daily rate based on 10,000 ERs per year</t>
  </si>
  <si>
    <t>GS ID</t>
  </si>
  <si>
    <t>Borehole ID</t>
  </si>
  <si>
    <t>Village</t>
  </si>
  <si>
    <t>Latitude</t>
  </si>
  <si>
    <t>Longitude</t>
  </si>
  <si>
    <t>Rehabilitation Date</t>
  </si>
  <si>
    <t>No. HHs</t>
  </si>
  <si>
    <t>No. People</t>
  </si>
  <si>
    <t>Capped People</t>
  </si>
  <si>
    <t>Net Crediting Days</t>
  </si>
  <si>
    <t>PTDs</t>
  </si>
  <si>
    <t>Net Crediting Crediting</t>
  </si>
  <si>
    <t>Total PTDs</t>
  </si>
  <si>
    <t>GS5951</t>
  </si>
  <si>
    <t>ZA002</t>
  </si>
  <si>
    <t>Etharewyatat</t>
  </si>
  <si>
    <t>16.26033</t>
  </si>
  <si>
    <t>38.40542</t>
  </si>
  <si>
    <t>ZA003</t>
  </si>
  <si>
    <t>Kedhat</t>
  </si>
  <si>
    <t>38.42163</t>
  </si>
  <si>
    <t>ZA012</t>
  </si>
  <si>
    <t>Balwa</t>
  </si>
  <si>
    <t>38.69865</t>
  </si>
  <si>
    <t>ZA017</t>
  </si>
  <si>
    <t>Aditafla</t>
  </si>
  <si>
    <t>38.62729</t>
  </si>
  <si>
    <t>ZA020</t>
  </si>
  <si>
    <t>Bekushemnuk</t>
  </si>
  <si>
    <t>38.64577</t>
  </si>
  <si>
    <t>ZA021</t>
  </si>
  <si>
    <t>Wasdemba 1</t>
  </si>
  <si>
    <t>38.57862</t>
  </si>
  <si>
    <t>ZA035</t>
  </si>
  <si>
    <t>Kush</t>
  </si>
  <si>
    <t>16.14950</t>
  </si>
  <si>
    <t>38.05349</t>
  </si>
  <si>
    <t>ZA037</t>
  </si>
  <si>
    <t>Orota</t>
  </si>
  <si>
    <t>16.17624</t>
  </si>
  <si>
    <t>37.95590</t>
  </si>
  <si>
    <t>ZA039</t>
  </si>
  <si>
    <t>Shirara 2</t>
  </si>
  <si>
    <t>15.81786</t>
  </si>
  <si>
    <t>38.86357</t>
  </si>
  <si>
    <t>ZA041</t>
  </si>
  <si>
    <t>Weledteshim</t>
  </si>
  <si>
    <t>16.15750</t>
  </si>
  <si>
    <t>38.07294</t>
  </si>
  <si>
    <t>Totals</t>
  </si>
  <si>
    <t>MP Start</t>
  </si>
  <si>
    <t>MP End</t>
  </si>
  <si>
    <t>2020 End</t>
  </si>
  <si>
    <t xml:space="preserve">Functionality Assessment and Cap </t>
  </si>
  <si>
    <t>Total potential MP4 days per VPA</t>
  </si>
  <si>
    <t>Down Days (%)</t>
  </si>
  <si>
    <t>Functionality Cap</t>
  </si>
  <si>
    <t>Total potential MP4 days per BH</t>
  </si>
  <si>
    <t>Net Crediting Days per VPA with 95% cap</t>
  </si>
  <si>
    <t>2020 crediting days</t>
  </si>
  <si>
    <t>2021 crediting days</t>
  </si>
  <si>
    <t>MP4 Downdays %</t>
  </si>
  <si>
    <t xml:space="preserve">SDG 3: Good Health and Well Being </t>
  </si>
  <si>
    <t>Description</t>
  </si>
  <si>
    <t>HARPy = ((Pb,y - Pp,y)/Pb,y)*Up,y</t>
  </si>
  <si>
    <t>Unit</t>
  </si>
  <si>
    <t>HARPy</t>
  </si>
  <si>
    <t>Total reduction in Household Air Pollution for project activity in year y (%)</t>
  </si>
  <si>
    <t>%</t>
  </si>
  <si>
    <t>Pb,y</t>
  </si>
  <si>
    <t>Quantity of fuel that is consumed in the baseline scenario b during year y (kg/person-day)</t>
  </si>
  <si>
    <t>tonnes/pp</t>
  </si>
  <si>
    <t>Pp,y</t>
  </si>
  <si>
    <t>Quantity of fuel that is consumed in the project scenario p during year y (kg/person-day)</t>
  </si>
  <si>
    <t>kg/pp</t>
  </si>
  <si>
    <t>Quantity of wood fuel or fossil fuel required to boil 1 litre of water using technologies representative of baseline scenario b during year y</t>
  </si>
  <si>
    <t>tonnes/L</t>
  </si>
  <si>
    <t>Quantity of safe water supplied in the project scenario p during year y, using the “zero or low” emissions’ clean water supply technology</t>
  </si>
  <si>
    <t>Litres</t>
  </si>
  <si>
    <t>Qp,cleanboil,y</t>
  </si>
  <si>
    <t>Quantity of safe water boiled in the project scenario p during year y, after installation of the project technology</t>
  </si>
  <si>
    <t xml:space="preserve">Up,y </t>
  </si>
  <si>
    <r>
      <t>Usage rate in project scenario p during</t>
    </r>
    <r>
      <rPr>
        <vertAlign val="subscript"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year y</t>
    </r>
  </si>
  <si>
    <t>SDG 5: Gender Equality</t>
  </si>
  <si>
    <t>TRy = (Tb,y - Tp,y)</t>
  </si>
  <si>
    <t>TRy</t>
  </si>
  <si>
    <t xml:space="preserve">Total reduction time spent collecting firewood per day for project activity in year y </t>
  </si>
  <si>
    <t>hours</t>
  </si>
  <si>
    <t>Tb,y</t>
  </si>
  <si>
    <t xml:space="preserve">Baseline time spent collecting firewood per household per day </t>
  </si>
  <si>
    <t>Tp,y</t>
  </si>
  <si>
    <t xml:space="preserve">Project time spent collecting firewood per household per day </t>
  </si>
  <si>
    <t>SDG 6: Clean Water and Sanitation</t>
  </si>
  <si>
    <t>Paccess = Py * (1 – Cj) * Up,y</t>
  </si>
  <si>
    <t>Paccess</t>
  </si>
  <si>
    <t>Number of additional persons having access to safe water in the project activity compared to the baseline scenario</t>
  </si>
  <si>
    <t>people</t>
  </si>
  <si>
    <t>Py</t>
  </si>
  <si>
    <t>Number of persons having access to safe water in the project activity</t>
  </si>
  <si>
    <t>Portion of users of the project technology j who in the baseline were already consuming safe water without boiling it</t>
  </si>
  <si>
    <t>SDG 13: Climate Action</t>
  </si>
  <si>
    <t>Er,y</t>
  </si>
  <si>
    <t xml:space="preserve">CO2 emission reductions for the current monitoring period </t>
  </si>
  <si>
    <t>VER</t>
  </si>
  <si>
    <t>Emission Reductions - 01/12/2020 - 30/11/2021</t>
  </si>
  <si>
    <t>MP1</t>
  </si>
  <si>
    <t>Source of Data</t>
  </si>
  <si>
    <t>Baseline survey</t>
  </si>
  <si>
    <t>PTDs tab (cappped No people * credting days)</t>
  </si>
  <si>
    <t>Default value</t>
  </si>
  <si>
    <t>10.24 (Cap at 7.5 as per TPDDTEC v1)</t>
  </si>
  <si>
    <t>WCFT</t>
  </si>
  <si>
    <t xml:space="preserve">PTDs tab (cappped No people * credting days) </t>
  </si>
  <si>
    <t>Default</t>
  </si>
  <si>
    <t>Usage Survey (capped  at 95% if higher)</t>
  </si>
  <si>
    <t>Assessed every 2 years</t>
  </si>
  <si>
    <t>Net Days Crediting</t>
  </si>
  <si>
    <t>GS5952</t>
  </si>
  <si>
    <t>ZA005</t>
  </si>
  <si>
    <t>Karibosa</t>
  </si>
  <si>
    <t>38.38365</t>
  </si>
  <si>
    <t>ZA010</t>
  </si>
  <si>
    <t>Jertem</t>
  </si>
  <si>
    <t>38.61430</t>
  </si>
  <si>
    <t>ZA027</t>
  </si>
  <si>
    <t>Ghergher</t>
  </si>
  <si>
    <t>15.77427</t>
  </si>
  <si>
    <t>38.68305</t>
  </si>
  <si>
    <t>ZA030</t>
  </si>
  <si>
    <t>Deghedeg</t>
  </si>
  <si>
    <t>38.77090</t>
  </si>
  <si>
    <t>ZA031</t>
  </si>
  <si>
    <t>Glass</t>
  </si>
  <si>
    <t>15.71860</t>
  </si>
  <si>
    <t>38.31357</t>
  </si>
  <si>
    <t>ZA033</t>
  </si>
  <si>
    <t>Asmat</t>
  </si>
  <si>
    <t>16.15725</t>
  </si>
  <si>
    <t>38.07292</t>
  </si>
  <si>
    <t>ZA038</t>
  </si>
  <si>
    <t>Shirara 1</t>
  </si>
  <si>
    <t>15.81800</t>
  </si>
  <si>
    <t>38.86359</t>
  </si>
  <si>
    <t>ZA042</t>
  </si>
  <si>
    <t>Dighi</t>
  </si>
  <si>
    <t>15.75369</t>
  </si>
  <si>
    <t>38.48991</t>
  </si>
  <si>
    <t>Dates</t>
  </si>
  <si>
    <t>Uncapped people</t>
  </si>
  <si>
    <t>GS Num</t>
  </si>
  <si>
    <t>VPA Num</t>
  </si>
  <si>
    <t>Non-func period Start</t>
  </si>
  <si>
    <t xml:space="preserve">Non-func period End </t>
  </si>
  <si>
    <t xml:space="preserve">Reason </t>
  </si>
  <si>
    <t xml:space="preserve">Non-functioning Days </t>
  </si>
  <si>
    <t>MP4 Total Non-functioning  Days</t>
  </si>
  <si>
    <t>21/06/2021</t>
  </si>
  <si>
    <t>24/06/2021</t>
  </si>
  <si>
    <t>Pipe was replaced</t>
  </si>
  <si>
    <t>Head was replaced</t>
  </si>
  <si>
    <t>Two pipes and a rubber were replaced</t>
  </si>
  <si>
    <t>Baseline Survey</t>
  </si>
  <si>
    <t>Projet Survey</t>
  </si>
  <si>
    <t>User List</t>
  </si>
  <si>
    <t>Ers calcs</t>
  </si>
  <si>
    <t>GS5953</t>
  </si>
  <si>
    <t>ZA004</t>
  </si>
  <si>
    <t>Guluy</t>
  </si>
  <si>
    <t>38.41542</t>
  </si>
  <si>
    <t>ZA006</t>
  </si>
  <si>
    <t>Robto</t>
  </si>
  <si>
    <t>38.66324</t>
  </si>
  <si>
    <t>ZA007</t>
  </si>
  <si>
    <t>Garalebu</t>
  </si>
  <si>
    <t>38.67674</t>
  </si>
  <si>
    <t>ZA009</t>
  </si>
  <si>
    <t>Jemberek</t>
  </si>
  <si>
    <t>38.66217</t>
  </si>
  <si>
    <t>ZA015</t>
  </si>
  <si>
    <t>Hamrehamareb 1</t>
  </si>
  <si>
    <t>38.62206</t>
  </si>
  <si>
    <t>ZA019</t>
  </si>
  <si>
    <t>Firkutu</t>
  </si>
  <si>
    <t>38.65469</t>
  </si>
  <si>
    <t>ZA029</t>
  </si>
  <si>
    <t>Marat</t>
  </si>
  <si>
    <t>38.67113</t>
  </si>
  <si>
    <t>ZA036</t>
  </si>
  <si>
    <t>Embelday</t>
  </si>
  <si>
    <t>16.35044</t>
  </si>
  <si>
    <t>37.96735</t>
  </si>
  <si>
    <t>ZA040</t>
  </si>
  <si>
    <t>Shindwa</t>
  </si>
  <si>
    <t>15.61528</t>
  </si>
  <si>
    <t>38.71335</t>
  </si>
  <si>
    <t>uncapped PTDs</t>
  </si>
  <si>
    <t xml:space="preserve">MP4 Total </t>
  </si>
  <si>
    <t>Project Survey</t>
  </si>
  <si>
    <t>GS5954</t>
  </si>
  <si>
    <t>ZA013</t>
  </si>
  <si>
    <t>Haddishadi 1</t>
  </si>
  <si>
    <t>38.57620</t>
  </si>
  <si>
    <t>ZA018</t>
  </si>
  <si>
    <t>Tuumkofa</t>
  </si>
  <si>
    <t>38.62445</t>
  </si>
  <si>
    <t>ZA024</t>
  </si>
  <si>
    <t>Iratahtai 2</t>
  </si>
  <si>
    <t>38.73472</t>
  </si>
  <si>
    <t>ZA025</t>
  </si>
  <si>
    <t>Hashishay 1</t>
  </si>
  <si>
    <t>38.14242</t>
  </si>
  <si>
    <t>ZA028</t>
  </si>
  <si>
    <t>Gherbet</t>
  </si>
  <si>
    <t>38.74289</t>
  </si>
  <si>
    <t>ZA032</t>
  </si>
  <si>
    <t>Golagul</t>
  </si>
  <si>
    <t>15.57881</t>
  </si>
  <si>
    <t>38.79442</t>
  </si>
  <si>
    <t>ZA034</t>
  </si>
  <si>
    <t>Hawish</t>
  </si>
  <si>
    <t>16.19937</t>
  </si>
  <si>
    <t>38.06788</t>
  </si>
  <si>
    <t>Uncappded PTDs</t>
  </si>
  <si>
    <t>Cylinder was replaced</t>
  </si>
  <si>
    <t>Pipes were replaced</t>
  </si>
  <si>
    <t>Usage Survey (capped  at 95% when higher)</t>
  </si>
  <si>
    <t>GS5955</t>
  </si>
  <si>
    <t>ZA008</t>
  </si>
  <si>
    <t>Adkom</t>
  </si>
  <si>
    <t>38.64642</t>
  </si>
  <si>
    <t>ZA011</t>
  </si>
  <si>
    <t>Habrenkeka</t>
  </si>
  <si>
    <t>38.70981</t>
  </si>
  <si>
    <t>ZA014</t>
  </si>
  <si>
    <t>Haddishadi 2</t>
  </si>
  <si>
    <t>38.62321</t>
  </si>
  <si>
    <t>ZA016</t>
  </si>
  <si>
    <t>Hamrehamareb 2</t>
  </si>
  <si>
    <t>38.62231</t>
  </si>
  <si>
    <t>ZA022</t>
  </si>
  <si>
    <t>Wasdemba 2</t>
  </si>
  <si>
    <t>38.57717</t>
  </si>
  <si>
    <t>ZA023</t>
  </si>
  <si>
    <t>Iratahtai 1</t>
  </si>
  <si>
    <t>38.73512</t>
  </si>
  <si>
    <t>ZA026</t>
  </si>
  <si>
    <t>Hashishay 2</t>
  </si>
  <si>
    <t>Uncapped PTDs</t>
  </si>
  <si>
    <t>Emission Reductions - 01/12/20 - 31/11/2021</t>
  </si>
  <si>
    <t>Total ERs for MP2</t>
  </si>
  <si>
    <t>Total Emission Reductions for MP2</t>
  </si>
  <si>
    <t>GS6041</t>
  </si>
  <si>
    <t>ZA044</t>
  </si>
  <si>
    <t>Kerecha</t>
  </si>
  <si>
    <t>ZA045</t>
  </si>
  <si>
    <t>Derkunoq</t>
  </si>
  <si>
    <t>ZA046</t>
  </si>
  <si>
    <t>Libena</t>
  </si>
  <si>
    <t>ZA047</t>
  </si>
  <si>
    <t>Shirarwa</t>
  </si>
  <si>
    <t>ZA048</t>
  </si>
  <si>
    <t>Habena</t>
  </si>
  <si>
    <t>ZA049</t>
  </si>
  <si>
    <t>Bosa-Begu</t>
  </si>
  <si>
    <t>ZA050</t>
  </si>
  <si>
    <t>Ferhen</t>
  </si>
  <si>
    <t>ZA053</t>
  </si>
  <si>
    <t>Enchinaq</t>
  </si>
  <si>
    <t>ZA059</t>
  </si>
  <si>
    <t>Jengenait</t>
  </si>
  <si>
    <t>ZA064</t>
  </si>
  <si>
    <t>Yigar</t>
  </si>
  <si>
    <t>ZA065</t>
  </si>
  <si>
    <t>Jufa</t>
  </si>
  <si>
    <t>ZA066</t>
  </si>
  <si>
    <t>Abdura</t>
  </si>
  <si>
    <t>ZA067</t>
  </si>
  <si>
    <t>Caedakirak</t>
  </si>
  <si>
    <t>Total potential MP2 days per VPA</t>
  </si>
  <si>
    <t>Total potential MP2 per BH</t>
  </si>
  <si>
    <t>2020 Crediting Days</t>
  </si>
  <si>
    <t>2021 Crediting Days</t>
  </si>
  <si>
    <t>MP2 Crediting Days</t>
  </si>
  <si>
    <t>Total crediting days</t>
  </si>
  <si>
    <t xml:space="preserve">MP2 Total </t>
  </si>
  <si>
    <t>Days Crediting</t>
  </si>
  <si>
    <t>GS6042</t>
  </si>
  <si>
    <t>ZA043</t>
  </si>
  <si>
    <t>ZA051</t>
  </si>
  <si>
    <t>Dobiat</t>
  </si>
  <si>
    <t>ZA052</t>
  </si>
  <si>
    <t>Adialemin</t>
  </si>
  <si>
    <t>ZA054</t>
  </si>
  <si>
    <t>Hawatsi</t>
  </si>
  <si>
    <t>ZA055</t>
  </si>
  <si>
    <t>ZA056</t>
  </si>
  <si>
    <t>Forto</t>
  </si>
  <si>
    <t>ZA057</t>
  </si>
  <si>
    <t>Kertset</t>
  </si>
  <si>
    <t>ZA058</t>
  </si>
  <si>
    <t>Gebeyalebu</t>
  </si>
  <si>
    <t>ZA060</t>
  </si>
  <si>
    <t>Gerbet</t>
  </si>
  <si>
    <t>ZA061</t>
  </si>
  <si>
    <t>Hilet</t>
  </si>
  <si>
    <t>ZA062</t>
  </si>
  <si>
    <t>Gam</t>
  </si>
  <si>
    <t>ZA063</t>
  </si>
  <si>
    <t>Bambi</t>
  </si>
  <si>
    <t>Total potential MP2 days per BH</t>
  </si>
  <si>
    <t>Applying Daily Cap</t>
  </si>
  <si>
    <t>2020 Total Crediting Days</t>
  </si>
  <si>
    <t>2021 Total Crediting Days</t>
  </si>
  <si>
    <t xml:space="preserve">2020 Non-functioning Days </t>
  </si>
  <si>
    <t xml:space="preserve">2021 Non-functioning Days </t>
  </si>
  <si>
    <t>Bearing house was replaced</t>
  </si>
  <si>
    <t>VPA ID</t>
  </si>
  <si>
    <t>SDG 3</t>
  </si>
  <si>
    <t>SDG 5</t>
  </si>
  <si>
    <t>SDG 6</t>
  </si>
  <si>
    <t>SDG 13</t>
  </si>
  <si>
    <t>Down Days</t>
  </si>
  <si>
    <t>Capped PTDs</t>
  </si>
  <si>
    <t>Uncapped People</t>
  </si>
  <si>
    <t>Average</t>
  </si>
  <si>
    <t>Total MP4</t>
  </si>
  <si>
    <t>MP4 Downdays</t>
  </si>
  <si>
    <t>Total MP2 Downdays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</si>
</sst>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_-;\-* #,##0_-;_-* &quot;-&quot;??_-;_-@_-"/>
    <numFmt numFmtId="166" formatCode="0.000000"/>
    <numFmt numFmtId="167" formatCode="0.0000000"/>
    <numFmt numFmtId="168" formatCode="0.00000"/>
    <numFmt numFmtId="169" formatCode="0.0"/>
    <numFmt numFmtId="170" formatCode="0.000"/>
    <numFmt numFmtId="171" formatCode="#,##0.00000"/>
    <numFmt numFmtId="172" formatCode="0.0%"/>
    <numFmt numFmtId="173" formatCode="0.0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indexed="8"/>
      <name val="Calibri"/>
      <family val="2"/>
    </font>
    <font>
      <b/>
      <sz val="12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8"/>
      <color rgb="FF00000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rgb="FF444444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20"/>
      <color rgb="FF444444"/>
      <name val="Calibri"/>
      <family val="2"/>
      <charset val="1"/>
    </font>
    <font>
      <b/>
      <sz val="11"/>
      <color rgb="FFFFFFFF"/>
      <name val="Calibri"/>
      <family val="2"/>
    </font>
    <font>
      <sz val="12"/>
      <color rgb="FF000000"/>
      <name val="Calibri"/>
      <family val="2"/>
    </font>
    <font>
      <sz val="18"/>
      <color rgb="FF444444"/>
      <name val="Calibri"/>
      <family val="2"/>
      <charset val="1"/>
    </font>
    <font>
      <sz val="18"/>
      <color rgb="FF000000"/>
      <name val="Calibri"/>
      <family val="2"/>
      <charset val="1"/>
    </font>
    <font>
      <sz val="12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44546A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000000"/>
      <name val="Calibri"/>
      <family val="2"/>
    </font>
    <font>
      <sz val="14"/>
      <color rgb="FF000000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44546A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44546A"/>
        <bgColor rgb="FF000000"/>
      </patternFill>
    </fill>
    <fill>
      <patternFill patternType="solid">
        <fgColor rgb="FFD9E1F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6" tint="0.79998168889431442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509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2" fillId="6" borderId="12" xfId="0" applyFont="1" applyFill="1" applyBorder="1" applyAlignment="1">
      <alignment horizontal="center" wrapText="1"/>
    </xf>
    <xf numFmtId="0" fontId="0" fillId="0" borderId="13" xfId="0" applyBorder="1"/>
    <xf numFmtId="0" fontId="0" fillId="0" borderId="14" xfId="0" applyBorder="1"/>
    <xf numFmtId="3" fontId="0" fillId="3" borderId="15" xfId="0" applyNumberFormat="1" applyFill="1" applyBorder="1"/>
    <xf numFmtId="0" fontId="3" fillId="0" borderId="16" xfId="0" applyFont="1" applyBorder="1" applyAlignment="1">
      <alignment horizontal="center" wrapText="1"/>
    </xf>
    <xf numFmtId="1" fontId="0" fillId="0" borderId="14" xfId="0" applyNumberFormat="1" applyBorder="1" applyAlignment="1">
      <alignment horizontal="center" wrapText="1"/>
    </xf>
    <xf numFmtId="0" fontId="0" fillId="0" borderId="14" xfId="0" applyBorder="1" applyAlignment="1">
      <alignment horizontal="center"/>
    </xf>
    <xf numFmtId="1" fontId="0" fillId="0" borderId="14" xfId="0" applyNumberFormat="1" applyBorder="1" applyAlignment="1">
      <alignment horizontal="center"/>
    </xf>
    <xf numFmtId="1" fontId="0" fillId="2" borderId="0" xfId="0" applyNumberFormat="1" applyFill="1"/>
    <xf numFmtId="9" fontId="0" fillId="3" borderId="15" xfId="2" applyFont="1" applyFill="1" applyBorder="1"/>
    <xf numFmtId="0" fontId="0" fillId="0" borderId="12" xfId="0" applyBorder="1" applyAlignment="1">
      <alignment horizontal="center"/>
    </xf>
    <xf numFmtId="1" fontId="0" fillId="0" borderId="12" xfId="0" applyNumberFormat="1" applyBorder="1" applyAlignment="1">
      <alignment horizontal="center"/>
    </xf>
    <xf numFmtId="1" fontId="0" fillId="0" borderId="12" xfId="0" applyNumberFormat="1" applyBorder="1" applyAlignment="1">
      <alignment horizontal="center" wrapText="1"/>
    </xf>
    <xf numFmtId="0" fontId="3" fillId="2" borderId="17" xfId="0" applyFont="1" applyFill="1" applyBorder="1" applyAlignment="1">
      <alignment horizontal="center" vertical="center"/>
    </xf>
    <xf numFmtId="0" fontId="0" fillId="2" borderId="17" xfId="0" applyFill="1" applyBorder="1"/>
    <xf numFmtId="1" fontId="0" fillId="2" borderId="17" xfId="0" applyNumberForma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3" fillId="0" borderId="18" xfId="0" applyFont="1" applyBorder="1" applyAlignment="1">
      <alignment horizontal="center" wrapText="1"/>
    </xf>
    <xf numFmtId="1" fontId="3" fillId="0" borderId="18" xfId="0" applyNumberFormat="1" applyFont="1" applyBorder="1" applyAlignment="1">
      <alignment horizontal="center" wrapText="1"/>
    </xf>
    <xf numFmtId="0" fontId="0" fillId="0" borderId="10" xfId="0" applyBorder="1"/>
    <xf numFmtId="0" fontId="0" fillId="0" borderId="9" xfId="0" applyBorder="1"/>
    <xf numFmtId="10" fontId="0" fillId="3" borderId="15" xfId="0" applyNumberFormat="1" applyFill="1" applyBorder="1"/>
    <xf numFmtId="0" fontId="3" fillId="0" borderId="19" xfId="0" applyFont="1" applyBorder="1"/>
    <xf numFmtId="0" fontId="3" fillId="0" borderId="20" xfId="0" applyFont="1" applyBorder="1"/>
    <xf numFmtId="1" fontId="3" fillId="3" borderId="21" xfId="0" applyNumberFormat="1" applyFont="1" applyFill="1" applyBorder="1"/>
    <xf numFmtId="1" fontId="0" fillId="2" borderId="0" xfId="0" applyNumberFormat="1" applyFill="1" applyAlignment="1">
      <alignment wrapText="1"/>
    </xf>
    <xf numFmtId="1" fontId="3" fillId="3" borderId="11" xfId="0" applyNumberFormat="1" applyFont="1" applyFill="1" applyBorder="1"/>
    <xf numFmtId="165" fontId="3" fillId="3" borderId="11" xfId="1" applyNumberFormat="1" applyFont="1" applyFill="1" applyBorder="1" applyAlignment="1">
      <alignment wrapText="1"/>
    </xf>
    <xf numFmtId="0" fontId="0" fillId="8" borderId="29" xfId="0" applyFill="1" applyBorder="1" applyAlignment="1">
      <alignment wrapText="1"/>
    </xf>
    <xf numFmtId="165" fontId="3" fillId="3" borderId="30" xfId="1" applyNumberFormat="1" applyFont="1" applyFill="1" applyBorder="1" applyAlignment="1">
      <alignment wrapText="1"/>
    </xf>
    <xf numFmtId="0" fontId="0" fillId="3" borderId="14" xfId="0" applyFill="1" applyBorder="1"/>
    <xf numFmtId="165" fontId="0" fillId="3" borderId="14" xfId="1" applyNumberFormat="1" applyFont="1" applyFill="1" applyBorder="1"/>
    <xf numFmtId="165" fontId="0" fillId="2" borderId="0" xfId="0" applyNumberFormat="1" applyFill="1"/>
    <xf numFmtId="166" fontId="0" fillId="3" borderId="14" xfId="0" applyNumberFormat="1" applyFill="1" applyBorder="1"/>
    <xf numFmtId="0" fontId="0" fillId="0" borderId="14" xfId="0" applyBorder="1" applyAlignment="1">
      <alignment wrapText="1"/>
    </xf>
    <xf numFmtId="1" fontId="0" fillId="3" borderId="14" xfId="0" applyNumberFormat="1" applyFill="1" applyBorder="1"/>
    <xf numFmtId="167" fontId="0" fillId="3" borderId="14" xfId="0" applyNumberFormat="1" applyFill="1" applyBorder="1"/>
    <xf numFmtId="168" fontId="0" fillId="3" borderId="14" xfId="0" applyNumberFormat="1" applyFill="1" applyBorder="1"/>
    <xf numFmtId="3" fontId="0" fillId="3" borderId="14" xfId="0" applyNumberFormat="1" applyFill="1" applyBorder="1"/>
    <xf numFmtId="3" fontId="0" fillId="2" borderId="0" xfId="0" applyNumberFormat="1" applyFill="1"/>
    <xf numFmtId="0" fontId="0" fillId="0" borderId="7" xfId="0" applyBorder="1"/>
    <xf numFmtId="10" fontId="0" fillId="3" borderId="14" xfId="0" applyNumberFormat="1" applyFill="1" applyBorder="1"/>
    <xf numFmtId="0" fontId="3" fillId="0" borderId="7" xfId="0" applyFont="1" applyBorder="1"/>
    <xf numFmtId="0" fontId="3" fillId="0" borderId="14" xfId="0" applyFont="1" applyBorder="1"/>
    <xf numFmtId="0" fontId="3" fillId="0" borderId="9" xfId="0" applyFont="1" applyBorder="1"/>
    <xf numFmtId="1" fontId="2" fillId="9" borderId="14" xfId="0" applyNumberFormat="1" applyFont="1" applyFill="1" applyBorder="1"/>
    <xf numFmtId="0" fontId="2" fillId="10" borderId="17" xfId="0" applyFont="1" applyFill="1" applyBorder="1" applyAlignment="1">
      <alignment horizontal="center"/>
    </xf>
    <xf numFmtId="0" fontId="2" fillId="10" borderId="32" xfId="0" applyFont="1" applyFill="1" applyBorder="1" applyAlignment="1">
      <alignment horizontal="center"/>
    </xf>
    <xf numFmtId="0" fontId="2" fillId="10" borderId="33" xfId="0" applyFont="1" applyFill="1" applyBorder="1" applyAlignment="1">
      <alignment horizontal="center"/>
    </xf>
    <xf numFmtId="0" fontId="2" fillId="10" borderId="34" xfId="0" applyFont="1" applyFill="1" applyBorder="1" applyAlignment="1">
      <alignment horizontal="center"/>
    </xf>
    <xf numFmtId="0" fontId="2" fillId="10" borderId="35" xfId="0" applyFont="1" applyFill="1" applyBorder="1" applyAlignment="1">
      <alignment horizontal="center"/>
    </xf>
    <xf numFmtId="0" fontId="2" fillId="10" borderId="36" xfId="0" applyFont="1" applyFill="1" applyBorder="1" applyAlignment="1">
      <alignment horizontal="center"/>
    </xf>
    <xf numFmtId="0" fontId="2" fillId="10" borderId="37" xfId="0" applyFont="1" applyFill="1" applyBorder="1" applyAlignment="1">
      <alignment horizontal="center"/>
    </xf>
    <xf numFmtId="0" fontId="2" fillId="10" borderId="24" xfId="0" applyFont="1" applyFill="1" applyBorder="1" applyAlignment="1">
      <alignment horizontal="center"/>
    </xf>
    <xf numFmtId="0" fontId="8" fillId="0" borderId="7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49" fontId="8" fillId="0" borderId="14" xfId="0" applyNumberFormat="1" applyFont="1" applyBorder="1" applyAlignment="1">
      <alignment horizontal="left"/>
    </xf>
    <xf numFmtId="49" fontId="8" fillId="0" borderId="0" xfId="0" applyNumberFormat="1" applyFont="1" applyAlignment="1">
      <alignment horizontal="left"/>
    </xf>
    <xf numFmtId="14" fontId="8" fillId="0" borderId="14" xfId="0" applyNumberFormat="1" applyFont="1" applyBorder="1" applyAlignment="1">
      <alignment horizontal="left"/>
    </xf>
    <xf numFmtId="0" fontId="0" fillId="0" borderId="18" xfId="0" applyBorder="1"/>
    <xf numFmtId="1" fontId="0" fillId="2" borderId="17" xfId="0" applyNumberFormat="1" applyFill="1" applyBorder="1"/>
    <xf numFmtId="1" fontId="0" fillId="2" borderId="7" xfId="0" applyNumberFormat="1" applyFill="1" applyBorder="1"/>
    <xf numFmtId="1" fontId="0" fillId="2" borderId="15" xfId="0" applyNumberFormat="1" applyFill="1" applyBorder="1"/>
    <xf numFmtId="1" fontId="0" fillId="2" borderId="11" xfId="0" applyNumberFormat="1" applyFill="1" applyBorder="1"/>
    <xf numFmtId="168" fontId="8" fillId="0" borderId="14" xfId="0" applyNumberFormat="1" applyFont="1" applyBorder="1" applyAlignment="1">
      <alignment horizontal="left"/>
    </xf>
    <xf numFmtId="49" fontId="8" fillId="0" borderId="9" xfId="0" applyNumberFormat="1" applyFont="1" applyBorder="1" applyAlignment="1">
      <alignment horizontal="left"/>
    </xf>
    <xf numFmtId="49" fontId="9" fillId="0" borderId="14" xfId="0" applyNumberFormat="1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14" xfId="0" applyFont="1" applyBorder="1"/>
    <xf numFmtId="49" fontId="8" fillId="0" borderId="14" xfId="0" applyNumberFormat="1" applyFont="1" applyBorder="1"/>
    <xf numFmtId="0" fontId="8" fillId="0" borderId="14" xfId="0" applyFont="1" applyBorder="1" applyAlignment="1">
      <alignment vertical="center" wrapText="1"/>
    </xf>
    <xf numFmtId="0" fontId="0" fillId="0" borderId="12" xfId="0" applyBorder="1"/>
    <xf numFmtId="0" fontId="0" fillId="2" borderId="0" xfId="0" applyFill="1" applyAlignment="1">
      <alignment horizontal="center" vertical="center" textRotation="90"/>
    </xf>
    <xf numFmtId="14" fontId="0" fillId="2" borderId="0" xfId="0" applyNumberFormat="1" applyFill="1" applyAlignment="1">
      <alignment horizontal="right"/>
    </xf>
    <xf numFmtId="0" fontId="3" fillId="2" borderId="1" xfId="0" applyFont="1" applyFill="1" applyBorder="1"/>
    <xf numFmtId="1" fontId="3" fillId="2" borderId="35" xfId="0" applyNumberFormat="1" applyFont="1" applyFill="1" applyBorder="1"/>
    <xf numFmtId="1" fontId="0" fillId="2" borderId="14" xfId="0" applyNumberFormat="1" applyFill="1" applyBorder="1"/>
    <xf numFmtId="165" fontId="1" fillId="2" borderId="38" xfId="1" applyNumberFormat="1" applyFont="1" applyFill="1" applyBorder="1"/>
    <xf numFmtId="165" fontId="4" fillId="2" borderId="17" xfId="1" applyNumberFormat="1" applyFont="1" applyFill="1" applyBorder="1"/>
    <xf numFmtId="0" fontId="3" fillId="2" borderId="22" xfId="0" applyFont="1" applyFill="1" applyBorder="1" applyAlignment="1">
      <alignment horizontal="left"/>
    </xf>
    <xf numFmtId="14" fontId="0" fillId="0" borderId="39" xfId="0" applyNumberFormat="1" applyBorder="1" applyAlignment="1">
      <alignment horizontal="left"/>
    </xf>
    <xf numFmtId="14" fontId="0" fillId="2" borderId="0" xfId="0" applyNumberFormat="1" applyFill="1"/>
    <xf numFmtId="0" fontId="3" fillId="2" borderId="27" xfId="0" applyFont="1" applyFill="1" applyBorder="1" applyAlignment="1">
      <alignment horizontal="left"/>
    </xf>
    <xf numFmtId="14" fontId="0" fillId="0" borderId="40" xfId="0" applyNumberFormat="1" applyBorder="1" applyAlignment="1">
      <alignment horizontal="left"/>
    </xf>
    <xf numFmtId="0" fontId="0" fillId="2" borderId="0" xfId="0" applyFill="1" applyAlignment="1">
      <alignment horizontal="center"/>
    </xf>
    <xf numFmtId="164" fontId="0" fillId="2" borderId="0" xfId="0" applyNumberFormat="1" applyFill="1"/>
    <xf numFmtId="2" fontId="0" fillId="2" borderId="0" xfId="0" applyNumberFormat="1" applyFill="1"/>
    <xf numFmtId="0" fontId="3" fillId="2" borderId="0" xfId="0" applyFont="1" applyFill="1" applyAlignment="1">
      <alignment horizontal="left"/>
    </xf>
    <xf numFmtId="14" fontId="0" fillId="0" borderId="0" xfId="0" applyNumberFormat="1" applyAlignment="1">
      <alignment horizontal="left"/>
    </xf>
    <xf numFmtId="0" fontId="4" fillId="2" borderId="0" xfId="0" applyFont="1" applyFill="1"/>
    <xf numFmtId="0" fontId="0" fillId="2" borderId="45" xfId="0" applyFill="1" applyBorder="1" applyAlignment="1">
      <alignment horizontal="left"/>
    </xf>
    <xf numFmtId="0" fontId="0" fillId="2" borderId="46" xfId="0" applyFill="1" applyBorder="1" applyAlignment="1">
      <alignment horizontal="center"/>
    </xf>
    <xf numFmtId="10" fontId="0" fillId="2" borderId="45" xfId="0" applyNumberFormat="1" applyFill="1" applyBorder="1" applyAlignment="1">
      <alignment horizontal="center"/>
    </xf>
    <xf numFmtId="9" fontId="0" fillId="2" borderId="45" xfId="0" applyNumberFormat="1" applyFill="1" applyBorder="1"/>
    <xf numFmtId="0" fontId="0" fillId="2" borderId="45" xfId="0" applyFill="1" applyBorder="1"/>
    <xf numFmtId="1" fontId="0" fillId="2" borderId="45" xfId="0" applyNumberFormat="1" applyFill="1" applyBorder="1"/>
    <xf numFmtId="9" fontId="0" fillId="2" borderId="0" xfId="0" applyNumberFormat="1" applyFill="1"/>
    <xf numFmtId="0" fontId="0" fillId="2" borderId="14" xfId="0" applyFill="1" applyBorder="1" applyAlignment="1">
      <alignment horizontal="left"/>
    </xf>
    <xf numFmtId="1" fontId="0" fillId="2" borderId="14" xfId="0" applyNumberFormat="1" applyFill="1" applyBorder="1" applyAlignment="1">
      <alignment horizontal="center"/>
    </xf>
    <xf numFmtId="10" fontId="0" fillId="2" borderId="14" xfId="0" applyNumberFormat="1" applyFill="1" applyBorder="1" applyAlignment="1">
      <alignment horizontal="center"/>
    </xf>
    <xf numFmtId="9" fontId="0" fillId="2" borderId="14" xfId="0" applyNumberFormat="1" applyFill="1" applyBorder="1"/>
    <xf numFmtId="0" fontId="0" fillId="2" borderId="14" xfId="0" applyFill="1" applyBorder="1"/>
    <xf numFmtId="0" fontId="3" fillId="2" borderId="17" xfId="0" applyFont="1" applyFill="1" applyBorder="1"/>
    <xf numFmtId="1" fontId="3" fillId="2" borderId="47" xfId="0" applyNumberFormat="1" applyFont="1" applyFill="1" applyBorder="1" applyAlignment="1">
      <alignment horizontal="center"/>
    </xf>
    <xf numFmtId="10" fontId="3" fillId="12" borderId="48" xfId="0" applyNumberFormat="1" applyFont="1" applyFill="1" applyBorder="1" applyAlignment="1">
      <alignment horizontal="center"/>
    </xf>
    <xf numFmtId="0" fontId="0" fillId="13" borderId="14" xfId="0" applyFill="1" applyBorder="1"/>
    <xf numFmtId="10" fontId="3" fillId="0" borderId="14" xfId="0" applyNumberFormat="1" applyFont="1" applyBorder="1" applyAlignment="1">
      <alignment horizontal="right" wrapText="1"/>
    </xf>
    <xf numFmtId="170" fontId="0" fillId="0" borderId="14" xfId="0" applyNumberFormat="1" applyBorder="1" applyAlignment="1">
      <alignment horizontal="right"/>
    </xf>
    <xf numFmtId="0" fontId="0" fillId="0" borderId="14" xfId="0" applyBorder="1" applyAlignment="1">
      <alignment horizontal="right"/>
    </xf>
    <xf numFmtId="168" fontId="0" fillId="0" borderId="14" xfId="0" applyNumberFormat="1" applyBorder="1" applyAlignment="1">
      <alignment horizontal="right"/>
    </xf>
    <xf numFmtId="0" fontId="0" fillId="0" borderId="49" xfId="0" applyBorder="1"/>
    <xf numFmtId="10" fontId="0" fillId="11" borderId="14" xfId="2" applyNumberFormat="1" applyFont="1" applyFill="1" applyBorder="1" applyAlignment="1">
      <alignment horizontal="right" wrapText="1"/>
    </xf>
    <xf numFmtId="2" fontId="3" fillId="0" borderId="14" xfId="0" applyNumberFormat="1" applyFont="1" applyBorder="1" applyAlignment="1">
      <alignment horizontal="right" wrapText="1"/>
    </xf>
    <xf numFmtId="1" fontId="3" fillId="0" borderId="14" xfId="0" applyNumberFormat="1" applyFont="1" applyBorder="1" applyAlignment="1">
      <alignment horizontal="right" wrapText="1"/>
    </xf>
    <xf numFmtId="1" fontId="0" fillId="0" borderId="14" xfId="0" applyNumberFormat="1" applyBorder="1"/>
    <xf numFmtId="0" fontId="0" fillId="0" borderId="14" xfId="0" applyBorder="1" applyAlignment="1">
      <alignment horizontal="right" wrapText="1"/>
    </xf>
    <xf numFmtId="0" fontId="0" fillId="13" borderId="14" xfId="0" applyFill="1" applyBorder="1" applyAlignment="1">
      <alignment wrapText="1"/>
    </xf>
    <xf numFmtId="165" fontId="0" fillId="0" borderId="14" xfId="1" applyNumberFormat="1" applyFont="1" applyFill="1" applyBorder="1"/>
    <xf numFmtId="0" fontId="2" fillId="5" borderId="10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10" borderId="17" xfId="0" applyFont="1" applyFill="1" applyBorder="1" applyAlignment="1">
      <alignment horizontal="center"/>
    </xf>
    <xf numFmtId="169" fontId="0" fillId="2" borderId="42" xfId="0" applyNumberForma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wrapText="1"/>
    </xf>
    <xf numFmtId="1" fontId="3" fillId="0" borderId="14" xfId="0" applyNumberFormat="1" applyFont="1" applyBorder="1" applyAlignment="1">
      <alignment horizontal="center" wrapText="1"/>
    </xf>
    <xf numFmtId="0" fontId="11" fillId="14" borderId="14" xfId="0" applyFont="1" applyFill="1" applyBorder="1" applyAlignment="1">
      <alignment wrapText="1"/>
    </xf>
    <xf numFmtId="0" fontId="12" fillId="14" borderId="14" xfId="0" applyFont="1" applyFill="1" applyBorder="1" applyAlignment="1">
      <alignment wrapText="1"/>
    </xf>
    <xf numFmtId="0" fontId="12" fillId="14" borderId="0" xfId="0" applyFont="1" applyFill="1" applyAlignment="1">
      <alignment wrapText="1"/>
    </xf>
    <xf numFmtId="9" fontId="0" fillId="3" borderId="14" xfId="0" applyNumberFormat="1" applyFill="1" applyBorder="1"/>
    <xf numFmtId="0" fontId="2" fillId="2" borderId="0" xfId="0" applyFont="1" applyFill="1"/>
    <xf numFmtId="0" fontId="2" fillId="2" borderId="50" xfId="0" applyFont="1" applyFill="1" applyBorder="1"/>
    <xf numFmtId="0" fontId="2" fillId="10" borderId="51" xfId="0" applyFont="1" applyFill="1" applyBorder="1" applyAlignment="1">
      <alignment horizontal="center"/>
    </xf>
    <xf numFmtId="0" fontId="2" fillId="10" borderId="52" xfId="0" applyFont="1" applyFill="1" applyBorder="1" applyAlignment="1">
      <alignment horizontal="center"/>
    </xf>
    <xf numFmtId="0" fontId="2" fillId="10" borderId="53" xfId="0" applyFont="1" applyFill="1" applyBorder="1" applyAlignment="1">
      <alignment horizontal="center"/>
    </xf>
    <xf numFmtId="0" fontId="2" fillId="10" borderId="54" xfId="0" applyFont="1" applyFill="1" applyBorder="1" applyAlignment="1">
      <alignment horizontal="center"/>
    </xf>
    <xf numFmtId="0" fontId="2" fillId="10" borderId="55" xfId="0" applyFont="1" applyFill="1" applyBorder="1" applyAlignment="1">
      <alignment horizontal="center"/>
    </xf>
    <xf numFmtId="171" fontId="8" fillId="0" borderId="14" xfId="0" applyNumberFormat="1" applyFont="1" applyBorder="1" applyAlignment="1">
      <alignment horizontal="left"/>
    </xf>
    <xf numFmtId="0" fontId="8" fillId="0" borderId="14" xfId="0" quotePrefix="1" applyFont="1" applyBorder="1" applyAlignment="1">
      <alignment horizontal="center" vertical="center"/>
    </xf>
    <xf numFmtId="1" fontId="0" fillId="2" borderId="10" xfId="0" applyNumberFormat="1" applyFill="1" applyBorder="1"/>
    <xf numFmtId="0" fontId="8" fillId="0" borderId="12" xfId="0" applyFont="1" applyBorder="1" applyAlignment="1">
      <alignment horizontal="left"/>
    </xf>
    <xf numFmtId="14" fontId="8" fillId="0" borderId="12" xfId="0" applyNumberFormat="1" applyFont="1" applyBorder="1" applyAlignment="1">
      <alignment horizontal="left"/>
    </xf>
    <xf numFmtId="0" fontId="8" fillId="0" borderId="14" xfId="0" applyFont="1" applyBorder="1" applyAlignment="1">
      <alignment horizontal="center" vertical="center"/>
    </xf>
    <xf numFmtId="0" fontId="8" fillId="0" borderId="12" xfId="0" applyFont="1" applyBorder="1"/>
    <xf numFmtId="14" fontId="9" fillId="0" borderId="12" xfId="0" applyNumberFormat="1" applyFont="1" applyBorder="1" applyAlignment="1">
      <alignment horizontal="left"/>
    </xf>
    <xf numFmtId="0" fontId="8" fillId="0" borderId="14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0" fillId="2" borderId="12" xfId="0" applyFill="1" applyBorder="1"/>
    <xf numFmtId="1" fontId="0" fillId="2" borderId="56" xfId="0" applyNumberFormat="1" applyFill="1" applyBorder="1"/>
    <xf numFmtId="165" fontId="3" fillId="2" borderId="1" xfId="1" applyNumberFormat="1" applyFont="1" applyFill="1" applyBorder="1"/>
    <xf numFmtId="165" fontId="3" fillId="2" borderId="57" xfId="1" applyNumberFormat="1" applyFont="1" applyFill="1" applyBorder="1"/>
    <xf numFmtId="0" fontId="3" fillId="2" borderId="0" xfId="0" applyFont="1" applyFill="1" applyAlignment="1">
      <alignment horizontal="center"/>
    </xf>
    <xf numFmtId="0" fontId="8" fillId="2" borderId="0" xfId="0" quotePrefix="1" applyFont="1" applyFill="1" applyAlignment="1">
      <alignment horizontal="center" vertical="center"/>
    </xf>
    <xf numFmtId="0" fontId="3" fillId="2" borderId="14" xfId="0" applyFont="1" applyFill="1" applyBorder="1"/>
    <xf numFmtId="0" fontId="3" fillId="2" borderId="14" xfId="0" applyFont="1" applyFill="1" applyBorder="1" applyAlignment="1">
      <alignment horizontal="center" wrapText="1"/>
    </xf>
    <xf numFmtId="169" fontId="0" fillId="2" borderId="41" xfId="0" applyNumberFormat="1" applyFill="1" applyBorder="1" applyAlignment="1">
      <alignment vertical="center"/>
    </xf>
    <xf numFmtId="169" fontId="0" fillId="2" borderId="42" xfId="0" applyNumberFormat="1" applyFill="1" applyBorder="1" applyAlignment="1">
      <alignment vertical="center"/>
    </xf>
    <xf numFmtId="0" fontId="0" fillId="2" borderId="14" xfId="0" applyFill="1" applyBorder="1" applyAlignment="1">
      <alignment horizontal="center"/>
    </xf>
    <xf numFmtId="172" fontId="0" fillId="2" borderId="38" xfId="0" applyNumberFormat="1" applyFill="1" applyBorder="1" applyAlignment="1">
      <alignment vertical="center"/>
    </xf>
    <xf numFmtId="9" fontId="0" fillId="2" borderId="17" xfId="0" applyNumberFormat="1" applyFill="1" applyBorder="1"/>
    <xf numFmtId="172" fontId="0" fillId="2" borderId="38" xfId="0" applyNumberFormat="1" applyFill="1" applyBorder="1"/>
    <xf numFmtId="0" fontId="8" fillId="2" borderId="0" xfId="0" applyFont="1" applyFill="1" applyAlignment="1">
      <alignment horizontal="center" vertical="center" wrapText="1"/>
    </xf>
    <xf numFmtId="0" fontId="2" fillId="15" borderId="42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4" fontId="0" fillId="11" borderId="14" xfId="0" applyNumberFormat="1" applyFill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14" fontId="0" fillId="0" borderId="14" xfId="0" applyNumberFormat="1" applyBorder="1" applyAlignment="1">
      <alignment horizontal="center" wrapText="1"/>
    </xf>
    <xf numFmtId="0" fontId="16" fillId="2" borderId="14" xfId="0" applyFont="1" applyFill="1" applyBorder="1" applyAlignment="1">
      <alignment horizontal="center"/>
    </xf>
    <xf numFmtId="0" fontId="0" fillId="16" borderId="44" xfId="0" applyFill="1" applyBorder="1"/>
    <xf numFmtId="0" fontId="0" fillId="16" borderId="17" xfId="0" applyFill="1" applyBorder="1"/>
    <xf numFmtId="0" fontId="3" fillId="16" borderId="44" xfId="0" applyFont="1" applyFill="1" applyBorder="1"/>
    <xf numFmtId="0" fontId="0" fillId="0" borderId="0" xfId="0" applyAlignment="1">
      <alignment wrapText="1"/>
    </xf>
    <xf numFmtId="10" fontId="3" fillId="0" borderId="14" xfId="0" applyNumberFormat="1" applyFont="1" applyBorder="1" applyAlignment="1">
      <alignment horizontal="right"/>
    </xf>
    <xf numFmtId="0" fontId="0" fillId="0" borderId="49" xfId="0" applyBorder="1" applyAlignment="1">
      <alignment wrapText="1"/>
    </xf>
    <xf numFmtId="10" fontId="0" fillId="0" borderId="14" xfId="2" applyNumberFormat="1" applyFont="1" applyFill="1" applyBorder="1" applyAlignment="1">
      <alignment horizontal="right" wrapText="1"/>
    </xf>
    <xf numFmtId="0" fontId="11" fillId="14" borderId="14" xfId="0" applyFont="1" applyFill="1" applyBorder="1"/>
    <xf numFmtId="0" fontId="12" fillId="14" borderId="0" xfId="0" applyFont="1" applyFill="1"/>
    <xf numFmtId="0" fontId="12" fillId="14" borderId="14" xfId="0" applyFont="1" applyFill="1" applyBorder="1"/>
    <xf numFmtId="0" fontId="2" fillId="11" borderId="0" xfId="0" applyFont="1" applyFill="1"/>
    <xf numFmtId="0" fontId="2" fillId="10" borderId="60" xfId="0" applyFont="1" applyFill="1" applyBorder="1" applyAlignment="1">
      <alignment horizontal="center" wrapText="1"/>
    </xf>
    <xf numFmtId="0" fontId="8" fillId="2" borderId="14" xfId="0" applyFont="1" applyFill="1" applyBorder="1" applyAlignment="1">
      <alignment horizontal="center"/>
    </xf>
    <xf numFmtId="1" fontId="0" fillId="2" borderId="55" xfId="0" applyNumberFormat="1" applyFill="1" applyBorder="1"/>
    <xf numFmtId="165" fontId="3" fillId="2" borderId="35" xfId="1" applyNumberFormat="1" applyFont="1" applyFill="1" applyBorder="1"/>
    <xf numFmtId="0" fontId="8" fillId="2" borderId="0" xfId="0" applyFont="1" applyFill="1" applyAlignment="1">
      <alignment horizontal="center" vertical="center"/>
    </xf>
    <xf numFmtId="0" fontId="12" fillId="14" borderId="14" xfId="0" applyFont="1" applyFill="1" applyBorder="1" applyAlignment="1">
      <alignment horizontal="center" wrapText="1"/>
    </xf>
    <xf numFmtId="0" fontId="12" fillId="14" borderId="14" xfId="0" applyFont="1" applyFill="1" applyBorder="1" applyAlignment="1">
      <alignment horizontal="center" vertical="center"/>
    </xf>
    <xf numFmtId="0" fontId="0" fillId="2" borderId="14" xfId="0" applyFill="1" applyBorder="1" applyAlignment="1">
      <alignment vertical="center"/>
    </xf>
    <xf numFmtId="0" fontId="0" fillId="2" borderId="60" xfId="0" applyFill="1" applyBorder="1" applyAlignment="1">
      <alignment horizontal="left"/>
    </xf>
    <xf numFmtId="10" fontId="0" fillId="2" borderId="14" xfId="2" applyNumberFormat="1" applyFont="1" applyFill="1" applyBorder="1"/>
    <xf numFmtId="9" fontId="17" fillId="0" borderId="14" xfId="0" applyNumberFormat="1" applyFont="1" applyBorder="1"/>
    <xf numFmtId="0" fontId="0" fillId="2" borderId="13" xfId="0" applyFill="1" applyBorder="1" applyAlignment="1">
      <alignment horizontal="left"/>
    </xf>
    <xf numFmtId="0" fontId="6" fillId="15" borderId="41" xfId="0" applyFont="1" applyFill="1" applyBorder="1" applyAlignment="1">
      <alignment horizontal="left"/>
    </xf>
    <xf numFmtId="0" fontId="6" fillId="15" borderId="42" xfId="0" applyFont="1" applyFill="1" applyBorder="1" applyAlignment="1">
      <alignment horizontal="left"/>
    </xf>
    <xf numFmtId="0" fontId="8" fillId="0" borderId="14" xfId="0" applyFont="1" applyBorder="1" applyAlignment="1">
      <alignment horizontal="left" wrapText="1"/>
    </xf>
    <xf numFmtId="14" fontId="0" fillId="11" borderId="14" xfId="0" applyNumberFormat="1" applyFill="1" applyBorder="1" applyAlignment="1">
      <alignment horizontal="center" vertical="center" wrapText="1"/>
    </xf>
    <xf numFmtId="0" fontId="0" fillId="11" borderId="14" xfId="0" applyFill="1" applyBorder="1" applyAlignment="1">
      <alignment horizontal="center" vertical="center" wrapText="1"/>
    </xf>
    <xf numFmtId="0" fontId="0" fillId="11" borderId="14" xfId="0" applyFill="1" applyBorder="1" applyAlignment="1">
      <alignment wrapText="1"/>
    </xf>
    <xf numFmtId="0" fontId="8" fillId="0" borderId="14" xfId="0" applyFont="1" applyBorder="1" applyAlignment="1">
      <alignment wrapText="1"/>
    </xf>
    <xf numFmtId="165" fontId="0" fillId="2" borderId="0" xfId="0" applyNumberFormat="1" applyFill="1" applyAlignment="1">
      <alignment wrapText="1"/>
    </xf>
    <xf numFmtId="0" fontId="20" fillId="17" borderId="35" xfId="0" applyFont="1" applyFill="1" applyBorder="1" applyAlignment="1">
      <alignment horizontal="center" wrapText="1"/>
    </xf>
    <xf numFmtId="0" fontId="2" fillId="10" borderId="22" xfId="0" applyFont="1" applyFill="1" applyBorder="1" applyAlignment="1">
      <alignment horizontal="center" wrapText="1"/>
    </xf>
    <xf numFmtId="0" fontId="8" fillId="0" borderId="12" xfId="0" applyFont="1" applyBorder="1" applyAlignment="1">
      <alignment wrapText="1"/>
    </xf>
    <xf numFmtId="0" fontId="8" fillId="0" borderId="7" xfId="0" quotePrefix="1" applyFont="1" applyBorder="1" applyAlignment="1">
      <alignment horizontal="center" vertical="center"/>
    </xf>
    <xf numFmtId="0" fontId="8" fillId="2" borderId="44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/>
    </xf>
    <xf numFmtId="0" fontId="9" fillId="0" borderId="14" xfId="0" applyFont="1" applyBorder="1" applyAlignment="1">
      <alignment horizontal="left"/>
    </xf>
    <xf numFmtId="14" fontId="9" fillId="0" borderId="14" xfId="0" applyNumberFormat="1" applyFont="1" applyBorder="1" applyAlignment="1">
      <alignment horizontal="left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2" borderId="42" xfId="0" applyFont="1" applyFill="1" applyBorder="1" applyAlignment="1">
      <alignment horizontal="center"/>
    </xf>
    <xf numFmtId="1" fontId="3" fillId="2" borderId="1" xfId="0" applyNumberFormat="1" applyFont="1" applyFill="1" applyBorder="1"/>
    <xf numFmtId="0" fontId="3" fillId="2" borderId="62" xfId="0" applyFont="1" applyFill="1" applyBorder="1"/>
    <xf numFmtId="0" fontId="0" fillId="11" borderId="0" xfId="0" applyFill="1"/>
    <xf numFmtId="10" fontId="0" fillId="2" borderId="7" xfId="2" applyNumberFormat="1" applyFont="1" applyFill="1" applyBorder="1"/>
    <xf numFmtId="9" fontId="17" fillId="0" borderId="47" xfId="0" applyNumberFormat="1" applyFont="1" applyBorder="1"/>
    <xf numFmtId="1" fontId="0" fillId="2" borderId="9" xfId="0" applyNumberFormat="1" applyFill="1" applyBorder="1"/>
    <xf numFmtId="1" fontId="3" fillId="2" borderId="14" xfId="0" applyNumberFormat="1" applyFont="1" applyFill="1" applyBorder="1" applyAlignment="1">
      <alignment horizontal="center"/>
    </xf>
    <xf numFmtId="2" fontId="3" fillId="2" borderId="14" xfId="0" applyNumberFormat="1" applyFont="1" applyFill="1" applyBorder="1"/>
    <xf numFmtId="0" fontId="3" fillId="2" borderId="53" xfId="0" applyFont="1" applyFill="1" applyBorder="1"/>
    <xf numFmtId="1" fontId="3" fillId="2" borderId="9" xfId="0" applyNumberFormat="1" applyFont="1" applyFill="1" applyBorder="1"/>
    <xf numFmtId="0" fontId="21" fillId="11" borderId="0" xfId="0" applyFont="1" applyFill="1" applyAlignment="1">
      <alignment wrapText="1"/>
    </xf>
    <xf numFmtId="0" fontId="8" fillId="0" borderId="7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2" fillId="2" borderId="17" xfId="0" applyFont="1" applyFill="1" applyBorder="1"/>
    <xf numFmtId="0" fontId="20" fillId="17" borderId="51" xfId="0" applyFont="1" applyFill="1" applyBorder="1" applyAlignment="1">
      <alignment horizontal="center" wrapText="1"/>
    </xf>
    <xf numFmtId="0" fontId="2" fillId="10" borderId="52" xfId="0" applyFont="1" applyFill="1" applyBorder="1" applyAlignment="1">
      <alignment horizontal="center" wrapText="1"/>
    </xf>
    <xf numFmtId="49" fontId="9" fillId="0" borderId="9" xfId="0" applyNumberFormat="1" applyFont="1" applyBorder="1" applyAlignment="1">
      <alignment horizontal="left"/>
    </xf>
    <xf numFmtId="0" fontId="0" fillId="2" borderId="42" xfId="0" applyFill="1" applyBorder="1"/>
    <xf numFmtId="165" fontId="3" fillId="2" borderId="65" xfId="1" applyNumberFormat="1" applyFont="1" applyFill="1" applyBorder="1"/>
    <xf numFmtId="9" fontId="17" fillId="0" borderId="7" xfId="0" applyNumberFormat="1" applyFont="1" applyBorder="1"/>
    <xf numFmtId="0" fontId="3" fillId="2" borderId="47" xfId="0" applyFont="1" applyFill="1" applyBorder="1"/>
    <xf numFmtId="10" fontId="0" fillId="12" borderId="17" xfId="0" applyNumberFormat="1" applyFill="1" applyBorder="1"/>
    <xf numFmtId="0" fontId="3" fillId="18" borderId="44" xfId="0" applyFont="1" applyFill="1" applyBorder="1"/>
    <xf numFmtId="1" fontId="0" fillId="0" borderId="12" xfId="0" applyNumberFormat="1" applyBorder="1" applyAlignment="1">
      <alignment horizontal="center" vertical="center"/>
    </xf>
    <xf numFmtId="0" fontId="3" fillId="2" borderId="14" xfId="0" applyFont="1" applyFill="1" applyBorder="1" applyAlignment="1">
      <alignment horizontal="center"/>
    </xf>
    <xf numFmtId="0" fontId="0" fillId="3" borderId="15" xfId="0" applyFill="1" applyBorder="1"/>
    <xf numFmtId="1" fontId="3" fillId="3" borderId="11" xfId="1" applyNumberFormat="1" applyFont="1" applyFill="1" applyBorder="1" applyAlignment="1">
      <alignment vertical="center" wrapText="1"/>
    </xf>
    <xf numFmtId="1" fontId="3" fillId="19" borderId="14" xfId="0" applyNumberFormat="1" applyFont="1" applyFill="1" applyBorder="1" applyAlignment="1">
      <alignment vertical="center"/>
    </xf>
    <xf numFmtId="1" fontId="3" fillId="3" borderId="30" xfId="1" applyNumberFormat="1" applyFont="1" applyFill="1" applyBorder="1" applyAlignment="1">
      <alignment vertical="center" wrapText="1"/>
    </xf>
    <xf numFmtId="0" fontId="20" fillId="17" borderId="51" xfId="0" applyFont="1" applyFill="1" applyBorder="1" applyAlignment="1">
      <alignment wrapText="1"/>
    </xf>
    <xf numFmtId="0" fontId="2" fillId="10" borderId="69" xfId="0" applyFont="1" applyFill="1" applyBorder="1" applyAlignment="1">
      <alignment horizontal="center" wrapText="1"/>
    </xf>
    <xf numFmtId="0" fontId="2" fillId="10" borderId="70" xfId="0" applyFont="1" applyFill="1" applyBorder="1" applyAlignment="1">
      <alignment horizontal="center"/>
    </xf>
    <xf numFmtId="0" fontId="2" fillId="10" borderId="70" xfId="0" applyFont="1" applyFill="1" applyBorder="1" applyAlignment="1">
      <alignment horizontal="center" wrapText="1"/>
    </xf>
    <xf numFmtId="0" fontId="2" fillId="10" borderId="62" xfId="0" applyFont="1" applyFill="1" applyBorder="1" applyAlignment="1">
      <alignment horizontal="center"/>
    </xf>
    <xf numFmtId="0" fontId="24" fillId="0" borderId="7" xfId="0" applyFont="1" applyBorder="1" applyAlignment="1">
      <alignment horizontal="center" vertical="center"/>
    </xf>
    <xf numFmtId="1" fontId="0" fillId="2" borderId="71" xfId="0" applyNumberFormat="1" applyFill="1" applyBorder="1"/>
    <xf numFmtId="1" fontId="0" fillId="2" borderId="52" xfId="0" applyNumberFormat="1" applyFill="1" applyBorder="1"/>
    <xf numFmtId="1" fontId="0" fillId="2" borderId="18" xfId="0" applyNumberFormat="1" applyFill="1" applyBorder="1"/>
    <xf numFmtId="49" fontId="8" fillId="0" borderId="14" xfId="0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1" fontId="3" fillId="2" borderId="62" xfId="0" applyNumberFormat="1" applyFont="1" applyFill="1" applyBorder="1"/>
    <xf numFmtId="165" fontId="3" fillId="2" borderId="72" xfId="1" applyNumberFormat="1" applyFont="1" applyFill="1" applyBorder="1"/>
    <xf numFmtId="14" fontId="0" fillId="0" borderId="14" xfId="0" applyNumberFormat="1" applyBorder="1" applyAlignment="1">
      <alignment horizontal="center"/>
    </xf>
    <xf numFmtId="0" fontId="3" fillId="2" borderId="25" xfId="0" applyFont="1" applyFill="1" applyBorder="1" applyAlignment="1">
      <alignment horizontal="left"/>
    </xf>
    <xf numFmtId="0" fontId="3" fillId="2" borderId="0" xfId="0" applyFont="1" applyFill="1"/>
    <xf numFmtId="0" fontId="3" fillId="12" borderId="14" xfId="0" applyFont="1" applyFill="1" applyBorder="1"/>
    <xf numFmtId="10" fontId="3" fillId="12" borderId="14" xfId="2" applyNumberFormat="1" applyFont="1" applyFill="1" applyBorder="1"/>
    <xf numFmtId="0" fontId="11" fillId="14" borderId="0" xfId="0" applyFont="1" applyFill="1" applyAlignment="1">
      <alignment horizontal="left"/>
    </xf>
    <xf numFmtId="0" fontId="11" fillId="14" borderId="1" xfId="0" applyFont="1" applyFill="1" applyBorder="1" applyAlignment="1">
      <alignment horizontal="left"/>
    </xf>
    <xf numFmtId="0" fontId="0" fillId="0" borderId="35" xfId="0" applyBorder="1"/>
    <xf numFmtId="0" fontId="11" fillId="14" borderId="35" xfId="0" applyFont="1" applyFill="1" applyBorder="1" applyAlignment="1">
      <alignment horizontal="left"/>
    </xf>
    <xf numFmtId="0" fontId="12" fillId="14" borderId="73" xfId="0" applyFont="1" applyFill="1" applyBorder="1"/>
    <xf numFmtId="0" fontId="11" fillId="14" borderId="35" xfId="0" applyFont="1" applyFill="1" applyBorder="1"/>
    <xf numFmtId="0" fontId="12" fillId="14" borderId="35" xfId="0" applyFont="1" applyFill="1" applyBorder="1"/>
    <xf numFmtId="0" fontId="0" fillId="15" borderId="0" xfId="0" applyFill="1" applyAlignment="1">
      <alignment vertical="center"/>
    </xf>
    <xf numFmtId="0" fontId="26" fillId="15" borderId="0" xfId="0" applyFont="1" applyFill="1" applyAlignment="1">
      <alignment vertical="center"/>
    </xf>
    <xf numFmtId="0" fontId="27" fillId="11" borderId="38" xfId="0" applyFont="1" applyFill="1" applyBorder="1"/>
    <xf numFmtId="0" fontId="6" fillId="15" borderId="0" xfId="0" applyFont="1" applyFill="1" applyAlignment="1">
      <alignment horizontal="left" vertical="center"/>
    </xf>
    <xf numFmtId="14" fontId="0" fillId="0" borderId="14" xfId="0" applyNumberFormat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14" fontId="0" fillId="2" borderId="14" xfId="0" applyNumberFormat="1" applyFill="1" applyBorder="1" applyAlignment="1">
      <alignment horizontal="center" vertical="center"/>
    </xf>
    <xf numFmtId="14" fontId="0" fillId="2" borderId="14" xfId="0" applyNumberFormat="1" applyFill="1" applyBorder="1" applyAlignment="1">
      <alignment horizontal="center" vertical="center" wrapText="1"/>
    </xf>
    <xf numFmtId="0" fontId="3" fillId="21" borderId="44" xfId="0" applyFont="1" applyFill="1" applyBorder="1"/>
    <xf numFmtId="0" fontId="0" fillId="21" borderId="74" xfId="0" applyFill="1" applyBorder="1"/>
    <xf numFmtId="0" fontId="0" fillId="21" borderId="14" xfId="0" applyFill="1" applyBorder="1"/>
    <xf numFmtId="0" fontId="0" fillId="21" borderId="43" xfId="0" applyFill="1" applyBorder="1"/>
    <xf numFmtId="0" fontId="0" fillId="21" borderId="44" xfId="0" applyFill="1" applyBorder="1"/>
    <xf numFmtId="1" fontId="0" fillId="0" borderId="12" xfId="0" applyNumberForma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1" fontId="0" fillId="2" borderId="14" xfId="0" applyNumberFormat="1" applyFill="1" applyBorder="1" applyAlignment="1">
      <alignment horizontal="center" vertical="center"/>
    </xf>
    <xf numFmtId="1" fontId="3" fillId="2" borderId="0" xfId="0" applyNumberFormat="1" applyFont="1" applyFill="1"/>
    <xf numFmtId="0" fontId="3" fillId="0" borderId="0" xfId="0" applyFont="1"/>
    <xf numFmtId="1" fontId="3" fillId="3" borderId="30" xfId="1" applyNumberFormat="1" applyFont="1" applyFill="1" applyBorder="1" applyAlignment="1">
      <alignment wrapText="1"/>
    </xf>
    <xf numFmtId="0" fontId="2" fillId="10" borderId="32" xfId="0" applyFont="1" applyFill="1" applyBorder="1" applyAlignment="1">
      <alignment horizontal="center" vertical="center"/>
    </xf>
    <xf numFmtId="0" fontId="2" fillId="10" borderId="33" xfId="0" applyFont="1" applyFill="1" applyBorder="1" applyAlignment="1">
      <alignment horizontal="center" vertical="center"/>
    </xf>
    <xf numFmtId="0" fontId="2" fillId="10" borderId="34" xfId="0" applyFont="1" applyFill="1" applyBorder="1" applyAlignment="1">
      <alignment horizontal="center" vertical="center"/>
    </xf>
    <xf numFmtId="0" fontId="2" fillId="10" borderId="35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2" fillId="10" borderId="70" xfId="0" applyFont="1" applyFill="1" applyBorder="1" applyAlignment="1">
      <alignment horizontal="center" vertical="center"/>
    </xf>
    <xf numFmtId="0" fontId="2" fillId="10" borderId="62" xfId="0" applyFont="1" applyFill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1" fontId="8" fillId="2" borderId="52" xfId="0" applyNumberFormat="1" applyFont="1" applyFill="1" applyBorder="1"/>
    <xf numFmtId="1" fontId="8" fillId="2" borderId="18" xfId="0" applyNumberFormat="1" applyFont="1" applyFill="1" applyBorder="1"/>
    <xf numFmtId="1" fontId="8" fillId="2" borderId="55" xfId="0" applyNumberFormat="1" applyFont="1" applyFill="1" applyBorder="1"/>
    <xf numFmtId="1" fontId="24" fillId="0" borderId="14" xfId="0" applyNumberFormat="1" applyFont="1" applyBorder="1" applyAlignment="1">
      <alignment horizontal="center" vertical="center"/>
    </xf>
    <xf numFmtId="1" fontId="8" fillId="0" borderId="14" xfId="0" applyNumberFormat="1" applyFont="1" applyBorder="1" applyAlignment="1">
      <alignment horizontal="center"/>
    </xf>
    <xf numFmtId="0" fontId="24" fillId="0" borderId="12" xfId="0" applyFont="1" applyBorder="1" applyAlignment="1">
      <alignment horizontal="center" vertical="center"/>
    </xf>
    <xf numFmtId="0" fontId="3" fillId="2" borderId="14" xfId="0" applyFont="1" applyFill="1" applyBorder="1" applyAlignment="1">
      <alignment horizontal="left"/>
    </xf>
    <xf numFmtId="14" fontId="0" fillId="0" borderId="14" xfId="0" applyNumberFormat="1" applyBorder="1" applyAlignment="1">
      <alignment horizontal="left"/>
    </xf>
    <xf numFmtId="9" fontId="16" fillId="0" borderId="14" xfId="0" applyNumberFormat="1" applyFont="1" applyBorder="1"/>
    <xf numFmtId="1" fontId="0" fillId="2" borderId="0" xfId="0" applyNumberFormat="1" applyFill="1" applyAlignment="1">
      <alignment horizontal="center"/>
    </xf>
    <xf numFmtId="10" fontId="0" fillId="2" borderId="66" xfId="2" applyNumberFormat="1" applyFont="1" applyFill="1" applyBorder="1"/>
    <xf numFmtId="9" fontId="16" fillId="0" borderId="0" xfId="0" applyNumberFormat="1" applyFont="1"/>
    <xf numFmtId="0" fontId="11" fillId="14" borderId="17" xfId="0" applyFont="1" applyFill="1" applyBorder="1"/>
    <xf numFmtId="1" fontId="11" fillId="14" borderId="47" xfId="0" applyNumberFormat="1" applyFont="1" applyFill="1" applyBorder="1" applyAlignment="1">
      <alignment horizontal="center"/>
    </xf>
    <xf numFmtId="10" fontId="11" fillId="22" borderId="48" xfId="0" applyNumberFormat="1" applyFont="1" applyFill="1" applyBorder="1" applyAlignment="1">
      <alignment horizontal="center"/>
    </xf>
    <xf numFmtId="0" fontId="2" fillId="11" borderId="38" xfId="0" applyFont="1" applyFill="1" applyBorder="1"/>
    <xf numFmtId="0" fontId="29" fillId="0" borderId="14" xfId="0" applyFont="1" applyBorder="1" applyAlignment="1">
      <alignment wrapText="1"/>
    </xf>
    <xf numFmtId="0" fontId="3" fillId="19" borderId="14" xfId="0" applyFont="1" applyFill="1" applyBorder="1"/>
    <xf numFmtId="0" fontId="0" fillId="19" borderId="14" xfId="0" applyFill="1" applyBorder="1"/>
    <xf numFmtId="0" fontId="12" fillId="0" borderId="0" xfId="0" applyFont="1" applyAlignment="1">
      <alignment wrapText="1"/>
    </xf>
    <xf numFmtId="173" fontId="0" fillId="0" borderId="14" xfId="0" applyNumberFormat="1" applyBorder="1" applyAlignment="1">
      <alignment horizontal="right"/>
    </xf>
    <xf numFmtId="0" fontId="12" fillId="0" borderId="14" xfId="0" applyFont="1" applyBorder="1" applyAlignment="1">
      <alignment wrapText="1"/>
    </xf>
    <xf numFmtId="0" fontId="3" fillId="3" borderId="57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23" borderId="57" xfId="0" applyFont="1" applyFill="1" applyBorder="1"/>
    <xf numFmtId="0" fontId="3" fillId="24" borderId="75" xfId="0" applyFont="1" applyFill="1" applyBorder="1"/>
    <xf numFmtId="0" fontId="3" fillId="25" borderId="75" xfId="0" applyFont="1" applyFill="1" applyBorder="1"/>
    <xf numFmtId="0" fontId="3" fillId="21" borderId="75" xfId="0" applyFont="1" applyFill="1" applyBorder="1"/>
    <xf numFmtId="0" fontId="3" fillId="26" borderId="20" xfId="0" applyFont="1" applyFill="1" applyBorder="1"/>
    <xf numFmtId="0" fontId="0" fillId="3" borderId="52" xfId="0" applyFill="1" applyBorder="1"/>
    <xf numFmtId="0" fontId="0" fillId="3" borderId="54" xfId="0" applyFill="1" applyBorder="1"/>
    <xf numFmtId="2" fontId="0" fillId="24" borderId="36" xfId="0" applyNumberFormat="1" applyFill="1" applyBorder="1"/>
    <xf numFmtId="165" fontId="0" fillId="25" borderId="36" xfId="1" applyNumberFormat="1" applyFont="1" applyFill="1" applyBorder="1"/>
    <xf numFmtId="165" fontId="0" fillId="21" borderId="36" xfId="1" applyNumberFormat="1" applyFont="1" applyFill="1" applyBorder="1"/>
    <xf numFmtId="165" fontId="0" fillId="0" borderId="0" xfId="1" applyNumberFormat="1" applyFont="1" applyFill="1" applyBorder="1"/>
    <xf numFmtId="0" fontId="0" fillId="0" borderId="37" xfId="0" applyBorder="1"/>
    <xf numFmtId="10" fontId="0" fillId="0" borderId="54" xfId="2" applyNumberFormat="1" applyFont="1" applyBorder="1"/>
    <xf numFmtId="165" fontId="0" fillId="0" borderId="54" xfId="1" applyNumberFormat="1" applyFont="1" applyBorder="1"/>
    <xf numFmtId="0" fontId="0" fillId="3" borderId="13" xfId="0" applyFill="1" applyBorder="1"/>
    <xf numFmtId="2" fontId="0" fillId="24" borderId="14" xfId="0" applyNumberFormat="1" applyFill="1" applyBorder="1"/>
    <xf numFmtId="165" fontId="0" fillId="25" borderId="14" xfId="1" applyNumberFormat="1" applyFont="1" applyFill="1" applyBorder="1"/>
    <xf numFmtId="165" fontId="0" fillId="21" borderId="14" xfId="1" applyNumberFormat="1" applyFont="1" applyFill="1" applyBorder="1"/>
    <xf numFmtId="0" fontId="0" fillId="0" borderId="54" xfId="0" applyBorder="1"/>
    <xf numFmtId="0" fontId="3" fillId="0" borderId="4" xfId="0" applyFont="1" applyBorder="1"/>
    <xf numFmtId="0" fontId="0" fillId="0" borderId="5" xfId="0" applyBorder="1"/>
    <xf numFmtId="165" fontId="0" fillId="0" borderId="33" xfId="0" applyNumberFormat="1" applyBorder="1"/>
    <xf numFmtId="165" fontId="0" fillId="0" borderId="0" xfId="0" applyNumberFormat="1"/>
    <xf numFmtId="165" fontId="0" fillId="0" borderId="6" xfId="0" applyNumberFormat="1" applyBorder="1"/>
    <xf numFmtId="0" fontId="3" fillId="0" borderId="1" xfId="0" applyFont="1" applyBorder="1"/>
    <xf numFmtId="0" fontId="0" fillId="0" borderId="2" xfId="0" applyBorder="1"/>
    <xf numFmtId="165" fontId="0" fillId="0" borderId="75" xfId="0" applyNumberFormat="1" applyBorder="1"/>
    <xf numFmtId="10" fontId="0" fillId="0" borderId="75" xfId="2" applyNumberFormat="1" applyFont="1" applyBorder="1"/>
    <xf numFmtId="165" fontId="0" fillId="0" borderId="3" xfId="0" applyNumberFormat="1" applyBorder="1"/>
    <xf numFmtId="0" fontId="2" fillId="15" borderId="42" xfId="0" applyFont="1" applyFill="1" applyBorder="1" applyAlignment="1">
      <alignment horizontal="left"/>
    </xf>
    <xf numFmtId="14" fontId="0" fillId="11" borderId="14" xfId="0" applyNumberFormat="1" applyFill="1" applyBorder="1" applyAlignment="1">
      <alignment horizontal="right" vertical="center"/>
    </xf>
    <xf numFmtId="0" fontId="0" fillId="16" borderId="74" xfId="0" applyFill="1" applyBorder="1"/>
    <xf numFmtId="0" fontId="0" fillId="27" borderId="18" xfId="0" applyFill="1" applyBorder="1"/>
    <xf numFmtId="0" fontId="0" fillId="16" borderId="43" xfId="0" applyFill="1" applyBorder="1"/>
    <xf numFmtId="0" fontId="0" fillId="16" borderId="44" xfId="0" applyFill="1" applyBorder="1" applyAlignment="1">
      <alignment horizontal="right"/>
    </xf>
    <xf numFmtId="0" fontId="3" fillId="0" borderId="10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8" borderId="27" xfId="0" applyFont="1" applyFill="1" applyBorder="1" applyAlignment="1">
      <alignment horizontal="left" wrapText="1"/>
    </xf>
    <xf numFmtId="0" fontId="3" fillId="8" borderId="28" xfId="0" applyFont="1" applyFill="1" applyBorder="1" applyAlignment="1">
      <alignment horizontal="left" wrapText="1"/>
    </xf>
    <xf numFmtId="0" fontId="2" fillId="4" borderId="4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center" wrapText="1"/>
    </xf>
    <xf numFmtId="0" fontId="2" fillId="5" borderId="10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6" fillId="7" borderId="22" xfId="0" applyFont="1" applyFill="1" applyBorder="1" applyAlignment="1">
      <alignment horizontal="center" wrapText="1"/>
    </xf>
    <xf numFmtId="0" fontId="6" fillId="7" borderId="23" xfId="0" applyFont="1" applyFill="1" applyBorder="1" applyAlignment="1">
      <alignment horizontal="center" wrapText="1"/>
    </xf>
    <xf numFmtId="0" fontId="6" fillId="7" borderId="24" xfId="0" applyFont="1" applyFill="1" applyBorder="1" applyAlignment="1">
      <alignment horizontal="center" wrapText="1"/>
    </xf>
    <xf numFmtId="0" fontId="2" fillId="6" borderId="25" xfId="0" applyFont="1" applyFill="1" applyBorder="1" applyAlignment="1">
      <alignment horizontal="center"/>
    </xf>
    <xf numFmtId="0" fontId="2" fillId="6" borderId="26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1" fontId="0" fillId="3" borderId="15" xfId="0" applyNumberFormat="1" applyFill="1" applyBorder="1"/>
    <xf numFmtId="0" fontId="0" fillId="0" borderId="14" xfId="0" applyBorder="1" applyAlignment="1">
      <alignment horizontal="center" vertical="center"/>
    </xf>
    <xf numFmtId="1" fontId="3" fillId="2" borderId="14" xfId="0" applyNumberFormat="1" applyFont="1" applyFill="1" applyBorder="1"/>
    <xf numFmtId="171" fontId="0" fillId="3" borderId="15" xfId="0" applyNumberFormat="1" applyFill="1" applyBorder="1"/>
    <xf numFmtId="0" fontId="3" fillId="8" borderId="27" xfId="0" applyFont="1" applyFill="1" applyBorder="1" applyAlignment="1">
      <alignment horizontal="left" wrapText="1"/>
    </xf>
    <xf numFmtId="0" fontId="3" fillId="8" borderId="28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0" fontId="2" fillId="4" borderId="9" xfId="0" applyFont="1" applyFill="1" applyBorder="1" applyAlignment="1">
      <alignment horizontal="center" wrapText="1"/>
    </xf>
    <xf numFmtId="0" fontId="2" fillId="5" borderId="10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4" borderId="0" xfId="0" applyFont="1" applyFill="1" applyAlignment="1">
      <alignment horizontal="center" wrapText="1"/>
    </xf>
    <xf numFmtId="0" fontId="2" fillId="10" borderId="17" xfId="0" applyFont="1" applyFill="1" applyBorder="1" applyAlignment="1">
      <alignment horizontal="center"/>
    </xf>
    <xf numFmtId="0" fontId="2" fillId="10" borderId="31" xfId="0" applyFont="1" applyFill="1" applyBorder="1" applyAlignment="1">
      <alignment horizontal="center"/>
    </xf>
    <xf numFmtId="0" fontId="2" fillId="10" borderId="3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 vertical="center" textRotation="90"/>
    </xf>
    <xf numFmtId="0" fontId="0" fillId="2" borderId="12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41" xfId="0" applyFill="1" applyBorder="1" applyAlignment="1">
      <alignment horizontal="center" wrapText="1"/>
    </xf>
    <xf numFmtId="0" fontId="0" fillId="2" borderId="43" xfId="0" applyFill="1" applyBorder="1" applyAlignment="1">
      <alignment horizontal="center" wrapText="1"/>
    </xf>
    <xf numFmtId="169" fontId="0" fillId="2" borderId="42" xfId="0" applyNumberFormat="1" applyFill="1" applyBorder="1" applyAlignment="1">
      <alignment horizontal="center" vertical="center"/>
    </xf>
    <xf numFmtId="169" fontId="0" fillId="2" borderId="44" xfId="0" applyNumberFormat="1" applyFill="1" applyBorder="1" applyAlignment="1">
      <alignment horizontal="center" vertical="center"/>
    </xf>
    <xf numFmtId="169" fontId="0" fillId="2" borderId="42" xfId="0" applyNumberFormat="1" applyFill="1" applyBorder="1" applyAlignment="1">
      <alignment horizontal="center" vertical="center" wrapText="1"/>
    </xf>
    <xf numFmtId="169" fontId="0" fillId="2" borderId="44" xfId="0" applyNumberFormat="1" applyFill="1" applyBorder="1" applyAlignment="1">
      <alignment horizontal="center" vertical="center" wrapText="1"/>
    </xf>
    <xf numFmtId="0" fontId="13" fillId="15" borderId="17" xfId="0" applyFont="1" applyFill="1" applyBorder="1" applyAlignment="1">
      <alignment horizontal="center" vertical="center"/>
    </xf>
    <xf numFmtId="0" fontId="13" fillId="15" borderId="42" xfId="0" applyFont="1" applyFill="1" applyBorder="1" applyAlignment="1">
      <alignment horizontal="center" vertical="center"/>
    </xf>
    <xf numFmtId="0" fontId="2" fillId="15" borderId="58" xfId="0" applyFont="1" applyFill="1" applyBorder="1" applyAlignment="1">
      <alignment horizontal="center"/>
    </xf>
    <xf numFmtId="0" fontId="2" fillId="15" borderId="59" xfId="0" applyFont="1" applyFill="1" applyBorder="1" applyAlignment="1">
      <alignment horizontal="center"/>
    </xf>
    <xf numFmtId="0" fontId="2" fillId="15" borderId="38" xfId="0" applyFont="1" applyFill="1" applyBorder="1" applyAlignment="1">
      <alignment horizontal="center"/>
    </xf>
    <xf numFmtId="0" fontId="30" fillId="0" borderId="12" xfId="0" applyFont="1" applyBorder="1" applyAlignment="1">
      <alignment horizontal="center" vertical="center" textRotation="90"/>
    </xf>
    <xf numFmtId="0" fontId="30" fillId="0" borderId="16" xfId="0" applyFont="1" applyBorder="1" applyAlignment="1">
      <alignment horizontal="center" vertical="center" textRotation="90"/>
    </xf>
    <xf numFmtId="0" fontId="30" fillId="0" borderId="18" xfId="0" applyFont="1" applyBorder="1" applyAlignment="1">
      <alignment horizontal="center" vertical="center" textRotation="90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15" borderId="17" xfId="0" applyFont="1" applyFill="1" applyBorder="1" applyAlignment="1">
      <alignment horizontal="center" vertical="center"/>
    </xf>
    <xf numFmtId="0" fontId="2" fillId="15" borderId="42" xfId="0" applyFont="1" applyFill="1" applyBorder="1" applyAlignment="1">
      <alignment horizontal="center" vertical="center"/>
    </xf>
    <xf numFmtId="0" fontId="2" fillId="15" borderId="45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6" fillId="7" borderId="22" xfId="0" applyFont="1" applyFill="1" applyBorder="1" applyAlignment="1">
      <alignment horizontal="center" wrapText="1"/>
    </xf>
    <xf numFmtId="0" fontId="6" fillId="7" borderId="23" xfId="0" applyFont="1" applyFill="1" applyBorder="1" applyAlignment="1">
      <alignment horizontal="center" wrapText="1"/>
    </xf>
    <xf numFmtId="0" fontId="6" fillId="7" borderId="24" xfId="0" applyFont="1" applyFill="1" applyBorder="1" applyAlignment="1">
      <alignment horizontal="center" wrapText="1"/>
    </xf>
    <xf numFmtId="0" fontId="2" fillId="6" borderId="25" xfId="0" applyFont="1" applyFill="1" applyBorder="1" applyAlignment="1">
      <alignment horizontal="center"/>
    </xf>
    <xf numFmtId="0" fontId="2" fillId="6" borderId="26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0" fontId="2" fillId="10" borderId="1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 vertical="center" textRotation="90"/>
    </xf>
    <xf numFmtId="0" fontId="7" fillId="2" borderId="16" xfId="0" applyFont="1" applyFill="1" applyBorder="1" applyAlignment="1">
      <alignment horizontal="center" vertical="center" textRotation="90"/>
    </xf>
    <xf numFmtId="0" fontId="7" fillId="2" borderId="18" xfId="0" applyFont="1" applyFill="1" applyBorder="1" applyAlignment="1">
      <alignment horizontal="center" vertical="center" textRotation="90"/>
    </xf>
    <xf numFmtId="0" fontId="13" fillId="15" borderId="0" xfId="0" applyFont="1" applyFill="1" applyAlignment="1">
      <alignment horizontal="center" vertical="center" wrapText="1"/>
    </xf>
    <xf numFmtId="0" fontId="2" fillId="15" borderId="58" xfId="0" applyFont="1" applyFill="1" applyBorder="1" applyAlignment="1">
      <alignment horizontal="center" vertical="center"/>
    </xf>
    <xf numFmtId="0" fontId="2" fillId="15" borderId="59" xfId="0" applyFont="1" applyFill="1" applyBorder="1" applyAlignment="1">
      <alignment horizontal="center" vertical="center"/>
    </xf>
    <xf numFmtId="0" fontId="2" fillId="15" borderId="38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textRotation="90"/>
    </xf>
    <xf numFmtId="0" fontId="8" fillId="0" borderId="14" xfId="0" applyFont="1" applyBorder="1" applyAlignment="1">
      <alignment horizontal="center" vertical="center"/>
    </xf>
    <xf numFmtId="0" fontId="2" fillId="15" borderId="17" xfId="0" applyFont="1" applyFill="1" applyBorder="1" applyAlignment="1">
      <alignment horizontal="center" vertical="center" wrapText="1"/>
    </xf>
    <xf numFmtId="0" fontId="2" fillId="15" borderId="42" xfId="0" applyFont="1" applyFill="1" applyBorder="1" applyAlignment="1">
      <alignment horizontal="center" vertical="center" wrapText="1"/>
    </xf>
    <xf numFmtId="0" fontId="2" fillId="10" borderId="47" xfId="0" applyFont="1" applyFill="1" applyBorder="1" applyAlignment="1">
      <alignment horizontal="center"/>
    </xf>
    <xf numFmtId="0" fontId="18" fillId="15" borderId="17" xfId="0" applyFont="1" applyFill="1" applyBorder="1" applyAlignment="1">
      <alignment horizontal="center" vertical="center" wrapText="1"/>
    </xf>
    <xf numFmtId="0" fontId="18" fillId="15" borderId="42" xfId="0" applyFont="1" applyFill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textRotation="90" wrapText="1"/>
    </xf>
    <xf numFmtId="0" fontId="0" fillId="0" borderId="14" xfId="0" applyBorder="1" applyAlignment="1">
      <alignment horizontal="center" vertical="center" wrapText="1"/>
    </xf>
    <xf numFmtId="0" fontId="6" fillId="15" borderId="17" xfId="0" applyFont="1" applyFill="1" applyBorder="1" applyAlignment="1">
      <alignment horizontal="center" vertical="center" wrapText="1"/>
    </xf>
    <xf numFmtId="0" fontId="6" fillId="15" borderId="42" xfId="0" applyFont="1" applyFill="1" applyBorder="1" applyAlignment="1">
      <alignment horizontal="center" vertical="center" wrapText="1"/>
    </xf>
    <xf numFmtId="0" fontId="12" fillId="14" borderId="9" xfId="0" applyFont="1" applyFill="1" applyBorder="1" applyAlignment="1">
      <alignment horizontal="center" vertical="center"/>
    </xf>
    <xf numFmtId="0" fontId="2" fillId="10" borderId="61" xfId="0" applyFont="1" applyFill="1" applyBorder="1" applyAlignment="1">
      <alignment horizontal="center"/>
    </xf>
    <xf numFmtId="0" fontId="2" fillId="10" borderId="2" xfId="0" applyFon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12" fillId="14" borderId="63" xfId="0" applyFont="1" applyFill="1" applyBorder="1" applyAlignment="1">
      <alignment horizontal="center" wrapText="1"/>
    </xf>
    <xf numFmtId="0" fontId="12" fillId="14" borderId="0" xfId="0" applyFont="1" applyFill="1" applyAlignment="1">
      <alignment horizontal="center" wrapText="1"/>
    </xf>
    <xf numFmtId="0" fontId="12" fillId="14" borderId="14" xfId="0" applyFont="1" applyFill="1" applyBorder="1" applyAlignment="1">
      <alignment horizontal="center" vertical="center"/>
    </xf>
    <xf numFmtId="0" fontId="12" fillId="14" borderId="7" xfId="0" applyFont="1" applyFill="1" applyBorder="1" applyAlignment="1">
      <alignment horizontal="center" vertical="center"/>
    </xf>
    <xf numFmtId="0" fontId="12" fillId="14" borderId="56" xfId="0" applyFont="1" applyFill="1" applyBorder="1" applyAlignment="1">
      <alignment horizontal="center" vertical="center"/>
    </xf>
    <xf numFmtId="0" fontId="18" fillId="15" borderId="42" xfId="0" applyFont="1" applyFill="1" applyBorder="1" applyAlignment="1">
      <alignment horizontal="center" vertical="center"/>
    </xf>
    <xf numFmtId="0" fontId="18" fillId="15" borderId="45" xfId="0" applyFont="1" applyFill="1" applyBorder="1" applyAlignment="1">
      <alignment horizontal="center" vertical="center"/>
    </xf>
    <xf numFmtId="0" fontId="22" fillId="0" borderId="14" xfId="0" applyFont="1" applyBorder="1" applyAlignment="1">
      <alignment horizontal="center" vertical="center" textRotation="90"/>
    </xf>
    <xf numFmtId="0" fontId="0" fillId="0" borderId="14" xfId="0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6" fillId="15" borderId="17" xfId="0" applyFont="1" applyFill="1" applyBorder="1" applyAlignment="1">
      <alignment horizontal="center" wrapText="1"/>
    </xf>
    <xf numFmtId="0" fontId="6" fillId="15" borderId="42" xfId="0" applyFont="1" applyFill="1" applyBorder="1" applyAlignment="1">
      <alignment horizontal="center" wrapText="1"/>
    </xf>
    <xf numFmtId="0" fontId="6" fillId="15" borderId="47" xfId="0" applyFont="1" applyFill="1" applyBorder="1" applyAlignment="1">
      <alignment horizontal="center" vertical="center" wrapText="1"/>
    </xf>
    <xf numFmtId="0" fontId="6" fillId="15" borderId="64" xfId="0" applyFont="1" applyFill="1" applyBorder="1" applyAlignment="1">
      <alignment horizontal="center" vertical="center" wrapText="1"/>
    </xf>
    <xf numFmtId="0" fontId="6" fillId="15" borderId="17" xfId="0" applyFont="1" applyFill="1" applyBorder="1" applyAlignment="1">
      <alignment horizontal="center" vertical="center"/>
    </xf>
    <xf numFmtId="0" fontId="6" fillId="15" borderId="42" xfId="0" applyFont="1" applyFill="1" applyBorder="1" applyAlignment="1">
      <alignment horizontal="center" vertical="center"/>
    </xf>
    <xf numFmtId="0" fontId="6" fillId="15" borderId="46" xfId="0" applyFont="1" applyFill="1" applyBorder="1" applyAlignment="1">
      <alignment horizontal="center" vertical="center" wrapText="1"/>
    </xf>
    <xf numFmtId="0" fontId="2" fillId="10" borderId="38" xfId="0" applyFont="1" applyFill="1" applyBorder="1" applyAlignment="1">
      <alignment horizontal="center"/>
    </xf>
    <xf numFmtId="0" fontId="0" fillId="2" borderId="66" xfId="0" applyFill="1" applyBorder="1" applyAlignment="1">
      <alignment horizontal="center"/>
    </xf>
    <xf numFmtId="0" fontId="12" fillId="14" borderId="14" xfId="0" applyFont="1" applyFill="1" applyBorder="1" applyAlignment="1">
      <alignment horizontal="center" wrapText="1"/>
    </xf>
    <xf numFmtId="0" fontId="12" fillId="14" borderId="12" xfId="0" applyFont="1" applyFill="1" applyBorder="1" applyAlignment="1">
      <alignment horizontal="center" vertical="center"/>
    </xf>
    <xf numFmtId="0" fontId="12" fillId="14" borderId="18" xfId="0" applyFont="1" applyFill="1" applyBorder="1" applyAlignment="1">
      <alignment horizontal="center" vertical="center"/>
    </xf>
    <xf numFmtId="0" fontId="12" fillId="14" borderId="53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 wrapText="1"/>
    </xf>
    <xf numFmtId="0" fontId="18" fillId="15" borderId="17" xfId="0" applyFont="1" applyFill="1" applyBorder="1" applyAlignment="1">
      <alignment horizontal="center" vertical="center"/>
    </xf>
    <xf numFmtId="0" fontId="23" fillId="0" borderId="14" xfId="0" applyFont="1" applyBorder="1" applyAlignment="1">
      <alignment horizontal="center" vertical="center" textRotation="90"/>
    </xf>
    <xf numFmtId="0" fontId="24" fillId="0" borderId="14" xfId="0" applyFont="1" applyBorder="1" applyAlignment="1">
      <alignment horizontal="center" vertical="center"/>
    </xf>
    <xf numFmtId="0" fontId="6" fillId="15" borderId="45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25" fillId="2" borderId="7" xfId="0" applyFont="1" applyFill="1" applyBorder="1" applyAlignment="1">
      <alignment horizontal="left"/>
    </xf>
    <xf numFmtId="0" fontId="25" fillId="2" borderId="8" xfId="0" applyFont="1" applyFill="1" applyBorder="1" applyAlignment="1">
      <alignment horizontal="left"/>
    </xf>
    <xf numFmtId="0" fontId="25" fillId="2" borderId="9" xfId="0" applyFont="1" applyFill="1" applyBorder="1" applyAlignment="1">
      <alignment horizontal="left"/>
    </xf>
    <xf numFmtId="0" fontId="2" fillId="10" borderId="67" xfId="0" applyFont="1" applyFill="1" applyBorder="1" applyAlignment="1">
      <alignment horizontal="center"/>
    </xf>
    <xf numFmtId="0" fontId="2" fillId="10" borderId="68" xfId="0" applyFont="1" applyFill="1" applyBorder="1" applyAlignment="1">
      <alignment horizontal="center"/>
    </xf>
    <xf numFmtId="0" fontId="12" fillId="20" borderId="42" xfId="0" applyFont="1" applyFill="1" applyBorder="1" applyAlignment="1">
      <alignment horizontal="center" wrapText="1"/>
    </xf>
    <xf numFmtId="0" fontId="12" fillId="20" borderId="45" xfId="0" applyFont="1" applyFill="1" applyBorder="1" applyAlignment="1">
      <alignment horizontal="center" wrapText="1"/>
    </xf>
    <xf numFmtId="0" fontId="12" fillId="14" borderId="42" xfId="0" applyFont="1" applyFill="1" applyBorder="1" applyAlignment="1">
      <alignment horizontal="center" vertical="center"/>
    </xf>
    <xf numFmtId="0" fontId="12" fillId="14" borderId="45" xfId="0" applyFont="1" applyFill="1" applyBorder="1" applyAlignment="1">
      <alignment horizontal="center" vertical="center"/>
    </xf>
    <xf numFmtId="0" fontId="12" fillId="14" borderId="64" xfId="0" applyFont="1" applyFill="1" applyBorder="1" applyAlignment="1">
      <alignment horizontal="center" vertical="center"/>
    </xf>
    <xf numFmtId="0" fontId="12" fillId="14" borderId="46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wrapText="1"/>
    </xf>
    <xf numFmtId="0" fontId="12" fillId="14" borderId="41" xfId="0" applyFont="1" applyFill="1" applyBorder="1" applyAlignment="1">
      <alignment horizontal="center" vertical="center"/>
    </xf>
    <xf numFmtId="0" fontId="12" fillId="14" borderId="50" xfId="0" applyFont="1" applyFill="1" applyBorder="1" applyAlignment="1">
      <alignment horizontal="center" vertical="center"/>
    </xf>
    <xf numFmtId="0" fontId="18" fillId="15" borderId="0" xfId="0" applyFont="1" applyFill="1" applyAlignment="1">
      <alignment horizontal="center" vertical="center"/>
    </xf>
    <xf numFmtId="0" fontId="19" fillId="0" borderId="14" xfId="0" applyFont="1" applyBorder="1" applyAlignment="1">
      <alignment horizontal="center" vertical="center" textRotation="90"/>
    </xf>
    <xf numFmtId="0" fontId="6" fillId="15" borderId="47" xfId="0" applyFont="1" applyFill="1" applyBorder="1" applyAlignment="1">
      <alignment horizontal="center" vertical="center"/>
    </xf>
    <xf numFmtId="0" fontId="6" fillId="15" borderId="6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left"/>
    </xf>
    <xf numFmtId="0" fontId="28" fillId="15" borderId="47" xfId="0" applyFont="1" applyFill="1" applyBorder="1" applyAlignment="1">
      <alignment horizontal="center"/>
    </xf>
    <xf numFmtId="0" fontId="28" fillId="15" borderId="59" xfId="0" applyFont="1" applyFill="1" applyBorder="1" applyAlignment="1">
      <alignment horizontal="center"/>
    </xf>
    <xf numFmtId="0" fontId="6" fillId="15" borderId="17" xfId="0" applyFont="1" applyFill="1" applyBorder="1" applyAlignment="1">
      <alignment horizontal="center"/>
    </xf>
    <xf numFmtId="0" fontId="6" fillId="15" borderId="42" xfId="0" applyFont="1" applyFill="1" applyBorder="1" applyAlignment="1">
      <alignment horizontal="center"/>
    </xf>
    <xf numFmtId="10" fontId="0" fillId="23" borderId="76" xfId="0" applyNumberFormat="1" applyFill="1" applyBorder="1"/>
    <xf numFmtId="10" fontId="0" fillId="23" borderId="13" xfId="0" applyNumberFormat="1" applyFill="1" applyBorder="1"/>
  </cellXfs>
  <cellStyles count="4">
    <cellStyle name="Comma" xfId="1" builtinId="3"/>
    <cellStyle name="Normal" xfId="0" builtinId="0"/>
    <cellStyle name="Normal 2" xfId="3" xr:uid="{C8D3C659-337B-409B-912B-9233BE09F3AF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microsoft.com/office/2017/10/relationships/person" Target="persons/perso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1.xml"/><Relationship Id="rId40" Type="http://schemas.openxmlformats.org/officeDocument/2006/relationships/styles" Target="styles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2.xml"/><Relationship Id="rId46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PA%20122_MP4_ER_Calcs_v2%20CONFIDENTI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Sales_Record_Confidenti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ER Calcs"/>
      <sheetName val="PTDs"/>
      <sheetName val="Downdays"/>
      <sheetName val="HH List"/>
      <sheetName val="SDGs Calculations"/>
    </sheetNames>
    <sheetDataSet>
      <sheetData sheetId="0">
        <row r="36">
          <cell r="E36">
            <v>4775</v>
          </cell>
        </row>
      </sheetData>
      <sheetData sheetId="1">
        <row r="27">
          <cell r="J27">
            <v>444</v>
          </cell>
        </row>
      </sheetData>
      <sheetData sheetId="2">
        <row r="13">
          <cell r="J13">
            <v>2759</v>
          </cell>
        </row>
        <row r="21">
          <cell r="C21">
            <v>310</v>
          </cell>
        </row>
        <row r="22">
          <cell r="C22">
            <v>3340</v>
          </cell>
        </row>
      </sheetData>
      <sheetData sheetId="3"/>
      <sheetData sheetId="4">
        <row r="279">
          <cell r="G279">
            <v>672</v>
          </cell>
        </row>
      </sheetData>
      <sheetData sheetId="5">
        <row r="6">
          <cell r="D6">
            <v>4.0000000000000002E-4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VPA 122 HH List"/>
      <sheetName val="VPA 123 HH List"/>
      <sheetName val="VPA 124 HH List"/>
      <sheetName val="VPA 125 HH List"/>
      <sheetName val="VPA 126 HH List"/>
      <sheetName val="VPA 129 HH List"/>
      <sheetName val="VPA 130 HH 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75">
          <cell r="G75">
            <v>459</v>
          </cell>
        </row>
        <row r="101">
          <cell r="G101">
            <v>140</v>
          </cell>
        </row>
        <row r="255">
          <cell r="G255">
            <v>714</v>
          </cell>
        </row>
        <row r="578">
          <cell r="G578">
            <v>1557</v>
          </cell>
        </row>
        <row r="633">
          <cell r="G633">
            <v>313</v>
          </cell>
        </row>
        <row r="662">
          <cell r="G662">
            <v>194</v>
          </cell>
        </row>
        <row r="733">
          <cell r="G733">
            <v>401</v>
          </cell>
        </row>
      </sheetData>
      <sheetData sheetId="6" refreshError="1"/>
      <sheetData sheetId="7">
        <row r="27">
          <cell r="G27">
            <v>165</v>
          </cell>
        </row>
        <row r="194">
          <cell r="G194">
            <v>714</v>
          </cell>
        </row>
        <row r="257">
          <cell r="G257">
            <v>344</v>
          </cell>
        </row>
        <row r="338">
          <cell r="G338">
            <v>380</v>
          </cell>
        </row>
        <row r="370">
          <cell r="G370">
            <v>121</v>
          </cell>
        </row>
        <row r="439">
          <cell r="G439">
            <v>376</v>
          </cell>
        </row>
        <row r="976">
          <cell r="G976">
            <v>2636</v>
          </cell>
        </row>
        <row r="1277">
          <cell r="G1277">
            <v>1591</v>
          </cell>
        </row>
        <row r="1558">
          <cell r="G1558">
            <v>1470</v>
          </cell>
        </row>
        <row r="1919">
          <cell r="G1919">
            <v>1750</v>
          </cell>
        </row>
        <row r="2158">
          <cell r="G2158">
            <v>1114</v>
          </cell>
        </row>
        <row r="2359">
          <cell r="G2359">
            <v>1040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Amie Nevin" id="{422DE772-834E-4751-B2F4-E3DA4FF82E1F}" userId="Amie Nevin" providerId="None"/>
  <person displayName="María Jiménez Nanhekhan" id="{1C322821-A5B9-4A2B-965A-3DE836F59911}" userId="María Jiménez Nanhekhan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6" dT="2021-09-08T12:50:17.88" personId="{1C322821-A5B9-4A2B-965A-3DE836F59911}" id="{13FCCD1E-322E-4891-A5AB-E4F2FA7437C1}">
    <text>Capped at 95%</text>
  </threadedComment>
  <threadedComment ref="J6" dT="2021-09-14T16:25:13.64" personId="{422DE772-834E-4751-B2F4-E3DA4FF82E1F}" id="{3CA99E17-7459-40B6-B842-BDCE290346A0}">
    <text>Capped at 95%</text>
  </threadedComment>
  <threadedComment ref="O6" dT="2021-09-14T16:25:19.45" personId="{422DE772-834E-4751-B2F4-E3DA4FF82E1F}" id="{A59FFF16-E174-48AF-831E-687C6338C3B6}">
    <text>Capped 95%</text>
  </threadedComment>
  <threadedComment ref="J23" dT="2021-11-29T13:58:05.24" personId="{422DE772-834E-4751-B2F4-E3DA4FF82E1F}" id="{D5D442D5-22F9-462F-8E68-02060940089B}">
    <text>AR4 value</text>
  </threadedComment>
  <threadedComment ref="O23" dT="2021-11-29T13:58:12.63" personId="{422DE772-834E-4751-B2F4-E3DA4FF82E1F}" id="{2DA2DA31-519E-4B56-8AFD-C859680AD4DA}">
    <text>AR5 value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E6" dT="2021-09-09T10:54:14.31" personId="{1C322821-A5B9-4A2B-965A-3DE836F59911}" id="{0F12DAA1-874C-435C-B226-D1BE92CDA7D3}">
    <text>Capped at 95%</text>
  </threadedComment>
  <threadedComment ref="J6" dT="2021-09-14T16:39:57.23" personId="{422DE772-834E-4751-B2F4-E3DA4FF82E1F}" id="{C5A9233E-06C1-42E0-981A-A6B1A6968810}">
    <text>Capped at 95%</text>
  </threadedComment>
  <threadedComment ref="O6" dT="2021-09-14T16:40:04.91" personId="{422DE772-834E-4751-B2F4-E3DA4FF82E1F}" id="{A0A77F5B-3831-4F48-B6F1-D31FB101E5A3}">
    <text>Capped at 95%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E6" dT="2021-09-09T11:24:00.66" personId="{1C322821-A5B9-4A2B-965A-3DE836F59911}" id="{9D1CA378-3E9E-436B-8FFB-1CCCB352DAEA}">
    <text>Capped at 95%</text>
  </threadedComment>
  <threadedComment ref="J6" dT="2021-09-14T16:39:44.47" personId="{422DE772-834E-4751-B2F4-E3DA4FF82E1F}" id="{29A5FDC9-D342-46AA-9AA7-8B4A2AE302D3}">
    <text>Capped at 95%</text>
  </threadedComment>
  <threadedComment ref="O6" dT="2021-09-14T16:39:38.58" personId="{422DE772-834E-4751-B2F4-E3DA4FF82E1F}" id="{150D53F0-E664-4677-8605-5EE2BEC1C598}">
    <text>Capped at 95%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E6" dT="2021-09-09T16:18:34.06" personId="{1C322821-A5B9-4A2B-965A-3DE836F59911}" id="{B8985E1C-209D-4D00-86FE-753DAB1006A9}">
    <text>Capped at 95%</text>
  </threadedComment>
  <threadedComment ref="J6" dT="2021-09-14T16:44:48.94" personId="{422DE772-834E-4751-B2F4-E3DA4FF82E1F}" id="{EB5323C6-0227-49A7-9E40-619614018BC7}">
    <text>Capped at 95%</text>
  </threadedComment>
  <threadedComment ref="O6" dT="2021-09-14T16:44:55.34" personId="{422DE772-834E-4751-B2F4-E3DA4FF82E1F}" id="{B971601C-F9C5-4EFD-A21D-3FC1C193D2C2}">
    <text>Capped at 95%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E6" dT="2021-09-09T16:29:09.93" personId="{1C322821-A5B9-4A2B-965A-3DE836F59911}" id="{1682E911-5AB0-4029-87C3-57DEA61B09DB}">
    <text>Capped at 95%</text>
  </threadedComment>
  <threadedComment ref="J6" dT="2021-09-14T16:46:05.08" personId="{422DE772-834E-4751-B2F4-E3DA4FF82E1F}" id="{4B44357E-9902-41D4-B140-547BDC07CA58}">
    <text>Capped at 95%</text>
  </threadedComment>
  <threadedComment ref="O6" dT="2021-09-14T16:45:58.65" personId="{422DE772-834E-4751-B2F4-E3DA4FF82E1F}" id="{244CF938-7B5A-4795-B692-87DC294A2EF5}">
    <text>Capped at 95%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E6" dT="2021-09-09T16:35:43.74" personId="{1C322821-A5B9-4A2B-965A-3DE836F59911}" id="{23FDA656-D78F-43EF-8D3D-1A718EA2C291}">
    <text>Capped at 95%</text>
  </threadedComment>
  <threadedComment ref="J6" dT="2021-09-14T16:56:10.96" personId="{422DE772-834E-4751-B2F4-E3DA4FF82E1F}" id="{BEAAD81D-38DA-413D-B0F5-EF4EF3DA8C4A}">
    <text>Capped at 95%</text>
  </threadedComment>
  <threadedComment ref="O6" dT="2021-09-14T16:56:10.96" personId="{422DE772-834E-4751-B2F4-E3DA4FF82E1F}" id="{8727F6CC-A02E-4128-913A-6F47ED1CE379}">
    <text>Capped at 95%</text>
  </threadedComment>
</ThreadedComments>
</file>

<file path=xl/threadedComments/threadedComment7.xml><?xml version="1.0" encoding="utf-8"?>
<ThreadedComments xmlns="http://schemas.microsoft.com/office/spreadsheetml/2018/threadedcomments" xmlns:x="http://schemas.openxmlformats.org/spreadsheetml/2006/main">
  <threadedComment ref="E6" dT="2021-09-09T16:40:44.71" personId="{1C322821-A5B9-4A2B-965A-3DE836F59911}" id="{74A26FC7-2C5B-46BD-8070-3AF1B94CC383}">
    <text>Capped at 95%</text>
  </threadedComment>
  <threadedComment ref="J6" dT="2021-09-14T17:01:39.77" personId="{422DE772-834E-4751-B2F4-E3DA4FF82E1F}" id="{B552B254-3246-4742-AA5F-E37F09F1D0FE}">
    <text>Capped at 95%</text>
  </threadedComment>
  <threadedComment ref="O6" dT="2021-09-14T17:01:39.77" personId="{422DE772-834E-4751-B2F4-E3DA4FF82E1F}" id="{B05F1F6E-C2AF-4C2C-B1E0-2CA3FF4F95CB}">
    <text>Capped at 95%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0.bin"/><Relationship Id="rId4" Type="http://schemas.microsoft.com/office/2017/10/relationships/threadedComment" Target="../threadedComments/threadedComment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Relationship Id="rId4" Type="http://schemas.microsoft.com/office/2017/10/relationships/threadedComment" Target="../threadedComments/threadedComment4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8.bin"/><Relationship Id="rId4" Type="http://schemas.microsoft.com/office/2017/10/relationships/threadedComment" Target="../threadedComments/threadedComment5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22.bin"/><Relationship Id="rId4" Type="http://schemas.microsoft.com/office/2017/10/relationships/threadedComment" Target="../threadedComments/threadedComment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26.bin"/><Relationship Id="rId4" Type="http://schemas.microsoft.com/office/2017/10/relationships/threadedComment" Target="../threadedComments/threadedComment7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1C86D-8AB6-4D62-B55B-A9046BB7D526}">
  <dimension ref="A1:M11"/>
  <sheetViews>
    <sheetView tabSelected="1" workbookViewId="0">
      <selection activeCell="C2" sqref="C2:C8"/>
    </sheetView>
  </sheetViews>
  <sheetFormatPr defaultRowHeight="14.5" x14ac:dyDescent="0.35"/>
  <cols>
    <col min="1" max="1" width="7.26953125" customWidth="1"/>
    <col min="2" max="2" width="7.54296875" customWidth="1"/>
    <col min="4" max="4" width="8.26953125" customWidth="1"/>
    <col min="5" max="5" width="8.453125" customWidth="1"/>
    <col min="6" max="6" width="9.1796875" bestFit="1" customWidth="1"/>
    <col min="7" max="7" width="9.1796875" customWidth="1"/>
    <col min="8" max="8" width="10.7265625" bestFit="1" customWidth="1"/>
    <col min="9" max="9" width="14.26953125" bestFit="1" customWidth="1"/>
    <col min="10" max="10" width="13.26953125" bestFit="1" customWidth="1"/>
    <col min="11" max="11" width="15" bestFit="1" customWidth="1"/>
    <col min="12" max="12" width="14.7265625" bestFit="1" customWidth="1"/>
    <col min="13" max="13" width="17" bestFit="1" customWidth="1"/>
  </cols>
  <sheetData>
    <row r="1" spans="1:13" ht="15" thickBot="1" x14ac:dyDescent="0.4">
      <c r="A1" s="317" t="s">
        <v>76</v>
      </c>
      <c r="B1" s="318" t="s">
        <v>392</v>
      </c>
      <c r="C1" s="319" t="s">
        <v>393</v>
      </c>
      <c r="D1" s="320" t="s">
        <v>394</v>
      </c>
      <c r="E1" s="321" t="s">
        <v>395</v>
      </c>
      <c r="F1" s="322" t="s">
        <v>396</v>
      </c>
      <c r="G1" s="284"/>
      <c r="H1" s="323" t="s">
        <v>397</v>
      </c>
      <c r="I1" s="323" t="s">
        <v>131</v>
      </c>
      <c r="J1" s="323" t="s">
        <v>398</v>
      </c>
      <c r="K1" s="323" t="s">
        <v>323</v>
      </c>
      <c r="L1" s="323" t="s">
        <v>84</v>
      </c>
      <c r="M1" s="323" t="s">
        <v>399</v>
      </c>
    </row>
    <row r="2" spans="1:13" ht="15" thickBot="1" x14ac:dyDescent="0.4">
      <c r="A2" s="324">
        <v>5951</v>
      </c>
      <c r="B2" s="325">
        <v>122</v>
      </c>
      <c r="C2" s="507">
        <f>'VPA 122 SDGs calcs'!D3</f>
        <v>0.92269999999999996</v>
      </c>
      <c r="D2" s="326">
        <f>'VPA 122 SDGs calcs'!D12</f>
        <v>1.2899999999999998</v>
      </c>
      <c r="E2" s="327">
        <f>'VPA 122 SDGs calcs'!D17</f>
        <v>2545.7293</v>
      </c>
      <c r="F2" s="328">
        <f>'VPA 122 SDGs calcs'!D23</f>
        <v>4775</v>
      </c>
      <c r="G2" s="329"/>
      <c r="H2" s="330">
        <f>'VPA 122 Downdays'!J13</f>
        <v>0</v>
      </c>
      <c r="I2" s="331">
        <f>'VPA 122 PTDs'!D24</f>
        <v>0</v>
      </c>
      <c r="J2" s="332">
        <f>'VPA 122 PTDs'!P13</f>
        <v>956683.25</v>
      </c>
      <c r="K2" s="332">
        <f>'VPA 122 PTDs'!P29</f>
        <v>1262516.75</v>
      </c>
      <c r="L2" s="332">
        <f>'VPA 122 PTDs'!J13</f>
        <v>2759</v>
      </c>
      <c r="M2" s="332">
        <f>'VPA 122 PTDs'!I13</f>
        <v>3641</v>
      </c>
    </row>
    <row r="3" spans="1:13" x14ac:dyDescent="0.35">
      <c r="A3" s="333">
        <v>5952</v>
      </c>
      <c r="B3" s="325">
        <v>123</v>
      </c>
      <c r="C3" s="508">
        <f>'VPA 123 SDGs Calculations'!D3</f>
        <v>0.92269999999999996</v>
      </c>
      <c r="D3" s="326">
        <f>'VPA 123 SDGs Calculations'!D12</f>
        <v>1.2899999999999998</v>
      </c>
      <c r="E3" s="335">
        <f>'VPA 123 SDGs Calculations'!D17</f>
        <v>1972.7325999999998</v>
      </c>
      <c r="F3" s="336">
        <f>'VPA 123 SDGs Calculations'!D23</f>
        <v>3701</v>
      </c>
      <c r="G3" s="329"/>
      <c r="H3" s="337">
        <f>'VPA 123 Downdays'!J11</f>
        <v>10</v>
      </c>
      <c r="I3" s="331">
        <f>'VPA 123 PTDs'!D24</f>
        <v>3.7425149700598802E-3</v>
      </c>
      <c r="J3" s="332">
        <f>'VPA 123 PTDs'!P11</f>
        <v>741351.5</v>
      </c>
      <c r="K3" s="332">
        <f>'VPA 123 PTDs'!P28</f>
        <v>1083940.5</v>
      </c>
      <c r="L3" s="332">
        <f>'VPA 123 PTDs'!J11</f>
        <v>2138</v>
      </c>
      <c r="M3" s="332">
        <f>'VPA 123 PTDs'!I11</f>
        <v>3126</v>
      </c>
    </row>
    <row r="4" spans="1:13" x14ac:dyDescent="0.35">
      <c r="A4" s="324">
        <v>5953</v>
      </c>
      <c r="B4" s="325">
        <v>124</v>
      </c>
      <c r="C4" s="508">
        <f>'VPA 124 SDGs Calculations'!C3</f>
        <v>0.92269999999999996</v>
      </c>
      <c r="D4" s="334">
        <f>'VPA 124 SDGs Calculations'!C12</f>
        <v>1.2899999999999998</v>
      </c>
      <c r="E4" s="335">
        <f>'VPA 124 SDGs Calculations'!C17</f>
        <v>1963.5056</v>
      </c>
      <c r="F4" s="336">
        <f>'VPA 124 SDGs Calculations'!C23</f>
        <v>3683</v>
      </c>
      <c r="G4" s="329"/>
      <c r="H4" s="337">
        <f>'VPA 124 Downdays'!K13</f>
        <v>0</v>
      </c>
      <c r="I4" s="331">
        <f>'VPA 124 Downdays'!K13</f>
        <v>0</v>
      </c>
      <c r="J4" s="332">
        <f>'VPA 124 PTDs'!P12</f>
        <v>737884</v>
      </c>
      <c r="K4" s="332">
        <f>'VPA 124 PTDs'!P29</f>
        <v>1272225.75</v>
      </c>
      <c r="L4" s="332">
        <f>'VPA 124 PTDs'!J12</f>
        <v>2128</v>
      </c>
      <c r="M4" s="332">
        <f>'VPA 124 PTDs'!I12</f>
        <v>3669</v>
      </c>
    </row>
    <row r="5" spans="1:13" x14ac:dyDescent="0.35">
      <c r="A5" s="333">
        <v>5954</v>
      </c>
      <c r="B5" s="325">
        <v>125</v>
      </c>
      <c r="C5" s="508">
        <f>'VPA 125 SDGs Calculations'!C3</f>
        <v>0.92269999999999996</v>
      </c>
      <c r="D5" s="334">
        <f>'VPA 125 SDGs Calculations'!C12</f>
        <v>1.2899999999999998</v>
      </c>
      <c r="E5" s="335">
        <f>'VPA 125 SDGs Calculations'!C17</f>
        <v>1826.0232999999998</v>
      </c>
      <c r="F5" s="336">
        <f>'VPA 125 SDGs Calculations'!C23</f>
        <v>3423</v>
      </c>
      <c r="G5" s="329"/>
      <c r="H5" s="337">
        <f>'VPA 125 Downdays'!K12</f>
        <v>6</v>
      </c>
      <c r="I5" s="331">
        <f>'VPA 125 PTDs'!D23</f>
        <v>2.3483365949119373E-3</v>
      </c>
      <c r="J5" s="332">
        <f>'VPA 125 PTDs'!P10</f>
        <v>686218.25</v>
      </c>
      <c r="K5" s="332">
        <f>'VPA 125 PTDs'!P21</f>
        <v>1112027.25</v>
      </c>
      <c r="L5" s="332">
        <f>'VPA 125 PTDs'!J10</f>
        <v>1979</v>
      </c>
      <c r="M5" s="332">
        <f>'VPA 125 PTDs'!I10</f>
        <v>3207</v>
      </c>
    </row>
    <row r="6" spans="1:13" x14ac:dyDescent="0.35">
      <c r="A6" s="324">
        <v>5955</v>
      </c>
      <c r="B6" s="325">
        <v>126</v>
      </c>
      <c r="C6" s="508">
        <f>'VPA 126 SDGs Calculations'!C3</f>
        <v>0.92269999999999996</v>
      </c>
      <c r="D6" s="334">
        <f>'VPA 126 SDGs Calculations'!C12</f>
        <v>1.2899999999999998</v>
      </c>
      <c r="E6" s="335">
        <f>'VPA 126 SDGs Calculations'!C17</f>
        <v>1692.2318</v>
      </c>
      <c r="F6" s="336">
        <f>'VPA 126 SDGs Calculations'!C23</f>
        <v>3173</v>
      </c>
      <c r="G6" s="329"/>
      <c r="H6" s="337">
        <f>'VPA 126 Downdays'!K11</f>
        <v>4</v>
      </c>
      <c r="I6" s="331">
        <f>'VPA 126 PTDs'!D22</f>
        <v>1.5655577299412916E-3</v>
      </c>
      <c r="J6" s="332">
        <f>'VPA 126 PTDs'!P10</f>
        <v>635939.5</v>
      </c>
      <c r="K6" s="332">
        <f>'VPA 126 PTDs'!P21</f>
        <v>1310021.5</v>
      </c>
      <c r="L6" s="332">
        <f>'VPA 126 PTDs'!J10</f>
        <v>1834</v>
      </c>
      <c r="M6" s="332">
        <f>'VPA 126 PTDs'!I10</f>
        <v>3778</v>
      </c>
    </row>
    <row r="7" spans="1:13" x14ac:dyDescent="0.35">
      <c r="A7" s="333">
        <v>6041</v>
      </c>
      <c r="B7" s="238">
        <v>129</v>
      </c>
      <c r="C7" s="508">
        <f>'VPA 129 SDGs Calculations'!C3</f>
        <v>0.92269999999999996</v>
      </c>
      <c r="D7" s="334">
        <f>'VPA 129 SDGs Calculations'!C12</f>
        <v>1.2899999999999998</v>
      </c>
      <c r="E7" s="335">
        <f>'VPA 129 SDGs Calculations'!C17</f>
        <v>3401.0722000000001</v>
      </c>
      <c r="F7" s="336">
        <f>'VPA 129 SDGs Calculations'!C23</f>
        <v>6380</v>
      </c>
      <c r="G7" s="329"/>
      <c r="H7" s="337">
        <f>'VPA 129 Downdays'!K17</f>
        <v>13</v>
      </c>
      <c r="I7" s="331">
        <f>'VPA 129 PTDs'!D27</f>
        <v>2.7397260273972603E-3</v>
      </c>
      <c r="J7" s="332">
        <f>'VPA 129 PTDs'!P16</f>
        <v>1278120.5</v>
      </c>
      <c r="K7" s="332">
        <f>'VPA 129 PTDs'!P34</f>
        <v>3434558.75</v>
      </c>
      <c r="L7" s="332">
        <f>'VPA 129 PTDs'!J16</f>
        <v>3686</v>
      </c>
      <c r="M7" s="332">
        <f>'VPA 129 PTDs'!I16</f>
        <v>9905</v>
      </c>
    </row>
    <row r="8" spans="1:13" x14ac:dyDescent="0.35">
      <c r="A8" s="333">
        <v>6042</v>
      </c>
      <c r="B8" s="238">
        <v>130</v>
      </c>
      <c r="C8" s="508">
        <f>'VPA 130 SDGs Calculations'!C3</f>
        <v>0.92269999999999996</v>
      </c>
      <c r="D8" s="334">
        <f>'VPA 130 SDGs Calculations'!C12</f>
        <v>1.2899999999999998</v>
      </c>
      <c r="E8" s="335">
        <f>'VPA 130 SDGs Calculations'!C17</f>
        <v>3031.9921999999997</v>
      </c>
      <c r="F8" s="336">
        <f>'VPA 130 SDGs Calculations'!C23</f>
        <v>5688</v>
      </c>
      <c r="G8" s="329"/>
      <c r="H8" s="337">
        <f>'VPA 130 Downdays'!K16</f>
        <v>4</v>
      </c>
      <c r="I8" s="331">
        <f>'VPA 130 PTDs'!D26</f>
        <v>9.1324200913242006E-4</v>
      </c>
      <c r="J8" s="332">
        <f>'VPA 130 PTDs'!P15</f>
        <v>1139420.5</v>
      </c>
      <c r="K8" s="332">
        <f>'VPA 130 PTDs'!P31</f>
        <v>4057321.75</v>
      </c>
      <c r="L8" s="332">
        <f>'VPA 130 PTDs'!J15</f>
        <v>3286</v>
      </c>
      <c r="M8" s="332">
        <f>'VPA 130 PTDs'!I15</f>
        <v>11701</v>
      </c>
    </row>
    <row r="9" spans="1:13" ht="15" thickBot="1" x14ac:dyDescent="0.4"/>
    <row r="10" spans="1:13" ht="15" thickBot="1" x14ac:dyDescent="0.4">
      <c r="A10" s="338" t="s">
        <v>23</v>
      </c>
      <c r="B10" s="339"/>
      <c r="C10" s="339"/>
      <c r="D10" s="339"/>
      <c r="E10" s="340">
        <f>SUM(E2:E8)</f>
        <v>16433.287</v>
      </c>
      <c r="F10" s="340">
        <f>SUM(F2:F8)</f>
        <v>30823</v>
      </c>
      <c r="G10" s="341"/>
      <c r="H10" s="340">
        <f>SUM(H2:H8)</f>
        <v>37</v>
      </c>
      <c r="I10" s="340"/>
      <c r="J10" s="340">
        <f>SUM(J2:J8)</f>
        <v>6175617.5</v>
      </c>
      <c r="K10" s="340">
        <f>SUM(K2:K8)</f>
        <v>13532612.25</v>
      </c>
      <c r="L10" s="340">
        <f>SUM(L2:L8)</f>
        <v>17810</v>
      </c>
      <c r="M10" s="342">
        <f>SUM(M2:M8)</f>
        <v>39027</v>
      </c>
    </row>
    <row r="11" spans="1:13" ht="15" thickBot="1" x14ac:dyDescent="0.4">
      <c r="A11" s="343" t="s">
        <v>400</v>
      </c>
      <c r="B11" s="344"/>
      <c r="C11" s="344"/>
      <c r="D11" s="344"/>
      <c r="E11" s="345">
        <f>AVERAGE(E2:E8)</f>
        <v>2347.6124285714286</v>
      </c>
      <c r="F11" s="345">
        <f>AVERAGE(F2:F8)</f>
        <v>4403.2857142857147</v>
      </c>
      <c r="G11" s="341"/>
      <c r="H11" s="345">
        <f t="shared" ref="H11:M11" si="0">AVERAGE(H2:H8)</f>
        <v>5.2857142857142856</v>
      </c>
      <c r="I11" s="346">
        <f t="shared" si="0"/>
        <v>1.6156253330632559E-3</v>
      </c>
      <c r="J11" s="345">
        <f t="shared" si="0"/>
        <v>882231.07142857148</v>
      </c>
      <c r="K11" s="345">
        <f t="shared" si="0"/>
        <v>1933230.3214285714</v>
      </c>
      <c r="L11" s="345">
        <f t="shared" si="0"/>
        <v>2544.2857142857142</v>
      </c>
      <c r="M11" s="347">
        <f t="shared" si="0"/>
        <v>5575.2857142857147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9CEEF-8B59-47E0-9B65-400A39099A44}">
  <dimension ref="A1:J11"/>
  <sheetViews>
    <sheetView zoomScale="80" zoomScaleNormal="80" workbookViewId="0">
      <selection activeCell="C6" sqref="C6"/>
    </sheetView>
  </sheetViews>
  <sheetFormatPr defaultRowHeight="14.5" x14ac:dyDescent="0.35"/>
  <cols>
    <col min="4" max="4" width="12.54296875" customWidth="1"/>
    <col min="5" max="5" width="13.26953125" customWidth="1"/>
    <col min="6" max="6" width="16.1796875" customWidth="1"/>
    <col min="7" max="7" width="50.81640625" customWidth="1"/>
    <col min="8" max="8" width="13.1796875" customWidth="1"/>
    <col min="9" max="9" width="11.453125" customWidth="1"/>
    <col min="10" max="10" width="44.7265625" customWidth="1"/>
  </cols>
  <sheetData>
    <row r="1" spans="1:10" x14ac:dyDescent="0.35">
      <c r="A1" s="416" t="s">
        <v>225</v>
      </c>
      <c r="B1" s="438" t="s">
        <v>226</v>
      </c>
      <c r="C1" s="438" t="s">
        <v>77</v>
      </c>
      <c r="D1" s="438" t="s">
        <v>78</v>
      </c>
      <c r="E1" s="438" t="s">
        <v>227</v>
      </c>
      <c r="F1" s="438" t="s">
        <v>228</v>
      </c>
      <c r="G1" s="432" t="s">
        <v>229</v>
      </c>
      <c r="H1" s="433" t="s">
        <v>230</v>
      </c>
      <c r="I1" s="434"/>
      <c r="J1" s="435"/>
    </row>
    <row r="2" spans="1:10" x14ac:dyDescent="0.35">
      <c r="A2" s="417"/>
      <c r="B2" s="439"/>
      <c r="C2" s="438"/>
      <c r="D2" s="438"/>
      <c r="E2" s="439"/>
      <c r="F2" s="439"/>
      <c r="G2" s="432"/>
      <c r="H2" s="164">
        <v>2020</v>
      </c>
      <c r="I2" s="164">
        <v>2021</v>
      </c>
      <c r="J2" s="164" t="s">
        <v>231</v>
      </c>
    </row>
    <row r="3" spans="1:10" ht="18.649999999999999" customHeight="1" x14ac:dyDescent="0.35">
      <c r="A3" s="436" t="s">
        <v>193</v>
      </c>
      <c r="B3" s="437">
        <v>123</v>
      </c>
      <c r="C3" s="57" t="s">
        <v>194</v>
      </c>
      <c r="D3" s="58" t="s">
        <v>195</v>
      </c>
      <c r="E3" s="5"/>
      <c r="F3" s="5"/>
      <c r="G3" s="5"/>
      <c r="H3" s="5"/>
      <c r="I3" s="5"/>
      <c r="J3" s="165">
        <f>H3+I3</f>
        <v>0</v>
      </c>
    </row>
    <row r="4" spans="1:10" ht="17.5" customHeight="1" x14ac:dyDescent="0.35">
      <c r="A4" s="436"/>
      <c r="B4" s="437"/>
      <c r="C4" s="57" t="s">
        <v>197</v>
      </c>
      <c r="D4" s="142" t="s">
        <v>198</v>
      </c>
      <c r="E4" s="166"/>
      <c r="F4" s="166"/>
      <c r="G4" s="167"/>
      <c r="H4" s="165"/>
      <c r="I4" s="165"/>
      <c r="J4" s="165">
        <f t="shared" ref="J4:J10" si="0">H4+I4</f>
        <v>0</v>
      </c>
    </row>
    <row r="5" spans="1:10" ht="16" customHeight="1" x14ac:dyDescent="0.35">
      <c r="A5" s="436"/>
      <c r="B5" s="437"/>
      <c r="C5" s="57" t="s">
        <v>200</v>
      </c>
      <c r="D5" s="58" t="s">
        <v>201</v>
      </c>
      <c r="E5" s="166"/>
      <c r="F5" s="166"/>
      <c r="G5" s="167"/>
      <c r="H5" s="165"/>
      <c r="I5" s="165"/>
      <c r="J5" s="165">
        <f t="shared" si="0"/>
        <v>0</v>
      </c>
    </row>
    <row r="6" spans="1:10" ht="15.5" x14ac:dyDescent="0.35">
      <c r="A6" s="436"/>
      <c r="B6" s="437"/>
      <c r="C6" s="57" t="s">
        <v>204</v>
      </c>
      <c r="D6" s="142" t="s">
        <v>205</v>
      </c>
      <c r="E6" s="166" t="s">
        <v>232</v>
      </c>
      <c r="F6" s="166" t="s">
        <v>233</v>
      </c>
      <c r="G6" s="168" t="s">
        <v>234</v>
      </c>
      <c r="H6" s="165"/>
      <c r="I6" s="165">
        <v>4</v>
      </c>
      <c r="J6" s="165">
        <f t="shared" si="0"/>
        <v>4</v>
      </c>
    </row>
    <row r="7" spans="1:10" ht="15.5" x14ac:dyDescent="0.35">
      <c r="A7" s="436"/>
      <c r="B7" s="437"/>
      <c r="C7" s="57" t="s">
        <v>207</v>
      </c>
      <c r="D7" s="145" t="s">
        <v>208</v>
      </c>
      <c r="E7" s="169">
        <v>44246</v>
      </c>
      <c r="F7" s="169">
        <v>44249</v>
      </c>
      <c r="G7" s="170" t="s">
        <v>235</v>
      </c>
      <c r="H7" s="5"/>
      <c r="I7" s="9">
        <v>4</v>
      </c>
      <c r="J7" s="165">
        <f t="shared" si="0"/>
        <v>4</v>
      </c>
    </row>
    <row r="8" spans="1:10" ht="15.5" x14ac:dyDescent="0.35">
      <c r="A8" s="436"/>
      <c r="B8" s="437"/>
      <c r="C8" s="57" t="s">
        <v>211</v>
      </c>
      <c r="D8" s="148" t="s">
        <v>212</v>
      </c>
      <c r="E8" s="5"/>
      <c r="F8" s="5"/>
      <c r="G8" s="5"/>
      <c r="H8" s="5"/>
      <c r="I8" s="5"/>
      <c r="J8" s="165">
        <f t="shared" si="0"/>
        <v>0</v>
      </c>
    </row>
    <row r="9" spans="1:10" ht="15.5" x14ac:dyDescent="0.35">
      <c r="A9" s="436"/>
      <c r="B9" s="437"/>
      <c r="C9" s="57" t="s">
        <v>215</v>
      </c>
      <c r="D9" s="71" t="s">
        <v>216</v>
      </c>
      <c r="E9" s="5"/>
      <c r="F9" s="5"/>
      <c r="G9" s="5"/>
      <c r="H9" s="5"/>
      <c r="I9" s="5"/>
      <c r="J9" s="165">
        <f t="shared" si="0"/>
        <v>0</v>
      </c>
    </row>
    <row r="10" spans="1:10" ht="15.5" x14ac:dyDescent="0.35">
      <c r="A10" s="436"/>
      <c r="B10" s="437"/>
      <c r="C10" s="57" t="s">
        <v>219</v>
      </c>
      <c r="D10" s="71" t="s">
        <v>220</v>
      </c>
      <c r="E10" s="169">
        <v>44207</v>
      </c>
      <c r="F10" s="169">
        <v>44208</v>
      </c>
      <c r="G10" s="9" t="s">
        <v>236</v>
      </c>
      <c r="H10" s="5"/>
      <c r="I10" s="9">
        <v>2</v>
      </c>
      <c r="J10" s="165">
        <f t="shared" si="0"/>
        <v>2</v>
      </c>
    </row>
    <row r="11" spans="1:10" x14ac:dyDescent="0.35">
      <c r="A11" s="171" t="s">
        <v>23</v>
      </c>
      <c r="B11" s="171"/>
      <c r="C11" s="172"/>
      <c r="D11" s="172"/>
      <c r="E11" s="171"/>
      <c r="F11" s="171"/>
      <c r="G11" s="171"/>
      <c r="H11" s="171">
        <f>SUM(H3:H10)</f>
        <v>0</v>
      </c>
      <c r="I11" s="171">
        <f>SUM(I3:I10)</f>
        <v>10</v>
      </c>
      <c r="J11" s="173">
        <f>SUM(J3:J10)</f>
        <v>10</v>
      </c>
    </row>
  </sheetData>
  <mergeCells count="10">
    <mergeCell ref="G1:G2"/>
    <mergeCell ref="H1:J1"/>
    <mergeCell ref="A3:A10"/>
    <mergeCell ref="B3:B10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EF0E8-40CB-4543-831B-0BCF0AF7BEF7}">
  <dimension ref="B2:F23"/>
  <sheetViews>
    <sheetView topLeftCell="C1" zoomScale="70" zoomScaleNormal="70" workbookViewId="0">
      <selection activeCell="D9" sqref="D9"/>
    </sheetView>
  </sheetViews>
  <sheetFormatPr defaultRowHeight="14.5" x14ac:dyDescent="0.35"/>
  <cols>
    <col min="2" max="2" width="32.26953125" bestFit="1" customWidth="1"/>
    <col min="3" max="3" width="120" bestFit="1" customWidth="1"/>
    <col min="4" max="4" width="35" bestFit="1" customWidth="1"/>
    <col min="5" max="5" width="10.453125" bestFit="1" customWidth="1"/>
  </cols>
  <sheetData>
    <row r="2" spans="2:6" ht="29" x14ac:dyDescent="0.35">
      <c r="B2" s="108" t="s">
        <v>138</v>
      </c>
      <c r="C2" s="108" t="s">
        <v>139</v>
      </c>
      <c r="D2" s="108" t="s">
        <v>140</v>
      </c>
      <c r="E2" s="108" t="s">
        <v>141</v>
      </c>
      <c r="F2" s="174" t="s">
        <v>182</v>
      </c>
    </row>
    <row r="3" spans="2:6" x14ac:dyDescent="0.35">
      <c r="B3" s="62" t="s">
        <v>142</v>
      </c>
      <c r="C3" s="5" t="s">
        <v>143</v>
      </c>
      <c r="D3" s="175">
        <f>((D4-D5)/D4)*D9</f>
        <v>0.92269999999999996</v>
      </c>
      <c r="E3" s="5" t="s">
        <v>144</v>
      </c>
      <c r="F3" s="174"/>
    </row>
    <row r="4" spans="2:6" x14ac:dyDescent="0.35">
      <c r="B4" s="5" t="s">
        <v>145</v>
      </c>
      <c r="C4" s="5" t="s">
        <v>146</v>
      </c>
      <c r="D4" s="110">
        <f>D6*D7</f>
        <v>3.0000000000000001E-3</v>
      </c>
      <c r="E4" s="5" t="s">
        <v>147</v>
      </c>
      <c r="F4" s="174"/>
    </row>
    <row r="5" spans="2:6" x14ac:dyDescent="0.35">
      <c r="B5" s="74" t="s">
        <v>148</v>
      </c>
      <c r="C5" s="5" t="s">
        <v>149</v>
      </c>
      <c r="D5" s="111">
        <f>D6*D8</f>
        <v>0</v>
      </c>
      <c r="E5" s="5" t="s">
        <v>150</v>
      </c>
      <c r="F5" s="174"/>
    </row>
    <row r="6" spans="2:6" ht="29" x14ac:dyDescent="0.35">
      <c r="B6" s="5" t="s">
        <v>42</v>
      </c>
      <c r="C6" s="5" t="s">
        <v>151</v>
      </c>
      <c r="D6" s="112">
        <v>4.0000000000000002E-4</v>
      </c>
      <c r="E6" s="5" t="s">
        <v>152</v>
      </c>
      <c r="F6" s="176" t="s">
        <v>185</v>
      </c>
    </row>
    <row r="7" spans="2:6" ht="87" x14ac:dyDescent="0.35">
      <c r="B7" s="5" t="s">
        <v>45</v>
      </c>
      <c r="C7" s="5" t="s">
        <v>153</v>
      </c>
      <c r="D7" s="111">
        <v>7.5</v>
      </c>
      <c r="E7" s="5" t="s">
        <v>154</v>
      </c>
      <c r="F7" s="176" t="s">
        <v>186</v>
      </c>
    </row>
    <row r="8" spans="2:6" x14ac:dyDescent="0.35">
      <c r="B8" s="5" t="s">
        <v>155</v>
      </c>
      <c r="C8" s="5" t="s">
        <v>156</v>
      </c>
      <c r="D8" s="111">
        <v>0</v>
      </c>
      <c r="E8" s="5" t="s">
        <v>154</v>
      </c>
      <c r="F8" s="176" t="s">
        <v>187</v>
      </c>
    </row>
    <row r="9" spans="2:6" ht="15.75" customHeight="1" x14ac:dyDescent="0.45">
      <c r="B9" s="5" t="s">
        <v>157</v>
      </c>
      <c r="C9" s="5" t="s">
        <v>158</v>
      </c>
      <c r="D9" s="177">
        <f>'VPA 123 ER Calcs'!E29</f>
        <v>0.92269999999999996</v>
      </c>
      <c r="E9" s="5" t="s">
        <v>144</v>
      </c>
      <c r="F9" s="176" t="s">
        <v>190</v>
      </c>
    </row>
    <row r="10" spans="2:6" x14ac:dyDescent="0.35">
      <c r="F10" s="174"/>
    </row>
    <row r="11" spans="2:6" x14ac:dyDescent="0.35">
      <c r="B11" s="108" t="s">
        <v>159</v>
      </c>
      <c r="C11" s="108" t="s">
        <v>139</v>
      </c>
      <c r="D11" s="108" t="s">
        <v>160</v>
      </c>
      <c r="E11" s="108" t="s">
        <v>141</v>
      </c>
      <c r="F11" s="174"/>
    </row>
    <row r="12" spans="2:6" x14ac:dyDescent="0.35">
      <c r="B12" s="37" t="s">
        <v>161</v>
      </c>
      <c r="C12" s="5" t="s">
        <v>162</v>
      </c>
      <c r="D12" s="115">
        <f>(D13-D14)</f>
        <v>1.2899999999999998</v>
      </c>
      <c r="E12" s="5" t="s">
        <v>163</v>
      </c>
      <c r="F12" s="174"/>
    </row>
    <row r="13" spans="2:6" ht="29" x14ac:dyDescent="0.35">
      <c r="B13" s="37" t="s">
        <v>164</v>
      </c>
      <c r="C13" s="5" t="s">
        <v>165</v>
      </c>
      <c r="D13" s="5">
        <v>2.2599999999999998</v>
      </c>
      <c r="E13" s="5" t="s">
        <v>163</v>
      </c>
      <c r="F13" s="176" t="s">
        <v>237</v>
      </c>
    </row>
    <row r="14" spans="2:6" ht="29" x14ac:dyDescent="0.35">
      <c r="B14" s="37" t="s">
        <v>166</v>
      </c>
      <c r="C14" s="5" t="s">
        <v>167</v>
      </c>
      <c r="D14" s="5">
        <v>0.97</v>
      </c>
      <c r="E14" s="5" t="s">
        <v>163</v>
      </c>
      <c r="F14" s="176" t="s">
        <v>238</v>
      </c>
    </row>
    <row r="15" spans="2:6" x14ac:dyDescent="0.35">
      <c r="F15" s="174"/>
    </row>
    <row r="16" spans="2:6" x14ac:dyDescent="0.35">
      <c r="B16" s="108" t="s">
        <v>168</v>
      </c>
      <c r="C16" s="108" t="s">
        <v>139</v>
      </c>
      <c r="D16" s="108" t="s">
        <v>169</v>
      </c>
      <c r="E16" s="108" t="s">
        <v>141</v>
      </c>
      <c r="F16" s="174"/>
    </row>
    <row r="17" spans="2:6" x14ac:dyDescent="0.35">
      <c r="B17" s="37" t="s">
        <v>170</v>
      </c>
      <c r="C17" s="5" t="s">
        <v>171</v>
      </c>
      <c r="D17" s="116">
        <f>D18*(1-D19)*D20</f>
        <v>1972.7325999999998</v>
      </c>
      <c r="E17" s="5" t="s">
        <v>172</v>
      </c>
      <c r="F17" s="174"/>
    </row>
    <row r="18" spans="2:6" x14ac:dyDescent="0.35">
      <c r="B18" s="37" t="s">
        <v>173</v>
      </c>
      <c r="C18" s="5" t="s">
        <v>174</v>
      </c>
      <c r="D18" s="117">
        <f>'VPA 123 PTDs'!J11</f>
        <v>2138</v>
      </c>
      <c r="E18" s="5" t="s">
        <v>172</v>
      </c>
      <c r="F18" s="174" t="s">
        <v>239</v>
      </c>
    </row>
    <row r="19" spans="2:6" ht="29" x14ac:dyDescent="0.35">
      <c r="B19" s="37" t="s">
        <v>38</v>
      </c>
      <c r="C19" s="5" t="s">
        <v>175</v>
      </c>
      <c r="D19" s="118">
        <v>0</v>
      </c>
      <c r="E19" s="5" t="s">
        <v>144</v>
      </c>
      <c r="F19" s="174" t="s">
        <v>237</v>
      </c>
    </row>
    <row r="20" spans="2:6" ht="73.5" x14ac:dyDescent="0.45">
      <c r="B20" s="37" t="s">
        <v>157</v>
      </c>
      <c r="C20" s="5" t="s">
        <v>158</v>
      </c>
      <c r="D20" s="177">
        <f>D9</f>
        <v>0.92269999999999996</v>
      </c>
      <c r="E20" s="5" t="s">
        <v>144</v>
      </c>
      <c r="F20" s="174" t="s">
        <v>190</v>
      </c>
    </row>
    <row r="21" spans="2:6" x14ac:dyDescent="0.35">
      <c r="F21" s="174"/>
    </row>
    <row r="22" spans="2:6" x14ac:dyDescent="0.35">
      <c r="B22" s="119" t="s">
        <v>176</v>
      </c>
      <c r="C22" s="108" t="s">
        <v>139</v>
      </c>
      <c r="D22" s="108"/>
      <c r="E22" s="108" t="s">
        <v>141</v>
      </c>
      <c r="F22" s="174"/>
    </row>
    <row r="23" spans="2:6" x14ac:dyDescent="0.35">
      <c r="B23" s="37" t="s">
        <v>177</v>
      </c>
      <c r="C23" s="5" t="s">
        <v>178</v>
      </c>
      <c r="D23" s="120">
        <f>'VPA 123 Summary'!E36</f>
        <v>3701</v>
      </c>
      <c r="E23" s="5" t="s">
        <v>179</v>
      </c>
      <c r="F23" s="174" t="s">
        <v>240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A62FD-BBB9-4A2C-B04B-0801CB1B8AE1}">
  <dimension ref="B1:O36"/>
  <sheetViews>
    <sheetView topLeftCell="A25" zoomScale="80" zoomScaleNormal="80" workbookViewId="0">
      <selection activeCell="B25" sqref="B25:E25"/>
    </sheetView>
  </sheetViews>
  <sheetFormatPr defaultColWidth="9.1796875" defaultRowHeight="14.5" x14ac:dyDescent="0.35"/>
  <cols>
    <col min="1" max="1" width="9.1796875" style="1"/>
    <col min="2" max="2" width="41.81640625" style="1" bestFit="1" customWidth="1"/>
    <col min="3" max="3" width="5.81640625" style="1" bestFit="1" customWidth="1"/>
    <col min="4" max="4" width="11" style="1" bestFit="1" customWidth="1"/>
    <col min="5" max="5" width="8.81640625" style="1" customWidth="1"/>
    <col min="6" max="7" width="9.1796875" style="1"/>
    <col min="8" max="8" width="3.26953125" style="1" customWidth="1"/>
    <col min="9" max="9" width="9.54296875" style="1" customWidth="1"/>
    <col min="10" max="13" width="17.54296875" style="1" customWidth="1"/>
    <col min="14" max="14" width="12.1796875" style="1" customWidth="1"/>
    <col min="15" max="16384" width="9.1796875" style="1"/>
  </cols>
  <sheetData>
    <row r="1" spans="2:15" ht="15" thickBot="1" x14ac:dyDescent="0.4"/>
    <row r="2" spans="2:15" ht="18.75" customHeight="1" thickBot="1" x14ac:dyDescent="0.5">
      <c r="B2" s="377" t="s">
        <v>180</v>
      </c>
      <c r="C2" s="378"/>
      <c r="D2" s="378"/>
      <c r="E2" s="379"/>
      <c r="F2" s="2"/>
      <c r="G2" s="2"/>
      <c r="H2" s="2"/>
      <c r="I2" s="377" t="s">
        <v>1</v>
      </c>
      <c r="J2" s="378"/>
      <c r="K2" s="378"/>
      <c r="L2" s="378"/>
      <c r="M2" s="378"/>
      <c r="N2" s="379"/>
    </row>
    <row r="3" spans="2:15" ht="15" thickBot="1" x14ac:dyDescent="0.4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2:15" ht="15" customHeight="1" x14ac:dyDescent="0.35">
      <c r="B4" s="380" t="s">
        <v>2</v>
      </c>
      <c r="C4" s="381"/>
      <c r="D4" s="381"/>
      <c r="E4" s="382"/>
      <c r="G4" s="2"/>
      <c r="H4" s="2"/>
      <c r="I4" s="383" t="s">
        <v>3</v>
      </c>
      <c r="J4" s="384"/>
      <c r="K4" s="384"/>
      <c r="L4" s="384"/>
      <c r="M4" s="384"/>
      <c r="N4" s="385"/>
    </row>
    <row r="5" spans="2:15" x14ac:dyDescent="0.35">
      <c r="B5" s="386" t="s">
        <v>4</v>
      </c>
      <c r="C5" s="387"/>
      <c r="D5" s="387"/>
      <c r="E5" s="388"/>
      <c r="G5" s="2"/>
      <c r="H5" s="2"/>
      <c r="I5" s="3" t="s">
        <v>5</v>
      </c>
      <c r="J5" s="3" t="s">
        <v>181</v>
      </c>
      <c r="K5" s="3" t="s">
        <v>7</v>
      </c>
      <c r="L5" s="3" t="s">
        <v>8</v>
      </c>
      <c r="M5" s="3" t="s">
        <v>9</v>
      </c>
      <c r="N5" s="3" t="s">
        <v>10</v>
      </c>
    </row>
    <row r="6" spans="2:15" x14ac:dyDescent="0.35">
      <c r="B6" s="4" t="s">
        <v>11</v>
      </c>
      <c r="C6" s="5" t="s">
        <v>12</v>
      </c>
      <c r="D6" s="5" t="s">
        <v>13</v>
      </c>
      <c r="E6" s="6">
        <f>'VPA 124 ER Calcs'!J27</f>
        <v>344</v>
      </c>
      <c r="G6" s="2"/>
      <c r="H6" s="2"/>
      <c r="I6" s="126">
        <v>2017</v>
      </c>
      <c r="J6" s="8">
        <v>1015</v>
      </c>
      <c r="K6" s="8"/>
      <c r="L6" s="8"/>
      <c r="M6" s="8"/>
      <c r="N6" s="8">
        <f>SUM(J6:L6)</f>
        <v>1015</v>
      </c>
    </row>
    <row r="7" spans="2:15" x14ac:dyDescent="0.35">
      <c r="B7" s="4" t="s">
        <v>14</v>
      </c>
      <c r="C7" s="5" t="s">
        <v>15</v>
      </c>
      <c r="D7" s="5" t="s">
        <v>13</v>
      </c>
      <c r="E7" s="6">
        <f>'VPA 124 ER Calcs'!J28</f>
        <v>0</v>
      </c>
      <c r="G7" s="2"/>
      <c r="H7" s="2"/>
      <c r="I7" s="126">
        <v>2018</v>
      </c>
      <c r="J7" s="9">
        <v>8751</v>
      </c>
      <c r="K7" s="10">
        <v>784</v>
      </c>
      <c r="L7" s="10"/>
      <c r="M7" s="10"/>
      <c r="N7" s="8">
        <f>SUM(J7:L7)</f>
        <v>9535</v>
      </c>
      <c r="O7" s="11"/>
    </row>
    <row r="8" spans="2:15" x14ac:dyDescent="0.35">
      <c r="B8" s="4" t="s">
        <v>16</v>
      </c>
      <c r="C8" s="5" t="s">
        <v>17</v>
      </c>
      <c r="D8" s="5" t="s">
        <v>18</v>
      </c>
      <c r="E8" s="12">
        <v>0.92269999999999996</v>
      </c>
      <c r="G8" s="2"/>
      <c r="H8" s="2"/>
      <c r="I8" s="126">
        <v>2019</v>
      </c>
      <c r="J8" s="9"/>
      <c r="K8" s="10">
        <v>8777</v>
      </c>
      <c r="L8" s="10">
        <f>E33</f>
        <v>311</v>
      </c>
      <c r="M8" s="10"/>
      <c r="N8" s="8">
        <f t="shared" ref="N8" si="0">SUM(J8:L8)</f>
        <v>9088</v>
      </c>
      <c r="O8" s="11"/>
    </row>
    <row r="9" spans="2:15" x14ac:dyDescent="0.35">
      <c r="B9" s="4" t="s">
        <v>19</v>
      </c>
      <c r="C9" s="5" t="s">
        <v>20</v>
      </c>
      <c r="D9" s="5" t="s">
        <v>13</v>
      </c>
      <c r="E9" s="6">
        <f>'VPA 124 ER Calcs'!J30</f>
        <v>0</v>
      </c>
      <c r="G9" s="2"/>
      <c r="H9" s="2"/>
      <c r="I9" s="126">
        <v>2020</v>
      </c>
      <c r="J9" s="9"/>
      <c r="K9" s="10"/>
      <c r="L9" s="10">
        <f>E34</f>
        <v>3372</v>
      </c>
      <c r="M9" s="10">
        <f>'VPA 124 ER Calcs'!J38</f>
        <v>311</v>
      </c>
      <c r="N9" s="8">
        <f>SUM(J9:M9)</f>
        <v>3683</v>
      </c>
    </row>
    <row r="10" spans="2:15" x14ac:dyDescent="0.35">
      <c r="B10" s="4"/>
      <c r="C10" s="5"/>
      <c r="D10" s="5"/>
      <c r="E10" s="6"/>
      <c r="G10" s="2"/>
      <c r="H10" s="2"/>
      <c r="I10" s="126">
        <v>2021</v>
      </c>
      <c r="J10" s="9"/>
      <c r="K10" s="10"/>
      <c r="L10" s="10"/>
      <c r="M10" s="10">
        <f>'VPA 124 ER Calcs'!O38</f>
        <v>3372</v>
      </c>
      <c r="N10" s="8">
        <f>SUM(J10:M10)</f>
        <v>3372</v>
      </c>
    </row>
    <row r="11" spans="2:15" x14ac:dyDescent="0.35">
      <c r="B11" s="4" t="s">
        <v>21</v>
      </c>
      <c r="C11" s="5" t="s">
        <v>22</v>
      </c>
      <c r="D11" s="5" t="s">
        <v>13</v>
      </c>
      <c r="E11" s="6">
        <f>'VPA 124 ER Calcs'!J31</f>
        <v>317.40879999999999</v>
      </c>
      <c r="G11" s="2"/>
      <c r="H11" s="2"/>
      <c r="I11" s="126" t="s">
        <v>23</v>
      </c>
      <c r="J11" s="127">
        <f>SUM(J6:J9)</f>
        <v>9766</v>
      </c>
      <c r="K11" s="127">
        <f>SUM(K6:K9)</f>
        <v>9561</v>
      </c>
      <c r="L11" s="127">
        <f>SUM(L6:L9)</f>
        <v>3683</v>
      </c>
      <c r="M11" s="127">
        <f>SUM(M6:M10)</f>
        <v>3683</v>
      </c>
      <c r="N11" s="127">
        <f>SUM(N6:N10)</f>
        <v>26693</v>
      </c>
    </row>
    <row r="12" spans="2:15" x14ac:dyDescent="0.35">
      <c r="B12" s="386" t="s">
        <v>24</v>
      </c>
      <c r="C12" s="387"/>
      <c r="D12" s="387"/>
      <c r="E12" s="388"/>
      <c r="G12" s="2"/>
      <c r="H12" s="2"/>
      <c r="I12" s="2"/>
      <c r="J12" s="2"/>
      <c r="K12" s="2"/>
      <c r="L12" s="2"/>
      <c r="M12" s="2"/>
    </row>
    <row r="13" spans="2:15" x14ac:dyDescent="0.35">
      <c r="B13" s="22" t="s">
        <v>25</v>
      </c>
      <c r="C13" s="5"/>
      <c r="D13" s="23"/>
      <c r="E13" s="24">
        <f>'VPA 124 ER Calcs'!J34</f>
        <v>0.98</v>
      </c>
      <c r="G13" s="2"/>
      <c r="H13" s="2"/>
      <c r="I13" s="2"/>
      <c r="J13" s="2"/>
      <c r="K13" s="2"/>
      <c r="L13" s="2"/>
      <c r="M13" s="2"/>
    </row>
    <row r="14" spans="2:15" x14ac:dyDescent="0.35">
      <c r="B14" s="22" t="s">
        <v>26</v>
      </c>
      <c r="C14" s="5" t="s">
        <v>27</v>
      </c>
      <c r="D14" s="23" t="s">
        <v>28</v>
      </c>
      <c r="E14" s="24">
        <f>'VPA 124 ER Calcs'!J35</f>
        <v>2.0000000000000018E-2</v>
      </c>
      <c r="G14" s="2"/>
      <c r="H14" s="2"/>
      <c r="I14" s="2"/>
      <c r="J14" s="2"/>
      <c r="K14" s="2"/>
      <c r="L14" s="2"/>
      <c r="M14" s="2"/>
    </row>
    <row r="15" spans="2:15" ht="15" thickBot="1" x14ac:dyDescent="0.4">
      <c r="B15" s="25" t="s">
        <v>21</v>
      </c>
      <c r="C15" s="26" t="s">
        <v>29</v>
      </c>
      <c r="D15" s="26" t="s">
        <v>13</v>
      </c>
      <c r="E15" s="27">
        <f>ROUNDDOWN(E11*(1-E14),0)</f>
        <v>311</v>
      </c>
      <c r="G15" s="2"/>
      <c r="H15" s="2"/>
      <c r="I15" s="2"/>
      <c r="J15" s="2"/>
      <c r="K15" s="2"/>
      <c r="L15" s="2"/>
      <c r="M15" s="2"/>
    </row>
    <row r="16" spans="2:15" ht="15" thickBot="1" x14ac:dyDescent="0.4">
      <c r="B16" s="25" t="s">
        <v>30</v>
      </c>
      <c r="C16" s="26" t="s">
        <v>29</v>
      </c>
      <c r="D16" s="26" t="s">
        <v>13</v>
      </c>
      <c r="E16" s="27">
        <f>'VPA 124 ER Calcs'!J38</f>
        <v>311</v>
      </c>
      <c r="G16" s="2"/>
      <c r="H16" s="2"/>
      <c r="I16" s="2"/>
      <c r="J16" s="2"/>
      <c r="K16" s="2"/>
      <c r="L16" s="2"/>
      <c r="M16" s="2"/>
    </row>
    <row r="17" spans="2:13" ht="15" thickBot="1" x14ac:dyDescent="0.4">
      <c r="B17" s="2"/>
      <c r="C17" s="2"/>
      <c r="D17" s="2"/>
      <c r="E17" s="2"/>
      <c r="G17" s="2"/>
      <c r="H17" s="2"/>
      <c r="I17" s="2"/>
      <c r="J17" s="2"/>
      <c r="K17" s="2"/>
      <c r="L17" s="2"/>
      <c r="M17" s="2"/>
    </row>
    <row r="18" spans="2:13" x14ac:dyDescent="0.35">
      <c r="B18" s="380" t="s">
        <v>35</v>
      </c>
      <c r="C18" s="381"/>
      <c r="D18" s="381"/>
      <c r="E18" s="382"/>
      <c r="F18" s="2"/>
      <c r="G18" s="2"/>
      <c r="H18" s="2"/>
      <c r="I18" s="2"/>
      <c r="J18" s="2"/>
      <c r="K18" s="2"/>
      <c r="L18" s="2"/>
      <c r="M18" s="2"/>
    </row>
    <row r="19" spans="2:13" x14ac:dyDescent="0.35">
      <c r="B19" s="386" t="s">
        <v>4</v>
      </c>
      <c r="C19" s="387"/>
      <c r="D19" s="387"/>
      <c r="E19" s="388"/>
      <c r="F19" s="2"/>
      <c r="G19" s="2"/>
      <c r="H19" s="2"/>
      <c r="I19" s="2"/>
      <c r="J19" s="2"/>
      <c r="K19" s="2"/>
      <c r="L19" s="2"/>
      <c r="M19" s="2"/>
    </row>
    <row r="20" spans="2:13" x14ac:dyDescent="0.35">
      <c r="B20" s="4" t="s">
        <v>11</v>
      </c>
      <c r="C20" s="5" t="s">
        <v>12</v>
      </c>
      <c r="D20" s="5" t="s">
        <v>13</v>
      </c>
      <c r="E20" s="6">
        <f>'VPA 124 ER Calcs'!O27</f>
        <v>3730</v>
      </c>
      <c r="F20" s="2"/>
      <c r="G20" s="2"/>
      <c r="H20" s="2"/>
      <c r="I20" s="2"/>
      <c r="J20" s="2"/>
      <c r="K20" s="2"/>
      <c r="L20" s="2"/>
      <c r="M20" s="2"/>
    </row>
    <row r="21" spans="2:13" x14ac:dyDescent="0.35">
      <c r="B21" s="4" t="s">
        <v>14</v>
      </c>
      <c r="C21" s="5" t="s">
        <v>15</v>
      </c>
      <c r="D21" s="5" t="s">
        <v>13</v>
      </c>
      <c r="E21" s="6">
        <f>'VPA 124 ER Calcs'!O28</f>
        <v>0</v>
      </c>
      <c r="F21" s="2"/>
      <c r="G21" s="2"/>
      <c r="H21" s="2"/>
      <c r="I21" s="2"/>
      <c r="J21" s="2"/>
      <c r="K21" s="2"/>
      <c r="L21" s="2"/>
      <c r="M21" s="2"/>
    </row>
    <row r="22" spans="2:13" x14ac:dyDescent="0.35">
      <c r="B22" s="4" t="s">
        <v>16</v>
      </c>
      <c r="C22" s="5" t="s">
        <v>17</v>
      </c>
      <c r="D22" s="5" t="s">
        <v>18</v>
      </c>
      <c r="E22" s="12">
        <v>0.92269999999999996</v>
      </c>
      <c r="F22" s="2"/>
      <c r="G22" s="2"/>
      <c r="H22" s="2"/>
      <c r="I22" s="2"/>
      <c r="J22" s="2"/>
      <c r="K22" s="2"/>
      <c r="L22" s="2"/>
      <c r="M22" s="2"/>
    </row>
    <row r="23" spans="2:13" x14ac:dyDescent="0.35">
      <c r="B23" s="4" t="s">
        <v>19</v>
      </c>
      <c r="C23" s="5" t="s">
        <v>20</v>
      </c>
      <c r="D23" s="5" t="s">
        <v>13</v>
      </c>
      <c r="E23" s="6">
        <f>'VPA 124 ER Calcs'!O30</f>
        <v>0</v>
      </c>
      <c r="F23" s="2"/>
      <c r="G23" s="2"/>
      <c r="H23" s="2"/>
      <c r="I23" s="2"/>
      <c r="J23" s="2"/>
      <c r="K23" s="2"/>
      <c r="L23" s="2"/>
      <c r="M23" s="2"/>
    </row>
    <row r="24" spans="2:13" x14ac:dyDescent="0.35">
      <c r="B24" s="4" t="s">
        <v>21</v>
      </c>
      <c r="C24" s="5" t="s">
        <v>22</v>
      </c>
      <c r="D24" s="5" t="s">
        <v>13</v>
      </c>
      <c r="E24" s="6">
        <f>'VPA 124 ER Calcs'!O31</f>
        <v>3441.6709999999998</v>
      </c>
      <c r="F24" s="2"/>
      <c r="G24" s="2"/>
      <c r="H24" s="2"/>
      <c r="I24" s="2"/>
      <c r="J24" s="2"/>
      <c r="K24" s="2"/>
      <c r="L24" s="2"/>
      <c r="M24" s="2"/>
    </row>
    <row r="25" spans="2:13" x14ac:dyDescent="0.35">
      <c r="B25" s="386" t="s">
        <v>24</v>
      </c>
      <c r="C25" s="387"/>
      <c r="D25" s="387"/>
      <c r="E25" s="388"/>
      <c r="F25" s="2"/>
      <c r="G25" s="2"/>
      <c r="H25" s="2"/>
      <c r="I25" s="2"/>
      <c r="J25" s="2"/>
      <c r="K25" s="2"/>
      <c r="L25" s="2"/>
      <c r="M25" s="2"/>
    </row>
    <row r="26" spans="2:13" x14ac:dyDescent="0.35">
      <c r="B26" s="22" t="s">
        <v>25</v>
      </c>
      <c r="C26" s="5"/>
      <c r="D26" s="23"/>
      <c r="E26" s="24">
        <f>'VPA 124 ER Calcs'!O34</f>
        <v>0.98</v>
      </c>
      <c r="F26" s="2"/>
      <c r="G26" s="2"/>
      <c r="H26" s="2"/>
      <c r="I26" s="2"/>
      <c r="J26" s="2"/>
      <c r="K26" s="2"/>
      <c r="L26" s="2"/>
      <c r="M26" s="2"/>
    </row>
    <row r="27" spans="2:13" x14ac:dyDescent="0.35">
      <c r="B27" s="22" t="s">
        <v>26</v>
      </c>
      <c r="C27" s="5" t="s">
        <v>27</v>
      </c>
      <c r="D27" s="23" t="s">
        <v>28</v>
      </c>
      <c r="E27" s="24">
        <f>'VPA 124 ER Calcs'!O35</f>
        <v>2.0000000000000018E-2</v>
      </c>
      <c r="F27" s="2"/>
      <c r="G27" s="2"/>
      <c r="H27" s="2"/>
      <c r="I27" s="2"/>
      <c r="J27" s="2"/>
      <c r="K27" s="2"/>
      <c r="L27" s="2"/>
      <c r="M27" s="2"/>
    </row>
    <row r="28" spans="2:13" ht="15" thickBot="1" x14ac:dyDescent="0.4">
      <c r="B28" s="25" t="s">
        <v>21</v>
      </c>
      <c r="C28" s="26" t="s">
        <v>22</v>
      </c>
      <c r="D28" s="26" t="s">
        <v>13</v>
      </c>
      <c r="E28" s="27">
        <f>ROUNDDOWN(E24*(1-E27),0)</f>
        <v>3372</v>
      </c>
      <c r="F28" s="2"/>
      <c r="G28" s="2"/>
      <c r="H28" s="2"/>
      <c r="I28" s="2"/>
      <c r="J28" s="2"/>
      <c r="K28" s="2"/>
      <c r="L28" s="2"/>
      <c r="M28" s="2"/>
    </row>
    <row r="29" spans="2:13" ht="15" thickBot="1" x14ac:dyDescent="0.4">
      <c r="B29" s="25" t="s">
        <v>30</v>
      </c>
      <c r="C29" s="26" t="s">
        <v>22</v>
      </c>
      <c r="D29" s="26" t="s">
        <v>13</v>
      </c>
      <c r="E29" s="27">
        <f>'VPA 124 ER Calcs'!O38</f>
        <v>3372</v>
      </c>
      <c r="F29" s="2"/>
      <c r="G29" s="2"/>
      <c r="H29" s="2"/>
      <c r="I29" s="2"/>
      <c r="J29" s="2"/>
      <c r="K29" s="2"/>
      <c r="L29" s="2"/>
      <c r="M29" s="2"/>
    </row>
    <row r="30" spans="2:13" ht="15" thickBot="1" x14ac:dyDescent="0.4">
      <c r="B30" s="2"/>
      <c r="C30" s="2"/>
      <c r="D30" s="2"/>
      <c r="E30" s="2"/>
      <c r="F30" s="2"/>
      <c r="G30" s="2"/>
      <c r="H30" s="2"/>
      <c r="I30" s="28"/>
      <c r="J30" s="28"/>
      <c r="K30" s="28"/>
      <c r="L30" s="28"/>
      <c r="M30" s="28"/>
    </row>
    <row r="31" spans="2:13" ht="15.5" x14ac:dyDescent="0.35">
      <c r="B31" s="422" t="s">
        <v>31</v>
      </c>
      <c r="C31" s="423"/>
      <c r="D31" s="423"/>
      <c r="E31" s="424"/>
      <c r="F31" s="2"/>
      <c r="G31" s="2"/>
      <c r="H31" s="2"/>
      <c r="I31" s="2"/>
      <c r="J31" s="2"/>
      <c r="K31" s="2"/>
      <c r="L31" s="2"/>
      <c r="M31" s="2"/>
    </row>
    <row r="32" spans="2:13" x14ac:dyDescent="0.35">
      <c r="B32" s="425" t="s">
        <v>4</v>
      </c>
      <c r="C32" s="426"/>
      <c r="D32" s="426"/>
      <c r="E32" s="427"/>
      <c r="F32" s="2"/>
      <c r="G32" s="2"/>
      <c r="H32" s="2"/>
      <c r="I32" s="2"/>
      <c r="J32" s="2"/>
      <c r="K32" s="2"/>
      <c r="L32" s="2"/>
      <c r="M32" s="2"/>
    </row>
    <row r="33" spans="2:13" x14ac:dyDescent="0.35">
      <c r="B33" s="419">
        <v>2020</v>
      </c>
      <c r="C33" s="420"/>
      <c r="D33" s="421"/>
      <c r="E33" s="29">
        <f>E16</f>
        <v>311</v>
      </c>
      <c r="F33" s="2"/>
      <c r="G33" s="2"/>
      <c r="H33" s="2"/>
      <c r="I33" s="2"/>
      <c r="J33" s="2"/>
      <c r="K33" s="2"/>
      <c r="L33" s="2"/>
      <c r="M33" s="2"/>
    </row>
    <row r="34" spans="2:13" x14ac:dyDescent="0.35">
      <c r="B34" s="419">
        <v>2021</v>
      </c>
      <c r="C34" s="420"/>
      <c r="D34" s="421"/>
      <c r="E34" s="30">
        <f>E29</f>
        <v>3372</v>
      </c>
      <c r="F34" s="2"/>
      <c r="G34" s="2"/>
      <c r="H34" s="2"/>
      <c r="I34" s="2"/>
      <c r="J34" s="2"/>
      <c r="K34" s="2"/>
      <c r="L34" s="2"/>
      <c r="M34" s="2"/>
    </row>
    <row r="35" spans="2:13" ht="15" thickBot="1" x14ac:dyDescent="0.4">
      <c r="B35" s="375" t="s">
        <v>32</v>
      </c>
      <c r="C35" s="376"/>
      <c r="D35" s="31"/>
      <c r="E35" s="32">
        <f>SUM(E33:E34)</f>
        <v>3683</v>
      </c>
      <c r="F35" s="2"/>
      <c r="G35" s="2"/>
      <c r="H35" s="2"/>
      <c r="I35" s="2"/>
      <c r="J35" s="2"/>
      <c r="K35" s="2"/>
      <c r="L35" s="2"/>
      <c r="M35" s="2"/>
    </row>
    <row r="36" spans="2:13" ht="15" thickBot="1" x14ac:dyDescent="0.4">
      <c r="B36" s="375" t="s">
        <v>33</v>
      </c>
      <c r="C36" s="376"/>
      <c r="D36" s="31"/>
      <c r="E36" s="32">
        <f>E29+E16</f>
        <v>3683</v>
      </c>
      <c r="F36" s="2"/>
      <c r="G36" s="2"/>
      <c r="H36" s="2"/>
    </row>
  </sheetData>
  <mergeCells count="15">
    <mergeCell ref="B12:E12"/>
    <mergeCell ref="B2:E2"/>
    <mergeCell ref="I2:N2"/>
    <mergeCell ref="B4:E4"/>
    <mergeCell ref="I4:N4"/>
    <mergeCell ref="B5:E5"/>
    <mergeCell ref="B34:D34"/>
    <mergeCell ref="B35:C35"/>
    <mergeCell ref="B36:C36"/>
    <mergeCell ref="B18:E18"/>
    <mergeCell ref="B19:E19"/>
    <mergeCell ref="B25:E25"/>
    <mergeCell ref="B31:E31"/>
    <mergeCell ref="B32:E32"/>
    <mergeCell ref="B33:D3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3306B-CE27-48CD-8CB3-10DB4FD44B48}">
  <dimension ref="B2:P47"/>
  <sheetViews>
    <sheetView zoomScale="69" zoomScaleNormal="69" workbookViewId="0">
      <selection activeCell="B45" sqref="B45"/>
    </sheetView>
  </sheetViews>
  <sheetFormatPr defaultColWidth="9.1796875" defaultRowHeight="14.5" x14ac:dyDescent="0.35"/>
  <cols>
    <col min="1" max="1" width="9.1796875" style="1"/>
    <col min="2" max="2" width="66.453125" style="1" bestFit="1" customWidth="1"/>
    <col min="3" max="3" width="19.1796875" style="1" bestFit="1" customWidth="1"/>
    <col min="4" max="4" width="12.54296875" style="1" bestFit="1" customWidth="1"/>
    <col min="5" max="5" width="12.81640625" style="1" bestFit="1" customWidth="1"/>
    <col min="6" max="6" width="24.453125" style="1" customWidth="1"/>
    <col min="7" max="7" width="66.453125" style="1" bestFit="1" customWidth="1"/>
    <col min="8" max="8" width="19.1796875" style="1" bestFit="1" customWidth="1"/>
    <col min="9" max="9" width="12.54296875" style="1" bestFit="1" customWidth="1"/>
    <col min="10" max="10" width="13.1796875" style="1" bestFit="1" customWidth="1"/>
    <col min="11" max="11" width="12.81640625" style="1" bestFit="1" customWidth="1"/>
    <col min="12" max="12" width="66.453125" style="1" bestFit="1" customWidth="1"/>
    <col min="13" max="13" width="19.1796875" style="1" bestFit="1" customWidth="1"/>
    <col min="14" max="14" width="12.54296875" style="1" bestFit="1" customWidth="1"/>
    <col min="15" max="15" width="12.81640625" style="1" bestFit="1" customWidth="1"/>
    <col min="16" max="16" width="10.54296875" style="1" bestFit="1" customWidth="1"/>
    <col min="17" max="16384" width="9.1796875" style="1"/>
  </cols>
  <sheetData>
    <row r="2" spans="2:16" x14ac:dyDescent="0.35">
      <c r="B2" s="392" t="s">
        <v>34</v>
      </c>
      <c r="C2" s="392"/>
      <c r="D2" s="392"/>
      <c r="E2" s="392"/>
      <c r="G2" s="392" t="s">
        <v>2</v>
      </c>
      <c r="H2" s="392"/>
      <c r="I2" s="392"/>
      <c r="J2" s="392"/>
      <c r="L2" s="392" t="s">
        <v>35</v>
      </c>
      <c r="M2" s="392"/>
      <c r="N2" s="392"/>
      <c r="O2" s="392"/>
    </row>
    <row r="4" spans="2:16" x14ac:dyDescent="0.35">
      <c r="B4" s="391" t="s">
        <v>36</v>
      </c>
      <c r="C4" s="391"/>
      <c r="D4" s="391"/>
      <c r="E4" s="391"/>
      <c r="F4" s="178" t="s">
        <v>182</v>
      </c>
      <c r="G4" s="391" t="s">
        <v>36</v>
      </c>
      <c r="H4" s="391"/>
      <c r="I4" s="391"/>
      <c r="J4" s="391"/>
      <c r="L4" s="389" t="s">
        <v>36</v>
      </c>
      <c r="M4" s="387"/>
      <c r="N4" s="387"/>
      <c r="O4" s="390"/>
    </row>
    <row r="5" spans="2:16" x14ac:dyDescent="0.35">
      <c r="B5" s="5" t="s">
        <v>37</v>
      </c>
      <c r="C5" s="5" t="s">
        <v>38</v>
      </c>
      <c r="D5" s="5" t="s">
        <v>18</v>
      </c>
      <c r="E5" s="33">
        <v>0</v>
      </c>
      <c r="F5" s="129" t="s">
        <v>183</v>
      </c>
      <c r="G5" s="5" t="s">
        <v>37</v>
      </c>
      <c r="H5" s="5" t="s">
        <v>38</v>
      </c>
      <c r="I5" s="5" t="s">
        <v>18</v>
      </c>
      <c r="J5" s="33">
        <v>0</v>
      </c>
      <c r="L5" s="5" t="s">
        <v>37</v>
      </c>
      <c r="M5" s="5" t="s">
        <v>38</v>
      </c>
      <c r="N5" s="5" t="s">
        <v>18</v>
      </c>
      <c r="O5" s="33">
        <v>0</v>
      </c>
    </row>
    <row r="6" spans="2:16" ht="29" x14ac:dyDescent="0.35">
      <c r="B6" s="5" t="s">
        <v>39</v>
      </c>
      <c r="C6" s="5" t="s">
        <v>40</v>
      </c>
      <c r="D6" s="5"/>
      <c r="E6" s="34">
        <f>'VPA 124 PTDs'!P12</f>
        <v>737884</v>
      </c>
      <c r="F6" s="129" t="s">
        <v>184</v>
      </c>
      <c r="G6" s="5" t="s">
        <v>39</v>
      </c>
      <c r="H6" s="5" t="s">
        <v>40</v>
      </c>
      <c r="I6" s="5"/>
      <c r="J6" s="34">
        <f>'VPA 124 PTDs'!M12</f>
        <v>62669.599999999991</v>
      </c>
      <c r="L6" s="5" t="s">
        <v>39</v>
      </c>
      <c r="M6" s="5" t="s">
        <v>40</v>
      </c>
      <c r="N6" s="5"/>
      <c r="O6" s="34">
        <f>'VPA 124 PTDs'!O12</f>
        <v>675214.4</v>
      </c>
      <c r="P6" s="35"/>
    </row>
    <row r="7" spans="2:16" x14ac:dyDescent="0.35">
      <c r="B7" s="5" t="s">
        <v>41</v>
      </c>
      <c r="C7" s="5" t="s">
        <v>42</v>
      </c>
      <c r="D7" s="5" t="s">
        <v>43</v>
      </c>
      <c r="E7" s="36">
        <f>'VPA 124 SDGs Calculations'!C6</f>
        <v>4.0000000000000002E-4</v>
      </c>
      <c r="F7" s="129" t="s">
        <v>185</v>
      </c>
      <c r="G7" s="5" t="s">
        <v>41</v>
      </c>
      <c r="H7" s="5" t="s">
        <v>42</v>
      </c>
      <c r="I7" s="5" t="s">
        <v>43</v>
      </c>
      <c r="J7" s="36">
        <f>E7</f>
        <v>4.0000000000000002E-4</v>
      </c>
      <c r="L7" s="5" t="s">
        <v>41</v>
      </c>
      <c r="M7" s="5" t="s">
        <v>42</v>
      </c>
      <c r="N7" s="5" t="s">
        <v>43</v>
      </c>
      <c r="O7" s="36">
        <f>E7</f>
        <v>4.0000000000000002E-4</v>
      </c>
    </row>
    <row r="8" spans="2:16" ht="29" x14ac:dyDescent="0.35">
      <c r="B8" s="37" t="s">
        <v>44</v>
      </c>
      <c r="C8" s="5" t="s">
        <v>45</v>
      </c>
      <c r="D8" s="5" t="s">
        <v>46</v>
      </c>
      <c r="E8" s="33">
        <v>7.5</v>
      </c>
      <c r="F8" s="129" t="s">
        <v>186</v>
      </c>
      <c r="G8" s="37" t="s">
        <v>44</v>
      </c>
      <c r="H8" s="5" t="s">
        <v>45</v>
      </c>
      <c r="I8" s="5" t="s">
        <v>46</v>
      </c>
      <c r="J8" s="33">
        <v>7.5</v>
      </c>
      <c r="L8" s="37" t="s">
        <v>44</v>
      </c>
      <c r="M8" s="5" t="s">
        <v>45</v>
      </c>
      <c r="N8" s="5" t="s">
        <v>46</v>
      </c>
      <c r="O8" s="33">
        <v>7.5</v>
      </c>
    </row>
    <row r="9" spans="2:16" x14ac:dyDescent="0.35">
      <c r="B9" s="37" t="s">
        <v>47</v>
      </c>
      <c r="C9" s="5" t="s">
        <v>48</v>
      </c>
      <c r="D9" s="5" t="s">
        <v>46</v>
      </c>
      <c r="E9" s="33">
        <v>0</v>
      </c>
      <c r="F9" s="129" t="s">
        <v>187</v>
      </c>
      <c r="G9" s="37" t="s">
        <v>47</v>
      </c>
      <c r="H9" s="5" t="s">
        <v>48</v>
      </c>
      <c r="I9" s="5" t="s">
        <v>46</v>
      </c>
      <c r="J9" s="33">
        <v>0</v>
      </c>
      <c r="L9" s="37" t="s">
        <v>47</v>
      </c>
      <c r="M9" s="5" t="s">
        <v>48</v>
      </c>
      <c r="N9" s="5" t="s">
        <v>46</v>
      </c>
      <c r="O9" s="33">
        <v>0</v>
      </c>
    </row>
    <row r="10" spans="2:16" x14ac:dyDescent="0.35">
      <c r="B10" s="5" t="s">
        <v>49</v>
      </c>
      <c r="C10" s="5" t="s">
        <v>50</v>
      </c>
      <c r="D10" s="5" t="s">
        <v>51</v>
      </c>
      <c r="E10" s="38">
        <f>ROUNDDOWN((1-E5)*E6*E7*(E8+E9),0)</f>
        <v>2213</v>
      </c>
      <c r="F10" s="129"/>
      <c r="G10" s="5" t="s">
        <v>49</v>
      </c>
      <c r="H10" s="5" t="s">
        <v>50</v>
      </c>
      <c r="I10" s="5" t="s">
        <v>51</v>
      </c>
      <c r="J10" s="38">
        <f>ROUNDDOWN((1-J5)*J6*J7*(J8+J9),0)</f>
        <v>188</v>
      </c>
      <c r="L10" s="5" t="s">
        <v>49</v>
      </c>
      <c r="M10" s="5" t="s">
        <v>50</v>
      </c>
      <c r="N10" s="5" t="s">
        <v>51</v>
      </c>
      <c r="O10" s="38">
        <f>ROUNDDOWN((1-O5)*O6*O7*(O8+O9),0)</f>
        <v>2025</v>
      </c>
    </row>
    <row r="11" spans="2:16" x14ac:dyDescent="0.35">
      <c r="F11" s="179"/>
    </row>
    <row r="12" spans="2:16" x14ac:dyDescent="0.35">
      <c r="B12" s="391" t="s">
        <v>52</v>
      </c>
      <c r="C12" s="391"/>
      <c r="D12" s="391"/>
      <c r="E12" s="391"/>
      <c r="F12" s="179"/>
      <c r="G12" s="391" t="s">
        <v>52</v>
      </c>
      <c r="H12" s="391"/>
      <c r="I12" s="391"/>
      <c r="J12" s="391"/>
      <c r="L12" s="389" t="s">
        <v>52</v>
      </c>
      <c r="M12" s="387"/>
      <c r="N12" s="387"/>
      <c r="O12" s="390"/>
    </row>
    <row r="13" spans="2:16" x14ac:dyDescent="0.35">
      <c r="B13" s="5" t="s">
        <v>53</v>
      </c>
      <c r="C13" s="5" t="s">
        <v>38</v>
      </c>
      <c r="D13" s="5" t="s">
        <v>18</v>
      </c>
      <c r="E13" s="33">
        <f>E5</f>
        <v>0</v>
      </c>
      <c r="F13" s="180" t="s">
        <v>183</v>
      </c>
      <c r="G13" s="5" t="s">
        <v>53</v>
      </c>
      <c r="H13" s="5" t="s">
        <v>38</v>
      </c>
      <c r="I13" s="5" t="s">
        <v>18</v>
      </c>
      <c r="J13" s="33">
        <f>J5</f>
        <v>0</v>
      </c>
      <c r="L13" s="5" t="s">
        <v>53</v>
      </c>
      <c r="M13" s="5" t="s">
        <v>38</v>
      </c>
      <c r="N13" s="5" t="s">
        <v>18</v>
      </c>
      <c r="O13" s="33">
        <f>O5</f>
        <v>0</v>
      </c>
    </row>
    <row r="14" spans="2:16" x14ac:dyDescent="0.35">
      <c r="B14" s="5" t="s">
        <v>39</v>
      </c>
      <c r="C14" s="5" t="s">
        <v>40</v>
      </c>
      <c r="D14" s="5"/>
      <c r="E14" s="34">
        <f>E6</f>
        <v>737884</v>
      </c>
      <c r="F14" s="180" t="s">
        <v>188</v>
      </c>
      <c r="G14" s="5" t="s">
        <v>39</v>
      </c>
      <c r="H14" s="5" t="s">
        <v>40</v>
      </c>
      <c r="I14" s="5"/>
      <c r="J14" s="34">
        <f>J6</f>
        <v>62669.599999999991</v>
      </c>
      <c r="L14" s="5" t="s">
        <v>39</v>
      </c>
      <c r="M14" s="5" t="s">
        <v>40</v>
      </c>
      <c r="N14" s="5"/>
      <c r="O14" s="34">
        <f>O6</f>
        <v>675214.4</v>
      </c>
    </row>
    <row r="15" spans="2:16" x14ac:dyDescent="0.35">
      <c r="B15" s="5" t="s">
        <v>54</v>
      </c>
      <c r="C15" s="5" t="s">
        <v>55</v>
      </c>
      <c r="D15" s="5" t="s">
        <v>43</v>
      </c>
      <c r="E15" s="39">
        <f>E7</f>
        <v>4.0000000000000002E-4</v>
      </c>
      <c r="F15" s="180"/>
      <c r="G15" s="5" t="s">
        <v>54</v>
      </c>
      <c r="H15" s="5" t="s">
        <v>55</v>
      </c>
      <c r="I15" s="5" t="s">
        <v>43</v>
      </c>
      <c r="J15" s="39">
        <f>J7</f>
        <v>4.0000000000000002E-4</v>
      </c>
      <c r="L15" s="5" t="s">
        <v>54</v>
      </c>
      <c r="M15" s="5" t="s">
        <v>55</v>
      </c>
      <c r="N15" s="5" t="s">
        <v>43</v>
      </c>
      <c r="O15" s="39">
        <f>O7</f>
        <v>4.0000000000000002E-4</v>
      </c>
    </row>
    <row r="16" spans="2:16" x14ac:dyDescent="0.35">
      <c r="B16" s="5" t="s">
        <v>56</v>
      </c>
      <c r="C16" s="5" t="s">
        <v>48</v>
      </c>
      <c r="D16" s="5" t="s">
        <v>46</v>
      </c>
      <c r="E16" s="33">
        <v>0</v>
      </c>
      <c r="F16" s="180" t="s">
        <v>187</v>
      </c>
      <c r="G16" s="5" t="s">
        <v>56</v>
      </c>
      <c r="H16" s="5" t="s">
        <v>48</v>
      </c>
      <c r="I16" s="5" t="s">
        <v>46</v>
      </c>
      <c r="J16" s="33">
        <v>0</v>
      </c>
      <c r="L16" s="5" t="s">
        <v>56</v>
      </c>
      <c r="M16" s="5" t="s">
        <v>48</v>
      </c>
      <c r="N16" s="5" t="s">
        <v>46</v>
      </c>
      <c r="O16" s="33">
        <v>0</v>
      </c>
    </row>
    <row r="17" spans="2:15" x14ac:dyDescent="0.35">
      <c r="B17" s="5" t="s">
        <v>57</v>
      </c>
      <c r="C17" s="5" t="s">
        <v>58</v>
      </c>
      <c r="D17" s="5" t="s">
        <v>46</v>
      </c>
      <c r="E17" s="33">
        <v>0</v>
      </c>
      <c r="F17" s="180" t="s">
        <v>187</v>
      </c>
      <c r="G17" s="5" t="s">
        <v>57</v>
      </c>
      <c r="H17" s="5" t="s">
        <v>58</v>
      </c>
      <c r="I17" s="5" t="s">
        <v>46</v>
      </c>
      <c r="J17" s="33">
        <v>0</v>
      </c>
      <c r="L17" s="5" t="s">
        <v>57</v>
      </c>
      <c r="M17" s="5" t="s">
        <v>58</v>
      </c>
      <c r="N17" s="5" t="s">
        <v>46</v>
      </c>
      <c r="O17" s="33">
        <v>0</v>
      </c>
    </row>
    <row r="18" spans="2:15" x14ac:dyDescent="0.35">
      <c r="B18" s="5" t="s">
        <v>59</v>
      </c>
      <c r="C18" s="5" t="s">
        <v>60</v>
      </c>
      <c r="D18" s="5" t="s">
        <v>51</v>
      </c>
      <c r="E18" s="38">
        <f>ROUNDDOWN((1-E13)*E14*E15*(E16+E17),0)</f>
        <v>0</v>
      </c>
      <c r="F18" s="180"/>
      <c r="G18" s="5" t="s">
        <v>59</v>
      </c>
      <c r="H18" s="5" t="s">
        <v>60</v>
      </c>
      <c r="I18" s="5" t="s">
        <v>51</v>
      </c>
      <c r="J18" s="38">
        <f>ROUNDDOWN((1-J13)*J14*J15*(J16+J17),0)</f>
        <v>0</v>
      </c>
      <c r="L18" s="5" t="s">
        <v>59</v>
      </c>
      <c r="M18" s="5" t="s">
        <v>60</v>
      </c>
      <c r="N18" s="5" t="s">
        <v>51</v>
      </c>
      <c r="O18" s="38">
        <f>ROUNDDOWN((1-O13)*O14*O15*(O16+O17),0)</f>
        <v>0</v>
      </c>
    </row>
    <row r="19" spans="2:15" x14ac:dyDescent="0.35">
      <c r="F19" s="179"/>
    </row>
    <row r="20" spans="2:15" x14ac:dyDescent="0.35">
      <c r="B20" s="389" t="s">
        <v>61</v>
      </c>
      <c r="C20" s="387"/>
      <c r="D20" s="387"/>
      <c r="E20" s="390"/>
      <c r="F20" s="179"/>
      <c r="G20" s="389" t="s">
        <v>61</v>
      </c>
      <c r="H20" s="387"/>
      <c r="I20" s="387"/>
      <c r="J20" s="390"/>
      <c r="L20" s="389" t="s">
        <v>61</v>
      </c>
      <c r="M20" s="387"/>
      <c r="N20" s="387"/>
      <c r="O20" s="390"/>
    </row>
    <row r="21" spans="2:15" x14ac:dyDescent="0.35">
      <c r="B21" s="37" t="s">
        <v>62</v>
      </c>
      <c r="C21" s="5" t="s">
        <v>62</v>
      </c>
      <c r="D21" s="5" t="s">
        <v>63</v>
      </c>
      <c r="E21" s="40">
        <v>0.97</v>
      </c>
      <c r="F21" s="180" t="s">
        <v>189</v>
      </c>
      <c r="G21" s="37" t="s">
        <v>62</v>
      </c>
      <c r="H21" s="5" t="s">
        <v>62</v>
      </c>
      <c r="I21" s="5" t="s">
        <v>63</v>
      </c>
      <c r="J21" s="40">
        <v>0.97</v>
      </c>
      <c r="L21" s="37" t="s">
        <v>62</v>
      </c>
      <c r="M21" s="5" t="s">
        <v>62</v>
      </c>
      <c r="N21" s="5" t="s">
        <v>63</v>
      </c>
      <c r="O21" s="40">
        <v>0.97</v>
      </c>
    </row>
    <row r="22" spans="2:15" x14ac:dyDescent="0.35">
      <c r="B22" s="5" t="s">
        <v>64</v>
      </c>
      <c r="C22" s="5" t="s">
        <v>65</v>
      </c>
      <c r="D22" s="5" t="s">
        <v>66</v>
      </c>
      <c r="E22" s="33">
        <v>112</v>
      </c>
      <c r="F22" s="180" t="s">
        <v>189</v>
      </c>
      <c r="G22" s="5" t="s">
        <v>64</v>
      </c>
      <c r="H22" s="5" t="s">
        <v>65</v>
      </c>
      <c r="I22" s="5" t="s">
        <v>66</v>
      </c>
      <c r="J22" s="33">
        <v>112</v>
      </c>
      <c r="L22" s="5" t="s">
        <v>64</v>
      </c>
      <c r="M22" s="5" t="s">
        <v>65</v>
      </c>
      <c r="N22" s="5" t="s">
        <v>66</v>
      </c>
      <c r="O22" s="33">
        <v>112</v>
      </c>
    </row>
    <row r="23" spans="2:15" x14ac:dyDescent="0.35">
      <c r="B23" s="5" t="s">
        <v>67</v>
      </c>
      <c r="C23" s="5" t="s">
        <v>68</v>
      </c>
      <c r="D23" s="5" t="s">
        <v>69</v>
      </c>
      <c r="E23" s="33">
        <f>(J23*J6+O23*O6)/E6</f>
        <v>9.3947726027397263</v>
      </c>
      <c r="F23" s="180" t="s">
        <v>189</v>
      </c>
      <c r="G23" s="5" t="s">
        <v>67</v>
      </c>
      <c r="H23" s="5" t="s">
        <v>68</v>
      </c>
      <c r="I23" s="5" t="s">
        <v>69</v>
      </c>
      <c r="J23" s="33">
        <f>7.5+1.192</f>
        <v>8.6920000000000002</v>
      </c>
      <c r="L23" s="5" t="s">
        <v>67</v>
      </c>
      <c r="M23" s="5" t="s">
        <v>68</v>
      </c>
      <c r="N23" s="5" t="s">
        <v>69</v>
      </c>
      <c r="O23" s="33">
        <v>9.4600000000000009</v>
      </c>
    </row>
    <row r="24" spans="2:15" x14ac:dyDescent="0.35">
      <c r="B24" s="5" t="s">
        <v>70</v>
      </c>
      <c r="C24" s="5" t="s">
        <v>71</v>
      </c>
      <c r="D24" s="5" t="s">
        <v>72</v>
      </c>
      <c r="E24" s="33">
        <v>1.5599999999999999E-2</v>
      </c>
      <c r="F24" s="180" t="s">
        <v>189</v>
      </c>
      <c r="G24" s="5" t="s">
        <v>70</v>
      </c>
      <c r="H24" s="5" t="s">
        <v>71</v>
      </c>
      <c r="I24" s="5" t="s">
        <v>72</v>
      </c>
      <c r="J24" s="33">
        <v>1.5599999999999999E-2</v>
      </c>
      <c r="L24" s="5" t="s">
        <v>70</v>
      </c>
      <c r="M24" s="5" t="s">
        <v>71</v>
      </c>
      <c r="N24" s="5" t="s">
        <v>72</v>
      </c>
      <c r="O24" s="33">
        <v>1.5599999999999999E-2</v>
      </c>
    </row>
    <row r="25" spans="2:15" x14ac:dyDescent="0.35">
      <c r="F25" s="179"/>
    </row>
    <row r="26" spans="2:15" x14ac:dyDescent="0.35">
      <c r="B26" s="389" t="s">
        <v>4</v>
      </c>
      <c r="C26" s="387"/>
      <c r="D26" s="387"/>
      <c r="E26" s="390"/>
      <c r="F26" s="179"/>
      <c r="G26" s="389" t="s">
        <v>4</v>
      </c>
      <c r="H26" s="387"/>
      <c r="I26" s="387"/>
      <c r="J26" s="390"/>
      <c r="L26" s="389" t="s">
        <v>4</v>
      </c>
      <c r="M26" s="387"/>
      <c r="N26" s="387"/>
      <c r="O26" s="390"/>
    </row>
    <row r="27" spans="2:15" x14ac:dyDescent="0.35">
      <c r="B27" s="5" t="s">
        <v>11</v>
      </c>
      <c r="C27" s="5" t="s">
        <v>12</v>
      </c>
      <c r="D27" s="5" t="s">
        <v>13</v>
      </c>
      <c r="E27" s="41">
        <f>ROUNDDOWN(E10*((E22*E21)+E23)*E24,0)</f>
        <v>4074</v>
      </c>
      <c r="F27" s="180"/>
      <c r="G27" s="5" t="s">
        <v>11</v>
      </c>
      <c r="H27" s="5" t="s">
        <v>12</v>
      </c>
      <c r="I27" s="5" t="s">
        <v>13</v>
      </c>
      <c r="J27" s="41">
        <f>ROUNDDOWN(J10*((J22*J21)+J23)*J24,0)</f>
        <v>344</v>
      </c>
      <c r="L27" s="5" t="s">
        <v>11</v>
      </c>
      <c r="M27" s="5" t="s">
        <v>12</v>
      </c>
      <c r="N27" s="5" t="s">
        <v>13</v>
      </c>
      <c r="O27" s="41">
        <f>ROUNDDOWN(O10*((O22*O21)+O23)*O24,0)</f>
        <v>3730</v>
      </c>
    </row>
    <row r="28" spans="2:15" x14ac:dyDescent="0.35">
      <c r="B28" s="5" t="s">
        <v>14</v>
      </c>
      <c r="C28" s="5" t="s">
        <v>15</v>
      </c>
      <c r="D28" s="5" t="s">
        <v>13</v>
      </c>
      <c r="E28" s="41">
        <f>E18*((E22*E21)+E23)*E24</f>
        <v>0</v>
      </c>
      <c r="F28" s="180"/>
      <c r="G28" s="5" t="s">
        <v>14</v>
      </c>
      <c r="H28" s="5" t="s">
        <v>15</v>
      </c>
      <c r="I28" s="5" t="s">
        <v>13</v>
      </c>
      <c r="J28" s="41">
        <f>J18*((J22*J21)+J23)*J24</f>
        <v>0</v>
      </c>
      <c r="L28" s="5" t="s">
        <v>14</v>
      </c>
      <c r="M28" s="5" t="s">
        <v>15</v>
      </c>
      <c r="N28" s="5" t="s">
        <v>13</v>
      </c>
      <c r="O28" s="41">
        <f>O18*((O22*O21)+O23)*O24</f>
        <v>0</v>
      </c>
    </row>
    <row r="29" spans="2:15" ht="29" x14ac:dyDescent="0.35">
      <c r="B29" s="5" t="s">
        <v>16</v>
      </c>
      <c r="C29" s="5" t="s">
        <v>17</v>
      </c>
      <c r="D29" s="5" t="s">
        <v>18</v>
      </c>
      <c r="E29" s="44">
        <f>'VPA 124 SDGs Calculations'!C20</f>
        <v>0.92269999999999996</v>
      </c>
      <c r="F29" s="129" t="s">
        <v>190</v>
      </c>
      <c r="G29" s="5" t="s">
        <v>16</v>
      </c>
      <c r="H29" s="5" t="s">
        <v>17</v>
      </c>
      <c r="I29" s="5" t="s">
        <v>18</v>
      </c>
      <c r="J29" s="33">
        <f>E29</f>
        <v>0.92269999999999996</v>
      </c>
      <c r="L29" s="5" t="s">
        <v>16</v>
      </c>
      <c r="M29" s="5" t="s">
        <v>17</v>
      </c>
      <c r="N29" s="5" t="s">
        <v>18</v>
      </c>
      <c r="O29" s="33">
        <f>E29</f>
        <v>0.92269999999999996</v>
      </c>
    </row>
    <row r="30" spans="2:15" x14ac:dyDescent="0.35">
      <c r="B30" s="5" t="s">
        <v>19</v>
      </c>
      <c r="C30" s="5" t="s">
        <v>20</v>
      </c>
      <c r="D30" s="5" t="s">
        <v>13</v>
      </c>
      <c r="E30" s="33">
        <v>0</v>
      </c>
      <c r="F30" s="180" t="s">
        <v>191</v>
      </c>
      <c r="G30" s="5" t="s">
        <v>19</v>
      </c>
      <c r="H30" s="5" t="s">
        <v>20</v>
      </c>
      <c r="I30" s="5" t="s">
        <v>13</v>
      </c>
      <c r="J30" s="33">
        <v>0</v>
      </c>
      <c r="L30" s="5" t="s">
        <v>19</v>
      </c>
      <c r="M30" s="5" t="s">
        <v>20</v>
      </c>
      <c r="N30" s="5" t="s">
        <v>13</v>
      </c>
      <c r="O30" s="33">
        <v>0</v>
      </c>
    </row>
    <row r="31" spans="2:15" x14ac:dyDescent="0.35">
      <c r="B31" s="5" t="s">
        <v>34</v>
      </c>
      <c r="C31" s="5" t="s">
        <v>22</v>
      </c>
      <c r="D31" s="5" t="s">
        <v>13</v>
      </c>
      <c r="E31" s="38">
        <f>ROUNDDOWN(((E27-E28)*E29)-E30,0)</f>
        <v>3759</v>
      </c>
      <c r="F31" s="180"/>
      <c r="G31" s="5" t="s">
        <v>34</v>
      </c>
      <c r="H31" s="5" t="s">
        <v>22</v>
      </c>
      <c r="I31" s="5" t="s">
        <v>13</v>
      </c>
      <c r="J31" s="38">
        <f>((J27-J28)*J29)-J30</f>
        <v>317.40879999999999</v>
      </c>
      <c r="L31" s="5" t="s">
        <v>34</v>
      </c>
      <c r="M31" s="5" t="s">
        <v>22</v>
      </c>
      <c r="N31" s="5" t="s">
        <v>13</v>
      </c>
      <c r="O31" s="38">
        <f>((O27-O28)*O29)-O30</f>
        <v>3441.6709999999998</v>
      </c>
    </row>
    <row r="32" spans="2:15" x14ac:dyDescent="0.35">
      <c r="D32" s="42"/>
      <c r="F32" s="179"/>
      <c r="I32" s="42"/>
      <c r="N32" s="42"/>
    </row>
    <row r="33" spans="2:15" x14ac:dyDescent="0.35">
      <c r="B33" s="389" t="s">
        <v>24</v>
      </c>
      <c r="C33" s="387"/>
      <c r="D33" s="387"/>
      <c r="E33" s="390"/>
      <c r="F33" s="179"/>
      <c r="G33" s="389" t="s">
        <v>24</v>
      </c>
      <c r="H33" s="387"/>
      <c r="I33" s="387"/>
      <c r="J33" s="390"/>
      <c r="L33" s="389" t="s">
        <v>24</v>
      </c>
      <c r="M33" s="387"/>
      <c r="N33" s="387"/>
      <c r="O33" s="390"/>
    </row>
    <row r="34" spans="2:15" x14ac:dyDescent="0.35">
      <c r="B34" s="43" t="s">
        <v>25</v>
      </c>
      <c r="C34" s="5"/>
      <c r="D34" s="23"/>
      <c r="E34" s="44">
        <v>0.98</v>
      </c>
      <c r="F34" s="180" t="s">
        <v>183</v>
      </c>
      <c r="G34" s="43" t="s">
        <v>25</v>
      </c>
      <c r="H34" s="5"/>
      <c r="I34" s="23"/>
      <c r="J34" s="44">
        <f>E34</f>
        <v>0.98</v>
      </c>
      <c r="L34" s="43" t="s">
        <v>25</v>
      </c>
      <c r="M34" s="5"/>
      <c r="N34" s="23"/>
      <c r="O34" s="44">
        <f>E34</f>
        <v>0.98</v>
      </c>
    </row>
    <row r="35" spans="2:15" x14ac:dyDescent="0.35">
      <c r="B35" s="43" t="s">
        <v>26</v>
      </c>
      <c r="C35" s="5" t="s">
        <v>27</v>
      </c>
      <c r="D35" s="23" t="s">
        <v>28</v>
      </c>
      <c r="E35" s="44">
        <f>1-E34</f>
        <v>2.0000000000000018E-2</v>
      </c>
      <c r="F35" s="180" t="s">
        <v>183</v>
      </c>
      <c r="G35" s="43" t="s">
        <v>26</v>
      </c>
      <c r="H35" s="5" t="s">
        <v>27</v>
      </c>
      <c r="I35" s="23" t="s">
        <v>28</v>
      </c>
      <c r="J35" s="44">
        <f>E35</f>
        <v>2.0000000000000018E-2</v>
      </c>
      <c r="L35" s="43" t="s">
        <v>26</v>
      </c>
      <c r="M35" s="5" t="s">
        <v>27</v>
      </c>
      <c r="N35" s="23" t="s">
        <v>28</v>
      </c>
      <c r="O35" s="44">
        <f>E35</f>
        <v>2.0000000000000018E-2</v>
      </c>
    </row>
    <row r="36" spans="2:15" x14ac:dyDescent="0.35">
      <c r="B36" s="45" t="s">
        <v>73</v>
      </c>
      <c r="C36" s="46" t="s">
        <v>22</v>
      </c>
      <c r="D36" s="47" t="s">
        <v>13</v>
      </c>
      <c r="E36" s="48">
        <f>ROUNDDOWN(E31*(1-E35),0)</f>
        <v>3683</v>
      </c>
      <c r="G36" s="45" t="s">
        <v>73</v>
      </c>
      <c r="H36" s="46" t="s">
        <v>22</v>
      </c>
      <c r="I36" s="47" t="s">
        <v>13</v>
      </c>
      <c r="J36" s="48">
        <f>ROUNDDOWN(J31*(1-J35),0)</f>
        <v>311</v>
      </c>
      <c r="L36" s="45" t="s">
        <v>73</v>
      </c>
      <c r="M36" s="46" t="s">
        <v>22</v>
      </c>
      <c r="N36" s="47" t="s">
        <v>13</v>
      </c>
      <c r="O36" s="48">
        <f>ROUNDDOWN(O31*(1-O35),0)</f>
        <v>3372</v>
      </c>
    </row>
    <row r="38" spans="2:15" x14ac:dyDescent="0.35">
      <c r="B38" s="45" t="s">
        <v>74</v>
      </c>
      <c r="C38" s="46"/>
      <c r="D38" s="47" t="s">
        <v>13</v>
      </c>
      <c r="E38" s="48">
        <f>J38+O38</f>
        <v>3683</v>
      </c>
      <c r="G38" s="45" t="s">
        <v>74</v>
      </c>
      <c r="H38" s="46"/>
      <c r="I38" s="47" t="s">
        <v>13</v>
      </c>
      <c r="J38" s="48">
        <f>IF(J36&gt;10000,((10000/$E$6)*J6),J36)</f>
        <v>311</v>
      </c>
      <c r="L38" s="45" t="s">
        <v>74</v>
      </c>
      <c r="M38" s="46"/>
      <c r="N38" s="47" t="s">
        <v>13</v>
      </c>
      <c r="O38" s="48">
        <f>IF(O36&gt;10000,((10000/$E$6)*O6),O36)</f>
        <v>3372</v>
      </c>
    </row>
    <row r="40" spans="2:15" x14ac:dyDescent="0.35">
      <c r="B40"/>
      <c r="G40" t="s">
        <v>75</v>
      </c>
      <c r="L40" t="s">
        <v>75</v>
      </c>
    </row>
    <row r="42" spans="2:15" x14ac:dyDescent="0.35">
      <c r="G42" s="11"/>
    </row>
    <row r="43" spans="2:15" x14ac:dyDescent="0.35">
      <c r="G43" s="11"/>
      <c r="H43" s="11"/>
    </row>
    <row r="44" spans="2:15" x14ac:dyDescent="0.35">
      <c r="G44" s="11"/>
    </row>
    <row r="46" spans="2:15" x14ac:dyDescent="0.35">
      <c r="G46" s="35"/>
    </row>
    <row r="47" spans="2:15" x14ac:dyDescent="0.35">
      <c r="K47" s="35"/>
    </row>
  </sheetData>
  <mergeCells count="18">
    <mergeCell ref="B2:E2"/>
    <mergeCell ref="G2:J2"/>
    <mergeCell ref="L2:O2"/>
    <mergeCell ref="B4:E4"/>
    <mergeCell ref="G4:J4"/>
    <mergeCell ref="L4:O4"/>
    <mergeCell ref="B12:E12"/>
    <mergeCell ref="G12:J12"/>
    <mergeCell ref="L12:O12"/>
    <mergeCell ref="B20:E20"/>
    <mergeCell ref="G20:J20"/>
    <mergeCell ref="L20:O20"/>
    <mergeCell ref="B26:E26"/>
    <mergeCell ref="G26:J26"/>
    <mergeCell ref="L26:O26"/>
    <mergeCell ref="B33:E33"/>
    <mergeCell ref="G33:J33"/>
    <mergeCell ref="L33:O33"/>
  </mergeCells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DD53B-A272-40DF-BD93-9A228093A067}">
  <dimension ref="B1:Q38"/>
  <sheetViews>
    <sheetView zoomScale="62" zoomScaleNormal="62" workbookViewId="0">
      <selection activeCell="B26" sqref="B26"/>
    </sheetView>
  </sheetViews>
  <sheetFormatPr defaultColWidth="9.1796875" defaultRowHeight="14.5" x14ac:dyDescent="0.35"/>
  <cols>
    <col min="1" max="1" width="9.1796875" style="1"/>
    <col min="2" max="2" width="36.54296875" style="1" bestFit="1" customWidth="1"/>
    <col min="3" max="3" width="15" style="1" bestFit="1" customWidth="1"/>
    <col min="4" max="4" width="17.26953125" style="1" bestFit="1" customWidth="1"/>
    <col min="5" max="5" width="24.26953125" style="1" customWidth="1"/>
    <col min="6" max="6" width="29.1796875" style="1" customWidth="1"/>
    <col min="7" max="7" width="24.1796875" style="1" bestFit="1" customWidth="1"/>
    <col min="8" max="8" width="10.81640625" style="1" bestFit="1" customWidth="1"/>
    <col min="9" max="9" width="14.453125" style="1" bestFit="1" customWidth="1"/>
    <col min="10" max="10" width="18.453125" style="1" customWidth="1"/>
    <col min="11" max="11" width="7.26953125" style="1" customWidth="1"/>
    <col min="12" max="12" width="14.54296875" style="1" customWidth="1"/>
    <col min="13" max="13" width="18.54296875" style="1" bestFit="1" customWidth="1"/>
    <col min="14" max="14" width="15.26953125" style="1" bestFit="1" customWidth="1"/>
    <col min="15" max="15" width="15.54296875" style="1" bestFit="1" customWidth="1"/>
    <col min="16" max="16" width="10.7265625" style="1" customWidth="1"/>
    <col min="17" max="16384" width="9.1796875" style="1"/>
  </cols>
  <sheetData>
    <row r="1" spans="2:16" ht="15" thickBot="1" x14ac:dyDescent="0.4">
      <c r="L1" s="393">
        <v>2020</v>
      </c>
      <c r="M1" s="440"/>
      <c r="N1" s="393">
        <v>2021</v>
      </c>
      <c r="O1" s="440"/>
      <c r="P1" s="181"/>
    </row>
    <row r="2" spans="2:16" ht="29" x14ac:dyDescent="0.35">
      <c r="B2" s="50" t="s">
        <v>76</v>
      </c>
      <c r="C2" s="51" t="s">
        <v>77</v>
      </c>
      <c r="D2" s="51" t="s">
        <v>78</v>
      </c>
      <c r="E2" s="51" t="s">
        <v>79</v>
      </c>
      <c r="F2" s="51" t="s">
        <v>80</v>
      </c>
      <c r="G2" s="51" t="s">
        <v>81</v>
      </c>
      <c r="H2" s="51" t="s">
        <v>82</v>
      </c>
      <c r="I2" s="52" t="s">
        <v>83</v>
      </c>
      <c r="J2" s="134" t="s">
        <v>84</v>
      </c>
      <c r="L2" s="182" t="s">
        <v>192</v>
      </c>
      <c r="M2" s="136" t="s">
        <v>86</v>
      </c>
      <c r="N2" s="182" t="s">
        <v>192</v>
      </c>
      <c r="O2" s="136" t="s">
        <v>86</v>
      </c>
      <c r="P2" s="124" t="s">
        <v>88</v>
      </c>
    </row>
    <row r="3" spans="2:16" ht="15" customHeight="1" x14ac:dyDescent="0.35">
      <c r="B3" s="396" t="s">
        <v>241</v>
      </c>
      <c r="C3" s="57" t="s">
        <v>242</v>
      </c>
      <c r="D3" s="58" t="s">
        <v>243</v>
      </c>
      <c r="E3" s="67">
        <v>16.190300000000001</v>
      </c>
      <c r="F3" s="69" t="s">
        <v>244</v>
      </c>
      <c r="G3" s="61">
        <v>43042</v>
      </c>
      <c r="H3" s="140">
        <v>44</v>
      </c>
      <c r="I3" s="140">
        <v>294</v>
      </c>
      <c r="J3" s="183">
        <v>294</v>
      </c>
      <c r="L3" s="141">
        <f>G22</f>
        <v>29.45</v>
      </c>
      <c r="M3" s="64">
        <f>L3*J3</f>
        <v>8658.2999999999993</v>
      </c>
      <c r="N3" s="141">
        <f>G23</f>
        <v>317.3</v>
      </c>
      <c r="O3" s="65">
        <f>N3*J3</f>
        <v>93286.2</v>
      </c>
      <c r="P3" s="184">
        <f t="shared" ref="P3:P11" si="0">M3+O3</f>
        <v>101944.5</v>
      </c>
    </row>
    <row r="4" spans="2:16" ht="15.5" x14ac:dyDescent="0.35">
      <c r="B4" s="396"/>
      <c r="C4" s="57" t="s">
        <v>245</v>
      </c>
      <c r="D4" s="58" t="s">
        <v>246</v>
      </c>
      <c r="E4" s="58">
        <v>15.74029</v>
      </c>
      <c r="F4" s="69" t="s">
        <v>247</v>
      </c>
      <c r="G4" s="61">
        <v>43046</v>
      </c>
      <c r="H4" s="140">
        <v>26</v>
      </c>
      <c r="I4" s="140">
        <v>155</v>
      </c>
      <c r="J4" s="183">
        <v>155</v>
      </c>
      <c r="L4" s="141">
        <f>G22</f>
        <v>29.45</v>
      </c>
      <c r="M4" s="64">
        <f t="shared" ref="M4:M11" si="1">L4*J4</f>
        <v>4564.75</v>
      </c>
      <c r="N4" s="141">
        <f>G23</f>
        <v>317.3</v>
      </c>
      <c r="O4" s="65">
        <f t="shared" ref="O4:O11" si="2">N4*J4</f>
        <v>49181.5</v>
      </c>
      <c r="P4" s="66">
        <f t="shared" si="0"/>
        <v>53746.25</v>
      </c>
    </row>
    <row r="5" spans="2:16" ht="15.5" x14ac:dyDescent="0.35">
      <c r="B5" s="396"/>
      <c r="C5" s="57" t="s">
        <v>248</v>
      </c>
      <c r="D5" s="142" t="s">
        <v>249</v>
      </c>
      <c r="E5" s="58">
        <v>15.73062</v>
      </c>
      <c r="F5" s="69" t="s">
        <v>250</v>
      </c>
      <c r="G5" s="61">
        <v>43046</v>
      </c>
      <c r="H5" s="140">
        <v>23</v>
      </c>
      <c r="I5" s="140">
        <v>150</v>
      </c>
      <c r="J5" s="183">
        <v>150</v>
      </c>
      <c r="L5" s="141">
        <f>G22</f>
        <v>29.45</v>
      </c>
      <c r="M5" s="64">
        <f t="shared" si="1"/>
        <v>4417.5</v>
      </c>
      <c r="N5" s="141">
        <f>G23</f>
        <v>317.3</v>
      </c>
      <c r="O5" s="65">
        <f t="shared" si="2"/>
        <v>47595</v>
      </c>
      <c r="P5" s="66">
        <f t="shared" si="0"/>
        <v>52012.5</v>
      </c>
    </row>
    <row r="6" spans="2:16" ht="15.5" x14ac:dyDescent="0.35">
      <c r="B6" s="396"/>
      <c r="C6" s="57" t="s">
        <v>251</v>
      </c>
      <c r="D6" s="142" t="s">
        <v>252</v>
      </c>
      <c r="E6" s="58">
        <v>15.752840000000001</v>
      </c>
      <c r="F6" s="69" t="s">
        <v>253</v>
      </c>
      <c r="G6" s="61">
        <v>43047</v>
      </c>
      <c r="H6" s="140">
        <v>36</v>
      </c>
      <c r="I6" s="140">
        <v>248</v>
      </c>
      <c r="J6" s="183">
        <v>248</v>
      </c>
      <c r="L6" s="141">
        <f>G22</f>
        <v>29.45</v>
      </c>
      <c r="M6" s="64">
        <f t="shared" si="1"/>
        <v>7303.5999999999995</v>
      </c>
      <c r="N6" s="141">
        <f>G23</f>
        <v>317.3</v>
      </c>
      <c r="O6" s="65">
        <f t="shared" si="2"/>
        <v>78690.400000000009</v>
      </c>
      <c r="P6" s="66">
        <f t="shared" si="0"/>
        <v>85994.000000000015</v>
      </c>
    </row>
    <row r="7" spans="2:16" ht="15.5" x14ac:dyDescent="0.35">
      <c r="B7" s="396"/>
      <c r="C7" s="57" t="s">
        <v>254</v>
      </c>
      <c r="D7" s="145" t="s">
        <v>255</v>
      </c>
      <c r="E7" s="58">
        <v>15.62318</v>
      </c>
      <c r="F7" s="69" t="s">
        <v>256</v>
      </c>
      <c r="G7" s="61">
        <v>43056</v>
      </c>
      <c r="H7" s="140">
        <v>322</v>
      </c>
      <c r="I7" s="140">
        <v>1537</v>
      </c>
      <c r="J7" s="183">
        <v>300</v>
      </c>
      <c r="L7" s="141">
        <f>G22</f>
        <v>29.45</v>
      </c>
      <c r="M7" s="64">
        <f t="shared" si="1"/>
        <v>8835</v>
      </c>
      <c r="N7" s="141">
        <f>G23</f>
        <v>317.3</v>
      </c>
      <c r="O7" s="65">
        <f t="shared" si="2"/>
        <v>95190</v>
      </c>
      <c r="P7" s="66">
        <f t="shared" si="0"/>
        <v>104025</v>
      </c>
    </row>
    <row r="8" spans="2:16" ht="15.5" x14ac:dyDescent="0.35">
      <c r="B8" s="396"/>
      <c r="C8" s="57" t="s">
        <v>257</v>
      </c>
      <c r="D8" s="142" t="s">
        <v>258</v>
      </c>
      <c r="E8" s="58">
        <v>15.628</v>
      </c>
      <c r="F8" s="69" t="s">
        <v>259</v>
      </c>
      <c r="G8" s="61">
        <v>43057</v>
      </c>
      <c r="H8" s="140">
        <v>58</v>
      </c>
      <c r="I8" s="140">
        <v>329</v>
      </c>
      <c r="J8" s="183">
        <v>300</v>
      </c>
      <c r="L8" s="141">
        <f>G22</f>
        <v>29.45</v>
      </c>
      <c r="M8" s="64">
        <f t="shared" si="1"/>
        <v>8835</v>
      </c>
      <c r="N8" s="141">
        <f>G23</f>
        <v>317.3</v>
      </c>
      <c r="O8" s="65">
        <f t="shared" si="2"/>
        <v>95190</v>
      </c>
      <c r="P8" s="66">
        <f t="shared" si="0"/>
        <v>104025</v>
      </c>
    </row>
    <row r="9" spans="2:16" ht="15.5" x14ac:dyDescent="0.35">
      <c r="B9" s="396"/>
      <c r="C9" s="57" t="s">
        <v>260</v>
      </c>
      <c r="D9" s="58" t="s">
        <v>261</v>
      </c>
      <c r="E9" s="58">
        <v>15.868119999999999</v>
      </c>
      <c r="F9" s="69" t="s">
        <v>262</v>
      </c>
      <c r="G9" s="61">
        <v>43066</v>
      </c>
      <c r="H9" s="144">
        <v>41</v>
      </c>
      <c r="I9" s="144">
        <v>246</v>
      </c>
      <c r="J9" s="183">
        <v>246</v>
      </c>
      <c r="L9" s="141">
        <f>G22</f>
        <v>29.45</v>
      </c>
      <c r="M9" s="64">
        <f t="shared" si="1"/>
        <v>7244.7</v>
      </c>
      <c r="N9" s="141">
        <f>G23</f>
        <v>317.3</v>
      </c>
      <c r="O9" s="65">
        <f t="shared" si="2"/>
        <v>78055.8</v>
      </c>
      <c r="P9" s="66">
        <f t="shared" si="0"/>
        <v>85300.5</v>
      </c>
    </row>
    <row r="10" spans="2:16" ht="15.5" x14ac:dyDescent="0.35">
      <c r="B10" s="396"/>
      <c r="C10" s="57" t="s">
        <v>263</v>
      </c>
      <c r="D10" s="71" t="s">
        <v>264</v>
      </c>
      <c r="E10" s="59" t="s">
        <v>265</v>
      </c>
      <c r="F10" s="72" t="s">
        <v>266</v>
      </c>
      <c r="G10" s="61">
        <v>43078</v>
      </c>
      <c r="H10" s="147">
        <v>26</v>
      </c>
      <c r="I10" s="147">
        <v>135</v>
      </c>
      <c r="J10" s="183">
        <v>135</v>
      </c>
      <c r="L10" s="141">
        <f>G22</f>
        <v>29.45</v>
      </c>
      <c r="M10" s="64">
        <f t="shared" si="1"/>
        <v>3975.75</v>
      </c>
      <c r="N10" s="141">
        <f>G23</f>
        <v>317.3</v>
      </c>
      <c r="O10" s="65">
        <f t="shared" si="2"/>
        <v>42835.5</v>
      </c>
      <c r="P10" s="66">
        <f t="shared" si="0"/>
        <v>46811.25</v>
      </c>
    </row>
    <row r="11" spans="2:16" ht="16" thickBot="1" x14ac:dyDescent="0.4">
      <c r="B11" s="396"/>
      <c r="C11" s="57" t="s">
        <v>267</v>
      </c>
      <c r="D11" s="73" t="s">
        <v>268</v>
      </c>
      <c r="E11" s="59" t="s">
        <v>269</v>
      </c>
      <c r="F11" s="72" t="s">
        <v>270</v>
      </c>
      <c r="G11" s="61">
        <v>43087</v>
      </c>
      <c r="H11" s="140">
        <v>102</v>
      </c>
      <c r="I11" s="140">
        <v>575</v>
      </c>
      <c r="J11" s="183">
        <v>300</v>
      </c>
      <c r="L11" s="141">
        <f>G22</f>
        <v>29.45</v>
      </c>
      <c r="M11" s="64">
        <f t="shared" si="1"/>
        <v>8835</v>
      </c>
      <c r="N11" s="141">
        <f>G23</f>
        <v>317.3</v>
      </c>
      <c r="O11" s="65">
        <f t="shared" si="2"/>
        <v>95190</v>
      </c>
      <c r="P11" s="66">
        <f t="shared" si="0"/>
        <v>104025</v>
      </c>
    </row>
    <row r="12" spans="2:16" ht="15" thickBot="1" x14ac:dyDescent="0.4">
      <c r="B12" s="75"/>
      <c r="C12"/>
      <c r="G12" s="76"/>
      <c r="H12" s="77" t="s">
        <v>23</v>
      </c>
      <c r="I12" s="78">
        <f>SUM(I3:I11)</f>
        <v>3669</v>
      </c>
      <c r="J12" s="78">
        <f>SUM(J3:J11)</f>
        <v>2128</v>
      </c>
      <c r="L12" s="151" t="s">
        <v>125</v>
      </c>
      <c r="M12" s="152">
        <f>SUM(M3:M11)</f>
        <v>62669.599999999991</v>
      </c>
      <c r="N12" s="151"/>
      <c r="O12" s="152">
        <f>SUM(O3:O11)</f>
        <v>675214.4</v>
      </c>
      <c r="P12" s="185">
        <f>SUM(P3:P11)</f>
        <v>737884</v>
      </c>
    </row>
    <row r="13" spans="2:16" ht="15" customHeight="1" thickBot="1" x14ac:dyDescent="0.4">
      <c r="C13" s="153" t="s">
        <v>223</v>
      </c>
      <c r="G13" s="84"/>
      <c r="M13" s="35"/>
    </row>
    <row r="14" spans="2:16" ht="15" customHeight="1" x14ac:dyDescent="0.35">
      <c r="B14" s="82" t="s">
        <v>126</v>
      </c>
      <c r="C14" s="83">
        <v>44166</v>
      </c>
      <c r="D14" s="84"/>
    </row>
    <row r="15" spans="2:16" ht="16" thickBot="1" x14ac:dyDescent="0.4">
      <c r="B15" s="85" t="s">
        <v>127</v>
      </c>
      <c r="C15" s="86">
        <v>44530</v>
      </c>
      <c r="D15" s="87"/>
      <c r="J15" s="154"/>
      <c r="N15" s="88"/>
    </row>
    <row r="16" spans="2:16" ht="15" customHeight="1" thickBot="1" x14ac:dyDescent="0.4">
      <c r="B16" s="85" t="s">
        <v>128</v>
      </c>
      <c r="C16" s="86">
        <v>44196</v>
      </c>
      <c r="D16" s="89"/>
      <c r="J16" s="154"/>
    </row>
    <row r="17" spans="2:17" ht="15.5" x14ac:dyDescent="0.35">
      <c r="J17" s="154"/>
    </row>
    <row r="18" spans="2:17" ht="15.5" x14ac:dyDescent="0.35">
      <c r="J18" s="154"/>
      <c r="L18" s="393">
        <v>2020</v>
      </c>
      <c r="M18" s="440"/>
      <c r="N18" s="393">
        <v>2021</v>
      </c>
      <c r="O18" s="440"/>
      <c r="P18" s="181"/>
    </row>
    <row r="19" spans="2:17" ht="15" customHeight="1" x14ac:dyDescent="0.35">
      <c r="J19" s="154"/>
      <c r="L19" s="182" t="s">
        <v>192</v>
      </c>
      <c r="M19" s="136" t="s">
        <v>86</v>
      </c>
      <c r="N19" s="182" t="s">
        <v>192</v>
      </c>
      <c r="O19" s="136" t="s">
        <v>86</v>
      </c>
      <c r="P19" s="124" t="s">
        <v>88</v>
      </c>
    </row>
    <row r="20" spans="2:17" ht="18.5" x14ac:dyDescent="0.45">
      <c r="B20" s="92" t="s">
        <v>129</v>
      </c>
      <c r="J20" s="186"/>
      <c r="L20" s="141">
        <f>$G$22</f>
        <v>29.45</v>
      </c>
      <c r="M20" s="64">
        <f>L20*I3</f>
        <v>8658.2999999999993</v>
      </c>
      <c r="N20" s="141">
        <f>$G$23</f>
        <v>317.3</v>
      </c>
      <c r="O20" s="65">
        <f>I3*N20</f>
        <v>93286.2</v>
      </c>
      <c r="P20" s="184">
        <f t="shared" ref="P20:P28" si="3">M20+O20</f>
        <v>101944.5</v>
      </c>
    </row>
    <row r="21" spans="2:17" ht="43.5" x14ac:dyDescent="0.35">
      <c r="B21" s="155"/>
      <c r="C21" s="187" t="s">
        <v>130</v>
      </c>
      <c r="D21" s="188" t="s">
        <v>131</v>
      </c>
      <c r="E21" s="188" t="s">
        <v>132</v>
      </c>
      <c r="F21" s="189" t="s">
        <v>133</v>
      </c>
      <c r="G21" s="188" t="s">
        <v>85</v>
      </c>
      <c r="J21" s="163"/>
      <c r="L21" s="141">
        <f t="shared" ref="L21:L28" si="4">$G$22</f>
        <v>29.45</v>
      </c>
      <c r="M21" s="64">
        <f t="shared" ref="M21:M28" si="5">L21*I4</f>
        <v>4564.75</v>
      </c>
      <c r="N21" s="141">
        <f t="shared" ref="N21:N28" si="6">$G$23</f>
        <v>317.3</v>
      </c>
      <c r="O21" s="65">
        <f t="shared" ref="O21:O28" si="7">I4*N21</f>
        <v>49181.5</v>
      </c>
      <c r="P21" s="66">
        <f t="shared" si="3"/>
        <v>53746.25</v>
      </c>
    </row>
    <row r="22" spans="2:17" x14ac:dyDescent="0.35">
      <c r="B22" s="190" t="s">
        <v>135</v>
      </c>
      <c r="C22" s="159">
        <f>((C16-C14)+1)*9</f>
        <v>279</v>
      </c>
      <c r="D22" s="191">
        <f>('VPA 124 Downdays'!I13)/C22</f>
        <v>0</v>
      </c>
      <c r="E22" s="192">
        <f>IF(D22&lt;5%,95%,100%-D22)</f>
        <v>0.95</v>
      </c>
      <c r="F22" s="104">
        <f>(C16-C14)+1</f>
        <v>31</v>
      </c>
      <c r="G22" s="79">
        <f>F22*E22</f>
        <v>29.45</v>
      </c>
      <c r="K22" s="11"/>
      <c r="L22" s="141">
        <f t="shared" si="4"/>
        <v>29.45</v>
      </c>
      <c r="M22" s="64">
        <f t="shared" si="5"/>
        <v>4417.5</v>
      </c>
      <c r="N22" s="141">
        <f t="shared" si="6"/>
        <v>317.3</v>
      </c>
      <c r="O22" s="65">
        <f t="shared" si="7"/>
        <v>47595</v>
      </c>
      <c r="P22" s="66">
        <f t="shared" si="3"/>
        <v>52012.5</v>
      </c>
    </row>
    <row r="23" spans="2:17" ht="15" customHeight="1" x14ac:dyDescent="0.35">
      <c r="B23" s="193" t="s">
        <v>136</v>
      </c>
      <c r="C23" s="101">
        <f>(C15-C16)*9</f>
        <v>3006</v>
      </c>
      <c r="D23" s="191">
        <f>('VPA 124 Downdays'!J13)/C23</f>
        <v>0</v>
      </c>
      <c r="E23" s="192">
        <f>IF(D23&lt;5%,95%,100%-D23)</f>
        <v>0.95</v>
      </c>
      <c r="F23" s="104">
        <f>C15-C16</f>
        <v>334</v>
      </c>
      <c r="G23" s="79">
        <f>F23*E23</f>
        <v>317.3</v>
      </c>
      <c r="K23" s="11"/>
      <c r="L23" s="141">
        <f t="shared" si="4"/>
        <v>29.45</v>
      </c>
      <c r="M23" s="64">
        <f t="shared" si="5"/>
        <v>7303.5999999999995</v>
      </c>
      <c r="N23" s="141">
        <f t="shared" si="6"/>
        <v>317.3</v>
      </c>
      <c r="O23" s="65">
        <f t="shared" si="7"/>
        <v>78690.400000000009</v>
      </c>
      <c r="P23" s="66">
        <f t="shared" si="3"/>
        <v>85994.000000000015</v>
      </c>
    </row>
    <row r="24" spans="2:17" x14ac:dyDescent="0.35">
      <c r="K24" s="11"/>
      <c r="L24" s="141">
        <f t="shared" si="4"/>
        <v>29.45</v>
      </c>
      <c r="M24" s="64">
        <f t="shared" si="5"/>
        <v>45264.65</v>
      </c>
      <c r="N24" s="141">
        <f t="shared" si="6"/>
        <v>317.3</v>
      </c>
      <c r="O24" s="65">
        <f t="shared" si="7"/>
        <v>487690.10000000003</v>
      </c>
      <c r="P24" s="66">
        <f t="shared" si="3"/>
        <v>532954.75</v>
      </c>
    </row>
    <row r="25" spans="2:17" x14ac:dyDescent="0.35">
      <c r="B25" s="105" t="s">
        <v>402</v>
      </c>
      <c r="C25" s="106">
        <f>C22+C23</f>
        <v>3285</v>
      </c>
      <c r="D25" s="107">
        <f>'VPA 124 Downdays'!K13/'VPA 124 PTDs'!C25</f>
        <v>0</v>
      </c>
      <c r="K25" s="11"/>
      <c r="L25" s="141">
        <f t="shared" si="4"/>
        <v>29.45</v>
      </c>
      <c r="M25" s="64">
        <f t="shared" si="5"/>
        <v>9689.0499999999993</v>
      </c>
      <c r="N25" s="141">
        <f t="shared" si="6"/>
        <v>317.3</v>
      </c>
      <c r="O25" s="65">
        <f t="shared" si="7"/>
        <v>104391.7</v>
      </c>
      <c r="P25" s="66">
        <f t="shared" si="3"/>
        <v>114080.75</v>
      </c>
    </row>
    <row r="26" spans="2:17" x14ac:dyDescent="0.35">
      <c r="K26" s="11"/>
      <c r="L26" s="141">
        <f t="shared" si="4"/>
        <v>29.45</v>
      </c>
      <c r="M26" s="64">
        <f t="shared" si="5"/>
        <v>7244.7</v>
      </c>
      <c r="N26" s="141">
        <f t="shared" si="6"/>
        <v>317.3</v>
      </c>
      <c r="O26" s="65">
        <f t="shared" si="7"/>
        <v>78055.8</v>
      </c>
      <c r="P26" s="66">
        <f t="shared" si="3"/>
        <v>85300.5</v>
      </c>
    </row>
    <row r="27" spans="2:17" x14ac:dyDescent="0.35">
      <c r="K27" s="11"/>
      <c r="L27" s="141">
        <f t="shared" si="4"/>
        <v>29.45</v>
      </c>
      <c r="M27" s="64">
        <f t="shared" si="5"/>
        <v>3975.75</v>
      </c>
      <c r="N27" s="141">
        <f t="shared" si="6"/>
        <v>317.3</v>
      </c>
      <c r="O27" s="65">
        <f t="shared" si="7"/>
        <v>42835.5</v>
      </c>
      <c r="P27" s="66">
        <f t="shared" si="3"/>
        <v>46811.25</v>
      </c>
    </row>
    <row r="28" spans="2:17" ht="15" thickBot="1" x14ac:dyDescent="0.4">
      <c r="K28" s="11"/>
      <c r="L28" s="141">
        <f t="shared" si="4"/>
        <v>29.45</v>
      </c>
      <c r="M28" s="64">
        <f t="shared" si="5"/>
        <v>16933.75</v>
      </c>
      <c r="N28" s="141">
        <f t="shared" si="6"/>
        <v>317.3</v>
      </c>
      <c r="O28" s="65">
        <f t="shared" si="7"/>
        <v>182447.5</v>
      </c>
      <c r="P28" s="66">
        <f t="shared" si="3"/>
        <v>199381.25</v>
      </c>
    </row>
    <row r="29" spans="2:17" ht="15" thickBot="1" x14ac:dyDescent="0.4">
      <c r="K29" s="11"/>
      <c r="L29" s="151" t="s">
        <v>125</v>
      </c>
      <c r="M29" s="152">
        <f>SUM(M20:M28)</f>
        <v>108052.05</v>
      </c>
      <c r="N29" s="151"/>
      <c r="O29" s="152">
        <f>SUM(O20:O28)</f>
        <v>1164173.7000000002</v>
      </c>
      <c r="P29" s="185">
        <f>SUM(P20:P28)</f>
        <v>1272225.75</v>
      </c>
      <c r="Q29" s="1" t="s">
        <v>271</v>
      </c>
    </row>
    <row r="30" spans="2:17" x14ac:dyDescent="0.35">
      <c r="K30" s="11"/>
      <c r="L30" s="35"/>
    </row>
    <row r="31" spans="2:17" ht="15" customHeight="1" x14ac:dyDescent="0.35">
      <c r="K31" s="11"/>
    </row>
    <row r="38" ht="15" customHeight="1" x14ac:dyDescent="0.35"/>
  </sheetData>
  <mergeCells count="5">
    <mergeCell ref="L1:M1"/>
    <mergeCell ref="N1:O1"/>
    <mergeCell ref="B3:B11"/>
    <mergeCell ref="L18:M18"/>
    <mergeCell ref="N18:O18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BCB5B-2191-486D-8AA4-037C3054CE5C}">
  <dimension ref="B2:K13"/>
  <sheetViews>
    <sheetView topLeftCell="G1" zoomScale="80" zoomScaleNormal="80" workbookViewId="0">
      <selection activeCell="F57" sqref="F57"/>
    </sheetView>
  </sheetViews>
  <sheetFormatPr defaultRowHeight="14.5" x14ac:dyDescent="0.35"/>
  <cols>
    <col min="3" max="3" width="17.7265625" customWidth="1"/>
    <col min="4" max="4" width="15.81640625" customWidth="1"/>
    <col min="5" max="5" width="18.54296875" customWidth="1"/>
    <col min="6" max="6" width="21.26953125" customWidth="1"/>
    <col min="7" max="7" width="21" customWidth="1"/>
    <col min="8" max="8" width="36.453125" customWidth="1"/>
    <col min="9" max="9" width="7" customWidth="1"/>
    <col min="10" max="10" width="8.7265625" customWidth="1"/>
    <col min="11" max="11" width="19.54296875" customWidth="1"/>
  </cols>
  <sheetData>
    <row r="2" spans="2:11" x14ac:dyDescent="0.35">
      <c r="B2" s="445" t="s">
        <v>225</v>
      </c>
      <c r="C2" s="445" t="s">
        <v>226</v>
      </c>
      <c r="D2" s="445" t="s">
        <v>77</v>
      </c>
      <c r="E2" s="445" t="s">
        <v>78</v>
      </c>
      <c r="F2" s="445" t="s">
        <v>227</v>
      </c>
      <c r="G2" s="445" t="s">
        <v>228</v>
      </c>
      <c r="H2" s="441" t="s">
        <v>229</v>
      </c>
      <c r="I2" s="408" t="s">
        <v>230</v>
      </c>
      <c r="J2" s="408"/>
      <c r="K2" s="409"/>
    </row>
    <row r="3" spans="2:11" ht="15.5" x14ac:dyDescent="0.35">
      <c r="B3" s="446"/>
      <c r="C3" s="446"/>
      <c r="D3" s="446"/>
      <c r="E3" s="446"/>
      <c r="F3" s="446"/>
      <c r="G3" s="446"/>
      <c r="H3" s="442"/>
      <c r="I3" s="194">
        <v>2020</v>
      </c>
      <c r="J3" s="195">
        <v>2021</v>
      </c>
      <c r="K3" s="195" t="s">
        <v>272</v>
      </c>
    </row>
    <row r="4" spans="2:11" ht="21.65" customHeight="1" x14ac:dyDescent="0.35">
      <c r="B4" s="443" t="s">
        <v>241</v>
      </c>
      <c r="C4" s="444">
        <v>124</v>
      </c>
      <c r="D4" s="196" t="s">
        <v>242</v>
      </c>
      <c r="E4" s="196" t="s">
        <v>243</v>
      </c>
      <c r="F4" s="197"/>
      <c r="G4" s="197"/>
      <c r="H4" s="198"/>
      <c r="I4" s="37"/>
      <c r="J4" s="37"/>
      <c r="K4" s="37">
        <f>I4+J4</f>
        <v>0</v>
      </c>
    </row>
    <row r="5" spans="2:11" ht="33" customHeight="1" x14ac:dyDescent="0.35">
      <c r="B5" s="443"/>
      <c r="C5" s="444"/>
      <c r="D5" s="196" t="s">
        <v>245</v>
      </c>
      <c r="E5" s="196" t="s">
        <v>246</v>
      </c>
      <c r="F5" s="197"/>
      <c r="G5" s="197"/>
      <c r="H5" s="199"/>
      <c r="I5" s="37"/>
      <c r="J5" s="37"/>
      <c r="K5" s="37">
        <f t="shared" ref="K5:K12" si="0">I5+J5</f>
        <v>0</v>
      </c>
    </row>
    <row r="6" spans="2:11" ht="15.5" x14ac:dyDescent="0.35">
      <c r="B6" s="443"/>
      <c r="C6" s="444"/>
      <c r="D6" s="196" t="s">
        <v>248</v>
      </c>
      <c r="E6" s="196" t="s">
        <v>249</v>
      </c>
      <c r="F6" s="37"/>
      <c r="G6" s="37"/>
      <c r="H6" s="37"/>
      <c r="I6" s="37"/>
      <c r="J6" s="37"/>
      <c r="K6" s="37">
        <f t="shared" si="0"/>
        <v>0</v>
      </c>
    </row>
    <row r="7" spans="2:11" ht="15.5" x14ac:dyDescent="0.35">
      <c r="B7" s="443"/>
      <c r="C7" s="444"/>
      <c r="D7" s="196" t="s">
        <v>251</v>
      </c>
      <c r="E7" s="196" t="s">
        <v>252</v>
      </c>
      <c r="F7" s="37"/>
      <c r="G7" s="37"/>
      <c r="H7" s="37"/>
      <c r="I7" s="37"/>
      <c r="J7" s="37"/>
      <c r="K7" s="37">
        <f t="shared" si="0"/>
        <v>0</v>
      </c>
    </row>
    <row r="8" spans="2:11" ht="15.5" x14ac:dyDescent="0.35">
      <c r="B8" s="443"/>
      <c r="C8" s="444"/>
      <c r="D8" s="196" t="s">
        <v>254</v>
      </c>
      <c r="E8" s="200" t="s">
        <v>255</v>
      </c>
      <c r="F8" s="37"/>
      <c r="G8" s="37"/>
      <c r="H8" s="37"/>
      <c r="I8" s="37"/>
      <c r="J8" s="37"/>
      <c r="K8" s="37">
        <f t="shared" si="0"/>
        <v>0</v>
      </c>
    </row>
    <row r="9" spans="2:11" ht="15.5" x14ac:dyDescent="0.35">
      <c r="B9" s="443"/>
      <c r="C9" s="444"/>
      <c r="D9" s="196" t="s">
        <v>257</v>
      </c>
      <c r="E9" s="196" t="s">
        <v>258</v>
      </c>
      <c r="F9" s="37"/>
      <c r="G9" s="37"/>
      <c r="H9" s="37"/>
      <c r="I9" s="37"/>
      <c r="J9" s="37"/>
      <c r="K9" s="37">
        <f t="shared" si="0"/>
        <v>0</v>
      </c>
    </row>
    <row r="10" spans="2:11" ht="15.5" x14ac:dyDescent="0.35">
      <c r="B10" s="443"/>
      <c r="C10" s="444"/>
      <c r="D10" s="196" t="s">
        <v>260</v>
      </c>
      <c r="E10" s="196" t="s">
        <v>261</v>
      </c>
      <c r="F10" s="37"/>
      <c r="G10" s="37"/>
      <c r="H10" s="37"/>
      <c r="I10" s="37"/>
      <c r="J10" s="37"/>
      <c r="K10" s="37">
        <f t="shared" si="0"/>
        <v>0</v>
      </c>
    </row>
    <row r="11" spans="2:11" ht="15.5" x14ac:dyDescent="0.35">
      <c r="B11" s="443"/>
      <c r="C11" s="444"/>
      <c r="D11" s="196" t="s">
        <v>263</v>
      </c>
      <c r="E11" s="200" t="s">
        <v>264</v>
      </c>
      <c r="F11" s="37"/>
      <c r="G11" s="37"/>
      <c r="H11" s="37"/>
      <c r="I11" s="37"/>
      <c r="J11" s="37"/>
      <c r="K11" s="37">
        <f t="shared" si="0"/>
        <v>0</v>
      </c>
    </row>
    <row r="12" spans="2:11" ht="15.5" x14ac:dyDescent="0.35">
      <c r="B12" s="443"/>
      <c r="C12" s="444"/>
      <c r="D12" s="196" t="s">
        <v>267</v>
      </c>
      <c r="E12" s="73" t="s">
        <v>268</v>
      </c>
      <c r="F12" s="37"/>
      <c r="G12" s="37"/>
      <c r="H12" s="37"/>
      <c r="I12" s="37"/>
      <c r="J12" s="37"/>
      <c r="K12" s="37">
        <f t="shared" si="0"/>
        <v>0</v>
      </c>
    </row>
    <row r="13" spans="2:11" x14ac:dyDescent="0.35">
      <c r="B13" s="171" t="s">
        <v>23</v>
      </c>
      <c r="C13" s="171"/>
      <c r="D13" s="171"/>
      <c r="E13" s="171"/>
      <c r="F13" s="171"/>
      <c r="G13" s="171"/>
      <c r="H13" s="171"/>
      <c r="I13" s="171">
        <f>SUM(I4:I12)</f>
        <v>0</v>
      </c>
      <c r="J13" s="171">
        <f>SUM(J4:J12)</f>
        <v>0</v>
      </c>
      <c r="K13" s="171">
        <f>SUM(K4:K12)</f>
        <v>0</v>
      </c>
    </row>
  </sheetData>
  <mergeCells count="10">
    <mergeCell ref="H2:H3"/>
    <mergeCell ref="I2:K2"/>
    <mergeCell ref="B4:B12"/>
    <mergeCell ref="C4:C12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D04FF-8393-4CBC-8DE2-A098CBA9B1CF}">
  <dimension ref="A2:E23"/>
  <sheetViews>
    <sheetView topLeftCell="B1" zoomScale="66" zoomScaleNormal="85" workbookViewId="0">
      <selection activeCell="C18" sqref="C18"/>
    </sheetView>
  </sheetViews>
  <sheetFormatPr defaultRowHeight="14.5" x14ac:dyDescent="0.35"/>
  <cols>
    <col min="1" max="1" width="32.26953125" bestFit="1" customWidth="1"/>
    <col min="2" max="2" width="120" bestFit="1" customWidth="1"/>
    <col min="3" max="3" width="35" bestFit="1" customWidth="1"/>
    <col min="4" max="4" width="10.453125" bestFit="1" customWidth="1"/>
  </cols>
  <sheetData>
    <row r="2" spans="1:5" ht="29" x14ac:dyDescent="0.35">
      <c r="A2" s="108" t="s">
        <v>138</v>
      </c>
      <c r="B2" s="108" t="s">
        <v>139</v>
      </c>
      <c r="C2" s="108" t="s">
        <v>140</v>
      </c>
      <c r="D2" s="108" t="s">
        <v>141</v>
      </c>
      <c r="E2" s="174" t="s">
        <v>182</v>
      </c>
    </row>
    <row r="3" spans="1:5" x14ac:dyDescent="0.35">
      <c r="A3" s="62" t="s">
        <v>142</v>
      </c>
      <c r="B3" s="5" t="s">
        <v>143</v>
      </c>
      <c r="C3" s="175">
        <f>((C4-C5)/C4)*C9</f>
        <v>0.92269999999999996</v>
      </c>
      <c r="D3" s="5" t="s">
        <v>144</v>
      </c>
      <c r="E3" s="174"/>
    </row>
    <row r="4" spans="1:5" x14ac:dyDescent="0.35">
      <c r="A4" s="5" t="s">
        <v>145</v>
      </c>
      <c r="B4" s="5" t="s">
        <v>146</v>
      </c>
      <c r="C4" s="110">
        <f>C6*C7</f>
        <v>3.0000000000000001E-3</v>
      </c>
      <c r="D4" s="5" t="s">
        <v>147</v>
      </c>
      <c r="E4" s="174"/>
    </row>
    <row r="5" spans="1:5" x14ac:dyDescent="0.35">
      <c r="A5" s="74" t="s">
        <v>148</v>
      </c>
      <c r="B5" s="5" t="s">
        <v>149</v>
      </c>
      <c r="C5" s="111">
        <f>C6*C8</f>
        <v>0</v>
      </c>
      <c r="D5" s="5" t="s">
        <v>150</v>
      </c>
      <c r="E5" s="174"/>
    </row>
    <row r="6" spans="1:5" ht="29" x14ac:dyDescent="0.35">
      <c r="A6" s="5" t="s">
        <v>42</v>
      </c>
      <c r="B6" s="5" t="s">
        <v>151</v>
      </c>
      <c r="C6" s="112">
        <v>4.0000000000000002E-4</v>
      </c>
      <c r="D6" s="5" t="s">
        <v>152</v>
      </c>
      <c r="E6" s="176" t="s">
        <v>185</v>
      </c>
    </row>
    <row r="7" spans="1:5" ht="87" x14ac:dyDescent="0.35">
      <c r="A7" s="5" t="s">
        <v>45</v>
      </c>
      <c r="B7" s="5" t="s">
        <v>153</v>
      </c>
      <c r="C7" s="111">
        <v>7.5</v>
      </c>
      <c r="D7" s="5" t="s">
        <v>154</v>
      </c>
      <c r="E7" s="176" t="s">
        <v>186</v>
      </c>
    </row>
    <row r="8" spans="1:5" x14ac:dyDescent="0.35">
      <c r="A8" s="5" t="s">
        <v>155</v>
      </c>
      <c r="B8" s="5" t="s">
        <v>156</v>
      </c>
      <c r="C8" s="111">
        <v>0</v>
      </c>
      <c r="D8" s="5" t="s">
        <v>154</v>
      </c>
      <c r="E8" s="176" t="s">
        <v>187</v>
      </c>
    </row>
    <row r="9" spans="1:5" ht="15.75" customHeight="1" x14ac:dyDescent="0.45">
      <c r="A9" s="5" t="s">
        <v>157</v>
      </c>
      <c r="B9" s="5" t="s">
        <v>158</v>
      </c>
      <c r="C9" s="177">
        <v>0.92269999999999996</v>
      </c>
      <c r="D9" s="5" t="s">
        <v>144</v>
      </c>
      <c r="E9" s="176" t="s">
        <v>190</v>
      </c>
    </row>
    <row r="10" spans="1:5" x14ac:dyDescent="0.35">
      <c r="E10" s="174"/>
    </row>
    <row r="11" spans="1:5" x14ac:dyDescent="0.35">
      <c r="A11" s="108" t="s">
        <v>159</v>
      </c>
      <c r="B11" s="108" t="s">
        <v>139</v>
      </c>
      <c r="C11" s="108" t="s">
        <v>160</v>
      </c>
      <c r="D11" s="108" t="s">
        <v>141</v>
      </c>
      <c r="E11" s="174"/>
    </row>
    <row r="12" spans="1:5" x14ac:dyDescent="0.35">
      <c r="A12" s="37" t="s">
        <v>161</v>
      </c>
      <c r="B12" s="5" t="s">
        <v>162</v>
      </c>
      <c r="C12" s="115">
        <f>(C13-C14)</f>
        <v>1.2899999999999998</v>
      </c>
      <c r="D12" s="5" t="s">
        <v>163</v>
      </c>
      <c r="E12" s="174"/>
    </row>
    <row r="13" spans="1:5" ht="29" x14ac:dyDescent="0.35">
      <c r="A13" s="37" t="s">
        <v>164</v>
      </c>
      <c r="B13" s="5" t="s">
        <v>165</v>
      </c>
      <c r="C13" s="5">
        <v>2.2599999999999998</v>
      </c>
      <c r="D13" s="5" t="s">
        <v>163</v>
      </c>
      <c r="E13" s="176" t="s">
        <v>237</v>
      </c>
    </row>
    <row r="14" spans="1:5" ht="29" x14ac:dyDescent="0.35">
      <c r="A14" s="37" t="s">
        <v>166</v>
      </c>
      <c r="B14" s="5" t="s">
        <v>167</v>
      </c>
      <c r="C14" s="5">
        <v>0.97</v>
      </c>
      <c r="D14" s="5" t="s">
        <v>163</v>
      </c>
      <c r="E14" s="176" t="s">
        <v>238</v>
      </c>
    </row>
    <row r="15" spans="1:5" x14ac:dyDescent="0.35">
      <c r="E15" s="174"/>
    </row>
    <row r="16" spans="1:5" x14ac:dyDescent="0.35">
      <c r="A16" s="108" t="s">
        <v>168</v>
      </c>
      <c r="B16" s="108" t="s">
        <v>139</v>
      </c>
      <c r="C16" s="108" t="s">
        <v>169</v>
      </c>
      <c r="D16" s="108" t="s">
        <v>141</v>
      </c>
      <c r="E16" s="174"/>
    </row>
    <row r="17" spans="1:5" x14ac:dyDescent="0.35">
      <c r="A17" s="37" t="s">
        <v>170</v>
      </c>
      <c r="B17" s="5" t="s">
        <v>171</v>
      </c>
      <c r="C17" s="116">
        <f>C18*(1-C19)*C20</f>
        <v>1963.5056</v>
      </c>
      <c r="D17" s="5" t="s">
        <v>172</v>
      </c>
      <c r="E17" s="174"/>
    </row>
    <row r="18" spans="1:5" x14ac:dyDescent="0.35">
      <c r="A18" s="37" t="s">
        <v>173</v>
      </c>
      <c r="B18" s="5" t="s">
        <v>174</v>
      </c>
      <c r="C18" s="117">
        <f>'VPA 124 PTDs'!J12</f>
        <v>2128</v>
      </c>
      <c r="D18" s="5" t="s">
        <v>172</v>
      </c>
      <c r="E18" s="174" t="s">
        <v>239</v>
      </c>
    </row>
    <row r="19" spans="1:5" ht="29" x14ac:dyDescent="0.35">
      <c r="A19" s="37" t="s">
        <v>38</v>
      </c>
      <c r="B19" s="5" t="s">
        <v>175</v>
      </c>
      <c r="C19" s="118">
        <v>0</v>
      </c>
      <c r="D19" s="5" t="s">
        <v>144</v>
      </c>
      <c r="E19" s="174" t="s">
        <v>237</v>
      </c>
    </row>
    <row r="20" spans="1:5" ht="73.5" x14ac:dyDescent="0.45">
      <c r="A20" s="37" t="s">
        <v>157</v>
      </c>
      <c r="B20" s="5" t="s">
        <v>158</v>
      </c>
      <c r="C20" s="177">
        <v>0.92269999999999996</v>
      </c>
      <c r="D20" s="5" t="s">
        <v>144</v>
      </c>
      <c r="E20" s="174" t="s">
        <v>190</v>
      </c>
    </row>
    <row r="21" spans="1:5" x14ac:dyDescent="0.35">
      <c r="E21" s="174"/>
    </row>
    <row r="22" spans="1:5" x14ac:dyDescent="0.35">
      <c r="A22" s="119" t="s">
        <v>176</v>
      </c>
      <c r="B22" s="108" t="s">
        <v>139</v>
      </c>
      <c r="C22" s="108"/>
      <c r="D22" s="108" t="s">
        <v>141</v>
      </c>
      <c r="E22" s="174"/>
    </row>
    <row r="23" spans="1:5" x14ac:dyDescent="0.35">
      <c r="A23" s="37" t="s">
        <v>177</v>
      </c>
      <c r="B23" s="5" t="s">
        <v>178</v>
      </c>
      <c r="C23" s="120">
        <f>'VPA 124 Summary'!E36</f>
        <v>3683</v>
      </c>
      <c r="D23" s="5" t="s">
        <v>179</v>
      </c>
      <c r="E23" s="174" t="s">
        <v>240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031AF-0942-4289-BBFC-A90C47CD95D0}">
  <dimension ref="B1:O36"/>
  <sheetViews>
    <sheetView topLeftCell="A28" zoomScale="70" zoomScaleNormal="70" workbookViewId="0">
      <selection activeCell="B52" sqref="B52"/>
    </sheetView>
  </sheetViews>
  <sheetFormatPr defaultColWidth="9.1796875" defaultRowHeight="14.5" x14ac:dyDescent="0.35"/>
  <cols>
    <col min="1" max="1" width="9.1796875" style="1"/>
    <col min="2" max="2" width="41.81640625" style="1" bestFit="1" customWidth="1"/>
    <col min="3" max="3" width="5.81640625" style="1" bestFit="1" customWidth="1"/>
    <col min="4" max="4" width="11" style="1" bestFit="1" customWidth="1"/>
    <col min="5" max="5" width="8.81640625" style="1" customWidth="1"/>
    <col min="6" max="7" width="9.1796875" style="1"/>
    <col min="8" max="8" width="3.26953125" style="1" customWidth="1"/>
    <col min="9" max="9" width="9.54296875" style="1" customWidth="1"/>
    <col min="10" max="13" width="17.54296875" style="1" customWidth="1"/>
    <col min="14" max="14" width="12.1796875" style="1" customWidth="1"/>
    <col min="15" max="16384" width="9.1796875" style="1"/>
  </cols>
  <sheetData>
    <row r="1" spans="2:15" ht="15" thickBot="1" x14ac:dyDescent="0.4"/>
    <row r="2" spans="2:15" ht="18.75" customHeight="1" thickBot="1" x14ac:dyDescent="0.5">
      <c r="B2" s="377" t="s">
        <v>180</v>
      </c>
      <c r="C2" s="378"/>
      <c r="D2" s="378"/>
      <c r="E2" s="379"/>
      <c r="F2" s="2"/>
      <c r="G2" s="2"/>
      <c r="H2" s="2"/>
      <c r="I2" s="377" t="s">
        <v>1</v>
      </c>
      <c r="J2" s="378"/>
      <c r="K2" s="378"/>
      <c r="L2" s="378"/>
      <c r="M2" s="378"/>
      <c r="N2" s="379"/>
    </row>
    <row r="3" spans="2:15" ht="15" thickBot="1" x14ac:dyDescent="0.4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2:15" ht="15" customHeight="1" x14ac:dyDescent="0.35">
      <c r="B4" s="380" t="s">
        <v>2</v>
      </c>
      <c r="C4" s="381"/>
      <c r="D4" s="381"/>
      <c r="E4" s="382"/>
      <c r="G4" s="2"/>
      <c r="H4" s="2"/>
      <c r="I4" s="383" t="s">
        <v>3</v>
      </c>
      <c r="J4" s="384"/>
      <c r="K4" s="384"/>
      <c r="L4" s="384"/>
      <c r="M4" s="384"/>
      <c r="N4" s="385"/>
    </row>
    <row r="5" spans="2:15" x14ac:dyDescent="0.35">
      <c r="B5" s="386" t="s">
        <v>4</v>
      </c>
      <c r="C5" s="387"/>
      <c r="D5" s="387"/>
      <c r="E5" s="388"/>
      <c r="G5" s="2"/>
      <c r="H5" s="2"/>
      <c r="I5" s="3" t="s">
        <v>5</v>
      </c>
      <c r="J5" s="3" t="s">
        <v>181</v>
      </c>
      <c r="K5" s="3" t="s">
        <v>7</v>
      </c>
      <c r="L5" s="3" t="s">
        <v>8</v>
      </c>
      <c r="M5" s="3" t="s">
        <v>9</v>
      </c>
      <c r="N5" s="3" t="s">
        <v>10</v>
      </c>
    </row>
    <row r="6" spans="2:15" x14ac:dyDescent="0.35">
      <c r="B6" s="4" t="s">
        <v>11</v>
      </c>
      <c r="C6" s="5" t="s">
        <v>12</v>
      </c>
      <c r="D6" s="5" t="s">
        <v>13</v>
      </c>
      <c r="E6" s="6">
        <f>'VPA 125 ER Calcs'!J27</f>
        <v>318</v>
      </c>
      <c r="G6" s="2"/>
      <c r="H6" s="2"/>
      <c r="I6" s="126">
        <v>2017</v>
      </c>
      <c r="J6" s="8">
        <v>1038</v>
      </c>
      <c r="K6" s="8"/>
      <c r="L6" s="8"/>
      <c r="M6" s="8"/>
      <c r="N6" s="8">
        <f>SUM(J6:L6)</f>
        <v>1038</v>
      </c>
    </row>
    <row r="7" spans="2:15" x14ac:dyDescent="0.35">
      <c r="B7" s="4" t="s">
        <v>14</v>
      </c>
      <c r="C7" s="5" t="s">
        <v>15</v>
      </c>
      <c r="D7" s="5" t="s">
        <v>13</v>
      </c>
      <c r="E7" s="6">
        <f>'VPA 125 ER Calcs'!J28</f>
        <v>0</v>
      </c>
      <c r="G7" s="2"/>
      <c r="H7" s="2"/>
      <c r="I7" s="126">
        <v>2018</v>
      </c>
      <c r="J7" s="9">
        <v>9001</v>
      </c>
      <c r="K7" s="10">
        <v>804</v>
      </c>
      <c r="L7" s="10"/>
      <c r="M7" s="10"/>
      <c r="N7" s="8">
        <f>SUM(J7:L7)</f>
        <v>9805</v>
      </c>
      <c r="O7" s="11"/>
    </row>
    <row r="8" spans="2:15" x14ac:dyDescent="0.35">
      <c r="B8" s="4" t="s">
        <v>16</v>
      </c>
      <c r="C8" s="5" t="s">
        <v>17</v>
      </c>
      <c r="D8" s="5" t="s">
        <v>18</v>
      </c>
      <c r="E8" s="12">
        <f>'VPA 125 ER Calcs'!J29</f>
        <v>0.92269999999999996</v>
      </c>
      <c r="G8" s="2"/>
      <c r="H8" s="2"/>
      <c r="I8" s="126">
        <v>2019</v>
      </c>
      <c r="J8" s="9"/>
      <c r="K8" s="10">
        <v>8991</v>
      </c>
      <c r="L8" s="10">
        <f>E33</f>
        <v>287</v>
      </c>
      <c r="M8" s="10"/>
      <c r="N8" s="8">
        <f t="shared" ref="N8:N9" si="0">SUM(J8:L8)</f>
        <v>9278</v>
      </c>
      <c r="O8" s="11"/>
    </row>
    <row r="9" spans="2:15" x14ac:dyDescent="0.35">
      <c r="B9" s="4" t="s">
        <v>19</v>
      </c>
      <c r="C9" s="5" t="s">
        <v>20</v>
      </c>
      <c r="D9" s="5" t="s">
        <v>13</v>
      </c>
      <c r="E9" s="6">
        <f>'VPA 125 ER Calcs'!J30</f>
        <v>0</v>
      </c>
      <c r="G9" s="2"/>
      <c r="H9" s="2"/>
      <c r="I9" s="126">
        <v>2020</v>
      </c>
      <c r="J9" s="9"/>
      <c r="K9" s="10"/>
      <c r="L9" s="10">
        <f>E34</f>
        <v>3136</v>
      </c>
      <c r="M9" s="10">
        <f>'VPA 125 ER Calcs'!J38</f>
        <v>287</v>
      </c>
      <c r="N9" s="8">
        <f t="shared" si="0"/>
        <v>3136</v>
      </c>
    </row>
    <row r="10" spans="2:15" x14ac:dyDescent="0.35">
      <c r="B10" s="4"/>
      <c r="C10" s="5"/>
      <c r="D10" s="5"/>
      <c r="E10" s="6"/>
      <c r="G10" s="2"/>
      <c r="H10" s="2"/>
      <c r="I10" s="126">
        <v>2021</v>
      </c>
      <c r="J10" s="9"/>
      <c r="K10" s="10"/>
      <c r="L10" s="10"/>
      <c r="M10" s="10">
        <f>'VPA 125 ER Calcs'!O38</f>
        <v>3136</v>
      </c>
      <c r="N10" s="8">
        <f>SUM(J10:M10)</f>
        <v>3136</v>
      </c>
    </row>
    <row r="11" spans="2:15" x14ac:dyDescent="0.35">
      <c r="B11" s="4" t="s">
        <v>21</v>
      </c>
      <c r="C11" s="5" t="s">
        <v>22</v>
      </c>
      <c r="D11" s="5" t="s">
        <v>13</v>
      </c>
      <c r="E11" s="6">
        <f>'VPA 125 ER Calcs'!J31</f>
        <v>293.41859999999997</v>
      </c>
      <c r="G11" s="2"/>
      <c r="H11" s="2"/>
      <c r="I11" s="126" t="s">
        <v>23</v>
      </c>
      <c r="J11" s="127">
        <f>SUM(J6:J9)</f>
        <v>10039</v>
      </c>
      <c r="K11" s="127">
        <f>SUM(K6:K9)</f>
        <v>9795</v>
      </c>
      <c r="L11" s="127">
        <f>SUM(L6:L9)</f>
        <v>3423</v>
      </c>
      <c r="M11" s="127">
        <f>SUM(M6:M10)</f>
        <v>3423</v>
      </c>
      <c r="N11" s="127">
        <f>SUM(N6:N10)</f>
        <v>26393</v>
      </c>
    </row>
    <row r="12" spans="2:15" x14ac:dyDescent="0.35">
      <c r="B12" s="386" t="s">
        <v>24</v>
      </c>
      <c r="C12" s="387"/>
      <c r="D12" s="387"/>
      <c r="E12" s="388"/>
      <c r="G12" s="2"/>
      <c r="H12" s="2"/>
      <c r="I12" s="2"/>
      <c r="J12" s="2"/>
      <c r="K12" s="2"/>
      <c r="L12" s="2"/>
      <c r="M12" s="2"/>
    </row>
    <row r="13" spans="2:15" x14ac:dyDescent="0.35">
      <c r="B13" s="22" t="s">
        <v>25</v>
      </c>
      <c r="C13" s="5"/>
      <c r="D13" s="23"/>
      <c r="E13" s="24">
        <f>'VPA 125 ER Calcs'!J34</f>
        <v>0.98</v>
      </c>
      <c r="G13" s="2"/>
      <c r="H13" s="2"/>
      <c r="I13" s="2"/>
      <c r="J13" s="2"/>
      <c r="K13" s="2"/>
      <c r="L13" s="2"/>
      <c r="M13" s="2"/>
    </row>
    <row r="14" spans="2:15" x14ac:dyDescent="0.35">
      <c r="B14" s="22" t="s">
        <v>26</v>
      </c>
      <c r="C14" s="5" t="s">
        <v>27</v>
      </c>
      <c r="D14" s="23" t="s">
        <v>28</v>
      </c>
      <c r="E14" s="24">
        <f>'VPA 125 ER Calcs'!J35</f>
        <v>2.0000000000000018E-2</v>
      </c>
      <c r="G14" s="2"/>
      <c r="H14" s="2"/>
      <c r="I14" s="2"/>
      <c r="J14" s="2"/>
      <c r="K14" s="2"/>
      <c r="L14" s="2"/>
      <c r="M14" s="2"/>
    </row>
    <row r="15" spans="2:15" ht="15" thickBot="1" x14ac:dyDescent="0.4">
      <c r="B15" s="25" t="s">
        <v>21</v>
      </c>
      <c r="C15" s="26" t="s">
        <v>29</v>
      </c>
      <c r="D15" s="26" t="s">
        <v>13</v>
      </c>
      <c r="E15" s="27">
        <f>ROUNDDOWN(E11*(1-E14),0)</f>
        <v>287</v>
      </c>
      <c r="G15" s="2"/>
      <c r="H15" s="2"/>
      <c r="I15" s="2"/>
      <c r="J15" s="2"/>
      <c r="K15" s="2"/>
      <c r="L15" s="2"/>
      <c r="M15" s="2"/>
    </row>
    <row r="16" spans="2:15" ht="15" thickBot="1" x14ac:dyDescent="0.4">
      <c r="B16" s="25" t="s">
        <v>30</v>
      </c>
      <c r="C16" s="26" t="s">
        <v>29</v>
      </c>
      <c r="D16" s="26" t="s">
        <v>13</v>
      </c>
      <c r="E16" s="27">
        <f>'VPA 125 ER Calcs'!J38</f>
        <v>287</v>
      </c>
      <c r="G16" s="2"/>
      <c r="H16" s="2"/>
      <c r="I16" s="2"/>
      <c r="J16" s="2"/>
      <c r="K16" s="2"/>
      <c r="L16" s="2"/>
      <c r="M16" s="2"/>
    </row>
    <row r="17" spans="2:13" ht="15" thickBot="1" x14ac:dyDescent="0.4">
      <c r="B17" s="2"/>
      <c r="C17" s="2"/>
      <c r="D17" s="2"/>
      <c r="E17" s="2"/>
      <c r="G17" s="2"/>
      <c r="H17" s="2"/>
      <c r="I17" s="2"/>
      <c r="J17" s="2"/>
      <c r="K17" s="2"/>
      <c r="L17" s="2"/>
      <c r="M17" s="2"/>
    </row>
    <row r="18" spans="2:13" x14ac:dyDescent="0.35">
      <c r="B18" s="380" t="s">
        <v>35</v>
      </c>
      <c r="C18" s="381"/>
      <c r="D18" s="381"/>
      <c r="E18" s="382"/>
      <c r="F18" s="2"/>
      <c r="G18" s="2"/>
      <c r="H18" s="2"/>
      <c r="I18" s="2"/>
      <c r="J18" s="2"/>
      <c r="K18" s="2"/>
      <c r="L18" s="2"/>
      <c r="M18" s="2"/>
    </row>
    <row r="19" spans="2:13" x14ac:dyDescent="0.35">
      <c r="B19" s="386" t="s">
        <v>4</v>
      </c>
      <c r="C19" s="387"/>
      <c r="D19" s="387"/>
      <c r="E19" s="388"/>
      <c r="F19" s="2"/>
      <c r="G19" s="2"/>
      <c r="H19" s="2"/>
      <c r="I19" s="2"/>
      <c r="J19" s="2"/>
      <c r="K19" s="2"/>
      <c r="L19" s="2"/>
      <c r="M19" s="2"/>
    </row>
    <row r="20" spans="2:13" x14ac:dyDescent="0.35">
      <c r="B20" s="4" t="s">
        <v>11</v>
      </c>
      <c r="C20" s="5" t="s">
        <v>12</v>
      </c>
      <c r="D20" s="5" t="s">
        <v>13</v>
      </c>
      <c r="E20" s="6">
        <f>'VPA 125 ER Calcs'!O27</f>
        <v>3469</v>
      </c>
      <c r="F20" s="2"/>
      <c r="G20" s="2"/>
      <c r="H20" s="2"/>
      <c r="I20" s="2"/>
      <c r="J20" s="2"/>
      <c r="K20" s="2"/>
      <c r="L20" s="2"/>
      <c r="M20" s="2"/>
    </row>
    <row r="21" spans="2:13" x14ac:dyDescent="0.35">
      <c r="B21" s="4" t="s">
        <v>14</v>
      </c>
      <c r="C21" s="5" t="s">
        <v>15</v>
      </c>
      <c r="D21" s="5" t="s">
        <v>13</v>
      </c>
      <c r="E21" s="6">
        <f>'VPA 125 ER Calcs'!O28</f>
        <v>0</v>
      </c>
      <c r="F21" s="2"/>
      <c r="G21" s="2"/>
      <c r="H21" s="2"/>
      <c r="I21" s="2"/>
      <c r="J21" s="2"/>
      <c r="K21" s="2"/>
      <c r="L21" s="2"/>
      <c r="M21" s="2"/>
    </row>
    <row r="22" spans="2:13" x14ac:dyDescent="0.35">
      <c r="B22" s="4" t="s">
        <v>16</v>
      </c>
      <c r="C22" s="5" t="s">
        <v>17</v>
      </c>
      <c r="D22" s="5" t="s">
        <v>18</v>
      </c>
      <c r="E22" s="12">
        <f>'VPA 125 ER Calcs'!O29</f>
        <v>0.92269999999999996</v>
      </c>
      <c r="F22" s="2"/>
      <c r="G22" s="2"/>
      <c r="H22" s="2"/>
      <c r="I22" s="2"/>
      <c r="J22" s="2"/>
      <c r="K22" s="2"/>
      <c r="L22" s="2"/>
      <c r="M22" s="2"/>
    </row>
    <row r="23" spans="2:13" x14ac:dyDescent="0.35">
      <c r="B23" s="4" t="s">
        <v>19</v>
      </c>
      <c r="C23" s="5" t="s">
        <v>20</v>
      </c>
      <c r="D23" s="5" t="s">
        <v>13</v>
      </c>
      <c r="E23" s="6">
        <f>'VPA 125 ER Calcs'!O30</f>
        <v>0</v>
      </c>
      <c r="F23" s="2"/>
      <c r="G23" s="2"/>
      <c r="H23" s="2"/>
      <c r="I23" s="2"/>
      <c r="J23" s="2"/>
      <c r="K23" s="2"/>
      <c r="L23" s="2"/>
      <c r="M23" s="2"/>
    </row>
    <row r="24" spans="2:13" x14ac:dyDescent="0.35">
      <c r="B24" s="4" t="s">
        <v>21</v>
      </c>
      <c r="C24" s="5" t="s">
        <v>22</v>
      </c>
      <c r="D24" s="5" t="s">
        <v>13</v>
      </c>
      <c r="E24" s="6">
        <f>'VPA 125 ER Calcs'!O31</f>
        <v>3200.8462999999997</v>
      </c>
      <c r="F24" s="2"/>
      <c r="G24" s="2"/>
      <c r="H24" s="2"/>
      <c r="I24" s="2"/>
      <c r="J24" s="2"/>
      <c r="K24" s="2"/>
      <c r="L24" s="2"/>
      <c r="M24" s="2"/>
    </row>
    <row r="25" spans="2:13" x14ac:dyDescent="0.35">
      <c r="B25" s="386" t="s">
        <v>24</v>
      </c>
      <c r="C25" s="387"/>
      <c r="D25" s="387"/>
      <c r="E25" s="388"/>
      <c r="F25" s="2"/>
      <c r="G25" s="2"/>
      <c r="H25" s="2"/>
      <c r="I25" s="2"/>
      <c r="J25" s="2"/>
      <c r="K25" s="2"/>
      <c r="L25" s="2"/>
      <c r="M25" s="2"/>
    </row>
    <row r="26" spans="2:13" x14ac:dyDescent="0.35">
      <c r="B26" s="22" t="s">
        <v>25</v>
      </c>
      <c r="C26" s="5"/>
      <c r="D26" s="23"/>
      <c r="E26" s="24">
        <f>'VPA 125 ER Calcs'!O34</f>
        <v>0.98</v>
      </c>
      <c r="F26" s="2"/>
      <c r="G26" s="2"/>
      <c r="H26" s="2"/>
      <c r="I26" s="2"/>
      <c r="J26" s="2"/>
      <c r="K26" s="2"/>
      <c r="L26" s="2"/>
      <c r="M26" s="2"/>
    </row>
    <row r="27" spans="2:13" x14ac:dyDescent="0.35">
      <c r="B27" s="22" t="s">
        <v>26</v>
      </c>
      <c r="C27" s="5" t="s">
        <v>27</v>
      </c>
      <c r="D27" s="23" t="s">
        <v>28</v>
      </c>
      <c r="E27" s="24">
        <f>'VPA 125 ER Calcs'!O35</f>
        <v>2.0000000000000018E-2</v>
      </c>
      <c r="F27" s="2"/>
      <c r="G27" s="2"/>
      <c r="H27" s="2"/>
      <c r="I27" s="2"/>
      <c r="J27" s="2"/>
      <c r="K27" s="2"/>
      <c r="L27" s="2"/>
      <c r="M27" s="2"/>
    </row>
    <row r="28" spans="2:13" ht="15" thickBot="1" x14ac:dyDescent="0.4">
      <c r="B28" s="25" t="s">
        <v>21</v>
      </c>
      <c r="C28" s="26" t="s">
        <v>22</v>
      </c>
      <c r="D28" s="26" t="s">
        <v>13</v>
      </c>
      <c r="E28" s="27">
        <f>ROUNDDOWN(E24*(1-E27),0)</f>
        <v>3136</v>
      </c>
      <c r="F28" s="2"/>
      <c r="G28" s="2"/>
      <c r="H28" s="2"/>
      <c r="I28" s="2"/>
      <c r="J28" s="2"/>
      <c r="K28" s="2"/>
      <c r="L28" s="2"/>
      <c r="M28" s="2"/>
    </row>
    <row r="29" spans="2:13" ht="15" thickBot="1" x14ac:dyDescent="0.4">
      <c r="B29" s="25" t="s">
        <v>30</v>
      </c>
      <c r="C29" s="26" t="s">
        <v>22</v>
      </c>
      <c r="D29" s="26" t="s">
        <v>13</v>
      </c>
      <c r="E29" s="27">
        <f>'VPA 125 ER Calcs'!O38</f>
        <v>3136</v>
      </c>
      <c r="F29" s="2"/>
      <c r="G29" s="2"/>
      <c r="H29" s="2"/>
      <c r="I29" s="2"/>
      <c r="J29" s="2"/>
      <c r="K29" s="2"/>
      <c r="L29" s="2"/>
      <c r="M29" s="2"/>
    </row>
    <row r="30" spans="2:13" ht="15" thickBot="1" x14ac:dyDescent="0.4">
      <c r="B30" s="2"/>
      <c r="C30" s="2"/>
      <c r="D30" s="2"/>
      <c r="E30" s="2"/>
      <c r="F30" s="2"/>
      <c r="G30" s="2"/>
      <c r="H30" s="2"/>
      <c r="I30" s="28"/>
      <c r="J30" s="28"/>
      <c r="K30" s="28"/>
      <c r="L30" s="28"/>
      <c r="M30" s="28"/>
    </row>
    <row r="31" spans="2:13" ht="15.5" x14ac:dyDescent="0.35">
      <c r="B31" s="422" t="s">
        <v>31</v>
      </c>
      <c r="C31" s="423"/>
      <c r="D31" s="423"/>
      <c r="E31" s="424"/>
      <c r="F31" s="2"/>
      <c r="G31" s="2"/>
      <c r="H31" s="2"/>
      <c r="I31" s="2"/>
      <c r="J31" s="2"/>
      <c r="K31" s="2"/>
      <c r="L31" s="2"/>
      <c r="M31" s="2"/>
    </row>
    <row r="32" spans="2:13" x14ac:dyDescent="0.35">
      <c r="B32" s="425" t="s">
        <v>4</v>
      </c>
      <c r="C32" s="426"/>
      <c r="D32" s="426"/>
      <c r="E32" s="427"/>
      <c r="F32" s="2"/>
      <c r="G32" s="2"/>
      <c r="H32" s="2"/>
      <c r="I32" s="2"/>
      <c r="J32" s="2"/>
      <c r="K32" s="2"/>
      <c r="L32" s="2"/>
      <c r="M32" s="2"/>
    </row>
    <row r="33" spans="2:13" x14ac:dyDescent="0.35">
      <c r="B33" s="419">
        <v>2020</v>
      </c>
      <c r="C33" s="420"/>
      <c r="D33" s="421"/>
      <c r="E33" s="29">
        <f>E16</f>
        <v>287</v>
      </c>
      <c r="F33" s="2"/>
      <c r="G33" s="2"/>
      <c r="H33" s="2"/>
      <c r="I33" s="2"/>
      <c r="J33" s="2"/>
      <c r="K33" s="2"/>
      <c r="L33" s="2"/>
      <c r="M33" s="2"/>
    </row>
    <row r="34" spans="2:13" x14ac:dyDescent="0.35">
      <c r="B34" s="419">
        <v>2021</v>
      </c>
      <c r="C34" s="420"/>
      <c r="D34" s="421"/>
      <c r="E34" s="30">
        <f>E29</f>
        <v>3136</v>
      </c>
      <c r="F34" s="2"/>
      <c r="G34" s="2"/>
      <c r="H34" s="2"/>
      <c r="I34" s="2"/>
      <c r="J34" s="2"/>
      <c r="K34" s="2"/>
      <c r="L34" s="2"/>
      <c r="M34" s="2"/>
    </row>
    <row r="35" spans="2:13" ht="15" thickBot="1" x14ac:dyDescent="0.4">
      <c r="B35" s="375" t="s">
        <v>32</v>
      </c>
      <c r="C35" s="376"/>
      <c r="D35" s="31"/>
      <c r="E35" s="32">
        <f>SUM(E33:E34)</f>
        <v>3423</v>
      </c>
      <c r="F35" s="2"/>
      <c r="G35" s="2"/>
      <c r="H35" s="2"/>
      <c r="I35" s="2"/>
      <c r="J35" s="2"/>
      <c r="K35" s="2"/>
      <c r="L35" s="2"/>
      <c r="M35" s="2"/>
    </row>
    <row r="36" spans="2:13" ht="15" thickBot="1" x14ac:dyDescent="0.4">
      <c r="B36" s="375" t="s">
        <v>33</v>
      </c>
      <c r="C36" s="376"/>
      <c r="D36" s="31"/>
      <c r="E36" s="32">
        <f>E29+E16</f>
        <v>3423</v>
      </c>
      <c r="F36" s="2"/>
      <c r="G36" s="2"/>
      <c r="H36" s="2"/>
    </row>
  </sheetData>
  <mergeCells count="15">
    <mergeCell ref="B12:E12"/>
    <mergeCell ref="B2:E2"/>
    <mergeCell ref="I2:N2"/>
    <mergeCell ref="B4:E4"/>
    <mergeCell ref="I4:N4"/>
    <mergeCell ref="B5:E5"/>
    <mergeCell ref="B34:D34"/>
    <mergeCell ref="B35:C35"/>
    <mergeCell ref="B36:C36"/>
    <mergeCell ref="B18:E18"/>
    <mergeCell ref="B19:E19"/>
    <mergeCell ref="B25:E25"/>
    <mergeCell ref="B31:E31"/>
    <mergeCell ref="B32:E32"/>
    <mergeCell ref="B33:D33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9709F-6846-4DA6-AD2D-7878739FBEBA}">
  <dimension ref="B2:P47"/>
  <sheetViews>
    <sheetView topLeftCell="A3" zoomScale="70" zoomScaleNormal="70" workbookViewId="0">
      <selection activeCell="D45" sqref="D45"/>
    </sheetView>
  </sheetViews>
  <sheetFormatPr defaultColWidth="9.1796875" defaultRowHeight="14.5" x14ac:dyDescent="0.35"/>
  <cols>
    <col min="1" max="1" width="9.1796875" style="1"/>
    <col min="2" max="2" width="66.453125" style="1" bestFit="1" customWidth="1"/>
    <col min="3" max="3" width="19.1796875" style="1" bestFit="1" customWidth="1"/>
    <col min="4" max="4" width="12.54296875" style="1" bestFit="1" customWidth="1"/>
    <col min="5" max="5" width="12.81640625" style="1" bestFit="1" customWidth="1"/>
    <col min="6" max="6" width="15.54296875" style="1" customWidth="1"/>
    <col min="7" max="7" width="66.453125" style="1" bestFit="1" customWidth="1"/>
    <col min="8" max="8" width="19.1796875" style="1" bestFit="1" customWidth="1"/>
    <col min="9" max="9" width="12.54296875" style="1" bestFit="1" customWidth="1"/>
    <col min="10" max="10" width="13.1796875" style="1" bestFit="1" customWidth="1"/>
    <col min="11" max="11" width="12.81640625" style="2" bestFit="1" customWidth="1"/>
    <col min="12" max="12" width="66.453125" style="1" bestFit="1" customWidth="1"/>
    <col min="13" max="13" width="19.1796875" style="1" bestFit="1" customWidth="1"/>
    <col min="14" max="14" width="12.54296875" style="1" bestFit="1" customWidth="1"/>
    <col min="15" max="15" width="12.81640625" style="1" bestFit="1" customWidth="1"/>
    <col min="16" max="16" width="10.54296875" style="1" bestFit="1" customWidth="1"/>
    <col min="17" max="16384" width="9.1796875" style="1"/>
  </cols>
  <sheetData>
    <row r="2" spans="2:16" x14ac:dyDescent="0.35">
      <c r="B2" s="392" t="s">
        <v>34</v>
      </c>
      <c r="C2" s="392"/>
      <c r="D2" s="392"/>
      <c r="E2" s="392"/>
      <c r="G2" s="392" t="s">
        <v>2</v>
      </c>
      <c r="H2" s="392"/>
      <c r="I2" s="392"/>
      <c r="J2" s="392"/>
      <c r="L2" s="392" t="s">
        <v>35</v>
      </c>
      <c r="M2" s="392"/>
      <c r="N2" s="392"/>
      <c r="O2" s="392"/>
    </row>
    <row r="4" spans="2:16" x14ac:dyDescent="0.35">
      <c r="B4" s="391" t="s">
        <v>36</v>
      </c>
      <c r="C4" s="391"/>
      <c r="D4" s="391"/>
      <c r="E4" s="391"/>
      <c r="F4" s="128" t="s">
        <v>182</v>
      </c>
      <c r="G4" s="391" t="s">
        <v>36</v>
      </c>
      <c r="H4" s="391"/>
      <c r="I4" s="391"/>
      <c r="J4" s="391"/>
      <c r="K4" s="128"/>
      <c r="L4" s="389" t="s">
        <v>36</v>
      </c>
      <c r="M4" s="387"/>
      <c r="N4" s="387"/>
      <c r="O4" s="390"/>
    </row>
    <row r="5" spans="2:16" x14ac:dyDescent="0.35">
      <c r="B5" s="5" t="s">
        <v>37</v>
      </c>
      <c r="C5" s="5" t="s">
        <v>38</v>
      </c>
      <c r="D5" s="5" t="s">
        <v>18</v>
      </c>
      <c r="E5" s="33">
        <v>0</v>
      </c>
      <c r="F5" s="129" t="s">
        <v>183</v>
      </c>
      <c r="G5" s="5" t="s">
        <v>37</v>
      </c>
      <c r="H5" s="5" t="s">
        <v>38</v>
      </c>
      <c r="I5" s="5" t="s">
        <v>18</v>
      </c>
      <c r="J5" s="33">
        <v>0</v>
      </c>
      <c r="K5" s="129"/>
      <c r="L5" s="5" t="s">
        <v>37</v>
      </c>
      <c r="M5" s="5" t="s">
        <v>38</v>
      </c>
      <c r="N5" s="5" t="s">
        <v>18</v>
      </c>
      <c r="O5" s="33">
        <v>0</v>
      </c>
    </row>
    <row r="6" spans="2:16" ht="58" x14ac:dyDescent="0.35">
      <c r="B6" s="5" t="s">
        <v>39</v>
      </c>
      <c r="C6" s="5" t="s">
        <v>40</v>
      </c>
      <c r="D6" s="5"/>
      <c r="E6" s="34">
        <f>'VPA 125 PTDs'!P10</f>
        <v>686218.25</v>
      </c>
      <c r="F6" s="129" t="s">
        <v>184</v>
      </c>
      <c r="G6" s="5" t="s">
        <v>39</v>
      </c>
      <c r="H6" s="5" t="s">
        <v>40</v>
      </c>
      <c r="I6" s="5"/>
      <c r="J6" s="34">
        <f>'VPA 125 PTDs'!M10</f>
        <v>58281.55</v>
      </c>
      <c r="K6" s="129"/>
      <c r="L6" s="5" t="s">
        <v>39</v>
      </c>
      <c r="M6" s="5" t="s">
        <v>40</v>
      </c>
      <c r="N6" s="5"/>
      <c r="O6" s="34">
        <f>'VPA 125 PTDs'!O10</f>
        <v>627936.69999999995</v>
      </c>
      <c r="P6" s="35"/>
    </row>
    <row r="7" spans="2:16" x14ac:dyDescent="0.35">
      <c r="B7" s="5" t="s">
        <v>41</v>
      </c>
      <c r="C7" s="5" t="s">
        <v>42</v>
      </c>
      <c r="D7" s="5" t="s">
        <v>43</v>
      </c>
      <c r="E7" s="36">
        <f>'VPA 125 SDGs Calculations'!C6</f>
        <v>4.0000000000000002E-4</v>
      </c>
      <c r="F7" s="129" t="s">
        <v>185</v>
      </c>
      <c r="G7" s="5" t="s">
        <v>41</v>
      </c>
      <c r="H7" s="5" t="s">
        <v>42</v>
      </c>
      <c r="I7" s="5" t="s">
        <v>43</v>
      </c>
      <c r="J7" s="36">
        <f>E7</f>
        <v>4.0000000000000002E-4</v>
      </c>
      <c r="K7" s="129"/>
      <c r="L7" s="5" t="s">
        <v>41</v>
      </c>
      <c r="M7" s="5" t="s">
        <v>42</v>
      </c>
      <c r="N7" s="5" t="s">
        <v>43</v>
      </c>
      <c r="O7" s="36">
        <f>E7</f>
        <v>4.0000000000000002E-4</v>
      </c>
    </row>
    <row r="8" spans="2:16" ht="43.5" x14ac:dyDescent="0.35">
      <c r="B8" s="37" t="s">
        <v>44</v>
      </c>
      <c r="C8" s="5" t="s">
        <v>45</v>
      </c>
      <c r="D8" s="5" t="s">
        <v>46</v>
      </c>
      <c r="E8" s="33">
        <v>7.5</v>
      </c>
      <c r="F8" s="129" t="s">
        <v>186</v>
      </c>
      <c r="G8" s="37" t="s">
        <v>44</v>
      </c>
      <c r="H8" s="5" t="s">
        <v>45</v>
      </c>
      <c r="I8" s="5" t="s">
        <v>46</v>
      </c>
      <c r="J8" s="33">
        <v>7.5</v>
      </c>
      <c r="K8" s="129"/>
      <c r="L8" s="37" t="s">
        <v>44</v>
      </c>
      <c r="M8" s="5" t="s">
        <v>45</v>
      </c>
      <c r="N8" s="5" t="s">
        <v>46</v>
      </c>
      <c r="O8" s="33">
        <v>7.5</v>
      </c>
    </row>
    <row r="9" spans="2:16" x14ac:dyDescent="0.35">
      <c r="B9" s="37" t="s">
        <v>47</v>
      </c>
      <c r="C9" s="5" t="s">
        <v>48</v>
      </c>
      <c r="D9" s="5" t="s">
        <v>46</v>
      </c>
      <c r="E9" s="33">
        <v>0</v>
      </c>
      <c r="F9" s="129" t="s">
        <v>187</v>
      </c>
      <c r="G9" s="37" t="s">
        <v>47</v>
      </c>
      <c r="H9" s="5" t="s">
        <v>48</v>
      </c>
      <c r="I9" s="5" t="s">
        <v>46</v>
      </c>
      <c r="J9" s="33">
        <v>0</v>
      </c>
      <c r="K9" s="129"/>
      <c r="L9" s="37" t="s">
        <v>47</v>
      </c>
      <c r="M9" s="5" t="s">
        <v>48</v>
      </c>
      <c r="N9" s="5" t="s">
        <v>46</v>
      </c>
      <c r="O9" s="33">
        <v>0</v>
      </c>
    </row>
    <row r="10" spans="2:16" x14ac:dyDescent="0.35">
      <c r="B10" s="5" t="s">
        <v>49</v>
      </c>
      <c r="C10" s="5" t="s">
        <v>50</v>
      </c>
      <c r="D10" s="5" t="s">
        <v>51</v>
      </c>
      <c r="E10" s="38">
        <f>ROUNDDOWN((1-E5)*E6*E7*(E8+E9),0)</f>
        <v>2058</v>
      </c>
      <c r="F10" s="129" t="s">
        <v>183</v>
      </c>
      <c r="G10" s="5" t="s">
        <v>49</v>
      </c>
      <c r="H10" s="5" t="s">
        <v>50</v>
      </c>
      <c r="I10" s="5" t="s">
        <v>51</v>
      </c>
      <c r="J10" s="38">
        <f>ROUNDDOWN((1-J5)*J6*J7*(J8+J9),0)</f>
        <v>174</v>
      </c>
      <c r="K10" s="129"/>
      <c r="L10" s="5" t="s">
        <v>49</v>
      </c>
      <c r="M10" s="5" t="s">
        <v>50</v>
      </c>
      <c r="N10" s="5" t="s">
        <v>51</v>
      </c>
      <c r="O10" s="38">
        <f>ROUNDDOWN((1-O5)*O6*O7*(O8+O9),0)</f>
        <v>1883</v>
      </c>
    </row>
    <row r="11" spans="2:16" x14ac:dyDescent="0.35">
      <c r="F11" s="130"/>
      <c r="K11" s="130"/>
    </row>
    <row r="12" spans="2:16" x14ac:dyDescent="0.35">
      <c r="B12" s="391" t="s">
        <v>52</v>
      </c>
      <c r="C12" s="391"/>
      <c r="D12" s="391"/>
      <c r="E12" s="391"/>
      <c r="F12" s="130"/>
      <c r="G12" s="391" t="s">
        <v>52</v>
      </c>
      <c r="H12" s="391"/>
      <c r="I12" s="391"/>
      <c r="J12" s="391"/>
      <c r="K12" s="130"/>
      <c r="L12" s="389" t="s">
        <v>52</v>
      </c>
      <c r="M12" s="387"/>
      <c r="N12" s="387"/>
      <c r="O12" s="390"/>
    </row>
    <row r="13" spans="2:16" x14ac:dyDescent="0.35">
      <c r="B13" s="5" t="s">
        <v>53</v>
      </c>
      <c r="C13" s="5" t="s">
        <v>38</v>
      </c>
      <c r="D13" s="5" t="s">
        <v>18</v>
      </c>
      <c r="E13" s="33">
        <f>E5</f>
        <v>0</v>
      </c>
      <c r="F13" s="129" t="s">
        <v>183</v>
      </c>
      <c r="G13" s="5" t="s">
        <v>53</v>
      </c>
      <c r="H13" s="5" t="s">
        <v>38</v>
      </c>
      <c r="I13" s="5" t="s">
        <v>18</v>
      </c>
      <c r="J13" s="33">
        <f>J5</f>
        <v>0</v>
      </c>
      <c r="K13" s="129"/>
      <c r="L13" s="5" t="s">
        <v>53</v>
      </c>
      <c r="M13" s="5" t="s">
        <v>38</v>
      </c>
      <c r="N13" s="5" t="s">
        <v>18</v>
      </c>
      <c r="O13" s="33">
        <f>O5</f>
        <v>0</v>
      </c>
    </row>
    <row r="14" spans="2:16" ht="58" x14ac:dyDescent="0.35">
      <c r="B14" s="5" t="s">
        <v>39</v>
      </c>
      <c r="C14" s="5" t="s">
        <v>40</v>
      </c>
      <c r="D14" s="5"/>
      <c r="E14" s="34">
        <f>E6</f>
        <v>686218.25</v>
      </c>
      <c r="F14" s="129" t="s">
        <v>188</v>
      </c>
      <c r="G14" s="5" t="s">
        <v>39</v>
      </c>
      <c r="H14" s="5" t="s">
        <v>40</v>
      </c>
      <c r="I14" s="5"/>
      <c r="J14" s="34">
        <f>J6</f>
        <v>58281.55</v>
      </c>
      <c r="K14" s="129"/>
      <c r="L14" s="5" t="s">
        <v>39</v>
      </c>
      <c r="M14" s="5" t="s">
        <v>40</v>
      </c>
      <c r="N14" s="5"/>
      <c r="O14" s="34">
        <f>O6</f>
        <v>627936.69999999995</v>
      </c>
    </row>
    <row r="15" spans="2:16" x14ac:dyDescent="0.35">
      <c r="B15" s="5" t="s">
        <v>54</v>
      </c>
      <c r="C15" s="5" t="s">
        <v>55</v>
      </c>
      <c r="D15" s="5" t="s">
        <v>43</v>
      </c>
      <c r="E15" s="39">
        <f>E7</f>
        <v>4.0000000000000002E-4</v>
      </c>
      <c r="F15" s="129"/>
      <c r="G15" s="5" t="s">
        <v>54</v>
      </c>
      <c r="H15" s="5" t="s">
        <v>55</v>
      </c>
      <c r="I15" s="5" t="s">
        <v>43</v>
      </c>
      <c r="J15" s="39">
        <f>J7</f>
        <v>4.0000000000000002E-4</v>
      </c>
      <c r="K15" s="129"/>
      <c r="L15" s="5" t="s">
        <v>54</v>
      </c>
      <c r="M15" s="5" t="s">
        <v>55</v>
      </c>
      <c r="N15" s="5" t="s">
        <v>43</v>
      </c>
      <c r="O15" s="39">
        <f>O7</f>
        <v>4.0000000000000002E-4</v>
      </c>
    </row>
    <row r="16" spans="2:16" x14ac:dyDescent="0.35">
      <c r="B16" s="5" t="s">
        <v>56</v>
      </c>
      <c r="C16" s="5" t="s">
        <v>48</v>
      </c>
      <c r="D16" s="5" t="s">
        <v>46</v>
      </c>
      <c r="E16" s="33">
        <v>0</v>
      </c>
      <c r="F16" s="129" t="s">
        <v>187</v>
      </c>
      <c r="G16" s="5" t="s">
        <v>56</v>
      </c>
      <c r="H16" s="5" t="s">
        <v>48</v>
      </c>
      <c r="I16" s="5" t="s">
        <v>46</v>
      </c>
      <c r="J16" s="33">
        <v>0</v>
      </c>
      <c r="K16" s="129"/>
      <c r="L16" s="5" t="s">
        <v>56</v>
      </c>
      <c r="M16" s="5" t="s">
        <v>48</v>
      </c>
      <c r="N16" s="5" t="s">
        <v>46</v>
      </c>
      <c r="O16" s="33">
        <v>0</v>
      </c>
    </row>
    <row r="17" spans="2:15" x14ac:dyDescent="0.35">
      <c r="B17" s="5" t="s">
        <v>57</v>
      </c>
      <c r="C17" s="5" t="s">
        <v>58</v>
      </c>
      <c r="D17" s="5" t="s">
        <v>46</v>
      </c>
      <c r="E17" s="33">
        <v>0</v>
      </c>
      <c r="F17" s="129" t="s">
        <v>187</v>
      </c>
      <c r="G17" s="5" t="s">
        <v>57</v>
      </c>
      <c r="H17" s="5" t="s">
        <v>58</v>
      </c>
      <c r="I17" s="5" t="s">
        <v>46</v>
      </c>
      <c r="J17" s="33">
        <v>0</v>
      </c>
      <c r="K17" s="129"/>
      <c r="L17" s="5" t="s">
        <v>57</v>
      </c>
      <c r="M17" s="5" t="s">
        <v>58</v>
      </c>
      <c r="N17" s="5" t="s">
        <v>46</v>
      </c>
      <c r="O17" s="33">
        <v>0</v>
      </c>
    </row>
    <row r="18" spans="2:15" x14ac:dyDescent="0.35">
      <c r="B18" s="5" t="s">
        <v>59</v>
      </c>
      <c r="C18" s="5" t="s">
        <v>60</v>
      </c>
      <c r="D18" s="5" t="s">
        <v>51</v>
      </c>
      <c r="E18" s="38">
        <f>ROUNDDOWN((1-E13)*E14*E15*(E16+E17),0)</f>
        <v>0</v>
      </c>
      <c r="F18" s="129" t="s">
        <v>273</v>
      </c>
      <c r="G18" s="5" t="s">
        <v>59</v>
      </c>
      <c r="H18" s="5" t="s">
        <v>60</v>
      </c>
      <c r="I18" s="5" t="s">
        <v>51</v>
      </c>
      <c r="J18" s="38">
        <f>ROUNDDOWN((1-J13)*J14*J15*(J16+J17),0)</f>
        <v>0</v>
      </c>
      <c r="K18" s="129"/>
      <c r="L18" s="5" t="s">
        <v>59</v>
      </c>
      <c r="M18" s="5" t="s">
        <v>60</v>
      </c>
      <c r="N18" s="5" t="s">
        <v>51</v>
      </c>
      <c r="O18" s="38">
        <f>ROUNDDOWN((1-O13)*O14*O15*(O16+O17),0)</f>
        <v>0</v>
      </c>
    </row>
    <row r="19" spans="2:15" x14ac:dyDescent="0.35">
      <c r="F19" s="130"/>
      <c r="K19" s="130"/>
    </row>
    <row r="20" spans="2:15" x14ac:dyDescent="0.35">
      <c r="B20" s="389" t="s">
        <v>61</v>
      </c>
      <c r="C20" s="387"/>
      <c r="D20" s="387"/>
      <c r="E20" s="390"/>
      <c r="F20" s="130"/>
      <c r="G20" s="389" t="s">
        <v>61</v>
      </c>
      <c r="H20" s="387"/>
      <c r="I20" s="387"/>
      <c r="J20" s="390"/>
      <c r="K20" s="130"/>
      <c r="L20" s="389" t="s">
        <v>61</v>
      </c>
      <c r="M20" s="387"/>
      <c r="N20" s="387"/>
      <c r="O20" s="390"/>
    </row>
    <row r="21" spans="2:15" x14ac:dyDescent="0.35">
      <c r="B21" s="37" t="s">
        <v>62</v>
      </c>
      <c r="C21" s="5" t="s">
        <v>62</v>
      </c>
      <c r="D21" s="5" t="s">
        <v>63</v>
      </c>
      <c r="E21" s="40">
        <v>0.97</v>
      </c>
      <c r="F21" s="129" t="s">
        <v>189</v>
      </c>
      <c r="G21" s="37" t="s">
        <v>62</v>
      </c>
      <c r="H21" s="5" t="s">
        <v>62</v>
      </c>
      <c r="I21" s="5" t="s">
        <v>63</v>
      </c>
      <c r="J21" s="40">
        <v>0.97</v>
      </c>
      <c r="K21" s="129"/>
      <c r="L21" s="37" t="s">
        <v>62</v>
      </c>
      <c r="M21" s="5" t="s">
        <v>62</v>
      </c>
      <c r="N21" s="5" t="s">
        <v>63</v>
      </c>
      <c r="O21" s="40">
        <v>0.97</v>
      </c>
    </row>
    <row r="22" spans="2:15" x14ac:dyDescent="0.35">
      <c r="B22" s="5" t="s">
        <v>64</v>
      </c>
      <c r="C22" s="5" t="s">
        <v>65</v>
      </c>
      <c r="D22" s="5" t="s">
        <v>66</v>
      </c>
      <c r="E22" s="33">
        <v>112</v>
      </c>
      <c r="F22" s="129" t="s">
        <v>189</v>
      </c>
      <c r="G22" s="5" t="s">
        <v>64</v>
      </c>
      <c r="H22" s="5" t="s">
        <v>65</v>
      </c>
      <c r="I22" s="5" t="s">
        <v>66</v>
      </c>
      <c r="J22" s="33">
        <v>112</v>
      </c>
      <c r="K22" s="129"/>
      <c r="L22" s="5" t="s">
        <v>64</v>
      </c>
      <c r="M22" s="5" t="s">
        <v>65</v>
      </c>
      <c r="N22" s="5" t="s">
        <v>66</v>
      </c>
      <c r="O22" s="33">
        <v>112</v>
      </c>
    </row>
    <row r="23" spans="2:15" x14ac:dyDescent="0.35">
      <c r="B23" s="5" t="s">
        <v>67</v>
      </c>
      <c r="C23" s="5" t="s">
        <v>68</v>
      </c>
      <c r="D23" s="5" t="s">
        <v>69</v>
      </c>
      <c r="E23" s="33">
        <f>(J23*J6+O23*O6)/E6</f>
        <v>9.3947726027397263</v>
      </c>
      <c r="F23" s="129" t="s">
        <v>189</v>
      </c>
      <c r="G23" s="5" t="s">
        <v>67</v>
      </c>
      <c r="H23" s="5" t="s">
        <v>68</v>
      </c>
      <c r="I23" s="5" t="s">
        <v>69</v>
      </c>
      <c r="J23" s="33">
        <f>7.5+1.192</f>
        <v>8.6920000000000002</v>
      </c>
      <c r="K23" s="129"/>
      <c r="L23" s="5" t="s">
        <v>67</v>
      </c>
      <c r="M23" s="5" t="s">
        <v>68</v>
      </c>
      <c r="N23" s="5" t="s">
        <v>69</v>
      </c>
      <c r="O23" s="33">
        <v>9.4600000000000009</v>
      </c>
    </row>
    <row r="24" spans="2:15" x14ac:dyDescent="0.35">
      <c r="B24" s="5" t="s">
        <v>70</v>
      </c>
      <c r="C24" s="5" t="s">
        <v>71</v>
      </c>
      <c r="D24" s="5" t="s">
        <v>72</v>
      </c>
      <c r="E24" s="33">
        <v>1.5599999999999999E-2</v>
      </c>
      <c r="F24" s="129" t="s">
        <v>189</v>
      </c>
      <c r="G24" s="5" t="s">
        <v>70</v>
      </c>
      <c r="H24" s="5" t="s">
        <v>71</v>
      </c>
      <c r="I24" s="5" t="s">
        <v>72</v>
      </c>
      <c r="J24" s="33">
        <v>1.5599999999999999E-2</v>
      </c>
      <c r="K24" s="129"/>
      <c r="L24" s="5" t="s">
        <v>70</v>
      </c>
      <c r="M24" s="5" t="s">
        <v>71</v>
      </c>
      <c r="N24" s="5" t="s">
        <v>72</v>
      </c>
      <c r="O24" s="33">
        <v>1.5599999999999999E-2</v>
      </c>
    </row>
    <row r="25" spans="2:15" x14ac:dyDescent="0.35">
      <c r="F25" s="130"/>
      <c r="K25" s="130"/>
    </row>
    <row r="26" spans="2:15" x14ac:dyDescent="0.35">
      <c r="B26" s="389" t="s">
        <v>4</v>
      </c>
      <c r="C26" s="387"/>
      <c r="D26" s="387"/>
      <c r="E26" s="390"/>
      <c r="F26" s="130"/>
      <c r="G26" s="389" t="s">
        <v>4</v>
      </c>
      <c r="H26" s="387"/>
      <c r="I26" s="387"/>
      <c r="J26" s="390"/>
      <c r="K26" s="130"/>
      <c r="L26" s="389" t="s">
        <v>4</v>
      </c>
      <c r="M26" s="387"/>
      <c r="N26" s="387"/>
      <c r="O26" s="390"/>
    </row>
    <row r="27" spans="2:15" x14ac:dyDescent="0.35">
      <c r="B27" s="5" t="s">
        <v>11</v>
      </c>
      <c r="C27" s="5" t="s">
        <v>12</v>
      </c>
      <c r="D27" s="5" t="s">
        <v>13</v>
      </c>
      <c r="E27" s="41">
        <f>ROUNDDOWN(E10*((E22*E21)+E23)*E24,0)</f>
        <v>3789</v>
      </c>
      <c r="F27" s="129"/>
      <c r="G27" s="5" t="s">
        <v>11</v>
      </c>
      <c r="H27" s="5" t="s">
        <v>12</v>
      </c>
      <c r="I27" s="5" t="s">
        <v>13</v>
      </c>
      <c r="J27" s="41">
        <f>ROUNDDOWN(J10*((J22*J21)+J23)*J24,0)</f>
        <v>318</v>
      </c>
      <c r="K27" s="129"/>
      <c r="L27" s="5" t="s">
        <v>11</v>
      </c>
      <c r="M27" s="5" t="s">
        <v>12</v>
      </c>
      <c r="N27" s="5" t="s">
        <v>13</v>
      </c>
      <c r="O27" s="41">
        <f>ROUNDDOWN(O10*((O22*O21)+O23)*O24,0)</f>
        <v>3469</v>
      </c>
    </row>
    <row r="28" spans="2:15" x14ac:dyDescent="0.35">
      <c r="B28" s="5" t="s">
        <v>14</v>
      </c>
      <c r="C28" s="5" t="s">
        <v>15</v>
      </c>
      <c r="D28" s="5" t="s">
        <v>13</v>
      </c>
      <c r="E28" s="41">
        <f>E18*((E22*E21)+E23)*E24</f>
        <v>0</v>
      </c>
      <c r="F28" s="129"/>
      <c r="G28" s="5" t="s">
        <v>14</v>
      </c>
      <c r="H28" s="5" t="s">
        <v>15</v>
      </c>
      <c r="I28" s="5" t="s">
        <v>13</v>
      </c>
      <c r="J28" s="41">
        <f>J18*((J22*J21)+J23)*J24</f>
        <v>0</v>
      </c>
      <c r="K28" s="129"/>
      <c r="L28" s="5" t="s">
        <v>14</v>
      </c>
      <c r="M28" s="5" t="s">
        <v>15</v>
      </c>
      <c r="N28" s="5" t="s">
        <v>13</v>
      </c>
      <c r="O28" s="41">
        <f>O18*((O22*O21)+O23)*O24</f>
        <v>0</v>
      </c>
    </row>
    <row r="29" spans="2:15" ht="43.5" x14ac:dyDescent="0.35">
      <c r="B29" s="5" t="s">
        <v>16</v>
      </c>
      <c r="C29" s="5" t="s">
        <v>17</v>
      </c>
      <c r="D29" s="5" t="s">
        <v>18</v>
      </c>
      <c r="E29" s="44">
        <f>'VPA 125 SDGs Calculations'!C9</f>
        <v>0.92269999999999996</v>
      </c>
      <c r="F29" s="129" t="s">
        <v>190</v>
      </c>
      <c r="G29" s="5" t="s">
        <v>16</v>
      </c>
      <c r="H29" s="5" t="s">
        <v>17</v>
      </c>
      <c r="I29" s="5" t="s">
        <v>18</v>
      </c>
      <c r="J29" s="33">
        <f>E29</f>
        <v>0.92269999999999996</v>
      </c>
      <c r="K29" s="129"/>
      <c r="L29" s="5" t="s">
        <v>16</v>
      </c>
      <c r="M29" s="5" t="s">
        <v>17</v>
      </c>
      <c r="N29" s="5" t="s">
        <v>18</v>
      </c>
      <c r="O29" s="33">
        <f>E29</f>
        <v>0.92269999999999996</v>
      </c>
    </row>
    <row r="30" spans="2:15" ht="29" x14ac:dyDescent="0.35">
      <c r="B30" s="5" t="s">
        <v>19</v>
      </c>
      <c r="C30" s="5" t="s">
        <v>20</v>
      </c>
      <c r="D30" s="5" t="s">
        <v>13</v>
      </c>
      <c r="E30" s="33">
        <v>0</v>
      </c>
      <c r="F30" s="129" t="s">
        <v>191</v>
      </c>
      <c r="G30" s="5" t="s">
        <v>19</v>
      </c>
      <c r="H30" s="5" t="s">
        <v>20</v>
      </c>
      <c r="I30" s="5" t="s">
        <v>13</v>
      </c>
      <c r="J30" s="33">
        <v>0</v>
      </c>
      <c r="K30" s="129"/>
      <c r="L30" s="5" t="s">
        <v>19</v>
      </c>
      <c r="M30" s="5" t="s">
        <v>20</v>
      </c>
      <c r="N30" s="5" t="s">
        <v>13</v>
      </c>
      <c r="O30" s="33">
        <v>0</v>
      </c>
    </row>
    <row r="31" spans="2:15" x14ac:dyDescent="0.35">
      <c r="B31" s="5" t="s">
        <v>34</v>
      </c>
      <c r="C31" s="5" t="s">
        <v>22</v>
      </c>
      <c r="D31" s="5" t="s">
        <v>13</v>
      </c>
      <c r="E31" s="38">
        <f>ROUNDDOWN(((E27-E28)*E29)-E30,0)</f>
        <v>3496</v>
      </c>
      <c r="F31" s="129"/>
      <c r="G31" s="5" t="s">
        <v>34</v>
      </c>
      <c r="H31" s="5" t="s">
        <v>22</v>
      </c>
      <c r="I31" s="5" t="s">
        <v>13</v>
      </c>
      <c r="J31" s="38">
        <f>((J27-J28)*J29)-J30</f>
        <v>293.41859999999997</v>
      </c>
      <c r="K31" s="129"/>
      <c r="L31" s="5" t="s">
        <v>34</v>
      </c>
      <c r="M31" s="5" t="s">
        <v>22</v>
      </c>
      <c r="N31" s="5" t="s">
        <v>13</v>
      </c>
      <c r="O31" s="38">
        <f>((O27-O28)*O29)-O30</f>
        <v>3200.8462999999997</v>
      </c>
    </row>
    <row r="32" spans="2:15" x14ac:dyDescent="0.35">
      <c r="D32" s="42"/>
      <c r="F32" s="130"/>
      <c r="I32" s="42"/>
      <c r="K32" s="130"/>
      <c r="N32" s="42"/>
    </row>
    <row r="33" spans="2:15" x14ac:dyDescent="0.35">
      <c r="B33" s="389" t="s">
        <v>24</v>
      </c>
      <c r="C33" s="387"/>
      <c r="D33" s="387"/>
      <c r="E33" s="390"/>
      <c r="F33" s="130"/>
      <c r="G33" s="389" t="s">
        <v>24</v>
      </c>
      <c r="H33" s="387"/>
      <c r="I33" s="387"/>
      <c r="J33" s="390"/>
      <c r="K33" s="130"/>
      <c r="L33" s="389" t="s">
        <v>24</v>
      </c>
      <c r="M33" s="387"/>
      <c r="N33" s="387"/>
      <c r="O33" s="390"/>
    </row>
    <row r="34" spans="2:15" x14ac:dyDescent="0.35">
      <c r="B34" s="43" t="s">
        <v>25</v>
      </c>
      <c r="C34" s="5"/>
      <c r="D34" s="23"/>
      <c r="E34" s="44">
        <v>0.98</v>
      </c>
      <c r="F34" s="129" t="s">
        <v>183</v>
      </c>
      <c r="G34" s="43" t="s">
        <v>25</v>
      </c>
      <c r="H34" s="5"/>
      <c r="I34" s="23"/>
      <c r="J34" s="44">
        <f>E34</f>
        <v>0.98</v>
      </c>
      <c r="K34" s="129"/>
      <c r="L34" s="43" t="s">
        <v>25</v>
      </c>
      <c r="M34" s="5"/>
      <c r="N34" s="23"/>
      <c r="O34" s="44">
        <f>E34</f>
        <v>0.98</v>
      </c>
    </row>
    <row r="35" spans="2:15" x14ac:dyDescent="0.35">
      <c r="B35" s="43" t="s">
        <v>26</v>
      </c>
      <c r="C35" s="5" t="s">
        <v>27</v>
      </c>
      <c r="D35" s="23" t="s">
        <v>28</v>
      </c>
      <c r="E35" s="44">
        <f>1-E34</f>
        <v>2.0000000000000018E-2</v>
      </c>
      <c r="F35" s="129" t="s">
        <v>183</v>
      </c>
      <c r="G35" s="43" t="s">
        <v>26</v>
      </c>
      <c r="H35" s="5" t="s">
        <v>27</v>
      </c>
      <c r="I35" s="23" t="s">
        <v>28</v>
      </c>
      <c r="J35" s="44">
        <f>E35</f>
        <v>2.0000000000000018E-2</v>
      </c>
      <c r="K35" s="129"/>
      <c r="L35" s="43" t="s">
        <v>26</v>
      </c>
      <c r="M35" s="5" t="s">
        <v>27</v>
      </c>
      <c r="N35" s="23" t="s">
        <v>28</v>
      </c>
      <c r="O35" s="44">
        <f>E35</f>
        <v>2.0000000000000018E-2</v>
      </c>
    </row>
    <row r="36" spans="2:15" x14ac:dyDescent="0.35">
      <c r="B36" s="45" t="s">
        <v>73</v>
      </c>
      <c r="C36" s="46" t="s">
        <v>22</v>
      </c>
      <c r="D36" s="47" t="s">
        <v>13</v>
      </c>
      <c r="E36" s="48">
        <f>ROUNDDOWN(E31*(1-E35),0)</f>
        <v>3426</v>
      </c>
      <c r="G36" s="45" t="s">
        <v>73</v>
      </c>
      <c r="H36" s="46" t="s">
        <v>22</v>
      </c>
      <c r="I36" s="47" t="s">
        <v>13</v>
      </c>
      <c r="J36" s="48">
        <f>ROUNDDOWN(J31*(1-J35),0)</f>
        <v>287</v>
      </c>
      <c r="L36" s="45" t="s">
        <v>73</v>
      </c>
      <c r="M36" s="46" t="s">
        <v>22</v>
      </c>
      <c r="N36" s="47" t="s">
        <v>13</v>
      </c>
      <c r="O36" s="48">
        <f>ROUNDDOWN(O31*(1-O35),0)</f>
        <v>3136</v>
      </c>
    </row>
    <row r="38" spans="2:15" x14ac:dyDescent="0.35">
      <c r="B38" s="45" t="s">
        <v>74</v>
      </c>
      <c r="C38" s="46"/>
      <c r="D38" s="47" t="s">
        <v>13</v>
      </c>
      <c r="E38" s="48">
        <f>J38+O38</f>
        <v>3423</v>
      </c>
      <c r="G38" s="45" t="s">
        <v>74</v>
      </c>
      <c r="H38" s="46"/>
      <c r="I38" s="47" t="s">
        <v>13</v>
      </c>
      <c r="J38" s="48">
        <f>IF(J36&gt;10000,((10000/$E$6)*J6),J36)</f>
        <v>287</v>
      </c>
      <c r="L38" s="45" t="s">
        <v>74</v>
      </c>
      <c r="M38" s="46"/>
      <c r="N38" s="47" t="s">
        <v>13</v>
      </c>
      <c r="O38" s="48">
        <f>IF(O36&gt;10000,((10000/$E$6)*O6),O36)</f>
        <v>3136</v>
      </c>
    </row>
    <row r="40" spans="2:15" x14ac:dyDescent="0.35">
      <c r="B40"/>
      <c r="G40" t="s">
        <v>75</v>
      </c>
      <c r="L40" t="s">
        <v>75</v>
      </c>
    </row>
    <row r="42" spans="2:15" x14ac:dyDescent="0.35">
      <c r="G42" s="11"/>
    </row>
    <row r="43" spans="2:15" x14ac:dyDescent="0.35">
      <c r="G43" s="11"/>
      <c r="H43" s="11"/>
    </row>
    <row r="44" spans="2:15" x14ac:dyDescent="0.35">
      <c r="G44" s="11"/>
    </row>
    <row r="46" spans="2:15" x14ac:dyDescent="0.35">
      <c r="G46" s="35"/>
    </row>
    <row r="47" spans="2:15" x14ac:dyDescent="0.35">
      <c r="K47" s="201"/>
    </row>
  </sheetData>
  <mergeCells count="18">
    <mergeCell ref="B2:E2"/>
    <mergeCell ref="G2:J2"/>
    <mergeCell ref="L2:O2"/>
    <mergeCell ref="B4:E4"/>
    <mergeCell ref="G4:J4"/>
    <mergeCell ref="L4:O4"/>
    <mergeCell ref="B12:E12"/>
    <mergeCell ref="G12:J12"/>
    <mergeCell ref="L12:O12"/>
    <mergeCell ref="B20:E20"/>
    <mergeCell ref="G20:J20"/>
    <mergeCell ref="L20:O20"/>
    <mergeCell ref="B26:E26"/>
    <mergeCell ref="G26:J26"/>
    <mergeCell ref="L26:O26"/>
    <mergeCell ref="B33:E33"/>
    <mergeCell ref="G33:J33"/>
    <mergeCell ref="L33:O33"/>
  </mergeCells>
  <pageMargins left="0.7" right="0.7" top="0.75" bottom="0.75" header="0.3" footer="0.3"/>
  <pageSetup paperSize="9" orientation="portrait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8A004-93EE-4475-90A1-B1B29BD0D91C}">
  <dimension ref="B1:Q38"/>
  <sheetViews>
    <sheetView zoomScale="60" zoomScaleNormal="60" workbookViewId="0">
      <selection activeCell="B24" sqref="B24"/>
    </sheetView>
  </sheetViews>
  <sheetFormatPr defaultColWidth="9.1796875" defaultRowHeight="14.5" x14ac:dyDescent="0.35"/>
  <cols>
    <col min="1" max="1" width="9.1796875" style="1"/>
    <col min="2" max="2" width="38.1796875" style="1" customWidth="1"/>
    <col min="3" max="3" width="15" style="1" bestFit="1" customWidth="1"/>
    <col min="4" max="4" width="17.26953125" style="1" bestFit="1" customWidth="1"/>
    <col min="5" max="5" width="22" style="1" customWidth="1"/>
    <col min="6" max="6" width="37.453125" style="1" customWidth="1"/>
    <col min="7" max="7" width="24.1796875" style="1" bestFit="1" customWidth="1"/>
    <col min="8" max="8" width="10.81640625" style="1" bestFit="1" customWidth="1"/>
    <col min="9" max="9" width="14.453125" style="1" bestFit="1" customWidth="1"/>
    <col min="10" max="10" width="18.453125" style="1" customWidth="1"/>
    <col min="11" max="11" width="8.7265625" style="1" customWidth="1"/>
    <col min="12" max="12" width="12.54296875" style="1" customWidth="1"/>
    <col min="13" max="13" width="18.54296875" style="1" bestFit="1" customWidth="1"/>
    <col min="14" max="14" width="15.26953125" style="1" bestFit="1" customWidth="1"/>
    <col min="15" max="15" width="15.54296875" style="1" bestFit="1" customWidth="1"/>
    <col min="16" max="16" width="10.453125" style="1" customWidth="1"/>
    <col min="17" max="16384" width="9.1796875" style="1"/>
  </cols>
  <sheetData>
    <row r="1" spans="2:16" ht="15" thickBot="1" x14ac:dyDescent="0.4">
      <c r="L1" s="393">
        <v>2020</v>
      </c>
      <c r="M1" s="393"/>
      <c r="N1" s="448">
        <v>2021</v>
      </c>
      <c r="O1" s="449"/>
      <c r="P1" s="132"/>
    </row>
    <row r="2" spans="2:16" ht="29.5" thickBot="1" x14ac:dyDescent="0.4">
      <c r="B2" s="50" t="s">
        <v>76</v>
      </c>
      <c r="C2" s="51" t="s">
        <v>77</v>
      </c>
      <c r="D2" s="51" t="s">
        <v>78</v>
      </c>
      <c r="E2" s="51" t="s">
        <v>79</v>
      </c>
      <c r="F2" s="51" t="s">
        <v>80</v>
      </c>
      <c r="G2" s="51" t="s">
        <v>81</v>
      </c>
      <c r="H2" s="51" t="s">
        <v>82</v>
      </c>
      <c r="I2" s="52" t="s">
        <v>83</v>
      </c>
      <c r="J2" s="202" t="s">
        <v>84</v>
      </c>
      <c r="L2" s="182" t="s">
        <v>192</v>
      </c>
      <c r="M2" s="136" t="s">
        <v>86</v>
      </c>
      <c r="N2" s="203" t="s">
        <v>192</v>
      </c>
      <c r="O2" s="55" t="s">
        <v>86</v>
      </c>
      <c r="P2" s="138" t="s">
        <v>88</v>
      </c>
    </row>
    <row r="3" spans="2:16" ht="15" customHeight="1" x14ac:dyDescent="0.35">
      <c r="B3" s="396" t="s">
        <v>274</v>
      </c>
      <c r="C3" s="57" t="s">
        <v>275</v>
      </c>
      <c r="D3" s="204" t="s">
        <v>276</v>
      </c>
      <c r="E3" s="58">
        <v>15.649369999999999</v>
      </c>
      <c r="F3" s="69" t="s">
        <v>277</v>
      </c>
      <c r="G3" s="61">
        <v>43050</v>
      </c>
      <c r="H3" s="140">
        <v>150</v>
      </c>
      <c r="I3" s="205">
        <v>886</v>
      </c>
      <c r="J3" s="206">
        <v>300</v>
      </c>
      <c r="L3" s="141">
        <f>G19</f>
        <v>29.45</v>
      </c>
      <c r="M3" s="64">
        <f>L3*J3</f>
        <v>8835</v>
      </c>
      <c r="N3" s="141">
        <f>G20</f>
        <v>317.3</v>
      </c>
      <c r="O3" s="65">
        <f>J3*N3</f>
        <v>95190</v>
      </c>
      <c r="P3" s="66">
        <f t="shared" ref="P3:P9" si="0">M3+O3</f>
        <v>104025</v>
      </c>
    </row>
    <row r="4" spans="2:16" ht="15.5" x14ac:dyDescent="0.35">
      <c r="B4" s="396"/>
      <c r="C4" s="57" t="s">
        <v>278</v>
      </c>
      <c r="D4" s="58" t="s">
        <v>279</v>
      </c>
      <c r="E4" s="58">
        <v>15.62773</v>
      </c>
      <c r="F4" s="69" t="s">
        <v>280</v>
      </c>
      <c r="G4" s="61">
        <v>43056</v>
      </c>
      <c r="H4" s="140">
        <v>72</v>
      </c>
      <c r="I4" s="205">
        <v>389</v>
      </c>
      <c r="J4" s="207">
        <v>300</v>
      </c>
      <c r="L4" s="141">
        <f>G19</f>
        <v>29.45</v>
      </c>
      <c r="M4" s="64">
        <f t="shared" ref="M4:M9" si="1">L4*J4</f>
        <v>8835</v>
      </c>
      <c r="N4" s="141">
        <f>G20</f>
        <v>317.3</v>
      </c>
      <c r="O4" s="65">
        <f t="shared" ref="O4:O9" si="2">J4*N4</f>
        <v>95190</v>
      </c>
      <c r="P4" s="66">
        <f t="shared" si="0"/>
        <v>104025</v>
      </c>
    </row>
    <row r="5" spans="2:16" ht="15.5" x14ac:dyDescent="0.35">
      <c r="B5" s="396"/>
      <c r="C5" s="57" t="s">
        <v>281</v>
      </c>
      <c r="D5" s="71" t="s">
        <v>282</v>
      </c>
      <c r="E5" s="58">
        <v>15.6922</v>
      </c>
      <c r="F5" s="69" t="s">
        <v>283</v>
      </c>
      <c r="G5" s="61">
        <v>43061</v>
      </c>
      <c r="H5" s="140">
        <v>28</v>
      </c>
      <c r="I5" s="205">
        <v>179</v>
      </c>
      <c r="J5" s="207">
        <f t="shared" ref="J5" si="3">I5</f>
        <v>179</v>
      </c>
      <c r="L5" s="141">
        <f>G19</f>
        <v>29.45</v>
      </c>
      <c r="M5" s="64">
        <f t="shared" si="1"/>
        <v>5271.55</v>
      </c>
      <c r="N5" s="141">
        <f>G20</f>
        <v>317.3</v>
      </c>
      <c r="O5" s="65">
        <f t="shared" si="2"/>
        <v>56796.700000000004</v>
      </c>
      <c r="P5" s="66">
        <f t="shared" si="0"/>
        <v>62068.250000000007</v>
      </c>
    </row>
    <row r="6" spans="2:16" ht="15.5" x14ac:dyDescent="0.35">
      <c r="B6" s="396"/>
      <c r="C6" s="57" t="s">
        <v>284</v>
      </c>
      <c r="D6" s="208" t="s">
        <v>285</v>
      </c>
      <c r="E6" s="208">
        <v>15.78612</v>
      </c>
      <c r="F6" s="69" t="s">
        <v>286</v>
      </c>
      <c r="G6" s="209">
        <v>43063</v>
      </c>
      <c r="H6" s="140">
        <v>69</v>
      </c>
      <c r="I6" s="205">
        <v>352</v>
      </c>
      <c r="J6" s="207">
        <v>300</v>
      </c>
      <c r="L6" s="141">
        <f>G19</f>
        <v>29.45</v>
      </c>
      <c r="M6" s="64">
        <f t="shared" si="1"/>
        <v>8835</v>
      </c>
      <c r="N6" s="141">
        <f>G20</f>
        <v>317.3</v>
      </c>
      <c r="O6" s="65">
        <f t="shared" si="2"/>
        <v>95190</v>
      </c>
      <c r="P6" s="66">
        <f t="shared" si="0"/>
        <v>104025</v>
      </c>
    </row>
    <row r="7" spans="2:16" ht="15.5" x14ac:dyDescent="0.35">
      <c r="B7" s="396"/>
      <c r="C7" s="58" t="s">
        <v>287</v>
      </c>
      <c r="D7" s="58" t="s">
        <v>288</v>
      </c>
      <c r="E7" s="58">
        <v>15.83531</v>
      </c>
      <c r="F7" s="69" t="s">
        <v>289</v>
      </c>
      <c r="G7" s="61">
        <v>43066</v>
      </c>
      <c r="H7" s="144">
        <v>80</v>
      </c>
      <c r="I7" s="210">
        <v>442</v>
      </c>
      <c r="J7" s="207">
        <v>300</v>
      </c>
      <c r="L7" s="141">
        <f>G19</f>
        <v>29.45</v>
      </c>
      <c r="M7" s="64">
        <f t="shared" si="1"/>
        <v>8835</v>
      </c>
      <c r="N7" s="141">
        <f>G20</f>
        <v>317.3</v>
      </c>
      <c r="O7" s="65">
        <f t="shared" si="2"/>
        <v>95190</v>
      </c>
      <c r="P7" s="66">
        <f t="shared" si="0"/>
        <v>104025</v>
      </c>
    </row>
    <row r="8" spans="2:16" ht="15.5" x14ac:dyDescent="0.35">
      <c r="B8" s="396"/>
      <c r="C8" s="57" t="s">
        <v>290</v>
      </c>
      <c r="D8" s="73" t="s">
        <v>291</v>
      </c>
      <c r="E8" s="59" t="s">
        <v>292</v>
      </c>
      <c r="F8" s="72" t="s">
        <v>293</v>
      </c>
      <c r="G8" s="61">
        <v>43074</v>
      </c>
      <c r="H8" s="147">
        <v>106</v>
      </c>
      <c r="I8" s="211">
        <v>541</v>
      </c>
      <c r="J8" s="207">
        <v>300</v>
      </c>
      <c r="L8" s="141">
        <f>G19</f>
        <v>29.45</v>
      </c>
      <c r="M8" s="64">
        <f t="shared" si="1"/>
        <v>8835</v>
      </c>
      <c r="N8" s="141">
        <f>G20</f>
        <v>317.3</v>
      </c>
      <c r="O8" s="65">
        <f t="shared" si="2"/>
        <v>95190</v>
      </c>
      <c r="P8" s="66">
        <f t="shared" si="0"/>
        <v>104025</v>
      </c>
    </row>
    <row r="9" spans="2:16" ht="16" thickBot="1" x14ac:dyDescent="0.4">
      <c r="B9" s="396"/>
      <c r="C9" s="57" t="s">
        <v>294</v>
      </c>
      <c r="D9" s="73" t="s">
        <v>295</v>
      </c>
      <c r="E9" s="59" t="s">
        <v>296</v>
      </c>
      <c r="F9" s="72" t="s">
        <v>297</v>
      </c>
      <c r="G9" s="61">
        <v>43077</v>
      </c>
      <c r="H9" s="147">
        <v>86</v>
      </c>
      <c r="I9" s="211">
        <v>418</v>
      </c>
      <c r="J9" s="212">
        <v>300</v>
      </c>
      <c r="L9" s="141">
        <f>G19</f>
        <v>29.45</v>
      </c>
      <c r="M9" s="64">
        <f t="shared" si="1"/>
        <v>8835</v>
      </c>
      <c r="N9" s="141">
        <f>G20</f>
        <v>317.3</v>
      </c>
      <c r="O9" s="65">
        <f t="shared" si="2"/>
        <v>95190</v>
      </c>
      <c r="P9" s="66">
        <f t="shared" si="0"/>
        <v>104025</v>
      </c>
    </row>
    <row r="10" spans="2:16" ht="15" thickBot="1" x14ac:dyDescent="0.4">
      <c r="B10" s="75"/>
      <c r="C10"/>
      <c r="G10" s="76"/>
      <c r="H10" s="77" t="s">
        <v>23</v>
      </c>
      <c r="I10" s="213">
        <f>SUM(I3:I9)</f>
        <v>3207</v>
      </c>
      <c r="J10" s="214">
        <f>SUM(J3:J9)</f>
        <v>1979</v>
      </c>
      <c r="L10" s="151" t="s">
        <v>125</v>
      </c>
      <c r="M10" s="152">
        <f t="shared" ref="M10:P10" si="4">SUM(M3:M9)</f>
        <v>58281.55</v>
      </c>
      <c r="N10" s="152"/>
      <c r="O10" s="152">
        <f t="shared" si="4"/>
        <v>627936.69999999995</v>
      </c>
      <c r="P10" s="185">
        <f t="shared" si="4"/>
        <v>686218.25</v>
      </c>
    </row>
    <row r="11" spans="2:16" ht="15" customHeight="1" thickBot="1" x14ac:dyDescent="0.4">
      <c r="C11" s="153" t="s">
        <v>223</v>
      </c>
      <c r="G11" s="84"/>
      <c r="M11" s="35"/>
    </row>
    <row r="12" spans="2:16" ht="15" customHeight="1" thickBot="1" x14ac:dyDescent="0.4">
      <c r="B12" s="82" t="s">
        <v>126</v>
      </c>
      <c r="C12" s="83">
        <v>44166</v>
      </c>
      <c r="D12" s="84"/>
      <c r="L12" s="393">
        <v>2020</v>
      </c>
      <c r="M12" s="393"/>
      <c r="N12" s="448">
        <v>2021</v>
      </c>
      <c r="O12" s="449"/>
      <c r="P12" s="132"/>
    </row>
    <row r="13" spans="2:16" ht="29.5" thickBot="1" x14ac:dyDescent="0.4">
      <c r="B13" s="85" t="s">
        <v>127</v>
      </c>
      <c r="C13" s="86">
        <v>44530</v>
      </c>
      <c r="D13" s="87"/>
      <c r="L13" s="182" t="s">
        <v>192</v>
      </c>
      <c r="M13" s="136" t="s">
        <v>86</v>
      </c>
      <c r="N13" s="203" t="s">
        <v>192</v>
      </c>
      <c r="O13" s="55" t="s">
        <v>86</v>
      </c>
      <c r="P13" s="138" t="s">
        <v>88</v>
      </c>
    </row>
    <row r="14" spans="2:16" ht="15" customHeight="1" thickBot="1" x14ac:dyDescent="0.4">
      <c r="B14" s="85" t="s">
        <v>128</v>
      </c>
      <c r="C14" s="86">
        <v>44196</v>
      </c>
      <c r="D14" s="89"/>
      <c r="L14" s="141">
        <f>$G$19</f>
        <v>29.45</v>
      </c>
      <c r="M14" s="64">
        <f>I3*L14</f>
        <v>26092.7</v>
      </c>
      <c r="N14" s="141">
        <f>$G$20</f>
        <v>317.3</v>
      </c>
      <c r="O14" s="65">
        <f>N14*I3</f>
        <v>281127.8</v>
      </c>
      <c r="P14" s="66">
        <f t="shared" ref="P14:P20" si="5">M14+O14</f>
        <v>307220.5</v>
      </c>
    </row>
    <row r="15" spans="2:16" ht="15" customHeight="1" x14ac:dyDescent="0.35">
      <c r="B15" s="90"/>
      <c r="C15" s="91"/>
      <c r="D15" s="89"/>
      <c r="L15" s="141">
        <f t="shared" ref="L15:L20" si="6">$G$19</f>
        <v>29.45</v>
      </c>
      <c r="M15" s="64">
        <f t="shared" ref="M15:M20" si="7">I4*L15</f>
        <v>11456.05</v>
      </c>
      <c r="N15" s="141">
        <f t="shared" ref="N15:N20" si="8">$G$20</f>
        <v>317.3</v>
      </c>
      <c r="O15" s="65">
        <f t="shared" ref="O15:O20" si="9">N15*I4</f>
        <v>123429.70000000001</v>
      </c>
      <c r="P15" s="66">
        <f t="shared" si="5"/>
        <v>134885.75</v>
      </c>
    </row>
    <row r="16" spans="2:16" ht="18.5" x14ac:dyDescent="0.45">
      <c r="B16" s="92" t="s">
        <v>129</v>
      </c>
      <c r="G16" s="215"/>
      <c r="L16" s="141">
        <f t="shared" si="6"/>
        <v>29.45</v>
      </c>
      <c r="M16" s="64">
        <f t="shared" si="7"/>
        <v>5271.55</v>
      </c>
      <c r="N16" s="141">
        <f t="shared" si="8"/>
        <v>317.3</v>
      </c>
      <c r="O16" s="65">
        <f t="shared" si="9"/>
        <v>56796.700000000004</v>
      </c>
      <c r="P16" s="66">
        <f t="shared" si="5"/>
        <v>62068.250000000007</v>
      </c>
    </row>
    <row r="17" spans="2:17" x14ac:dyDescent="0.35">
      <c r="B17" s="450"/>
      <c r="C17" s="451" t="s">
        <v>130</v>
      </c>
      <c r="D17" s="453" t="s">
        <v>131</v>
      </c>
      <c r="E17" s="454" t="s">
        <v>132</v>
      </c>
      <c r="F17" s="450" t="s">
        <v>133</v>
      </c>
      <c r="G17" s="447" t="s">
        <v>85</v>
      </c>
      <c r="L17" s="141">
        <f t="shared" si="6"/>
        <v>29.45</v>
      </c>
      <c r="M17" s="64">
        <f t="shared" si="7"/>
        <v>10366.4</v>
      </c>
      <c r="N17" s="141">
        <f t="shared" si="8"/>
        <v>317.3</v>
      </c>
      <c r="O17" s="65">
        <f t="shared" si="9"/>
        <v>111689.60000000001</v>
      </c>
      <c r="P17" s="66">
        <f t="shared" si="5"/>
        <v>122056</v>
      </c>
    </row>
    <row r="18" spans="2:17" ht="15" customHeight="1" x14ac:dyDescent="0.35">
      <c r="B18" s="397"/>
      <c r="C18" s="452"/>
      <c r="D18" s="453"/>
      <c r="E18" s="455"/>
      <c r="F18" s="450"/>
      <c r="G18" s="447"/>
      <c r="L18" s="141">
        <f t="shared" si="6"/>
        <v>29.45</v>
      </c>
      <c r="M18" s="64">
        <f t="shared" si="7"/>
        <v>13016.9</v>
      </c>
      <c r="N18" s="141">
        <f t="shared" si="8"/>
        <v>317.3</v>
      </c>
      <c r="O18" s="65">
        <f t="shared" si="9"/>
        <v>140246.6</v>
      </c>
      <c r="P18" s="66">
        <f t="shared" si="5"/>
        <v>153263.5</v>
      </c>
    </row>
    <row r="19" spans="2:17" x14ac:dyDescent="0.35">
      <c r="B19" s="100" t="s">
        <v>135</v>
      </c>
      <c r="C19" s="159">
        <f>((C14-C12)+1)*7</f>
        <v>217</v>
      </c>
      <c r="D19" s="216">
        <f>('VPA 125 Downdays'!I12)/C19</f>
        <v>0</v>
      </c>
      <c r="E19" s="217">
        <f>IF(D19&lt;5%,95%,100%-D19)</f>
        <v>0.95</v>
      </c>
      <c r="F19" s="104">
        <f>(C14-C12)+1</f>
        <v>31</v>
      </c>
      <c r="G19" s="218">
        <f>F19*E19</f>
        <v>29.45</v>
      </c>
      <c r="L19" s="141">
        <f t="shared" si="6"/>
        <v>29.45</v>
      </c>
      <c r="M19" s="64">
        <f t="shared" si="7"/>
        <v>15932.449999999999</v>
      </c>
      <c r="N19" s="141">
        <f t="shared" si="8"/>
        <v>317.3</v>
      </c>
      <c r="O19" s="65">
        <f t="shared" si="9"/>
        <v>171659.30000000002</v>
      </c>
      <c r="P19" s="66">
        <f t="shared" si="5"/>
        <v>187591.75000000003</v>
      </c>
    </row>
    <row r="20" spans="2:17" ht="15" thickBot="1" x14ac:dyDescent="0.4">
      <c r="B20" s="100" t="s">
        <v>136</v>
      </c>
      <c r="C20" s="101">
        <f>(C13-C14)*7</f>
        <v>2338</v>
      </c>
      <c r="D20" s="216">
        <f>('VPA 125 Downdays'!J12)/C20</f>
        <v>2.5662959794696323E-3</v>
      </c>
      <c r="E20" s="217">
        <f>IF(D20&lt;5%,95%,100%-D20)</f>
        <v>0.95</v>
      </c>
      <c r="F20" s="104">
        <f>C13-C14</f>
        <v>334</v>
      </c>
      <c r="G20" s="218">
        <f>F20*E20</f>
        <v>317.3</v>
      </c>
      <c r="L20" s="141">
        <f t="shared" si="6"/>
        <v>29.45</v>
      </c>
      <c r="M20" s="64">
        <f t="shared" si="7"/>
        <v>12310.1</v>
      </c>
      <c r="N20" s="141">
        <f t="shared" si="8"/>
        <v>317.3</v>
      </c>
      <c r="O20" s="65">
        <f t="shared" si="9"/>
        <v>132631.4</v>
      </c>
      <c r="P20" s="66">
        <f t="shared" si="5"/>
        <v>144941.5</v>
      </c>
    </row>
    <row r="21" spans="2:17" ht="15" thickBot="1" x14ac:dyDescent="0.4">
      <c r="B21" s="155" t="s">
        <v>272</v>
      </c>
      <c r="C21" s="219">
        <f>SUM(C19:C20)</f>
        <v>2555</v>
      </c>
      <c r="D21" s="220">
        <f>('VPA 125 Downdays'!K12*100)/C21</f>
        <v>0.23483365949119372</v>
      </c>
      <c r="E21" s="221"/>
      <c r="F21" s="104"/>
      <c r="G21" s="222">
        <f>SUM(G19:G20)</f>
        <v>346.75</v>
      </c>
      <c r="K21" s="11"/>
      <c r="L21" s="151" t="s">
        <v>125</v>
      </c>
      <c r="M21" s="152">
        <f t="shared" ref="M21" si="10">SUM(M14:M20)</f>
        <v>94446.150000000009</v>
      </c>
      <c r="N21" s="152"/>
      <c r="O21" s="152">
        <f t="shared" ref="O21:P21" si="11">SUM(O14:O20)</f>
        <v>1017581.1000000001</v>
      </c>
      <c r="P21" s="185">
        <f t="shared" si="11"/>
        <v>1112027.25</v>
      </c>
      <c r="Q21" s="1" t="s">
        <v>298</v>
      </c>
    </row>
    <row r="22" spans="2:17" ht="15.5" x14ac:dyDescent="0.35">
      <c r="C22" s="11"/>
      <c r="G22" s="223"/>
      <c r="K22" s="11"/>
    </row>
    <row r="23" spans="2:17" ht="15" customHeight="1" x14ac:dyDescent="0.35">
      <c r="B23" s="105" t="s">
        <v>402</v>
      </c>
      <c r="C23" s="106">
        <f>SUM(C19:C20)</f>
        <v>2555</v>
      </c>
      <c r="D23" s="107">
        <f>'VPA 125 Downdays'!K12/'VPA 125 PTDs'!C23</f>
        <v>2.3483365949119373E-3</v>
      </c>
      <c r="G23" s="215"/>
      <c r="K23" s="11"/>
    </row>
    <row r="24" spans="2:17" x14ac:dyDescent="0.35">
      <c r="G24" s="215"/>
      <c r="K24" s="11"/>
    </row>
    <row r="25" spans="2:17" x14ac:dyDescent="0.35">
      <c r="K25" s="11"/>
    </row>
    <row r="26" spans="2:17" x14ac:dyDescent="0.35">
      <c r="K26" s="11"/>
    </row>
    <row r="27" spans="2:17" x14ac:dyDescent="0.35">
      <c r="K27" s="11"/>
    </row>
    <row r="28" spans="2:17" x14ac:dyDescent="0.35">
      <c r="K28" s="11"/>
    </row>
    <row r="29" spans="2:17" x14ac:dyDescent="0.35">
      <c r="K29" s="11"/>
    </row>
    <row r="30" spans="2:17" x14ac:dyDescent="0.35">
      <c r="K30" s="11"/>
      <c r="L30" s="35"/>
    </row>
    <row r="31" spans="2:17" ht="15" customHeight="1" x14ac:dyDescent="0.35">
      <c r="K31" s="11"/>
    </row>
    <row r="38" ht="15" customHeight="1" x14ac:dyDescent="0.35"/>
  </sheetData>
  <mergeCells count="11">
    <mergeCell ref="G17:G18"/>
    <mergeCell ref="L1:M1"/>
    <mergeCell ref="N1:O1"/>
    <mergeCell ref="B3:B9"/>
    <mergeCell ref="L12:M12"/>
    <mergeCell ref="N12:O12"/>
    <mergeCell ref="B17:B18"/>
    <mergeCell ref="C17:C18"/>
    <mergeCell ref="D17:D18"/>
    <mergeCell ref="E17:E18"/>
    <mergeCell ref="F17:F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0C4BF-132C-4B8A-BF95-C223DF329228}">
  <dimension ref="B1:O36"/>
  <sheetViews>
    <sheetView topLeftCell="A28" zoomScale="70" zoomScaleNormal="70" workbookViewId="0">
      <selection activeCell="F41" sqref="F41"/>
    </sheetView>
  </sheetViews>
  <sheetFormatPr defaultColWidth="9.1796875" defaultRowHeight="14.5" x14ac:dyDescent="0.35"/>
  <cols>
    <col min="1" max="1" width="9.1796875" style="1"/>
    <col min="2" max="2" width="41.81640625" style="1" bestFit="1" customWidth="1"/>
    <col min="3" max="3" width="5.81640625" style="1" bestFit="1" customWidth="1"/>
    <col min="4" max="4" width="11" style="1" bestFit="1" customWidth="1"/>
    <col min="5" max="5" width="13.08984375" style="1" customWidth="1"/>
    <col min="6" max="7" width="9.1796875" style="1"/>
    <col min="8" max="8" width="3.26953125" style="1" customWidth="1"/>
    <col min="9" max="9" width="9.54296875" style="1" customWidth="1"/>
    <col min="10" max="13" width="17.54296875" style="1" customWidth="1"/>
    <col min="14" max="14" width="12.1796875" style="1" customWidth="1"/>
    <col min="15" max="16384" width="9.1796875" style="1"/>
  </cols>
  <sheetData>
    <row r="1" spans="2:15" ht="15" thickBot="1" x14ac:dyDescent="0.4"/>
    <row r="2" spans="2:15" ht="18.75" customHeight="1" thickBot="1" x14ac:dyDescent="0.5">
      <c r="B2" s="377" t="s">
        <v>0</v>
      </c>
      <c r="C2" s="378"/>
      <c r="D2" s="378"/>
      <c r="E2" s="379"/>
      <c r="F2" s="2"/>
      <c r="G2" s="2"/>
      <c r="H2" s="2"/>
      <c r="I2" s="377" t="s">
        <v>1</v>
      </c>
      <c r="J2" s="378"/>
      <c r="K2" s="378"/>
      <c r="L2" s="378"/>
      <c r="M2" s="378"/>
      <c r="N2" s="379"/>
    </row>
    <row r="3" spans="2:15" ht="15" thickBot="1" x14ac:dyDescent="0.4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2:15" ht="15" customHeight="1" x14ac:dyDescent="0.35">
      <c r="B4" s="380" t="s">
        <v>2</v>
      </c>
      <c r="C4" s="381"/>
      <c r="D4" s="381"/>
      <c r="E4" s="382"/>
      <c r="G4" s="2"/>
      <c r="H4" s="2"/>
      <c r="I4" s="383" t="s">
        <v>3</v>
      </c>
      <c r="J4" s="384"/>
      <c r="K4" s="384"/>
      <c r="L4" s="384"/>
      <c r="M4" s="384"/>
      <c r="N4" s="385"/>
    </row>
    <row r="5" spans="2:15" x14ac:dyDescent="0.35">
      <c r="B5" s="386" t="s">
        <v>4</v>
      </c>
      <c r="C5" s="387"/>
      <c r="D5" s="387"/>
      <c r="E5" s="388"/>
      <c r="G5" s="2"/>
      <c r="H5" s="2"/>
      <c r="I5" s="3" t="s">
        <v>5</v>
      </c>
      <c r="J5" s="3" t="s">
        <v>6</v>
      </c>
      <c r="K5" s="3" t="s">
        <v>7</v>
      </c>
      <c r="L5" s="3" t="s">
        <v>8</v>
      </c>
      <c r="M5" s="3" t="s">
        <v>9</v>
      </c>
      <c r="N5" s="3" t="s">
        <v>10</v>
      </c>
    </row>
    <row r="6" spans="2:15" x14ac:dyDescent="0.35">
      <c r="B6" s="4" t="s">
        <v>11</v>
      </c>
      <c r="C6" s="5" t="s">
        <v>12</v>
      </c>
      <c r="D6" s="5" t="s">
        <v>13</v>
      </c>
      <c r="E6" s="6">
        <f>'VPA 122 ER Calcs'!J27</f>
        <v>444</v>
      </c>
      <c r="G6" s="2"/>
      <c r="H6" s="2"/>
      <c r="I6" s="7">
        <v>2017</v>
      </c>
      <c r="J6" s="8">
        <v>957</v>
      </c>
      <c r="K6" s="8"/>
      <c r="L6" s="8"/>
      <c r="M6" s="8"/>
      <c r="N6" s="8">
        <f>SUM(J6:L6)</f>
        <v>957</v>
      </c>
    </row>
    <row r="7" spans="2:15" x14ac:dyDescent="0.35">
      <c r="B7" s="4" t="s">
        <v>14</v>
      </c>
      <c r="C7" s="5" t="s">
        <v>15</v>
      </c>
      <c r="D7" s="5" t="s">
        <v>13</v>
      </c>
      <c r="E7" s="6">
        <f>'VPA 122 ER Calcs'!J28</f>
        <v>0</v>
      </c>
      <c r="G7" s="2"/>
      <c r="H7" s="2"/>
      <c r="I7" s="7">
        <v>2018</v>
      </c>
      <c r="J7" s="9">
        <v>8855</v>
      </c>
      <c r="K7" s="10">
        <v>793</v>
      </c>
      <c r="L7" s="10"/>
      <c r="M7" s="10"/>
      <c r="N7" s="8">
        <f>SUM(J7:L7)</f>
        <v>9648</v>
      </c>
      <c r="O7" s="11"/>
    </row>
    <row r="8" spans="2:15" x14ac:dyDescent="0.35">
      <c r="B8" s="4" t="s">
        <v>16</v>
      </c>
      <c r="C8" s="5" t="s">
        <v>17</v>
      </c>
      <c r="D8" s="5" t="s">
        <v>18</v>
      </c>
      <c r="E8" s="374">
        <f>'VPA 122 ER Calcs'!J29</f>
        <v>0.92269999999999996</v>
      </c>
      <c r="G8" s="2"/>
      <c r="H8" s="2"/>
      <c r="I8" s="7">
        <v>2019</v>
      </c>
      <c r="J8" s="9"/>
      <c r="K8" s="10">
        <v>8871</v>
      </c>
      <c r="L8" s="10">
        <f>E32</f>
        <v>401</v>
      </c>
      <c r="M8" s="10"/>
      <c r="N8" s="8">
        <f>SUM(J8:L8)</f>
        <v>9272</v>
      </c>
      <c r="O8" s="11"/>
    </row>
    <row r="9" spans="2:15" x14ac:dyDescent="0.35">
      <c r="B9" s="4" t="s">
        <v>19</v>
      </c>
      <c r="C9" s="5" t="s">
        <v>20</v>
      </c>
      <c r="D9" s="5" t="s">
        <v>13</v>
      </c>
      <c r="E9" s="6">
        <f>'VPA 122 ER Calcs'!J30</f>
        <v>0</v>
      </c>
      <c r="G9" s="2"/>
      <c r="H9" s="2"/>
      <c r="I9" s="7">
        <v>2020</v>
      </c>
      <c r="J9" s="13"/>
      <c r="K9" s="14"/>
      <c r="L9" s="14">
        <f>E33</f>
        <v>4374</v>
      </c>
      <c r="M9" s="14">
        <f>E32</f>
        <v>401</v>
      </c>
      <c r="N9" s="15">
        <f>SUM(J9:L9)</f>
        <v>4374</v>
      </c>
      <c r="O9" s="11"/>
    </row>
    <row r="10" spans="2:15" x14ac:dyDescent="0.35">
      <c r="B10" s="4" t="s">
        <v>21</v>
      </c>
      <c r="C10" s="5" t="s">
        <v>22</v>
      </c>
      <c r="D10" s="5" t="s">
        <v>13</v>
      </c>
      <c r="E10" s="6">
        <f>'VPA 122 ER Calcs'!J31</f>
        <v>409.67879999999997</v>
      </c>
      <c r="G10" s="2"/>
      <c r="H10" s="2"/>
      <c r="I10" s="16">
        <v>2021</v>
      </c>
      <c r="J10" s="17"/>
      <c r="K10" s="17"/>
      <c r="L10" s="17"/>
      <c r="M10" s="18">
        <f>E33</f>
        <v>4374</v>
      </c>
      <c r="N10" s="19">
        <f>SUM(J10:M10)</f>
        <v>4374</v>
      </c>
    </row>
    <row r="11" spans="2:15" x14ac:dyDescent="0.35">
      <c r="B11" s="362" t="s">
        <v>24</v>
      </c>
      <c r="C11" s="363"/>
      <c r="D11" s="363"/>
      <c r="E11" s="364"/>
      <c r="G11" s="2"/>
      <c r="H11" s="2"/>
      <c r="I11" s="20" t="s">
        <v>23</v>
      </c>
      <c r="J11" s="21">
        <f>SUM(J6:J9)</f>
        <v>9812</v>
      </c>
      <c r="K11" s="21">
        <f>SUM(K6:K9)</f>
        <v>9664</v>
      </c>
      <c r="L11" s="21">
        <f>SUM(L6:L9)</f>
        <v>4775</v>
      </c>
      <c r="M11" s="21">
        <f>SUM(M6:M10)</f>
        <v>4775</v>
      </c>
      <c r="N11" s="21">
        <f>SUM(N6:N10)</f>
        <v>28625</v>
      </c>
    </row>
    <row r="12" spans="2:15" x14ac:dyDescent="0.35">
      <c r="B12" s="22" t="s">
        <v>25</v>
      </c>
      <c r="C12" s="5"/>
      <c r="D12" s="23"/>
      <c r="E12" s="24">
        <f>'VPA 122 ER Calcs'!J34</f>
        <v>0.98</v>
      </c>
      <c r="G12" s="2"/>
      <c r="H12" s="2"/>
      <c r="I12" s="2"/>
      <c r="J12" s="2"/>
      <c r="K12" s="2"/>
      <c r="L12" s="2"/>
      <c r="M12" s="2"/>
    </row>
    <row r="13" spans="2:15" x14ac:dyDescent="0.35">
      <c r="B13" s="22" t="s">
        <v>26</v>
      </c>
      <c r="C13" s="5" t="s">
        <v>27</v>
      </c>
      <c r="D13" s="23" t="s">
        <v>28</v>
      </c>
      <c r="E13" s="24">
        <f>'VPA 122 ER Calcs'!J35</f>
        <v>2.0000000000000018E-2</v>
      </c>
      <c r="G13" s="2"/>
      <c r="H13" s="2"/>
      <c r="I13" s="2"/>
      <c r="J13" s="2"/>
      <c r="K13" s="2"/>
      <c r="L13" s="2"/>
      <c r="M13" s="2"/>
    </row>
    <row r="14" spans="2:15" ht="15" thickBot="1" x14ac:dyDescent="0.4">
      <c r="B14" s="25" t="s">
        <v>21</v>
      </c>
      <c r="C14" s="26" t="s">
        <v>29</v>
      </c>
      <c r="D14" s="26" t="s">
        <v>13</v>
      </c>
      <c r="E14" s="371">
        <f>'VPA 122 ER Calcs'!J36</f>
        <v>401</v>
      </c>
      <c r="G14" s="2"/>
      <c r="H14" s="2"/>
      <c r="I14" s="2"/>
      <c r="J14" s="2"/>
      <c r="K14" s="2"/>
      <c r="L14" s="2"/>
      <c r="M14" s="2"/>
    </row>
    <row r="15" spans="2:15" ht="15" thickBot="1" x14ac:dyDescent="0.4">
      <c r="B15" s="25" t="s">
        <v>30</v>
      </c>
      <c r="C15" s="26" t="s">
        <v>29</v>
      </c>
      <c r="D15" s="26" t="s">
        <v>13</v>
      </c>
      <c r="E15" s="27">
        <f>'VPA 122 ER Calcs'!J38</f>
        <v>401</v>
      </c>
      <c r="G15" s="2"/>
      <c r="H15" s="2"/>
      <c r="I15" s="2"/>
      <c r="J15" s="2"/>
      <c r="K15" s="2"/>
      <c r="L15" s="2"/>
      <c r="M15" s="2"/>
    </row>
    <row r="16" spans="2:15" ht="15" thickBot="1" x14ac:dyDescent="0.4">
      <c r="B16" s="2"/>
      <c r="C16" s="2"/>
      <c r="D16" s="2"/>
      <c r="E16" s="2"/>
      <c r="G16" s="2"/>
      <c r="H16" s="2"/>
      <c r="I16" s="2"/>
      <c r="J16" s="2"/>
      <c r="K16" s="2"/>
      <c r="L16" s="2"/>
      <c r="M16" s="2"/>
    </row>
    <row r="17" spans="2:13" x14ac:dyDescent="0.35">
      <c r="B17" s="359" t="s">
        <v>2</v>
      </c>
      <c r="C17" s="360"/>
      <c r="D17" s="360"/>
      <c r="E17" s="361"/>
      <c r="G17" s="2"/>
      <c r="H17" s="2"/>
      <c r="I17" s="2"/>
      <c r="J17" s="2"/>
      <c r="K17" s="2"/>
      <c r="L17" s="2"/>
      <c r="M17" s="2"/>
    </row>
    <row r="18" spans="2:13" x14ac:dyDescent="0.35">
      <c r="B18" s="362" t="s">
        <v>4</v>
      </c>
      <c r="C18" s="363"/>
      <c r="D18" s="363"/>
      <c r="E18" s="364"/>
      <c r="F18" s="2"/>
      <c r="G18" s="2"/>
      <c r="H18" s="2"/>
      <c r="I18" s="2"/>
      <c r="J18" s="2"/>
      <c r="K18" s="2"/>
      <c r="L18" s="2"/>
      <c r="M18" s="2"/>
    </row>
    <row r="19" spans="2:13" x14ac:dyDescent="0.35">
      <c r="B19" s="4" t="s">
        <v>11</v>
      </c>
      <c r="C19" s="5" t="s">
        <v>12</v>
      </c>
      <c r="D19" s="5" t="s">
        <v>13</v>
      </c>
      <c r="E19" s="6">
        <f>'VPA 122 ER Calcs'!O27</f>
        <v>4838</v>
      </c>
      <c r="F19" s="2"/>
      <c r="G19" s="2"/>
      <c r="H19" s="2"/>
      <c r="I19" s="2"/>
      <c r="J19" s="2"/>
      <c r="K19" s="2"/>
      <c r="L19" s="2"/>
      <c r="M19" s="2"/>
    </row>
    <row r="20" spans="2:13" x14ac:dyDescent="0.35">
      <c r="B20" s="4" t="s">
        <v>14</v>
      </c>
      <c r="C20" s="5" t="s">
        <v>15</v>
      </c>
      <c r="D20" s="5" t="s">
        <v>13</v>
      </c>
      <c r="E20" s="6">
        <f>'VPA 122 ER Calcs'!O28</f>
        <v>0</v>
      </c>
      <c r="F20" s="2"/>
      <c r="G20" s="2"/>
      <c r="H20" s="2"/>
      <c r="I20" s="2"/>
      <c r="J20" s="2"/>
      <c r="K20" s="2"/>
      <c r="L20" s="2"/>
      <c r="M20" s="2"/>
    </row>
    <row r="21" spans="2:13" x14ac:dyDescent="0.35">
      <c r="B21" s="4" t="s">
        <v>16</v>
      </c>
      <c r="C21" s="5" t="s">
        <v>17</v>
      </c>
      <c r="D21" s="5" t="s">
        <v>18</v>
      </c>
      <c r="E21" s="6">
        <f>'VPA 122 ER Calcs'!O29</f>
        <v>0.92269999999999996</v>
      </c>
      <c r="F21" s="2"/>
      <c r="G21" s="2"/>
      <c r="H21" s="2"/>
      <c r="I21" s="2"/>
      <c r="J21" s="2"/>
      <c r="K21" s="2"/>
      <c r="L21" s="2"/>
      <c r="M21" s="2"/>
    </row>
    <row r="22" spans="2:13" x14ac:dyDescent="0.35">
      <c r="B22" s="4" t="s">
        <v>19</v>
      </c>
      <c r="C22" s="5" t="s">
        <v>20</v>
      </c>
      <c r="D22" s="5" t="s">
        <v>13</v>
      </c>
      <c r="E22" s="6">
        <f>'VPA 122 ER Calcs'!O30</f>
        <v>0</v>
      </c>
      <c r="F22" s="2"/>
      <c r="G22" s="2"/>
      <c r="H22" s="2"/>
      <c r="I22" s="2"/>
      <c r="J22" s="2"/>
      <c r="K22" s="2"/>
      <c r="L22" s="2"/>
      <c r="M22" s="2"/>
    </row>
    <row r="23" spans="2:13" x14ac:dyDescent="0.35">
      <c r="B23" s="4" t="s">
        <v>21</v>
      </c>
      <c r="C23" s="5" t="s">
        <v>22</v>
      </c>
      <c r="D23" s="5" t="s">
        <v>13</v>
      </c>
      <c r="E23" s="6">
        <f>'VPA 122 ER Calcs'!O31</f>
        <v>4464.0226000000002</v>
      </c>
      <c r="F23" s="2"/>
      <c r="G23" s="2"/>
      <c r="H23" s="2"/>
      <c r="I23" s="2"/>
      <c r="J23" s="2"/>
      <c r="K23" s="2"/>
      <c r="L23" s="2"/>
      <c r="M23" s="2"/>
    </row>
    <row r="24" spans="2:13" x14ac:dyDescent="0.35">
      <c r="B24" s="362" t="s">
        <v>24</v>
      </c>
      <c r="C24" s="363"/>
      <c r="D24" s="363"/>
      <c r="E24" s="364"/>
      <c r="F24" s="2"/>
      <c r="G24" s="2"/>
      <c r="H24" s="2"/>
      <c r="I24" s="2"/>
      <c r="J24" s="2"/>
      <c r="K24" s="2"/>
      <c r="L24" s="2"/>
      <c r="M24" s="2"/>
    </row>
    <row r="25" spans="2:13" x14ac:dyDescent="0.35">
      <c r="B25" s="22" t="s">
        <v>25</v>
      </c>
      <c r="C25" s="5"/>
      <c r="D25" s="23"/>
      <c r="E25" s="24">
        <f>'VPA 122 ER Calcs'!O34</f>
        <v>0.98</v>
      </c>
      <c r="F25" s="2"/>
      <c r="G25" s="2"/>
      <c r="H25" s="2"/>
      <c r="I25" s="2"/>
      <c r="J25" s="2"/>
      <c r="K25" s="2"/>
      <c r="L25" s="2"/>
      <c r="M25" s="2"/>
    </row>
    <row r="26" spans="2:13" x14ac:dyDescent="0.35">
      <c r="B26" s="22" t="s">
        <v>26</v>
      </c>
      <c r="C26" s="5" t="s">
        <v>27</v>
      </c>
      <c r="D26" s="23" t="s">
        <v>28</v>
      </c>
      <c r="E26" s="24">
        <f>'VPA 122 ER Calcs'!O35</f>
        <v>2.0000000000000018E-2</v>
      </c>
      <c r="F26" s="2"/>
      <c r="G26" s="2"/>
      <c r="H26" s="2"/>
      <c r="I26" s="2"/>
      <c r="J26" s="2"/>
      <c r="K26" s="2"/>
      <c r="L26" s="2"/>
      <c r="M26" s="2"/>
    </row>
    <row r="27" spans="2:13" ht="15" thickBot="1" x14ac:dyDescent="0.4">
      <c r="B27" s="25" t="s">
        <v>21</v>
      </c>
      <c r="C27" s="26" t="s">
        <v>22</v>
      </c>
      <c r="D27" s="26" t="s">
        <v>13</v>
      </c>
      <c r="E27" s="371">
        <f>'VPA 122 ER Calcs'!O36</f>
        <v>4374</v>
      </c>
      <c r="F27" s="2"/>
      <c r="G27" s="2"/>
      <c r="H27" s="2"/>
      <c r="I27" s="2"/>
      <c r="J27" s="2"/>
      <c r="K27" s="2"/>
      <c r="L27" s="2"/>
      <c r="M27" s="2"/>
    </row>
    <row r="28" spans="2:13" ht="15" thickBot="1" x14ac:dyDescent="0.4">
      <c r="B28" s="25" t="s">
        <v>30</v>
      </c>
      <c r="C28" s="26" t="s">
        <v>22</v>
      </c>
      <c r="D28" s="26" t="s">
        <v>13</v>
      </c>
      <c r="E28" s="27">
        <f>'VPA 122 ER Calcs'!O38</f>
        <v>4374</v>
      </c>
      <c r="F28" s="2"/>
      <c r="G28" s="2"/>
      <c r="H28" s="2"/>
      <c r="I28" s="2"/>
      <c r="J28" s="2"/>
      <c r="K28" s="2"/>
      <c r="L28" s="2"/>
      <c r="M28" s="2"/>
    </row>
    <row r="29" spans="2:13" ht="15" thickBot="1" x14ac:dyDescent="0.4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2:13" ht="15.5" x14ac:dyDescent="0.35">
      <c r="B30" s="365" t="s">
        <v>31</v>
      </c>
      <c r="C30" s="366"/>
      <c r="D30" s="366"/>
      <c r="E30" s="367"/>
      <c r="F30" s="2"/>
      <c r="G30" s="2"/>
      <c r="H30" s="2"/>
      <c r="I30" s="28"/>
      <c r="J30" s="28"/>
      <c r="K30" s="28"/>
      <c r="L30" s="28"/>
      <c r="M30" s="28"/>
    </row>
    <row r="31" spans="2:13" x14ac:dyDescent="0.35">
      <c r="B31" s="368" t="s">
        <v>4</v>
      </c>
      <c r="C31" s="369"/>
      <c r="D31" s="369"/>
      <c r="E31" s="370"/>
      <c r="F31" s="2"/>
      <c r="G31" s="2"/>
      <c r="H31" s="2"/>
      <c r="I31" s="2"/>
      <c r="J31" s="2"/>
      <c r="K31" s="2"/>
      <c r="L31" s="2"/>
      <c r="M31" s="2"/>
    </row>
    <row r="32" spans="2:13" x14ac:dyDescent="0.35">
      <c r="B32" s="354">
        <v>2020</v>
      </c>
      <c r="C32" s="355"/>
      <c r="D32" s="356"/>
      <c r="E32" s="29">
        <f>E15</f>
        <v>401</v>
      </c>
      <c r="F32" s="2"/>
      <c r="G32" s="2"/>
      <c r="H32" s="2"/>
      <c r="I32" s="2"/>
      <c r="J32" s="2"/>
      <c r="K32" s="2"/>
      <c r="L32" s="2"/>
      <c r="M32" s="2"/>
    </row>
    <row r="33" spans="2:13" x14ac:dyDescent="0.35">
      <c r="B33" s="354">
        <v>2021</v>
      </c>
      <c r="C33" s="355"/>
      <c r="D33" s="356"/>
      <c r="E33" s="30">
        <f>E28</f>
        <v>4374</v>
      </c>
      <c r="F33" s="2"/>
      <c r="G33" s="2"/>
      <c r="H33" s="2"/>
      <c r="I33" s="2"/>
      <c r="J33" s="2"/>
      <c r="K33" s="2"/>
      <c r="L33" s="2"/>
      <c r="M33" s="2"/>
    </row>
    <row r="34" spans="2:13" ht="15" thickBot="1" x14ac:dyDescent="0.4">
      <c r="B34" s="357" t="s">
        <v>32</v>
      </c>
      <c r="C34" s="358"/>
      <c r="D34" s="31"/>
      <c r="E34" s="32">
        <f>SUM(E32:E33)</f>
        <v>4775</v>
      </c>
      <c r="F34" s="2"/>
      <c r="G34" s="2"/>
      <c r="H34" s="2"/>
      <c r="I34" s="2"/>
      <c r="J34" s="2"/>
      <c r="K34" s="2"/>
      <c r="L34" s="2"/>
      <c r="M34" s="2"/>
    </row>
    <row r="35" spans="2:13" ht="15" thickBot="1" x14ac:dyDescent="0.4">
      <c r="B35" s="375" t="s">
        <v>33</v>
      </c>
      <c r="C35" s="376"/>
      <c r="D35" s="31"/>
      <c r="E35" s="32">
        <f>E28+E15</f>
        <v>4775</v>
      </c>
      <c r="F35" s="2"/>
      <c r="G35" s="2"/>
      <c r="H35" s="2"/>
      <c r="I35" s="2"/>
      <c r="J35" s="2"/>
      <c r="K35" s="2"/>
      <c r="L35" s="2"/>
      <c r="M35" s="2"/>
    </row>
    <row r="36" spans="2:13" x14ac:dyDescent="0.35">
      <c r="F36" s="2"/>
      <c r="G36" s="2"/>
      <c r="H36" s="2"/>
    </row>
  </sheetData>
  <mergeCells count="6">
    <mergeCell ref="B35:C35"/>
    <mergeCell ref="B2:E2"/>
    <mergeCell ref="I2:N2"/>
    <mergeCell ref="B4:E4"/>
    <mergeCell ref="I4:N4"/>
    <mergeCell ref="B5:E5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3B70B-E2C4-460B-A947-7D61EBD07A76}">
  <dimension ref="B2:K12"/>
  <sheetViews>
    <sheetView zoomScale="80" zoomScaleNormal="80" workbookViewId="0">
      <selection activeCell="E23" sqref="E23"/>
    </sheetView>
  </sheetViews>
  <sheetFormatPr defaultRowHeight="14.5" x14ac:dyDescent="0.35"/>
  <cols>
    <col min="4" max="4" width="13.453125" customWidth="1"/>
    <col min="5" max="5" width="17.54296875" customWidth="1"/>
    <col min="6" max="6" width="23.26953125" customWidth="1"/>
    <col min="7" max="7" width="20.1796875" customWidth="1"/>
    <col min="8" max="8" width="23.453125" customWidth="1"/>
    <col min="9" max="9" width="6.7265625" customWidth="1"/>
    <col min="10" max="10" width="7.81640625" customWidth="1"/>
    <col min="11" max="11" width="11.453125" customWidth="1"/>
  </cols>
  <sheetData>
    <row r="2" spans="2:11" x14ac:dyDescent="0.35">
      <c r="B2" s="445" t="s">
        <v>225</v>
      </c>
      <c r="C2" s="445" t="s">
        <v>226</v>
      </c>
      <c r="D2" s="464" t="s">
        <v>77</v>
      </c>
      <c r="E2" s="466" t="s">
        <v>78</v>
      </c>
      <c r="F2" s="468" t="s">
        <v>227</v>
      </c>
      <c r="G2" s="470" t="s">
        <v>228</v>
      </c>
      <c r="H2" s="456" t="s">
        <v>229</v>
      </c>
      <c r="I2" s="408" t="s">
        <v>230</v>
      </c>
      <c r="J2" s="408"/>
      <c r="K2" s="409"/>
    </row>
    <row r="3" spans="2:11" ht="15.5" x14ac:dyDescent="0.35">
      <c r="B3" s="446"/>
      <c r="C3" s="446"/>
      <c r="D3" s="465"/>
      <c r="E3" s="467"/>
      <c r="F3" s="469"/>
      <c r="G3" s="470"/>
      <c r="H3" s="457"/>
      <c r="I3" s="194">
        <v>2020</v>
      </c>
      <c r="J3" s="195">
        <v>2021</v>
      </c>
      <c r="K3" s="195" t="s">
        <v>272</v>
      </c>
    </row>
    <row r="4" spans="2:11" ht="33" customHeight="1" x14ac:dyDescent="0.35">
      <c r="B4" s="458" t="s">
        <v>274</v>
      </c>
      <c r="C4" s="459">
        <v>125</v>
      </c>
      <c r="D4" s="224" t="s">
        <v>275</v>
      </c>
      <c r="E4" s="204" t="s">
        <v>276</v>
      </c>
      <c r="F4" s="166"/>
      <c r="G4" s="166"/>
      <c r="H4" s="197"/>
      <c r="I4" s="5"/>
      <c r="J4" s="5"/>
      <c r="K4" s="5">
        <f>I4+J4</f>
        <v>0</v>
      </c>
    </row>
    <row r="5" spans="2:11" ht="38.5" customHeight="1" x14ac:dyDescent="0.35">
      <c r="B5" s="458"/>
      <c r="C5" s="459"/>
      <c r="D5" s="224" t="s">
        <v>278</v>
      </c>
      <c r="E5" s="58" t="s">
        <v>279</v>
      </c>
      <c r="F5" s="166"/>
      <c r="G5" s="166"/>
      <c r="H5" s="198"/>
      <c r="I5" s="5"/>
      <c r="J5" s="5"/>
      <c r="K5" s="5">
        <f t="shared" ref="K5:K11" si="0">I5+J5</f>
        <v>0</v>
      </c>
    </row>
    <row r="6" spans="2:11" ht="15.5" x14ac:dyDescent="0.35">
      <c r="B6" s="458"/>
      <c r="C6" s="459"/>
      <c r="D6" s="224" t="s">
        <v>281</v>
      </c>
      <c r="E6" s="71" t="s">
        <v>282</v>
      </c>
      <c r="F6" s="5"/>
      <c r="G6" s="5"/>
      <c r="H6" s="5"/>
      <c r="I6" s="5"/>
      <c r="J6" s="5"/>
      <c r="K6" s="5">
        <f t="shared" si="0"/>
        <v>0</v>
      </c>
    </row>
    <row r="7" spans="2:11" ht="15.65" customHeight="1" x14ac:dyDescent="0.35">
      <c r="B7" s="458"/>
      <c r="C7" s="459"/>
      <c r="D7" s="460" t="s">
        <v>284</v>
      </c>
      <c r="E7" s="462" t="s">
        <v>285</v>
      </c>
      <c r="F7" s="169">
        <v>44198</v>
      </c>
      <c r="G7" s="169">
        <v>44200</v>
      </c>
      <c r="H7" s="9" t="s">
        <v>299</v>
      </c>
      <c r="I7" s="5"/>
      <c r="J7" s="5">
        <v>3</v>
      </c>
      <c r="K7" s="413">
        <v>6</v>
      </c>
    </row>
    <row r="8" spans="2:11" ht="15.65" customHeight="1" x14ac:dyDescent="0.35">
      <c r="B8" s="458"/>
      <c r="C8" s="459"/>
      <c r="D8" s="461"/>
      <c r="E8" s="463"/>
      <c r="F8" s="169">
        <v>44262</v>
      </c>
      <c r="G8" s="169">
        <v>44264</v>
      </c>
      <c r="H8" s="9" t="s">
        <v>300</v>
      </c>
      <c r="I8" s="5"/>
      <c r="J8" s="5">
        <v>3</v>
      </c>
      <c r="K8" s="415"/>
    </row>
    <row r="9" spans="2:11" ht="15.5" x14ac:dyDescent="0.35">
      <c r="B9" s="458"/>
      <c r="C9" s="459"/>
      <c r="D9" s="225" t="s">
        <v>287</v>
      </c>
      <c r="E9" s="58" t="s">
        <v>288</v>
      </c>
      <c r="F9" s="5"/>
      <c r="G9" s="5"/>
      <c r="H9" s="5"/>
      <c r="I9" s="5"/>
      <c r="J9" s="5"/>
      <c r="K9" s="5">
        <f t="shared" si="0"/>
        <v>0</v>
      </c>
    </row>
    <row r="10" spans="2:11" ht="15.5" x14ac:dyDescent="0.35">
      <c r="B10" s="458"/>
      <c r="C10" s="459"/>
      <c r="D10" s="224" t="s">
        <v>290</v>
      </c>
      <c r="E10" s="73" t="s">
        <v>291</v>
      </c>
      <c r="F10" s="5"/>
      <c r="G10" s="5"/>
      <c r="H10" s="5"/>
      <c r="I10" s="5"/>
      <c r="J10" s="5"/>
      <c r="K10" s="5">
        <f t="shared" si="0"/>
        <v>0</v>
      </c>
    </row>
    <row r="11" spans="2:11" ht="15.5" x14ac:dyDescent="0.35">
      <c r="B11" s="458"/>
      <c r="C11" s="459"/>
      <c r="D11" s="224" t="s">
        <v>294</v>
      </c>
      <c r="E11" s="73" t="s">
        <v>295</v>
      </c>
      <c r="F11" s="5"/>
      <c r="G11" s="5"/>
      <c r="H11" s="5"/>
      <c r="I11" s="5"/>
      <c r="J11" s="5"/>
      <c r="K11" s="5">
        <f t="shared" si="0"/>
        <v>0</v>
      </c>
    </row>
    <row r="12" spans="2:11" x14ac:dyDescent="0.35">
      <c r="B12" s="171" t="s">
        <v>23</v>
      </c>
      <c r="C12" s="171"/>
      <c r="D12" s="171"/>
      <c r="E12" s="171"/>
      <c r="F12" s="171"/>
      <c r="G12" s="171"/>
      <c r="H12" s="171"/>
      <c r="I12" s="171">
        <f>SUM(I4:I11)</f>
        <v>0</v>
      </c>
      <c r="J12" s="171">
        <f t="shared" ref="J12:K12" si="1">SUM(J4:J11)</f>
        <v>6</v>
      </c>
      <c r="K12" s="171">
        <f t="shared" si="1"/>
        <v>6</v>
      </c>
    </row>
  </sheetData>
  <mergeCells count="13">
    <mergeCell ref="H2:H3"/>
    <mergeCell ref="I2:K2"/>
    <mergeCell ref="B4:B11"/>
    <mergeCell ref="C4:C11"/>
    <mergeCell ref="D7:D8"/>
    <mergeCell ref="E7:E8"/>
    <mergeCell ref="K7:K8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18C90-0851-498C-B415-1BFBFEB6DDE8}">
  <dimension ref="A2:E23"/>
  <sheetViews>
    <sheetView topLeftCell="B1" zoomScale="66" zoomScaleNormal="85" workbookViewId="0">
      <selection activeCell="D47" sqref="D47"/>
    </sheetView>
  </sheetViews>
  <sheetFormatPr defaultRowHeight="14.5" x14ac:dyDescent="0.35"/>
  <cols>
    <col min="1" max="1" width="32.26953125" bestFit="1" customWidth="1"/>
    <col min="2" max="2" width="120" bestFit="1" customWidth="1"/>
    <col min="3" max="3" width="35" bestFit="1" customWidth="1"/>
    <col min="4" max="4" width="10.453125" bestFit="1" customWidth="1"/>
  </cols>
  <sheetData>
    <row r="2" spans="1:5" ht="29" x14ac:dyDescent="0.35">
      <c r="A2" s="108" t="s">
        <v>138</v>
      </c>
      <c r="B2" s="108" t="s">
        <v>139</v>
      </c>
      <c r="C2" s="108" t="s">
        <v>140</v>
      </c>
      <c r="D2" s="108" t="s">
        <v>141</v>
      </c>
      <c r="E2" s="174" t="s">
        <v>182</v>
      </c>
    </row>
    <row r="3" spans="1:5" x14ac:dyDescent="0.35">
      <c r="A3" s="62" t="s">
        <v>142</v>
      </c>
      <c r="B3" s="5" t="s">
        <v>143</v>
      </c>
      <c r="C3" s="175">
        <f>((C4-C5)/C4)*C9</f>
        <v>0.92269999999999996</v>
      </c>
      <c r="D3" s="5" t="s">
        <v>144</v>
      </c>
      <c r="E3" s="174"/>
    </row>
    <row r="4" spans="1:5" x14ac:dyDescent="0.35">
      <c r="A4" s="5" t="s">
        <v>145</v>
      </c>
      <c r="B4" s="5" t="s">
        <v>146</v>
      </c>
      <c r="C4" s="110">
        <f>C6*C7</f>
        <v>3.0000000000000001E-3</v>
      </c>
      <c r="D4" s="5" t="s">
        <v>147</v>
      </c>
      <c r="E4" s="174"/>
    </row>
    <row r="5" spans="1:5" x14ac:dyDescent="0.35">
      <c r="A5" s="74" t="s">
        <v>148</v>
      </c>
      <c r="B5" s="5" t="s">
        <v>149</v>
      </c>
      <c r="C5" s="111">
        <f>C6*C8</f>
        <v>0</v>
      </c>
      <c r="D5" s="5" t="s">
        <v>150</v>
      </c>
      <c r="E5" s="174"/>
    </row>
    <row r="6" spans="1:5" ht="29" x14ac:dyDescent="0.35">
      <c r="A6" s="5" t="s">
        <v>42</v>
      </c>
      <c r="B6" s="5" t="s">
        <v>151</v>
      </c>
      <c r="C6" s="112">
        <v>4.0000000000000002E-4</v>
      </c>
      <c r="D6" s="5" t="s">
        <v>152</v>
      </c>
      <c r="E6" s="176" t="s">
        <v>185</v>
      </c>
    </row>
    <row r="7" spans="1:5" ht="87" x14ac:dyDescent="0.35">
      <c r="A7" s="5" t="s">
        <v>45</v>
      </c>
      <c r="B7" s="5" t="s">
        <v>153</v>
      </c>
      <c r="C7" s="111">
        <v>7.5</v>
      </c>
      <c r="D7" s="5" t="s">
        <v>154</v>
      </c>
      <c r="E7" s="176" t="s">
        <v>186</v>
      </c>
    </row>
    <row r="8" spans="1:5" x14ac:dyDescent="0.35">
      <c r="A8" s="5" t="s">
        <v>155</v>
      </c>
      <c r="B8" s="5" t="s">
        <v>156</v>
      </c>
      <c r="C8" s="111">
        <v>0</v>
      </c>
      <c r="D8" s="5" t="s">
        <v>154</v>
      </c>
      <c r="E8" s="176" t="s">
        <v>187</v>
      </c>
    </row>
    <row r="9" spans="1:5" ht="15.75" customHeight="1" x14ac:dyDescent="0.45">
      <c r="A9" s="5" t="s">
        <v>157</v>
      </c>
      <c r="B9" s="5" t="s">
        <v>158</v>
      </c>
      <c r="C9" s="177">
        <f>C20</f>
        <v>0.92269999999999996</v>
      </c>
      <c r="D9" s="5" t="s">
        <v>144</v>
      </c>
      <c r="E9" s="176" t="s">
        <v>190</v>
      </c>
    </row>
    <row r="10" spans="1:5" x14ac:dyDescent="0.35">
      <c r="E10" s="174"/>
    </row>
    <row r="11" spans="1:5" x14ac:dyDescent="0.35">
      <c r="A11" s="108" t="s">
        <v>159</v>
      </c>
      <c r="B11" s="108" t="s">
        <v>139</v>
      </c>
      <c r="C11" s="108" t="s">
        <v>160</v>
      </c>
      <c r="D11" s="108" t="s">
        <v>141</v>
      </c>
      <c r="E11" s="174"/>
    </row>
    <row r="12" spans="1:5" x14ac:dyDescent="0.35">
      <c r="A12" s="37" t="s">
        <v>161</v>
      </c>
      <c r="B12" s="5" t="s">
        <v>162</v>
      </c>
      <c r="C12" s="115">
        <f>(C13-C14)</f>
        <v>1.2899999999999998</v>
      </c>
      <c r="D12" s="5" t="s">
        <v>163</v>
      </c>
      <c r="E12" s="174"/>
    </row>
    <row r="13" spans="1:5" ht="29" x14ac:dyDescent="0.35">
      <c r="A13" s="37" t="s">
        <v>164</v>
      </c>
      <c r="B13" s="5" t="s">
        <v>165</v>
      </c>
      <c r="C13" s="5">
        <v>2.2599999999999998</v>
      </c>
      <c r="D13" s="5" t="s">
        <v>163</v>
      </c>
      <c r="E13" s="176" t="s">
        <v>237</v>
      </c>
    </row>
    <row r="14" spans="1:5" ht="29" x14ac:dyDescent="0.35">
      <c r="A14" s="37" t="s">
        <v>166</v>
      </c>
      <c r="B14" s="5" t="s">
        <v>167</v>
      </c>
      <c r="C14" s="5">
        <v>0.97</v>
      </c>
      <c r="D14" s="5" t="s">
        <v>163</v>
      </c>
      <c r="E14" s="176" t="s">
        <v>238</v>
      </c>
    </row>
    <row r="15" spans="1:5" x14ac:dyDescent="0.35">
      <c r="E15" s="174"/>
    </row>
    <row r="16" spans="1:5" x14ac:dyDescent="0.35">
      <c r="A16" s="108" t="s">
        <v>168</v>
      </c>
      <c r="B16" s="108" t="s">
        <v>139</v>
      </c>
      <c r="C16" s="108" t="s">
        <v>169</v>
      </c>
      <c r="D16" s="108" t="s">
        <v>141</v>
      </c>
      <c r="E16" s="174"/>
    </row>
    <row r="17" spans="1:5" x14ac:dyDescent="0.35">
      <c r="A17" s="37" t="s">
        <v>170</v>
      </c>
      <c r="B17" s="5" t="s">
        <v>171</v>
      </c>
      <c r="C17" s="116">
        <f>C18*(1-C19)*C20</f>
        <v>1826.0232999999998</v>
      </c>
      <c r="D17" s="5" t="s">
        <v>172</v>
      </c>
      <c r="E17" s="174"/>
    </row>
    <row r="18" spans="1:5" x14ac:dyDescent="0.35">
      <c r="A18" s="37" t="s">
        <v>173</v>
      </c>
      <c r="B18" s="5" t="s">
        <v>174</v>
      </c>
      <c r="C18" s="117">
        <f>'VPA 125 PTDs'!J10</f>
        <v>1979</v>
      </c>
      <c r="D18" s="5" t="s">
        <v>172</v>
      </c>
      <c r="E18" s="174" t="s">
        <v>239</v>
      </c>
    </row>
    <row r="19" spans="1:5" ht="29" x14ac:dyDescent="0.35">
      <c r="A19" s="37" t="s">
        <v>38</v>
      </c>
      <c r="B19" s="5" t="s">
        <v>175</v>
      </c>
      <c r="C19" s="118">
        <v>0</v>
      </c>
      <c r="D19" s="5" t="s">
        <v>144</v>
      </c>
      <c r="E19" s="174" t="s">
        <v>237</v>
      </c>
    </row>
    <row r="20" spans="1:5" ht="73.5" x14ac:dyDescent="0.45">
      <c r="A20" s="37" t="s">
        <v>157</v>
      </c>
      <c r="B20" s="5" t="s">
        <v>158</v>
      </c>
      <c r="C20" s="177">
        <v>0.92269999999999996</v>
      </c>
      <c r="D20" s="5" t="s">
        <v>144</v>
      </c>
      <c r="E20" s="174" t="s">
        <v>190</v>
      </c>
    </row>
    <row r="21" spans="1:5" x14ac:dyDescent="0.35">
      <c r="E21" s="174"/>
    </row>
    <row r="22" spans="1:5" x14ac:dyDescent="0.35">
      <c r="A22" s="119" t="s">
        <v>176</v>
      </c>
      <c r="B22" s="108" t="s">
        <v>139</v>
      </c>
      <c r="C22" s="108"/>
      <c r="D22" s="108" t="s">
        <v>141</v>
      </c>
      <c r="E22" s="174"/>
    </row>
    <row r="23" spans="1:5" x14ac:dyDescent="0.35">
      <c r="A23" s="37" t="s">
        <v>177</v>
      </c>
      <c r="B23" s="5" t="s">
        <v>178</v>
      </c>
      <c r="C23" s="120">
        <f>'VPA 125 Summary'!E36</f>
        <v>3423</v>
      </c>
      <c r="D23" s="5" t="s">
        <v>179</v>
      </c>
      <c r="E23" s="174" t="s">
        <v>240</v>
      </c>
    </row>
  </sheetData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CBA4A-BDA8-4D96-B918-C9DEE81A1478}">
  <dimension ref="B1:O36"/>
  <sheetViews>
    <sheetView topLeftCell="A28" zoomScale="70" zoomScaleNormal="70" workbookViewId="0">
      <selection activeCell="E28" sqref="E28"/>
    </sheetView>
  </sheetViews>
  <sheetFormatPr defaultColWidth="9.1796875" defaultRowHeight="14.5" x14ac:dyDescent="0.35"/>
  <cols>
    <col min="1" max="1" width="9.1796875" style="1"/>
    <col min="2" max="2" width="41.81640625" style="1" bestFit="1" customWidth="1"/>
    <col min="3" max="3" width="5.81640625" style="1" bestFit="1" customWidth="1"/>
    <col min="4" max="4" width="11" style="1" bestFit="1" customWidth="1"/>
    <col min="5" max="5" width="8.81640625" style="1" customWidth="1"/>
    <col min="6" max="6" width="5.453125" style="1" customWidth="1"/>
    <col min="7" max="7" width="3.81640625" style="1" customWidth="1"/>
    <col min="8" max="8" width="3.26953125" style="1" customWidth="1"/>
    <col min="9" max="9" width="9.54296875" style="1" customWidth="1"/>
    <col min="10" max="13" width="17.54296875" style="1" customWidth="1"/>
    <col min="14" max="14" width="12.1796875" style="1" customWidth="1"/>
    <col min="15" max="16384" width="9.1796875" style="1"/>
  </cols>
  <sheetData>
    <row r="1" spans="2:15" ht="15" thickBot="1" x14ac:dyDescent="0.4"/>
    <row r="2" spans="2:15" ht="18.75" customHeight="1" thickBot="1" x14ac:dyDescent="0.5">
      <c r="B2" s="377" t="s">
        <v>180</v>
      </c>
      <c r="C2" s="378"/>
      <c r="D2" s="378"/>
      <c r="E2" s="379"/>
      <c r="F2" s="2"/>
      <c r="G2" s="2"/>
      <c r="H2" s="2"/>
      <c r="I2" s="377" t="s">
        <v>1</v>
      </c>
      <c r="J2" s="378"/>
      <c r="K2" s="378"/>
      <c r="L2" s="378"/>
      <c r="M2" s="378"/>
      <c r="N2" s="379"/>
    </row>
    <row r="3" spans="2:15" ht="15" thickBot="1" x14ac:dyDescent="0.4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2:15" ht="15" customHeight="1" x14ac:dyDescent="0.35">
      <c r="B4" s="380" t="s">
        <v>2</v>
      </c>
      <c r="C4" s="381"/>
      <c r="D4" s="381"/>
      <c r="E4" s="382"/>
      <c r="G4" s="2"/>
      <c r="H4" s="2"/>
      <c r="I4" s="383" t="s">
        <v>3</v>
      </c>
      <c r="J4" s="384"/>
      <c r="K4" s="384"/>
      <c r="L4" s="384"/>
      <c r="M4" s="384"/>
      <c r="N4" s="385"/>
    </row>
    <row r="5" spans="2:15" x14ac:dyDescent="0.35">
      <c r="B5" s="386" t="s">
        <v>4</v>
      </c>
      <c r="C5" s="387"/>
      <c r="D5" s="387"/>
      <c r="E5" s="388"/>
      <c r="G5" s="2"/>
      <c r="H5" s="2"/>
      <c r="I5" s="3" t="s">
        <v>5</v>
      </c>
      <c r="J5" s="3" t="s">
        <v>181</v>
      </c>
      <c r="K5" s="3" t="s">
        <v>7</v>
      </c>
      <c r="L5" s="3" t="s">
        <v>8</v>
      </c>
      <c r="M5" s="3" t="s">
        <v>9</v>
      </c>
      <c r="N5" s="3" t="s">
        <v>10</v>
      </c>
    </row>
    <row r="6" spans="2:15" x14ac:dyDescent="0.35">
      <c r="B6" s="4" t="s">
        <v>11</v>
      </c>
      <c r="C6" s="5" t="s">
        <v>12</v>
      </c>
      <c r="D6" s="5" t="s">
        <v>13</v>
      </c>
      <c r="E6" s="6">
        <f>'VPA 126 ER Calcs'!J27</f>
        <v>296</v>
      </c>
      <c r="G6" s="2"/>
      <c r="H6" s="2"/>
      <c r="I6" s="7">
        <v>2017</v>
      </c>
      <c r="J6" s="8">
        <v>1196</v>
      </c>
      <c r="K6" s="8"/>
      <c r="L6" s="8"/>
      <c r="M6" s="8"/>
      <c r="N6" s="8">
        <f>SUM(J6:L6)</f>
        <v>1196</v>
      </c>
    </row>
    <row r="7" spans="2:15" x14ac:dyDescent="0.35">
      <c r="B7" s="4" t="s">
        <v>14</v>
      </c>
      <c r="C7" s="5" t="s">
        <v>15</v>
      </c>
      <c r="D7" s="5" t="s">
        <v>13</v>
      </c>
      <c r="E7" s="6">
        <f>'VPA 126 ER Calcs'!J28</f>
        <v>0</v>
      </c>
      <c r="G7" s="2"/>
      <c r="H7" s="2"/>
      <c r="I7" s="7">
        <v>2018</v>
      </c>
      <c r="J7" s="9">
        <v>8927</v>
      </c>
      <c r="K7" s="10">
        <v>799</v>
      </c>
      <c r="L7" s="10"/>
      <c r="M7" s="10"/>
      <c r="N7" s="8">
        <f>SUM(J7:L7)</f>
        <v>9726</v>
      </c>
      <c r="O7" s="11"/>
    </row>
    <row r="8" spans="2:15" x14ac:dyDescent="0.35">
      <c r="B8" s="4" t="s">
        <v>16</v>
      </c>
      <c r="C8" s="5" t="s">
        <v>17</v>
      </c>
      <c r="D8" s="5" t="s">
        <v>18</v>
      </c>
      <c r="E8" s="12">
        <f>'VPA 126 ER Calcs'!J29</f>
        <v>0.92269999999999996</v>
      </c>
      <c r="G8" s="2"/>
      <c r="H8" s="2"/>
      <c r="I8" s="7">
        <v>2019</v>
      </c>
      <c r="J8" s="9"/>
      <c r="K8" s="10">
        <v>8934</v>
      </c>
      <c r="L8" s="10">
        <f>E33</f>
        <v>267</v>
      </c>
      <c r="M8" s="10"/>
      <c r="N8" s="8">
        <f t="shared" ref="N8:N9" si="0">SUM(J8:L8)</f>
        <v>9201</v>
      </c>
      <c r="O8" s="11"/>
    </row>
    <row r="9" spans="2:15" x14ac:dyDescent="0.35">
      <c r="B9" s="4" t="s">
        <v>19</v>
      </c>
      <c r="C9" s="5" t="s">
        <v>20</v>
      </c>
      <c r="D9" s="5" t="s">
        <v>13</v>
      </c>
      <c r="E9" s="6">
        <f>'VPA 126 ER Calcs'!J30</f>
        <v>0</v>
      </c>
      <c r="G9" s="2"/>
      <c r="H9" s="2"/>
      <c r="I9" s="7">
        <v>2020</v>
      </c>
      <c r="J9" s="9"/>
      <c r="K9" s="10"/>
      <c r="L9" s="10">
        <f>E34</f>
        <v>2906</v>
      </c>
      <c r="M9" s="10">
        <f>'VPA 126 ER Calcs'!J38</f>
        <v>267</v>
      </c>
      <c r="N9" s="8">
        <f t="shared" si="0"/>
        <v>2906</v>
      </c>
    </row>
    <row r="10" spans="2:15" x14ac:dyDescent="0.35">
      <c r="B10" s="4"/>
      <c r="C10" s="5"/>
      <c r="D10" s="5"/>
      <c r="E10" s="6"/>
      <c r="G10" s="2"/>
      <c r="H10" s="2"/>
      <c r="I10" s="7">
        <v>2021</v>
      </c>
      <c r="J10" s="9"/>
      <c r="K10" s="10"/>
      <c r="L10" s="10"/>
      <c r="M10" s="10">
        <f>'VPA 126 ER Calcs'!O38</f>
        <v>2906</v>
      </c>
      <c r="N10" s="8">
        <f>SUM(J10:M10)</f>
        <v>2906</v>
      </c>
    </row>
    <row r="11" spans="2:15" x14ac:dyDescent="0.35">
      <c r="B11" s="4" t="s">
        <v>21</v>
      </c>
      <c r="C11" s="5" t="s">
        <v>22</v>
      </c>
      <c r="D11" s="5" t="s">
        <v>13</v>
      </c>
      <c r="E11" s="6">
        <f>'VPA 126 ER Calcs'!J31</f>
        <v>273.11919999999998</v>
      </c>
      <c r="G11" s="2"/>
      <c r="H11" s="2"/>
      <c r="I11" s="126" t="s">
        <v>23</v>
      </c>
      <c r="J11" s="127">
        <f>SUM(J6:J9)</f>
        <v>10123</v>
      </c>
      <c r="K11" s="127">
        <f>SUM(K6:K9)</f>
        <v>9733</v>
      </c>
      <c r="L11" s="127">
        <f>SUM(L6:L9)</f>
        <v>3173</v>
      </c>
      <c r="M11" s="127">
        <f>SUM(M6:M10)</f>
        <v>3173</v>
      </c>
      <c r="N11" s="127">
        <f>SUM(N6:N10)</f>
        <v>25935</v>
      </c>
    </row>
    <row r="12" spans="2:15" x14ac:dyDescent="0.35">
      <c r="B12" s="386" t="s">
        <v>24</v>
      </c>
      <c r="C12" s="387"/>
      <c r="D12" s="387"/>
      <c r="E12" s="388"/>
      <c r="G12" s="2"/>
      <c r="H12" s="2"/>
      <c r="I12" s="2"/>
      <c r="J12" s="2"/>
      <c r="K12" s="2"/>
      <c r="L12" s="2"/>
      <c r="M12" s="2"/>
    </row>
    <row r="13" spans="2:15" x14ac:dyDescent="0.35">
      <c r="B13" s="22" t="s">
        <v>25</v>
      </c>
      <c r="C13" s="5"/>
      <c r="D13" s="23"/>
      <c r="E13" s="24">
        <f>'VPA 126 ER Calcs'!J34</f>
        <v>0.98</v>
      </c>
      <c r="G13" s="2"/>
      <c r="H13" s="2"/>
      <c r="I13" s="2"/>
      <c r="J13" s="2"/>
      <c r="K13" s="2"/>
      <c r="L13" s="2"/>
      <c r="M13" s="2"/>
    </row>
    <row r="14" spans="2:15" x14ac:dyDescent="0.35">
      <c r="B14" s="22" t="s">
        <v>26</v>
      </c>
      <c r="C14" s="5" t="s">
        <v>27</v>
      </c>
      <c r="D14" s="23" t="s">
        <v>28</v>
      </c>
      <c r="E14" s="24">
        <f>'VPA 126 ER Calcs'!J35</f>
        <v>2.0000000000000018E-2</v>
      </c>
      <c r="G14" s="2"/>
      <c r="H14" s="2"/>
      <c r="I14" s="2"/>
      <c r="J14" s="2"/>
      <c r="K14" s="2"/>
      <c r="L14" s="2"/>
      <c r="M14" s="2"/>
    </row>
    <row r="15" spans="2:15" ht="15" thickBot="1" x14ac:dyDescent="0.4">
      <c r="B15" s="25" t="s">
        <v>21</v>
      </c>
      <c r="C15" s="26" t="s">
        <v>29</v>
      </c>
      <c r="D15" s="26" t="s">
        <v>13</v>
      </c>
      <c r="E15" s="27">
        <f>ROUNDDOWN(E11*(1-E14),0)</f>
        <v>267</v>
      </c>
      <c r="G15" s="2"/>
      <c r="H15" s="2"/>
      <c r="I15" s="2"/>
      <c r="J15" s="2"/>
      <c r="K15" s="2"/>
      <c r="L15" s="2"/>
      <c r="M15" s="2"/>
    </row>
    <row r="16" spans="2:15" ht="15" thickBot="1" x14ac:dyDescent="0.4">
      <c r="B16" s="25" t="s">
        <v>30</v>
      </c>
      <c r="C16" s="26" t="s">
        <v>29</v>
      </c>
      <c r="D16" s="26" t="s">
        <v>13</v>
      </c>
      <c r="E16" s="27">
        <f>'VPA 126 ER Calcs'!J38</f>
        <v>267</v>
      </c>
      <c r="G16" s="2"/>
      <c r="H16" s="2"/>
      <c r="I16" s="2"/>
      <c r="J16" s="2"/>
      <c r="K16" s="2"/>
      <c r="L16" s="2"/>
      <c r="M16" s="2"/>
    </row>
    <row r="17" spans="2:13" ht="15" thickBot="1" x14ac:dyDescent="0.4">
      <c r="B17" s="2"/>
      <c r="C17" s="2"/>
      <c r="D17" s="2"/>
      <c r="E17" s="2"/>
      <c r="G17" s="2"/>
      <c r="H17" s="2"/>
      <c r="I17" s="2"/>
      <c r="J17" s="2"/>
      <c r="K17" s="2"/>
      <c r="L17" s="2"/>
      <c r="M17" s="2"/>
    </row>
    <row r="18" spans="2:13" x14ac:dyDescent="0.35">
      <c r="B18" s="380" t="s">
        <v>35</v>
      </c>
      <c r="C18" s="381"/>
      <c r="D18" s="381"/>
      <c r="E18" s="382"/>
      <c r="F18" s="2"/>
      <c r="G18" s="2"/>
      <c r="H18" s="2"/>
      <c r="I18" s="2"/>
      <c r="J18" s="2"/>
      <c r="K18" s="2"/>
      <c r="L18" s="2"/>
      <c r="M18" s="2"/>
    </row>
    <row r="19" spans="2:13" x14ac:dyDescent="0.35">
      <c r="B19" s="386" t="s">
        <v>4</v>
      </c>
      <c r="C19" s="387"/>
      <c r="D19" s="387"/>
      <c r="E19" s="388"/>
      <c r="F19" s="2"/>
      <c r="G19" s="2"/>
      <c r="H19" s="2"/>
      <c r="I19" s="2"/>
      <c r="J19" s="2"/>
      <c r="K19" s="2"/>
      <c r="L19" s="2"/>
      <c r="M19" s="2"/>
    </row>
    <row r="20" spans="2:13" x14ac:dyDescent="0.35">
      <c r="B20" s="4" t="s">
        <v>11</v>
      </c>
      <c r="C20" s="5" t="s">
        <v>12</v>
      </c>
      <c r="D20" s="5" t="s">
        <v>13</v>
      </c>
      <c r="E20" s="6">
        <f>'VPA 126 ER Calcs'!O27</f>
        <v>3214</v>
      </c>
      <c r="F20" s="2"/>
      <c r="G20" s="2"/>
      <c r="H20" s="2"/>
      <c r="I20" s="2"/>
      <c r="J20" s="2"/>
      <c r="K20" s="2"/>
      <c r="L20" s="2"/>
      <c r="M20" s="2"/>
    </row>
    <row r="21" spans="2:13" x14ac:dyDescent="0.35">
      <c r="B21" s="4" t="s">
        <v>14</v>
      </c>
      <c r="C21" s="5" t="s">
        <v>15</v>
      </c>
      <c r="D21" s="5" t="s">
        <v>13</v>
      </c>
      <c r="E21" s="6">
        <f>'VPA 126 ER Calcs'!O28</f>
        <v>0</v>
      </c>
      <c r="F21" s="2"/>
      <c r="G21" s="2"/>
      <c r="H21" s="2"/>
      <c r="I21" s="2"/>
      <c r="J21" s="2"/>
      <c r="K21" s="2"/>
      <c r="L21" s="2"/>
      <c r="M21" s="2"/>
    </row>
    <row r="22" spans="2:13" x14ac:dyDescent="0.35">
      <c r="B22" s="4" t="s">
        <v>16</v>
      </c>
      <c r="C22" s="5" t="s">
        <v>17</v>
      </c>
      <c r="D22" s="5" t="s">
        <v>18</v>
      </c>
      <c r="E22" s="12">
        <f>'VPA 126 ER Calcs'!O29</f>
        <v>0.92269999999999996</v>
      </c>
      <c r="F22" s="2"/>
      <c r="G22" s="2"/>
      <c r="H22" s="2"/>
      <c r="I22" s="2"/>
      <c r="J22" s="2"/>
      <c r="K22" s="2"/>
      <c r="L22" s="2"/>
      <c r="M22" s="2"/>
    </row>
    <row r="23" spans="2:13" x14ac:dyDescent="0.35">
      <c r="B23" s="4" t="s">
        <v>19</v>
      </c>
      <c r="C23" s="5" t="s">
        <v>20</v>
      </c>
      <c r="D23" s="5" t="s">
        <v>13</v>
      </c>
      <c r="E23" s="6">
        <f>'VPA 126 ER Calcs'!O30</f>
        <v>0</v>
      </c>
      <c r="F23" s="2"/>
      <c r="G23" s="2"/>
      <c r="H23" s="2"/>
      <c r="I23" s="2"/>
      <c r="J23" s="2"/>
      <c r="K23" s="2"/>
      <c r="L23" s="2"/>
      <c r="M23" s="2"/>
    </row>
    <row r="24" spans="2:13" x14ac:dyDescent="0.35">
      <c r="B24" s="4" t="s">
        <v>21</v>
      </c>
      <c r="C24" s="5" t="s">
        <v>22</v>
      </c>
      <c r="D24" s="5" t="s">
        <v>13</v>
      </c>
      <c r="E24" s="6">
        <f>'VPA 126 ER Calcs'!O31</f>
        <v>2965.5578</v>
      </c>
      <c r="F24" s="2"/>
      <c r="G24" s="2"/>
      <c r="H24" s="2"/>
      <c r="I24" s="2"/>
      <c r="J24" s="2"/>
      <c r="K24" s="2"/>
      <c r="L24" s="2"/>
      <c r="M24" s="2"/>
    </row>
    <row r="25" spans="2:13" x14ac:dyDescent="0.35">
      <c r="B25" s="386" t="s">
        <v>24</v>
      </c>
      <c r="C25" s="387"/>
      <c r="D25" s="387"/>
      <c r="E25" s="388"/>
      <c r="F25" s="2"/>
      <c r="G25" s="2"/>
      <c r="H25" s="2"/>
      <c r="I25" s="2"/>
      <c r="J25" s="2"/>
      <c r="K25" s="2"/>
      <c r="L25" s="2"/>
      <c r="M25" s="2"/>
    </row>
    <row r="26" spans="2:13" x14ac:dyDescent="0.35">
      <c r="B26" s="22" t="s">
        <v>25</v>
      </c>
      <c r="C26" s="5"/>
      <c r="D26" s="23"/>
      <c r="E26" s="24">
        <f>'VPA 126 ER Calcs'!O34</f>
        <v>0.98</v>
      </c>
      <c r="F26" s="2"/>
      <c r="G26" s="2"/>
      <c r="H26" s="2"/>
      <c r="I26" s="2"/>
      <c r="J26" s="2"/>
      <c r="K26" s="2"/>
      <c r="L26" s="2"/>
      <c r="M26" s="2"/>
    </row>
    <row r="27" spans="2:13" x14ac:dyDescent="0.35">
      <c r="B27" s="22" t="s">
        <v>26</v>
      </c>
      <c r="C27" s="5" t="s">
        <v>27</v>
      </c>
      <c r="D27" s="23" t="s">
        <v>28</v>
      </c>
      <c r="E27" s="24">
        <f>'VPA 126 ER Calcs'!O35</f>
        <v>2.0000000000000018E-2</v>
      </c>
      <c r="F27" s="2"/>
      <c r="G27" s="2"/>
      <c r="H27" s="2"/>
      <c r="I27" s="2"/>
      <c r="J27" s="2"/>
      <c r="K27" s="2"/>
      <c r="L27" s="2"/>
      <c r="M27" s="2"/>
    </row>
    <row r="28" spans="2:13" ht="15" thickBot="1" x14ac:dyDescent="0.4">
      <c r="B28" s="25" t="s">
        <v>21</v>
      </c>
      <c r="C28" s="26" t="s">
        <v>22</v>
      </c>
      <c r="D28" s="26" t="s">
        <v>13</v>
      </c>
      <c r="E28" s="27">
        <f>ROUNDDOWN(E24*(1-E27),0)</f>
        <v>2906</v>
      </c>
      <c r="F28" s="2"/>
      <c r="G28" s="2"/>
      <c r="H28" s="2"/>
      <c r="I28" s="2"/>
      <c r="J28" s="2"/>
      <c r="K28" s="2"/>
      <c r="L28" s="2"/>
      <c r="M28" s="2"/>
    </row>
    <row r="29" spans="2:13" ht="15" thickBot="1" x14ac:dyDescent="0.4">
      <c r="B29" s="25" t="s">
        <v>30</v>
      </c>
      <c r="C29" s="26" t="s">
        <v>22</v>
      </c>
      <c r="D29" s="26" t="s">
        <v>13</v>
      </c>
      <c r="E29" s="27">
        <f>'VPA 126 ER Calcs'!O38</f>
        <v>2906</v>
      </c>
      <c r="F29" s="2"/>
      <c r="G29" s="2"/>
      <c r="H29" s="2"/>
      <c r="I29" s="2"/>
      <c r="J29" s="2"/>
      <c r="K29" s="2"/>
      <c r="L29" s="2"/>
      <c r="M29" s="2"/>
    </row>
    <row r="30" spans="2:13" ht="15" thickBot="1" x14ac:dyDescent="0.4">
      <c r="B30" s="2"/>
      <c r="C30" s="2"/>
      <c r="D30" s="2"/>
      <c r="E30" s="2"/>
      <c r="F30" s="2"/>
      <c r="G30" s="2"/>
      <c r="H30" s="2"/>
      <c r="I30" s="28"/>
      <c r="J30" s="28"/>
      <c r="K30" s="28"/>
      <c r="L30" s="28"/>
      <c r="M30" s="28"/>
    </row>
    <row r="31" spans="2:13" ht="15.5" x14ac:dyDescent="0.35">
      <c r="B31" s="422" t="s">
        <v>31</v>
      </c>
      <c r="C31" s="423"/>
      <c r="D31" s="423"/>
      <c r="E31" s="424"/>
      <c r="F31" s="2"/>
      <c r="G31" s="2"/>
      <c r="H31" s="2"/>
      <c r="I31" s="2"/>
      <c r="J31" s="2"/>
      <c r="K31" s="2"/>
      <c r="L31" s="2"/>
      <c r="M31" s="2"/>
    </row>
    <row r="32" spans="2:13" x14ac:dyDescent="0.35">
      <c r="B32" s="425" t="s">
        <v>4</v>
      </c>
      <c r="C32" s="426"/>
      <c r="D32" s="426"/>
      <c r="E32" s="427"/>
      <c r="F32" s="2"/>
      <c r="G32" s="2"/>
      <c r="H32" s="2"/>
      <c r="I32" s="2"/>
      <c r="J32" s="2"/>
      <c r="K32" s="2"/>
      <c r="L32" s="2"/>
      <c r="M32" s="2"/>
    </row>
    <row r="33" spans="2:13" x14ac:dyDescent="0.35">
      <c r="B33" s="419">
        <v>2020</v>
      </c>
      <c r="C33" s="420"/>
      <c r="D33" s="421"/>
      <c r="E33" s="29">
        <f>E16</f>
        <v>267</v>
      </c>
      <c r="F33" s="2"/>
      <c r="G33" s="2"/>
      <c r="H33" s="2"/>
      <c r="I33" s="2"/>
      <c r="J33" s="2"/>
      <c r="K33" s="2"/>
      <c r="L33" s="2"/>
      <c r="M33" s="2"/>
    </row>
    <row r="34" spans="2:13" x14ac:dyDescent="0.35">
      <c r="B34" s="419">
        <v>2021</v>
      </c>
      <c r="C34" s="420"/>
      <c r="D34" s="421"/>
      <c r="E34" s="30">
        <f>E29</f>
        <v>2906</v>
      </c>
      <c r="F34" s="2"/>
      <c r="G34" s="2"/>
      <c r="H34" s="2"/>
      <c r="I34" s="2"/>
      <c r="J34" s="2"/>
      <c r="K34" s="2"/>
      <c r="L34" s="2"/>
      <c r="M34" s="2"/>
    </row>
    <row r="35" spans="2:13" ht="15" thickBot="1" x14ac:dyDescent="0.4">
      <c r="B35" s="375" t="s">
        <v>32</v>
      </c>
      <c r="C35" s="376"/>
      <c r="D35" s="31"/>
      <c r="E35" s="32">
        <f>SUM(E33:E34)</f>
        <v>3173</v>
      </c>
      <c r="F35" s="2"/>
      <c r="G35" s="2"/>
      <c r="H35" s="2"/>
      <c r="I35" s="2"/>
      <c r="J35" s="2"/>
      <c r="K35" s="2"/>
      <c r="L35" s="2"/>
      <c r="M35" s="2"/>
    </row>
    <row r="36" spans="2:13" ht="15" thickBot="1" x14ac:dyDescent="0.4">
      <c r="B36" s="375" t="s">
        <v>33</v>
      </c>
      <c r="C36" s="376"/>
      <c r="D36" s="31"/>
      <c r="E36" s="32">
        <f>E29+E16</f>
        <v>3173</v>
      </c>
      <c r="F36" s="2"/>
      <c r="G36" s="2"/>
      <c r="H36" s="2"/>
    </row>
  </sheetData>
  <mergeCells count="15">
    <mergeCell ref="B12:E12"/>
    <mergeCell ref="B2:E2"/>
    <mergeCell ref="I2:N2"/>
    <mergeCell ref="B4:E4"/>
    <mergeCell ref="I4:N4"/>
    <mergeCell ref="B5:E5"/>
    <mergeCell ref="B34:D34"/>
    <mergeCell ref="B35:C35"/>
    <mergeCell ref="B36:C36"/>
    <mergeCell ref="B18:E18"/>
    <mergeCell ref="B19:E19"/>
    <mergeCell ref="B25:E25"/>
    <mergeCell ref="B31:E31"/>
    <mergeCell ref="B32:E32"/>
    <mergeCell ref="B33:D3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E8658-5C5D-4697-A294-1A9AF52696CD}">
  <dimension ref="B2:P47"/>
  <sheetViews>
    <sheetView zoomScale="60" zoomScaleNormal="60" workbookViewId="0">
      <selection activeCell="J6" sqref="J6"/>
    </sheetView>
  </sheetViews>
  <sheetFormatPr defaultColWidth="9.1796875" defaultRowHeight="14.5" x14ac:dyDescent="0.35"/>
  <cols>
    <col min="1" max="1" width="9.1796875" style="1"/>
    <col min="2" max="2" width="66.453125" style="1" bestFit="1" customWidth="1"/>
    <col min="3" max="3" width="19.1796875" style="1" bestFit="1" customWidth="1"/>
    <col min="4" max="4" width="12.54296875" style="1" bestFit="1" customWidth="1"/>
    <col min="5" max="5" width="12.81640625" style="1" bestFit="1" customWidth="1"/>
    <col min="6" max="6" width="30.54296875" style="1" customWidth="1"/>
    <col min="7" max="7" width="66.453125" style="1" bestFit="1" customWidth="1"/>
    <col min="8" max="8" width="19.1796875" style="1" bestFit="1" customWidth="1"/>
    <col min="9" max="9" width="12.54296875" style="1" bestFit="1" customWidth="1"/>
    <col min="10" max="10" width="13.1796875" style="1" bestFit="1" customWidth="1"/>
    <col min="11" max="11" width="12.81640625" style="1" bestFit="1" customWidth="1"/>
    <col min="12" max="12" width="66.453125" style="1" bestFit="1" customWidth="1"/>
    <col min="13" max="13" width="19.1796875" style="1" bestFit="1" customWidth="1"/>
    <col min="14" max="14" width="12.54296875" style="1" bestFit="1" customWidth="1"/>
    <col min="15" max="15" width="12.81640625" style="1" bestFit="1" customWidth="1"/>
    <col min="16" max="16" width="10.54296875" style="1" bestFit="1" customWidth="1"/>
    <col min="17" max="16384" width="9.1796875" style="1"/>
  </cols>
  <sheetData>
    <row r="2" spans="2:16" x14ac:dyDescent="0.35">
      <c r="B2" s="392" t="s">
        <v>34</v>
      </c>
      <c r="C2" s="392"/>
      <c r="D2" s="392"/>
      <c r="E2" s="392"/>
      <c r="G2" s="392" t="s">
        <v>2</v>
      </c>
      <c r="H2" s="392"/>
      <c r="I2" s="392"/>
      <c r="J2" s="392"/>
      <c r="L2" s="392" t="s">
        <v>35</v>
      </c>
      <c r="M2" s="392"/>
      <c r="N2" s="392"/>
      <c r="O2" s="392"/>
    </row>
    <row r="4" spans="2:16" x14ac:dyDescent="0.35">
      <c r="B4" s="391" t="s">
        <v>36</v>
      </c>
      <c r="C4" s="391"/>
      <c r="D4" s="391"/>
      <c r="E4" s="391"/>
      <c r="F4" s="178" t="s">
        <v>182</v>
      </c>
      <c r="G4" s="391" t="s">
        <v>36</v>
      </c>
      <c r="H4" s="391"/>
      <c r="I4" s="391"/>
      <c r="J4" s="391"/>
      <c r="L4" s="389" t="s">
        <v>36</v>
      </c>
      <c r="M4" s="387"/>
      <c r="N4" s="387"/>
      <c r="O4" s="390"/>
    </row>
    <row r="5" spans="2:16" x14ac:dyDescent="0.35">
      <c r="B5" s="5" t="s">
        <v>37</v>
      </c>
      <c r="C5" s="5" t="s">
        <v>38</v>
      </c>
      <c r="D5" s="5" t="s">
        <v>18</v>
      </c>
      <c r="E5" s="33">
        <v>0</v>
      </c>
      <c r="F5" s="180" t="s">
        <v>183</v>
      </c>
      <c r="G5" s="5" t="s">
        <v>37</v>
      </c>
      <c r="H5" s="5" t="s">
        <v>38</v>
      </c>
      <c r="I5" s="5" t="s">
        <v>18</v>
      </c>
      <c r="J5" s="33">
        <v>0</v>
      </c>
      <c r="L5" s="5" t="s">
        <v>37</v>
      </c>
      <c r="M5" s="5" t="s">
        <v>38</v>
      </c>
      <c r="N5" s="5" t="s">
        <v>18</v>
      </c>
      <c r="O5" s="33">
        <v>0</v>
      </c>
    </row>
    <row r="6" spans="2:16" x14ac:dyDescent="0.35">
      <c r="B6" s="5" t="s">
        <v>39</v>
      </c>
      <c r="C6" s="5" t="s">
        <v>40</v>
      </c>
      <c r="D6" s="5"/>
      <c r="E6" s="34">
        <f>'VPA 126 PTDs'!P10</f>
        <v>635939.5</v>
      </c>
      <c r="F6" s="180" t="s">
        <v>184</v>
      </c>
      <c r="G6" s="5" t="s">
        <v>39</v>
      </c>
      <c r="H6" s="5" t="s">
        <v>40</v>
      </c>
      <c r="I6" s="5"/>
      <c r="J6" s="34">
        <f>'VPA 126 PTDs'!M10</f>
        <v>54011.3</v>
      </c>
      <c r="L6" s="5" t="s">
        <v>39</v>
      </c>
      <c r="M6" s="5" t="s">
        <v>40</v>
      </c>
      <c r="N6" s="5"/>
      <c r="O6" s="34">
        <f>'VPA 126 PTDs'!O10</f>
        <v>581928.19999999995</v>
      </c>
      <c r="P6" s="35"/>
    </row>
    <row r="7" spans="2:16" x14ac:dyDescent="0.35">
      <c r="B7" s="5" t="s">
        <v>41</v>
      </c>
      <c r="C7" s="5" t="s">
        <v>42</v>
      </c>
      <c r="D7" s="5" t="s">
        <v>43</v>
      </c>
      <c r="E7" s="36">
        <f>'VPA 126 SDGs Calculations'!C6</f>
        <v>4.0000000000000002E-4</v>
      </c>
      <c r="F7" s="180" t="s">
        <v>185</v>
      </c>
      <c r="G7" s="5" t="s">
        <v>41</v>
      </c>
      <c r="H7" s="5" t="s">
        <v>42</v>
      </c>
      <c r="I7" s="5" t="s">
        <v>43</v>
      </c>
      <c r="J7" s="36">
        <f>E7</f>
        <v>4.0000000000000002E-4</v>
      </c>
      <c r="L7" s="5" t="s">
        <v>41</v>
      </c>
      <c r="M7" s="5" t="s">
        <v>42</v>
      </c>
      <c r="N7" s="5" t="s">
        <v>43</v>
      </c>
      <c r="O7" s="36">
        <f>E7</f>
        <v>4.0000000000000002E-4</v>
      </c>
    </row>
    <row r="8" spans="2:16" ht="29" x14ac:dyDescent="0.35">
      <c r="B8" s="37" t="s">
        <v>44</v>
      </c>
      <c r="C8" s="5" t="s">
        <v>45</v>
      </c>
      <c r="D8" s="5" t="s">
        <v>46</v>
      </c>
      <c r="E8" s="33">
        <v>7.5</v>
      </c>
      <c r="F8" s="180" t="s">
        <v>186</v>
      </c>
      <c r="G8" s="37" t="s">
        <v>44</v>
      </c>
      <c r="H8" s="5" t="s">
        <v>45</v>
      </c>
      <c r="I8" s="5" t="s">
        <v>46</v>
      </c>
      <c r="J8" s="33">
        <v>7.5</v>
      </c>
      <c r="L8" s="37" t="s">
        <v>44</v>
      </c>
      <c r="M8" s="5" t="s">
        <v>45</v>
      </c>
      <c r="N8" s="5" t="s">
        <v>46</v>
      </c>
      <c r="O8" s="33">
        <v>7.5</v>
      </c>
    </row>
    <row r="9" spans="2:16" x14ac:dyDescent="0.35">
      <c r="B9" s="37" t="s">
        <v>47</v>
      </c>
      <c r="C9" s="5" t="s">
        <v>48</v>
      </c>
      <c r="D9" s="5" t="s">
        <v>46</v>
      </c>
      <c r="E9" s="33">
        <v>0</v>
      </c>
      <c r="F9" s="180" t="s">
        <v>187</v>
      </c>
      <c r="G9" s="37" t="s">
        <v>47</v>
      </c>
      <c r="H9" s="5" t="s">
        <v>48</v>
      </c>
      <c r="I9" s="5" t="s">
        <v>46</v>
      </c>
      <c r="J9" s="33">
        <v>0</v>
      </c>
      <c r="L9" s="37" t="s">
        <v>47</v>
      </c>
      <c r="M9" s="5" t="s">
        <v>48</v>
      </c>
      <c r="N9" s="5" t="s">
        <v>46</v>
      </c>
      <c r="O9" s="33">
        <v>0</v>
      </c>
    </row>
    <row r="10" spans="2:16" x14ac:dyDescent="0.35">
      <c r="B10" s="5" t="s">
        <v>49</v>
      </c>
      <c r="C10" s="5" t="s">
        <v>50</v>
      </c>
      <c r="D10" s="5" t="s">
        <v>51</v>
      </c>
      <c r="E10" s="38">
        <f>ROUNDDOWN((1-E5)*E6*E7*(E8+E9),0)</f>
        <v>1907</v>
      </c>
      <c r="F10" s="180"/>
      <c r="G10" s="5" t="s">
        <v>49</v>
      </c>
      <c r="H10" s="5" t="s">
        <v>50</v>
      </c>
      <c r="I10" s="5" t="s">
        <v>51</v>
      </c>
      <c r="J10" s="38">
        <f>ROUNDDOWN((1-J5)*J6*J7*(J8+J9),0)</f>
        <v>162</v>
      </c>
      <c r="L10" s="5" t="s">
        <v>49</v>
      </c>
      <c r="M10" s="5" t="s">
        <v>50</v>
      </c>
      <c r="N10" s="5" t="s">
        <v>51</v>
      </c>
      <c r="O10" s="38">
        <f>ROUNDDOWN((1-O5)*O6*O7*(O8+O9),0)</f>
        <v>1745</v>
      </c>
    </row>
    <row r="11" spans="2:16" x14ac:dyDescent="0.35">
      <c r="F11" s="179"/>
    </row>
    <row r="12" spans="2:16" x14ac:dyDescent="0.35">
      <c r="B12" s="391" t="s">
        <v>52</v>
      </c>
      <c r="C12" s="391"/>
      <c r="D12" s="391"/>
      <c r="E12" s="391"/>
      <c r="F12" s="179"/>
      <c r="G12" s="391" t="s">
        <v>52</v>
      </c>
      <c r="H12" s="391"/>
      <c r="I12" s="391"/>
      <c r="J12" s="391"/>
      <c r="L12" s="389" t="s">
        <v>52</v>
      </c>
      <c r="M12" s="387"/>
      <c r="N12" s="387"/>
      <c r="O12" s="390"/>
    </row>
    <row r="13" spans="2:16" x14ac:dyDescent="0.35">
      <c r="B13" s="5" t="s">
        <v>53</v>
      </c>
      <c r="C13" s="5" t="s">
        <v>38</v>
      </c>
      <c r="D13" s="5" t="s">
        <v>18</v>
      </c>
      <c r="E13" s="33">
        <f>E5</f>
        <v>0</v>
      </c>
      <c r="F13" s="180" t="s">
        <v>183</v>
      </c>
      <c r="G13" s="5" t="s">
        <v>53</v>
      </c>
      <c r="H13" s="5" t="s">
        <v>38</v>
      </c>
      <c r="I13" s="5" t="s">
        <v>18</v>
      </c>
      <c r="J13" s="33">
        <f>J5</f>
        <v>0</v>
      </c>
      <c r="L13" s="5" t="s">
        <v>53</v>
      </c>
      <c r="M13" s="5" t="s">
        <v>38</v>
      </c>
      <c r="N13" s="5" t="s">
        <v>18</v>
      </c>
      <c r="O13" s="33">
        <f>O5</f>
        <v>0</v>
      </c>
    </row>
    <row r="14" spans="2:16" x14ac:dyDescent="0.35">
      <c r="B14" s="5" t="s">
        <v>39</v>
      </c>
      <c r="C14" s="5" t="s">
        <v>40</v>
      </c>
      <c r="D14" s="5"/>
      <c r="E14" s="34">
        <f>E6</f>
        <v>635939.5</v>
      </c>
      <c r="F14" s="180" t="s">
        <v>188</v>
      </c>
      <c r="G14" s="5" t="s">
        <v>39</v>
      </c>
      <c r="H14" s="5" t="s">
        <v>40</v>
      </c>
      <c r="I14" s="5"/>
      <c r="J14" s="34">
        <f>J6</f>
        <v>54011.3</v>
      </c>
      <c r="L14" s="5" t="s">
        <v>39</v>
      </c>
      <c r="M14" s="5" t="s">
        <v>40</v>
      </c>
      <c r="N14" s="5"/>
      <c r="O14" s="34">
        <f>O6</f>
        <v>581928.19999999995</v>
      </c>
    </row>
    <row r="15" spans="2:16" x14ac:dyDescent="0.35">
      <c r="B15" s="5" t="s">
        <v>54</v>
      </c>
      <c r="C15" s="5" t="s">
        <v>55</v>
      </c>
      <c r="D15" s="5" t="s">
        <v>43</v>
      </c>
      <c r="E15" s="39">
        <f>E7</f>
        <v>4.0000000000000002E-4</v>
      </c>
      <c r="F15" s="180"/>
      <c r="G15" s="5" t="s">
        <v>54</v>
      </c>
      <c r="H15" s="5" t="s">
        <v>55</v>
      </c>
      <c r="I15" s="5" t="s">
        <v>43</v>
      </c>
      <c r="J15" s="39">
        <f>J7</f>
        <v>4.0000000000000002E-4</v>
      </c>
      <c r="L15" s="5" t="s">
        <v>54</v>
      </c>
      <c r="M15" s="5" t="s">
        <v>55</v>
      </c>
      <c r="N15" s="5" t="s">
        <v>43</v>
      </c>
      <c r="O15" s="39">
        <f>O7</f>
        <v>4.0000000000000002E-4</v>
      </c>
    </row>
    <row r="16" spans="2:16" x14ac:dyDescent="0.35">
      <c r="B16" s="5" t="s">
        <v>56</v>
      </c>
      <c r="C16" s="5" t="s">
        <v>48</v>
      </c>
      <c r="D16" s="5" t="s">
        <v>46</v>
      </c>
      <c r="E16" s="33">
        <v>0</v>
      </c>
      <c r="F16" s="180" t="s">
        <v>187</v>
      </c>
      <c r="G16" s="5" t="s">
        <v>56</v>
      </c>
      <c r="H16" s="5" t="s">
        <v>48</v>
      </c>
      <c r="I16" s="5" t="s">
        <v>46</v>
      </c>
      <c r="J16" s="33">
        <v>0</v>
      </c>
      <c r="L16" s="5" t="s">
        <v>56</v>
      </c>
      <c r="M16" s="5" t="s">
        <v>48</v>
      </c>
      <c r="N16" s="5" t="s">
        <v>46</v>
      </c>
      <c r="O16" s="33">
        <v>0</v>
      </c>
    </row>
    <row r="17" spans="2:15" x14ac:dyDescent="0.35">
      <c r="B17" s="5" t="s">
        <v>57</v>
      </c>
      <c r="C17" s="5" t="s">
        <v>58</v>
      </c>
      <c r="D17" s="5" t="s">
        <v>46</v>
      </c>
      <c r="E17" s="33">
        <v>0</v>
      </c>
      <c r="F17" s="180" t="s">
        <v>187</v>
      </c>
      <c r="G17" s="5" t="s">
        <v>57</v>
      </c>
      <c r="H17" s="5" t="s">
        <v>58</v>
      </c>
      <c r="I17" s="5" t="s">
        <v>46</v>
      </c>
      <c r="J17" s="33">
        <v>0</v>
      </c>
      <c r="L17" s="5" t="s">
        <v>57</v>
      </c>
      <c r="M17" s="5" t="s">
        <v>58</v>
      </c>
      <c r="N17" s="5" t="s">
        <v>46</v>
      </c>
      <c r="O17" s="33">
        <v>0</v>
      </c>
    </row>
    <row r="18" spans="2:15" x14ac:dyDescent="0.35">
      <c r="B18" s="5" t="s">
        <v>59</v>
      </c>
      <c r="C18" s="5" t="s">
        <v>60</v>
      </c>
      <c r="D18" s="5" t="s">
        <v>51</v>
      </c>
      <c r="E18" s="38">
        <f>ROUNDDOWN((1-E13)*E14*E15*(E16+E17),0)</f>
        <v>0</v>
      </c>
      <c r="F18" s="180"/>
      <c r="G18" s="5" t="s">
        <v>59</v>
      </c>
      <c r="H18" s="5" t="s">
        <v>60</v>
      </c>
      <c r="I18" s="5" t="s">
        <v>51</v>
      </c>
      <c r="J18" s="38">
        <f>ROUNDDOWN((1-J13)*J14*J15*(J16+J17),0)</f>
        <v>0</v>
      </c>
      <c r="L18" s="5" t="s">
        <v>59</v>
      </c>
      <c r="M18" s="5" t="s">
        <v>60</v>
      </c>
      <c r="N18" s="5" t="s">
        <v>51</v>
      </c>
      <c r="O18" s="38">
        <f>ROUNDDOWN((1-O13)*O14*O15*(O16+O17),0)</f>
        <v>0</v>
      </c>
    </row>
    <row r="19" spans="2:15" x14ac:dyDescent="0.35">
      <c r="F19" s="179"/>
    </row>
    <row r="20" spans="2:15" x14ac:dyDescent="0.35">
      <c r="B20" s="389" t="s">
        <v>61</v>
      </c>
      <c r="C20" s="387"/>
      <c r="D20" s="387"/>
      <c r="E20" s="390"/>
      <c r="F20" s="179"/>
      <c r="G20" s="389" t="s">
        <v>61</v>
      </c>
      <c r="H20" s="387"/>
      <c r="I20" s="387"/>
      <c r="J20" s="390"/>
      <c r="L20" s="389" t="s">
        <v>61</v>
      </c>
      <c r="M20" s="387"/>
      <c r="N20" s="387"/>
      <c r="O20" s="390"/>
    </row>
    <row r="21" spans="2:15" x14ac:dyDescent="0.35">
      <c r="B21" s="37" t="s">
        <v>62</v>
      </c>
      <c r="C21" s="5" t="s">
        <v>62</v>
      </c>
      <c r="D21" s="5" t="s">
        <v>63</v>
      </c>
      <c r="E21" s="40">
        <v>0.97</v>
      </c>
      <c r="F21" s="180" t="s">
        <v>189</v>
      </c>
      <c r="G21" s="37" t="s">
        <v>62</v>
      </c>
      <c r="H21" s="5" t="s">
        <v>62</v>
      </c>
      <c r="I21" s="5" t="s">
        <v>63</v>
      </c>
      <c r="J21" s="40">
        <v>0.97</v>
      </c>
      <c r="L21" s="37" t="s">
        <v>62</v>
      </c>
      <c r="M21" s="5" t="s">
        <v>62</v>
      </c>
      <c r="N21" s="5" t="s">
        <v>63</v>
      </c>
      <c r="O21" s="40">
        <v>0.97</v>
      </c>
    </row>
    <row r="22" spans="2:15" x14ac:dyDescent="0.35">
      <c r="B22" s="5" t="s">
        <v>64</v>
      </c>
      <c r="C22" s="5" t="s">
        <v>65</v>
      </c>
      <c r="D22" s="5" t="s">
        <v>66</v>
      </c>
      <c r="E22" s="33">
        <v>112</v>
      </c>
      <c r="F22" s="180" t="s">
        <v>189</v>
      </c>
      <c r="G22" s="5" t="s">
        <v>64</v>
      </c>
      <c r="H22" s="5" t="s">
        <v>65</v>
      </c>
      <c r="I22" s="5" t="s">
        <v>66</v>
      </c>
      <c r="J22" s="33">
        <v>112</v>
      </c>
      <c r="L22" s="5" t="s">
        <v>64</v>
      </c>
      <c r="M22" s="5" t="s">
        <v>65</v>
      </c>
      <c r="N22" s="5" t="s">
        <v>66</v>
      </c>
      <c r="O22" s="33">
        <v>112</v>
      </c>
    </row>
    <row r="23" spans="2:15" x14ac:dyDescent="0.35">
      <c r="B23" s="5" t="s">
        <v>67</v>
      </c>
      <c r="C23" s="5" t="s">
        <v>68</v>
      </c>
      <c r="D23" s="5" t="s">
        <v>69</v>
      </c>
      <c r="E23" s="33">
        <f>(J23*J6+O23*O6)/E6</f>
        <v>9.3947726027397263</v>
      </c>
      <c r="F23" s="180" t="s">
        <v>189</v>
      </c>
      <c r="G23" s="5" t="s">
        <v>67</v>
      </c>
      <c r="H23" s="5" t="s">
        <v>68</v>
      </c>
      <c r="I23" s="5" t="s">
        <v>69</v>
      </c>
      <c r="J23" s="33">
        <f>7.5+1.192</f>
        <v>8.6920000000000002</v>
      </c>
      <c r="L23" s="5" t="s">
        <v>67</v>
      </c>
      <c r="M23" s="5" t="s">
        <v>68</v>
      </c>
      <c r="N23" s="5" t="s">
        <v>69</v>
      </c>
      <c r="O23" s="33">
        <v>9.4600000000000009</v>
      </c>
    </row>
    <row r="24" spans="2:15" x14ac:dyDescent="0.35">
      <c r="B24" s="5" t="s">
        <v>70</v>
      </c>
      <c r="C24" s="5" t="s">
        <v>71</v>
      </c>
      <c r="D24" s="5" t="s">
        <v>72</v>
      </c>
      <c r="E24" s="33">
        <v>1.5599999999999999E-2</v>
      </c>
      <c r="F24" s="180" t="s">
        <v>189</v>
      </c>
      <c r="G24" s="5" t="s">
        <v>70</v>
      </c>
      <c r="H24" s="5" t="s">
        <v>71</v>
      </c>
      <c r="I24" s="5" t="s">
        <v>72</v>
      </c>
      <c r="J24" s="33">
        <v>1.5599999999999999E-2</v>
      </c>
      <c r="L24" s="5" t="s">
        <v>70</v>
      </c>
      <c r="M24" s="5" t="s">
        <v>71</v>
      </c>
      <c r="N24" s="5" t="s">
        <v>72</v>
      </c>
      <c r="O24" s="33">
        <v>1.5599999999999999E-2</v>
      </c>
    </row>
    <row r="25" spans="2:15" x14ac:dyDescent="0.35">
      <c r="F25" s="179"/>
    </row>
    <row r="26" spans="2:15" x14ac:dyDescent="0.35">
      <c r="B26" s="389" t="s">
        <v>4</v>
      </c>
      <c r="C26" s="387"/>
      <c r="D26" s="387"/>
      <c r="E26" s="390"/>
      <c r="F26" s="179"/>
      <c r="G26" s="389" t="s">
        <v>4</v>
      </c>
      <c r="H26" s="387"/>
      <c r="I26" s="387"/>
      <c r="J26" s="390"/>
      <c r="L26" s="389" t="s">
        <v>4</v>
      </c>
      <c r="M26" s="387"/>
      <c r="N26" s="387"/>
      <c r="O26" s="390"/>
    </row>
    <row r="27" spans="2:15" x14ac:dyDescent="0.35">
      <c r="B27" s="5" t="s">
        <v>11</v>
      </c>
      <c r="C27" s="5" t="s">
        <v>12</v>
      </c>
      <c r="D27" s="5" t="s">
        <v>13</v>
      </c>
      <c r="E27" s="41">
        <f>ROUNDDOWN(E10*((E22*E21)+E23)*E24,0)</f>
        <v>3511</v>
      </c>
      <c r="F27" s="180"/>
      <c r="G27" s="5" t="s">
        <v>11</v>
      </c>
      <c r="H27" s="5" t="s">
        <v>12</v>
      </c>
      <c r="I27" s="5" t="s">
        <v>13</v>
      </c>
      <c r="J27" s="41">
        <f>ROUNDDOWN(J10*((J22*J21)+J23)*J24,0)</f>
        <v>296</v>
      </c>
      <c r="L27" s="5" t="s">
        <v>11</v>
      </c>
      <c r="M27" s="5" t="s">
        <v>12</v>
      </c>
      <c r="N27" s="5" t="s">
        <v>13</v>
      </c>
      <c r="O27" s="41">
        <f>ROUNDDOWN(O10*((O22*O21)+O23)*O24,0)</f>
        <v>3214</v>
      </c>
    </row>
    <row r="28" spans="2:15" x14ac:dyDescent="0.35">
      <c r="B28" s="5" t="s">
        <v>14</v>
      </c>
      <c r="C28" s="5" t="s">
        <v>15</v>
      </c>
      <c r="D28" s="5" t="s">
        <v>13</v>
      </c>
      <c r="E28" s="41">
        <f>E18*((E22*E21)+E23)*E24</f>
        <v>0</v>
      </c>
      <c r="F28" s="180"/>
      <c r="G28" s="5" t="s">
        <v>14</v>
      </c>
      <c r="H28" s="5" t="s">
        <v>15</v>
      </c>
      <c r="I28" s="5" t="s">
        <v>13</v>
      </c>
      <c r="J28" s="41">
        <f>J18*((J22*J21)+J23)*J24</f>
        <v>0</v>
      </c>
      <c r="L28" s="5" t="s">
        <v>14</v>
      </c>
      <c r="M28" s="5" t="s">
        <v>15</v>
      </c>
      <c r="N28" s="5" t="s">
        <v>13</v>
      </c>
      <c r="O28" s="41">
        <f>O18*((O22*O21)+O23)*O24</f>
        <v>0</v>
      </c>
    </row>
    <row r="29" spans="2:15" x14ac:dyDescent="0.35">
      <c r="B29" s="5" t="s">
        <v>16</v>
      </c>
      <c r="C29" s="5" t="s">
        <v>17</v>
      </c>
      <c r="D29" s="5" t="s">
        <v>18</v>
      </c>
      <c r="E29" s="33">
        <v>0.92269999999999996</v>
      </c>
      <c r="F29" s="180" t="s">
        <v>301</v>
      </c>
      <c r="G29" s="5" t="s">
        <v>16</v>
      </c>
      <c r="H29" s="5" t="s">
        <v>17</v>
      </c>
      <c r="I29" s="5" t="s">
        <v>18</v>
      </c>
      <c r="J29" s="33">
        <f>E29</f>
        <v>0.92269999999999996</v>
      </c>
      <c r="L29" s="5" t="s">
        <v>16</v>
      </c>
      <c r="M29" s="5" t="s">
        <v>17</v>
      </c>
      <c r="N29" s="5" t="s">
        <v>18</v>
      </c>
      <c r="O29" s="33">
        <f>E29</f>
        <v>0.92269999999999996</v>
      </c>
    </row>
    <row r="30" spans="2:15" x14ac:dyDescent="0.35">
      <c r="B30" s="5" t="s">
        <v>19</v>
      </c>
      <c r="C30" s="5" t="s">
        <v>20</v>
      </c>
      <c r="D30" s="5" t="s">
        <v>13</v>
      </c>
      <c r="E30" s="33">
        <v>0</v>
      </c>
      <c r="F30" s="180" t="s">
        <v>191</v>
      </c>
      <c r="G30" s="5" t="s">
        <v>19</v>
      </c>
      <c r="H30" s="5" t="s">
        <v>20</v>
      </c>
      <c r="I30" s="5" t="s">
        <v>13</v>
      </c>
      <c r="J30" s="33">
        <v>0</v>
      </c>
      <c r="L30" s="5" t="s">
        <v>19</v>
      </c>
      <c r="M30" s="5" t="s">
        <v>20</v>
      </c>
      <c r="N30" s="5" t="s">
        <v>13</v>
      </c>
      <c r="O30" s="33">
        <v>0</v>
      </c>
    </row>
    <row r="31" spans="2:15" x14ac:dyDescent="0.35">
      <c r="B31" s="5" t="s">
        <v>34</v>
      </c>
      <c r="C31" s="5" t="s">
        <v>22</v>
      </c>
      <c r="D31" s="5" t="s">
        <v>13</v>
      </c>
      <c r="E31" s="38">
        <f>ROUNDDOWN(((E27-E28)*E29)-E30,0)</f>
        <v>3239</v>
      </c>
      <c r="F31" s="180"/>
      <c r="G31" s="5" t="s">
        <v>34</v>
      </c>
      <c r="H31" s="5" t="s">
        <v>22</v>
      </c>
      <c r="I31" s="5" t="s">
        <v>13</v>
      </c>
      <c r="J31" s="38">
        <f>((J27-J28)*J29)-J30</f>
        <v>273.11919999999998</v>
      </c>
      <c r="L31" s="5" t="s">
        <v>34</v>
      </c>
      <c r="M31" s="5" t="s">
        <v>22</v>
      </c>
      <c r="N31" s="5" t="s">
        <v>13</v>
      </c>
      <c r="O31" s="38">
        <f>((O27-O28)*O29)-O30</f>
        <v>2965.5578</v>
      </c>
    </row>
    <row r="32" spans="2:15" x14ac:dyDescent="0.35">
      <c r="D32" s="42"/>
      <c r="F32" s="179"/>
      <c r="I32" s="42"/>
      <c r="N32" s="42"/>
    </row>
    <row r="33" spans="2:15" x14ac:dyDescent="0.35">
      <c r="B33" s="389" t="s">
        <v>24</v>
      </c>
      <c r="C33" s="387"/>
      <c r="D33" s="387"/>
      <c r="E33" s="390"/>
      <c r="F33" s="179"/>
      <c r="G33" s="389" t="s">
        <v>24</v>
      </c>
      <c r="H33" s="387"/>
      <c r="I33" s="387"/>
      <c r="J33" s="390"/>
      <c r="L33" s="389" t="s">
        <v>24</v>
      </c>
      <c r="M33" s="387"/>
      <c r="N33" s="387"/>
      <c r="O33" s="390"/>
    </row>
    <row r="34" spans="2:15" x14ac:dyDescent="0.35">
      <c r="B34" s="43" t="s">
        <v>25</v>
      </c>
      <c r="C34" s="5"/>
      <c r="D34" s="23"/>
      <c r="E34" s="44">
        <v>0.98</v>
      </c>
      <c r="F34" s="180" t="s">
        <v>183</v>
      </c>
      <c r="G34" s="43" t="s">
        <v>25</v>
      </c>
      <c r="H34" s="5"/>
      <c r="I34" s="23"/>
      <c r="J34" s="44">
        <f>E34</f>
        <v>0.98</v>
      </c>
      <c r="L34" s="43" t="s">
        <v>25</v>
      </c>
      <c r="M34" s="5"/>
      <c r="N34" s="23"/>
      <c r="O34" s="44">
        <f>E34</f>
        <v>0.98</v>
      </c>
    </row>
    <row r="35" spans="2:15" x14ac:dyDescent="0.35">
      <c r="B35" s="43" t="s">
        <v>26</v>
      </c>
      <c r="C35" s="5" t="s">
        <v>27</v>
      </c>
      <c r="D35" s="23" t="s">
        <v>28</v>
      </c>
      <c r="E35" s="44">
        <f>1-E34</f>
        <v>2.0000000000000018E-2</v>
      </c>
      <c r="F35" s="180" t="s">
        <v>183</v>
      </c>
      <c r="G35" s="43" t="s">
        <v>26</v>
      </c>
      <c r="H35" s="5" t="s">
        <v>27</v>
      </c>
      <c r="I35" s="23" t="s">
        <v>28</v>
      </c>
      <c r="J35" s="44">
        <f>E35</f>
        <v>2.0000000000000018E-2</v>
      </c>
      <c r="L35" s="43" t="s">
        <v>26</v>
      </c>
      <c r="M35" s="5" t="s">
        <v>27</v>
      </c>
      <c r="N35" s="23" t="s">
        <v>28</v>
      </c>
      <c r="O35" s="44">
        <f>E35</f>
        <v>2.0000000000000018E-2</v>
      </c>
    </row>
    <row r="36" spans="2:15" x14ac:dyDescent="0.35">
      <c r="B36" s="45" t="s">
        <v>73</v>
      </c>
      <c r="C36" s="46" t="s">
        <v>22</v>
      </c>
      <c r="D36" s="47" t="s">
        <v>13</v>
      </c>
      <c r="E36" s="48">
        <f>ROUNDDOWN(E31*(1-E35),0)</f>
        <v>3174</v>
      </c>
      <c r="G36" s="45" t="s">
        <v>73</v>
      </c>
      <c r="H36" s="46" t="s">
        <v>22</v>
      </c>
      <c r="I36" s="47" t="s">
        <v>13</v>
      </c>
      <c r="J36" s="48">
        <f>ROUNDDOWN(J31*(1-J35),0)</f>
        <v>267</v>
      </c>
      <c r="L36" s="45" t="s">
        <v>73</v>
      </c>
      <c r="M36" s="46" t="s">
        <v>22</v>
      </c>
      <c r="N36" s="47" t="s">
        <v>13</v>
      </c>
      <c r="O36" s="48">
        <f>ROUNDDOWN(O31*(1-O35),0)</f>
        <v>2906</v>
      </c>
    </row>
    <row r="38" spans="2:15" x14ac:dyDescent="0.35">
      <c r="B38" s="45" t="s">
        <v>74</v>
      </c>
      <c r="C38" s="46"/>
      <c r="D38" s="47" t="s">
        <v>13</v>
      </c>
      <c r="E38" s="48">
        <f>J38+O38</f>
        <v>3173</v>
      </c>
      <c r="G38" s="45" t="s">
        <v>74</v>
      </c>
      <c r="H38" s="46"/>
      <c r="I38" s="47" t="s">
        <v>13</v>
      </c>
      <c r="J38" s="48">
        <f>IF(J36&gt;10000,((10000/$E$6)*J6),J36)</f>
        <v>267</v>
      </c>
      <c r="L38" s="45" t="s">
        <v>74</v>
      </c>
      <c r="M38" s="46"/>
      <c r="N38" s="47" t="s">
        <v>13</v>
      </c>
      <c r="O38" s="48">
        <f>IF(O36&gt;10000,((10000/$E$6)*O6),O36)</f>
        <v>2906</v>
      </c>
    </row>
    <row r="40" spans="2:15" x14ac:dyDescent="0.35">
      <c r="B40"/>
      <c r="G40" t="s">
        <v>75</v>
      </c>
      <c r="L40" t="s">
        <v>75</v>
      </c>
    </row>
    <row r="42" spans="2:15" x14ac:dyDescent="0.35">
      <c r="G42" s="11"/>
    </row>
    <row r="43" spans="2:15" x14ac:dyDescent="0.35">
      <c r="G43" s="11"/>
      <c r="H43" s="11"/>
    </row>
    <row r="44" spans="2:15" x14ac:dyDescent="0.35">
      <c r="G44" s="11"/>
    </row>
    <row r="46" spans="2:15" x14ac:dyDescent="0.35">
      <c r="G46" s="35"/>
    </row>
    <row r="47" spans="2:15" x14ac:dyDescent="0.35">
      <c r="K47" s="35"/>
    </row>
  </sheetData>
  <mergeCells count="18">
    <mergeCell ref="B2:E2"/>
    <mergeCell ref="G2:J2"/>
    <mergeCell ref="L2:O2"/>
    <mergeCell ref="B4:E4"/>
    <mergeCell ref="G4:J4"/>
    <mergeCell ref="L4:O4"/>
    <mergeCell ref="B12:E12"/>
    <mergeCell ref="G12:J12"/>
    <mergeCell ref="L12:O12"/>
    <mergeCell ref="B20:E20"/>
    <mergeCell ref="G20:J20"/>
    <mergeCell ref="L20:O20"/>
    <mergeCell ref="B26:E26"/>
    <mergeCell ref="G26:J26"/>
    <mergeCell ref="L26:O26"/>
    <mergeCell ref="B33:E33"/>
    <mergeCell ref="G33:J33"/>
    <mergeCell ref="L33:O33"/>
  </mergeCells>
  <pageMargins left="0.7" right="0.7" top="0.75" bottom="0.75" header="0.3" footer="0.3"/>
  <pageSetup paperSize="9" orientation="portrait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13024-EDAE-470F-A501-65EF0B43D1F9}">
  <dimension ref="B1:Q37"/>
  <sheetViews>
    <sheetView zoomScale="70" zoomScaleNormal="70" workbookViewId="0">
      <selection activeCell="B23" sqref="B23"/>
    </sheetView>
  </sheetViews>
  <sheetFormatPr defaultColWidth="9.1796875" defaultRowHeight="14.5" x14ac:dyDescent="0.35"/>
  <cols>
    <col min="1" max="1" width="9.1796875" style="1"/>
    <col min="2" max="2" width="25.7265625" style="1" customWidth="1"/>
    <col min="3" max="3" width="22.54296875" style="1" customWidth="1"/>
    <col min="4" max="4" width="17.26953125" style="1" bestFit="1" customWidth="1"/>
    <col min="5" max="5" width="17.453125" style="1" customWidth="1"/>
    <col min="6" max="6" width="25.81640625" style="1" customWidth="1"/>
    <col min="7" max="7" width="16.1796875" style="1" customWidth="1"/>
    <col min="8" max="8" width="10.81640625" style="1" bestFit="1" customWidth="1"/>
    <col min="9" max="9" width="14.453125" style="1" bestFit="1" customWidth="1"/>
    <col min="10" max="10" width="18.453125" style="1" customWidth="1"/>
    <col min="11" max="11" width="5.453125" style="1" customWidth="1"/>
    <col min="12" max="12" width="14.26953125" style="1" customWidth="1"/>
    <col min="13" max="13" width="18.54296875" style="1" bestFit="1" customWidth="1"/>
    <col min="14" max="14" width="15.26953125" style="1" bestFit="1" customWidth="1"/>
    <col min="15" max="15" width="15.54296875" style="1" bestFit="1" customWidth="1"/>
    <col min="16" max="16" width="11" style="1" customWidth="1"/>
    <col min="17" max="16384" width="9.1796875" style="1"/>
  </cols>
  <sheetData>
    <row r="1" spans="2:16" ht="15" thickBot="1" x14ac:dyDescent="0.4">
      <c r="L1" s="393">
        <v>2020</v>
      </c>
      <c r="M1" s="440"/>
      <c r="N1" s="440">
        <v>2021</v>
      </c>
      <c r="O1" s="471"/>
      <c r="P1" s="226"/>
    </row>
    <row r="2" spans="2:16" ht="29" x14ac:dyDescent="0.35">
      <c r="B2" s="50" t="s">
        <v>76</v>
      </c>
      <c r="C2" s="51" t="s">
        <v>77</v>
      </c>
      <c r="D2" s="51" t="s">
        <v>78</v>
      </c>
      <c r="E2" s="51" t="s">
        <v>79</v>
      </c>
      <c r="F2" s="51" t="s">
        <v>80</v>
      </c>
      <c r="G2" s="51" t="s">
        <v>81</v>
      </c>
      <c r="H2" s="51" t="s">
        <v>82</v>
      </c>
      <c r="I2" s="52" t="s">
        <v>83</v>
      </c>
      <c r="J2" s="227" t="s">
        <v>84</v>
      </c>
      <c r="L2" s="228" t="s">
        <v>192</v>
      </c>
      <c r="M2" s="136" t="s">
        <v>86</v>
      </c>
      <c r="N2" s="228" t="s">
        <v>192</v>
      </c>
      <c r="O2" s="137" t="s">
        <v>86</v>
      </c>
      <c r="P2" s="138" t="s">
        <v>88</v>
      </c>
    </row>
    <row r="3" spans="2:16" ht="15" customHeight="1" x14ac:dyDescent="0.35">
      <c r="B3" s="396" t="s">
        <v>302</v>
      </c>
      <c r="C3" s="57" t="s">
        <v>303</v>
      </c>
      <c r="D3" s="58" t="s">
        <v>304</v>
      </c>
      <c r="E3" s="58">
        <v>15.75306</v>
      </c>
      <c r="F3" s="69" t="s">
        <v>305</v>
      </c>
      <c r="G3" s="61">
        <v>43047</v>
      </c>
      <c r="H3" s="140">
        <v>73</v>
      </c>
      <c r="I3" s="205">
        <f>'[2]VPA 126 HH List'!G75</f>
        <v>459</v>
      </c>
      <c r="J3" s="17">
        <v>300</v>
      </c>
      <c r="L3" s="141">
        <f>G19</f>
        <v>29.45</v>
      </c>
      <c r="M3" s="64">
        <f>L3*J3</f>
        <v>8835</v>
      </c>
      <c r="N3" s="141">
        <f>G20</f>
        <v>317.3</v>
      </c>
      <c r="O3" s="65">
        <f>N3*J3</f>
        <v>95190</v>
      </c>
      <c r="P3" s="66">
        <f t="shared" ref="P3:P9" si="0">M3+O3</f>
        <v>104025</v>
      </c>
    </row>
    <row r="4" spans="2:16" ht="15.5" x14ac:dyDescent="0.35">
      <c r="B4" s="396"/>
      <c r="C4" s="57" t="s">
        <v>306</v>
      </c>
      <c r="D4" s="58" t="s">
        <v>307</v>
      </c>
      <c r="E4" s="58">
        <v>15.64808</v>
      </c>
      <c r="F4" s="69" t="s">
        <v>308</v>
      </c>
      <c r="G4" s="61">
        <v>43048</v>
      </c>
      <c r="H4" s="140">
        <v>25</v>
      </c>
      <c r="I4" s="205">
        <f>'[2]VPA 126 HH List'!G101</f>
        <v>140</v>
      </c>
      <c r="J4" s="17">
        <v>140</v>
      </c>
      <c r="L4" s="141">
        <f>G19</f>
        <v>29.45</v>
      </c>
      <c r="M4" s="64">
        <f t="shared" ref="M4:M9" si="1">L4*J4</f>
        <v>4123</v>
      </c>
      <c r="N4" s="141">
        <f>G20</f>
        <v>317.3</v>
      </c>
      <c r="O4" s="65">
        <f t="shared" ref="O4:O9" si="2">N4*J4</f>
        <v>44422</v>
      </c>
      <c r="P4" s="66">
        <f t="shared" si="0"/>
        <v>48545</v>
      </c>
    </row>
    <row r="5" spans="2:16" ht="15.5" x14ac:dyDescent="0.35">
      <c r="B5" s="396"/>
      <c r="C5" s="57" t="s">
        <v>309</v>
      </c>
      <c r="D5" s="200" t="s">
        <v>310</v>
      </c>
      <c r="E5" s="67">
        <v>15.64992</v>
      </c>
      <c r="F5" s="69" t="s">
        <v>311</v>
      </c>
      <c r="G5" s="61">
        <v>43052</v>
      </c>
      <c r="H5" s="140">
        <v>153</v>
      </c>
      <c r="I5" s="205">
        <f>'[2]VPA 126 HH List'!G255</f>
        <v>714</v>
      </c>
      <c r="J5" s="17">
        <v>300</v>
      </c>
      <c r="L5" s="141">
        <f>G19</f>
        <v>29.45</v>
      </c>
      <c r="M5" s="64">
        <f t="shared" si="1"/>
        <v>8835</v>
      </c>
      <c r="N5" s="141">
        <f>G20</f>
        <v>317.3</v>
      </c>
      <c r="O5" s="65">
        <f t="shared" si="2"/>
        <v>95190</v>
      </c>
      <c r="P5" s="66">
        <f t="shared" si="0"/>
        <v>104025</v>
      </c>
    </row>
    <row r="6" spans="2:16" ht="15.5" x14ac:dyDescent="0.35">
      <c r="B6" s="396"/>
      <c r="C6" s="57" t="s">
        <v>312</v>
      </c>
      <c r="D6" s="71" t="s">
        <v>313</v>
      </c>
      <c r="E6" s="58">
        <v>15.62401</v>
      </c>
      <c r="F6" s="69" t="s">
        <v>314</v>
      </c>
      <c r="G6" s="61">
        <v>43056</v>
      </c>
      <c r="H6" s="140">
        <v>322</v>
      </c>
      <c r="I6" s="205">
        <f>'[2]VPA 126 HH List'!G578</f>
        <v>1557</v>
      </c>
      <c r="J6" s="17">
        <v>300</v>
      </c>
      <c r="L6" s="141">
        <f>G19</f>
        <v>29.45</v>
      </c>
      <c r="M6" s="64">
        <f t="shared" si="1"/>
        <v>8835</v>
      </c>
      <c r="N6" s="141">
        <f>G20</f>
        <v>317.3</v>
      </c>
      <c r="O6" s="65">
        <f t="shared" si="2"/>
        <v>95190</v>
      </c>
      <c r="P6" s="66">
        <f t="shared" si="0"/>
        <v>104025</v>
      </c>
    </row>
    <row r="7" spans="2:16" ht="15.5" x14ac:dyDescent="0.35">
      <c r="B7" s="396"/>
      <c r="C7" s="57" t="s">
        <v>315</v>
      </c>
      <c r="D7" s="71" t="s">
        <v>316</v>
      </c>
      <c r="E7" s="67">
        <v>15.66615</v>
      </c>
      <c r="F7" s="229" t="s">
        <v>317</v>
      </c>
      <c r="G7" s="61">
        <v>43060</v>
      </c>
      <c r="H7" s="140">
        <v>54</v>
      </c>
      <c r="I7" s="205">
        <f>'[2]VPA 126 HH List'!G633</f>
        <v>313</v>
      </c>
      <c r="J7" s="17">
        <v>300</v>
      </c>
      <c r="L7" s="141">
        <f>G19</f>
        <v>29.45</v>
      </c>
      <c r="M7" s="64">
        <f t="shared" si="1"/>
        <v>8835</v>
      </c>
      <c r="N7" s="141">
        <f>G20</f>
        <v>317.3</v>
      </c>
      <c r="O7" s="65">
        <f t="shared" si="2"/>
        <v>95190</v>
      </c>
      <c r="P7" s="66">
        <f t="shared" si="0"/>
        <v>104025</v>
      </c>
    </row>
    <row r="8" spans="2:16" ht="15.5" x14ac:dyDescent="0.35">
      <c r="B8" s="396"/>
      <c r="C8" s="57" t="s">
        <v>318</v>
      </c>
      <c r="D8" s="71" t="s">
        <v>319</v>
      </c>
      <c r="E8" s="67">
        <v>15.692310000000001</v>
      </c>
      <c r="F8" s="69" t="s">
        <v>320</v>
      </c>
      <c r="G8" s="61">
        <v>43061</v>
      </c>
      <c r="H8" s="140">
        <v>28</v>
      </c>
      <c r="I8" s="205">
        <f>'[2]VPA 126 HH List'!G662</f>
        <v>194</v>
      </c>
      <c r="J8" s="17">
        <v>194</v>
      </c>
      <c r="L8" s="141">
        <f>G19</f>
        <v>29.45</v>
      </c>
      <c r="M8" s="64">
        <f t="shared" si="1"/>
        <v>5713.3</v>
      </c>
      <c r="N8" s="141">
        <f>G20</f>
        <v>317.3</v>
      </c>
      <c r="O8" s="65">
        <f t="shared" si="2"/>
        <v>61556.200000000004</v>
      </c>
      <c r="P8" s="66">
        <f t="shared" si="0"/>
        <v>67269.5</v>
      </c>
    </row>
    <row r="9" spans="2:16" ht="16" thickBot="1" x14ac:dyDescent="0.4">
      <c r="B9" s="396"/>
      <c r="C9" s="57" t="s">
        <v>321</v>
      </c>
      <c r="D9" s="208" t="s">
        <v>322</v>
      </c>
      <c r="E9" s="208">
        <v>15.78612</v>
      </c>
      <c r="F9" s="69" t="s">
        <v>286</v>
      </c>
      <c r="G9" s="209">
        <v>43063</v>
      </c>
      <c r="H9" s="140">
        <v>70</v>
      </c>
      <c r="I9" s="205">
        <f>'[2]VPA 126 HH List'!G733</f>
        <v>401</v>
      </c>
      <c r="J9" s="230">
        <v>300</v>
      </c>
      <c r="L9" s="141">
        <f>G19</f>
        <v>29.45</v>
      </c>
      <c r="M9" s="64">
        <f t="shared" si="1"/>
        <v>8835</v>
      </c>
      <c r="N9" s="141">
        <f>G20</f>
        <v>317.3</v>
      </c>
      <c r="O9" s="65">
        <f t="shared" si="2"/>
        <v>95190</v>
      </c>
      <c r="P9" s="66">
        <f t="shared" si="0"/>
        <v>104025</v>
      </c>
    </row>
    <row r="10" spans="2:16" ht="15" thickBot="1" x14ac:dyDescent="0.4">
      <c r="B10" s="75"/>
      <c r="C10"/>
      <c r="G10" s="76"/>
      <c r="H10" s="77" t="s">
        <v>23</v>
      </c>
      <c r="I10" s="78">
        <f>SUM(I3:I9)</f>
        <v>3778</v>
      </c>
      <c r="J10" s="78">
        <f>SUM(J3:J9)</f>
        <v>1834</v>
      </c>
      <c r="L10" s="151" t="s">
        <v>125</v>
      </c>
      <c r="M10" s="231">
        <f t="shared" ref="M10:P10" si="3">SUM(M3:M9)</f>
        <v>54011.3</v>
      </c>
      <c r="N10" s="231"/>
      <c r="O10" s="152">
        <f t="shared" si="3"/>
        <v>581928.19999999995</v>
      </c>
      <c r="P10" s="185">
        <f t="shared" si="3"/>
        <v>635939.5</v>
      </c>
    </row>
    <row r="11" spans="2:16" ht="15" customHeight="1" thickBot="1" x14ac:dyDescent="0.4">
      <c r="C11" s="153" t="s">
        <v>223</v>
      </c>
      <c r="G11" s="84"/>
      <c r="M11" s="35"/>
    </row>
    <row r="12" spans="2:16" ht="15" customHeight="1" x14ac:dyDescent="0.35">
      <c r="B12" s="82" t="s">
        <v>126</v>
      </c>
      <c r="C12" s="83">
        <v>44166</v>
      </c>
      <c r="D12" s="84"/>
      <c r="G12" s="215"/>
      <c r="H12" s="215"/>
      <c r="I12" s="215"/>
      <c r="L12" s="393">
        <v>2020</v>
      </c>
      <c r="M12" s="440"/>
      <c r="N12" s="440">
        <v>2021</v>
      </c>
      <c r="O12" s="471"/>
      <c r="P12" s="226"/>
    </row>
    <row r="13" spans="2:16" ht="29.5" thickBot="1" x14ac:dyDescent="0.4">
      <c r="B13" s="85" t="s">
        <v>127</v>
      </c>
      <c r="C13" s="86">
        <v>44530</v>
      </c>
      <c r="D13" s="87"/>
      <c r="G13" s="215"/>
      <c r="H13" s="223"/>
      <c r="I13" s="215"/>
      <c r="L13" s="228" t="s">
        <v>192</v>
      </c>
      <c r="M13" s="136" t="s">
        <v>86</v>
      </c>
      <c r="N13" s="228" t="s">
        <v>192</v>
      </c>
      <c r="O13" s="137" t="s">
        <v>86</v>
      </c>
      <c r="P13" s="138" t="s">
        <v>88</v>
      </c>
    </row>
    <row r="14" spans="2:16" ht="15" customHeight="1" thickBot="1" x14ac:dyDescent="0.4">
      <c r="B14" s="85" t="s">
        <v>128</v>
      </c>
      <c r="C14" s="86">
        <v>44196</v>
      </c>
      <c r="D14" s="89"/>
      <c r="G14" s="215"/>
      <c r="H14" s="223"/>
      <c r="I14" s="215"/>
      <c r="L14" s="141">
        <f>$G$19</f>
        <v>29.45</v>
      </c>
      <c r="M14" s="64">
        <f>I3*L14</f>
        <v>13517.55</v>
      </c>
      <c r="N14" s="141">
        <f>$G$20</f>
        <v>317.3</v>
      </c>
      <c r="O14" s="65">
        <f>I3*N14</f>
        <v>145640.70000000001</v>
      </c>
      <c r="P14" s="66">
        <f>M14+O14</f>
        <v>159158.25</v>
      </c>
    </row>
    <row r="15" spans="2:16" ht="15" customHeight="1" x14ac:dyDescent="0.35">
      <c r="B15" s="90"/>
      <c r="C15" s="91"/>
      <c r="D15" s="89"/>
      <c r="G15" s="215"/>
      <c r="H15" s="223"/>
      <c r="I15" s="215"/>
      <c r="L15" s="141">
        <f t="shared" ref="L15:L20" si="4">$G$19</f>
        <v>29.45</v>
      </c>
      <c r="M15" s="64">
        <f t="shared" ref="M15:M20" si="5">I4*L15</f>
        <v>4123</v>
      </c>
      <c r="N15" s="141">
        <f t="shared" ref="N15:N20" si="6">$G$20</f>
        <v>317.3</v>
      </c>
      <c r="O15" s="65">
        <f t="shared" ref="O15:O20" si="7">I4*N15</f>
        <v>44422</v>
      </c>
      <c r="P15" s="66">
        <f t="shared" ref="P15:P20" si="8">M15+O15</f>
        <v>48545</v>
      </c>
    </row>
    <row r="16" spans="2:16" ht="18.5" x14ac:dyDescent="0.45">
      <c r="B16" s="92" t="s">
        <v>129</v>
      </c>
      <c r="G16" s="215"/>
      <c r="H16" s="223"/>
      <c r="I16" s="215"/>
      <c r="L16" s="141">
        <f t="shared" si="4"/>
        <v>29.45</v>
      </c>
      <c r="M16" s="64">
        <f t="shared" si="5"/>
        <v>21027.3</v>
      </c>
      <c r="N16" s="141">
        <f t="shared" si="6"/>
        <v>317.3</v>
      </c>
      <c r="O16" s="65">
        <f t="shared" si="7"/>
        <v>226552.2</v>
      </c>
      <c r="P16" s="66">
        <f t="shared" si="8"/>
        <v>247579.5</v>
      </c>
    </row>
    <row r="17" spans="2:17" ht="15.75" customHeight="1" x14ac:dyDescent="0.35">
      <c r="B17" s="472"/>
      <c r="C17" s="473" t="s">
        <v>130</v>
      </c>
      <c r="D17" s="474" t="s">
        <v>131</v>
      </c>
      <c r="E17" s="455" t="s">
        <v>132</v>
      </c>
      <c r="F17" s="477" t="s">
        <v>133</v>
      </c>
      <c r="G17" s="447" t="s">
        <v>85</v>
      </c>
      <c r="H17" s="223"/>
      <c r="I17" s="215"/>
      <c r="L17" s="141">
        <f t="shared" si="4"/>
        <v>29.45</v>
      </c>
      <c r="M17" s="64">
        <f t="shared" si="5"/>
        <v>45853.65</v>
      </c>
      <c r="N17" s="141">
        <f t="shared" si="6"/>
        <v>317.3</v>
      </c>
      <c r="O17" s="65">
        <f t="shared" si="7"/>
        <v>494036.10000000003</v>
      </c>
      <c r="P17" s="66">
        <f t="shared" si="8"/>
        <v>539889.75</v>
      </c>
    </row>
    <row r="18" spans="2:17" ht="15" customHeight="1" x14ac:dyDescent="0.35">
      <c r="B18" s="472"/>
      <c r="C18" s="473"/>
      <c r="D18" s="475"/>
      <c r="E18" s="476"/>
      <c r="F18" s="477"/>
      <c r="G18" s="447"/>
      <c r="H18" s="223"/>
      <c r="I18" s="215"/>
      <c r="L18" s="141">
        <f t="shared" si="4"/>
        <v>29.45</v>
      </c>
      <c r="M18" s="64">
        <f t="shared" si="5"/>
        <v>9217.85</v>
      </c>
      <c r="N18" s="141">
        <f t="shared" si="6"/>
        <v>317.3</v>
      </c>
      <c r="O18" s="65">
        <f t="shared" si="7"/>
        <v>99314.900000000009</v>
      </c>
      <c r="P18" s="66">
        <f t="shared" si="8"/>
        <v>108532.75000000001</v>
      </c>
    </row>
    <row r="19" spans="2:17" ht="15.5" x14ac:dyDescent="0.35">
      <c r="B19" s="100" t="s">
        <v>135</v>
      </c>
      <c r="C19" s="159">
        <f>((C14-C12)+1)*7</f>
        <v>217</v>
      </c>
      <c r="D19" s="191">
        <f>('VPA 126 Downdays'!I11)/C19</f>
        <v>0</v>
      </c>
      <c r="E19" s="232">
        <f>IF(D19&lt;5%,95%,100%-D19)</f>
        <v>0.95</v>
      </c>
      <c r="F19" s="104">
        <f>(C14-C12)+1</f>
        <v>31</v>
      </c>
      <c r="G19" s="218">
        <f>F19*E19</f>
        <v>29.45</v>
      </c>
      <c r="H19" s="223"/>
      <c r="I19" s="215"/>
      <c r="L19" s="141">
        <f t="shared" si="4"/>
        <v>29.45</v>
      </c>
      <c r="M19" s="64">
        <f t="shared" si="5"/>
        <v>5713.3</v>
      </c>
      <c r="N19" s="141">
        <f t="shared" si="6"/>
        <v>317.3</v>
      </c>
      <c r="O19" s="65">
        <f t="shared" si="7"/>
        <v>61556.200000000004</v>
      </c>
      <c r="P19" s="66">
        <f t="shared" si="8"/>
        <v>67269.5</v>
      </c>
    </row>
    <row r="20" spans="2:17" ht="15" thickBot="1" x14ac:dyDescent="0.4">
      <c r="B20" s="100" t="s">
        <v>136</v>
      </c>
      <c r="C20" s="101">
        <f>(C13-C14)*7</f>
        <v>2338</v>
      </c>
      <c r="D20" s="191">
        <f>('VPA 126 Downdays'!J11)/C20</f>
        <v>1.710863986313088E-3</v>
      </c>
      <c r="E20" s="232">
        <f>IF(D20&lt;5%,95%,100%-D20)</f>
        <v>0.95</v>
      </c>
      <c r="F20" s="104">
        <f>C13-C14</f>
        <v>334</v>
      </c>
      <c r="G20" s="218">
        <f>F20*E20</f>
        <v>317.3</v>
      </c>
      <c r="H20" s="215"/>
      <c r="I20" s="215"/>
      <c r="L20" s="141">
        <f t="shared" si="4"/>
        <v>29.45</v>
      </c>
      <c r="M20" s="64">
        <f t="shared" si="5"/>
        <v>11809.449999999999</v>
      </c>
      <c r="N20" s="141">
        <f t="shared" si="6"/>
        <v>317.3</v>
      </c>
      <c r="O20" s="65">
        <f t="shared" si="7"/>
        <v>127237.3</v>
      </c>
      <c r="P20" s="66">
        <f t="shared" si="8"/>
        <v>139046.75</v>
      </c>
    </row>
    <row r="21" spans="2:17" ht="15" thickBot="1" x14ac:dyDescent="0.4">
      <c r="C21" s="11"/>
      <c r="K21" s="11"/>
      <c r="L21" s="151" t="s">
        <v>125</v>
      </c>
      <c r="M21" s="231">
        <f t="shared" ref="M21" si="9">SUM(M14:M20)</f>
        <v>111262.1</v>
      </c>
      <c r="N21" s="231"/>
      <c r="O21" s="152">
        <f t="shared" ref="O21:P21" si="10">SUM(O14:O20)</f>
        <v>1198759.4000000001</v>
      </c>
      <c r="P21" s="185">
        <f t="shared" si="10"/>
        <v>1310021.5</v>
      </c>
      <c r="Q21" s="1" t="s">
        <v>323</v>
      </c>
    </row>
    <row r="22" spans="2:17" ht="15" customHeight="1" x14ac:dyDescent="0.35">
      <c r="B22" s="233" t="s">
        <v>402</v>
      </c>
      <c r="C22" s="17">
        <f>SUM(C19:C20)</f>
        <v>2555</v>
      </c>
      <c r="D22" s="234">
        <f>'VPA 126 Downdays'!K11/'VPA 126 PTDs'!C22</f>
        <v>1.5655577299412916E-3</v>
      </c>
      <c r="K22" s="11"/>
    </row>
    <row r="23" spans="2:17" x14ac:dyDescent="0.35">
      <c r="K23" s="11"/>
    </row>
    <row r="24" spans="2:17" x14ac:dyDescent="0.35">
      <c r="K24" s="11"/>
    </row>
    <row r="25" spans="2:17" x14ac:dyDescent="0.35">
      <c r="K25" s="11"/>
    </row>
    <row r="26" spans="2:17" x14ac:dyDescent="0.35">
      <c r="K26" s="11"/>
    </row>
    <row r="27" spans="2:17" x14ac:dyDescent="0.35">
      <c r="K27" s="11"/>
    </row>
    <row r="28" spans="2:17" x14ac:dyDescent="0.35">
      <c r="K28" s="11"/>
    </row>
    <row r="29" spans="2:17" x14ac:dyDescent="0.35">
      <c r="K29" s="11"/>
      <c r="L29" s="35"/>
    </row>
    <row r="30" spans="2:17" ht="15" customHeight="1" x14ac:dyDescent="0.35">
      <c r="K30" s="11"/>
    </row>
    <row r="37" ht="15" customHeight="1" x14ac:dyDescent="0.35"/>
  </sheetData>
  <mergeCells count="11">
    <mergeCell ref="G17:G18"/>
    <mergeCell ref="L1:M1"/>
    <mergeCell ref="N1:O1"/>
    <mergeCell ref="B3:B9"/>
    <mergeCell ref="L12:M12"/>
    <mergeCell ref="N12:O12"/>
    <mergeCell ref="B17:B18"/>
    <mergeCell ref="C17:C18"/>
    <mergeCell ref="D17:D18"/>
    <mergeCell ref="E17:E18"/>
    <mergeCell ref="F17:F18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214F1-3D5D-4175-8B63-1E7ADFAE7A71}">
  <dimension ref="B2:K11"/>
  <sheetViews>
    <sheetView topLeftCell="B1" zoomScale="80" zoomScaleNormal="80" workbookViewId="0">
      <selection activeCell="E23" sqref="E23"/>
    </sheetView>
  </sheetViews>
  <sheetFormatPr defaultRowHeight="14.5" x14ac:dyDescent="0.35"/>
  <cols>
    <col min="4" max="4" width="14.54296875" customWidth="1"/>
    <col min="5" max="5" width="20.81640625" customWidth="1"/>
    <col min="6" max="6" width="23.81640625" customWidth="1"/>
    <col min="7" max="7" width="23.453125" customWidth="1"/>
    <col min="8" max="8" width="30.54296875" customWidth="1"/>
    <col min="9" max="9" width="7.81640625" customWidth="1"/>
    <col min="10" max="10" width="6.81640625" customWidth="1"/>
    <col min="11" max="11" width="10.453125" customWidth="1"/>
  </cols>
  <sheetData>
    <row r="2" spans="2:11" x14ac:dyDescent="0.35">
      <c r="B2" s="468" t="s">
        <v>225</v>
      </c>
      <c r="C2" s="481" t="s">
        <v>226</v>
      </c>
      <c r="D2" s="445" t="s">
        <v>77</v>
      </c>
      <c r="E2" s="468" t="s">
        <v>78</v>
      </c>
      <c r="F2" s="468" t="s">
        <v>227</v>
      </c>
      <c r="G2" s="468" t="s">
        <v>228</v>
      </c>
      <c r="H2" s="478" t="s">
        <v>229</v>
      </c>
      <c r="I2" s="408" t="s">
        <v>230</v>
      </c>
      <c r="J2" s="408"/>
      <c r="K2" s="409"/>
    </row>
    <row r="3" spans="2:11" ht="15.5" x14ac:dyDescent="0.35">
      <c r="B3" s="469"/>
      <c r="C3" s="481"/>
      <c r="D3" s="446"/>
      <c r="E3" s="469"/>
      <c r="F3" s="469"/>
      <c r="G3" s="469"/>
      <c r="H3" s="456"/>
      <c r="I3" s="194">
        <v>2020</v>
      </c>
      <c r="J3" s="195">
        <v>2021</v>
      </c>
      <c r="K3" s="195" t="s">
        <v>272</v>
      </c>
    </row>
    <row r="4" spans="2:11" ht="26.15" customHeight="1" x14ac:dyDescent="0.35">
      <c r="B4" s="479" t="s">
        <v>302</v>
      </c>
      <c r="C4" s="480">
        <v>126</v>
      </c>
      <c r="D4" s="58" t="s">
        <v>303</v>
      </c>
      <c r="E4" s="58" t="s">
        <v>304</v>
      </c>
      <c r="F4" s="166"/>
      <c r="G4" s="166"/>
      <c r="H4" s="198"/>
      <c r="I4" s="5"/>
      <c r="J4" s="5"/>
      <c r="K4" s="5">
        <f>I4+J4</f>
        <v>0</v>
      </c>
    </row>
    <row r="5" spans="2:11" ht="24.65" customHeight="1" x14ac:dyDescent="0.35">
      <c r="B5" s="479"/>
      <c r="C5" s="480"/>
      <c r="D5" s="58" t="s">
        <v>306</v>
      </c>
      <c r="E5" s="58" t="s">
        <v>307</v>
      </c>
      <c r="F5" s="166"/>
      <c r="G5" s="166"/>
      <c r="H5" s="198"/>
      <c r="I5" s="5"/>
      <c r="J5" s="5"/>
      <c r="K5" s="5">
        <f t="shared" ref="K5:K10" si="0">I5+J5</f>
        <v>0</v>
      </c>
    </row>
    <row r="6" spans="2:11" ht="15.5" x14ac:dyDescent="0.35">
      <c r="B6" s="479"/>
      <c r="C6" s="480"/>
      <c r="D6" s="58" t="s">
        <v>309</v>
      </c>
      <c r="E6" s="200" t="s">
        <v>310</v>
      </c>
      <c r="F6" s="5"/>
      <c r="G6" s="5"/>
      <c r="H6" s="5"/>
      <c r="I6" s="5"/>
      <c r="J6" s="5"/>
      <c r="K6" s="5">
        <f t="shared" si="0"/>
        <v>0</v>
      </c>
    </row>
    <row r="7" spans="2:11" ht="15.5" x14ac:dyDescent="0.35">
      <c r="B7" s="479"/>
      <c r="C7" s="480"/>
      <c r="D7" s="58" t="s">
        <v>312</v>
      </c>
      <c r="E7" s="71" t="s">
        <v>313</v>
      </c>
      <c r="F7" s="5"/>
      <c r="G7" s="5"/>
      <c r="H7" s="5"/>
      <c r="I7" s="5"/>
      <c r="J7" s="5"/>
      <c r="K7" s="5">
        <f t="shared" si="0"/>
        <v>0</v>
      </c>
    </row>
    <row r="8" spans="2:11" ht="15.5" x14ac:dyDescent="0.35">
      <c r="B8" s="479"/>
      <c r="C8" s="480"/>
      <c r="D8" s="58" t="s">
        <v>315</v>
      </c>
      <c r="E8" s="71" t="s">
        <v>316</v>
      </c>
      <c r="F8" s="5"/>
      <c r="G8" s="5"/>
      <c r="H8" s="5"/>
      <c r="I8" s="5"/>
      <c r="J8" s="5"/>
      <c r="K8" s="5">
        <f t="shared" si="0"/>
        <v>0</v>
      </c>
    </row>
    <row r="9" spans="2:11" ht="15.5" x14ac:dyDescent="0.35">
      <c r="B9" s="479"/>
      <c r="C9" s="480"/>
      <c r="D9" s="58" t="s">
        <v>318</v>
      </c>
      <c r="E9" s="71" t="s">
        <v>319</v>
      </c>
      <c r="F9" s="5"/>
      <c r="G9" s="5"/>
      <c r="H9" s="5"/>
      <c r="I9" s="5"/>
      <c r="J9" s="5"/>
      <c r="K9" s="5">
        <f t="shared" si="0"/>
        <v>0</v>
      </c>
    </row>
    <row r="10" spans="2:11" ht="15.5" x14ac:dyDescent="0.35">
      <c r="B10" s="479"/>
      <c r="C10" s="480"/>
      <c r="D10" s="58" t="s">
        <v>321</v>
      </c>
      <c r="E10" s="208" t="s">
        <v>322</v>
      </c>
      <c r="F10" s="169">
        <v>44367</v>
      </c>
      <c r="G10" s="169">
        <v>44370</v>
      </c>
      <c r="H10" s="9" t="s">
        <v>299</v>
      </c>
      <c r="I10" s="5"/>
      <c r="J10" s="5">
        <v>4</v>
      </c>
      <c r="K10" s="5">
        <f t="shared" si="0"/>
        <v>4</v>
      </c>
    </row>
    <row r="11" spans="2:11" x14ac:dyDescent="0.35">
      <c r="B11" s="235" t="s">
        <v>23</v>
      </c>
      <c r="C11" s="235"/>
      <c r="D11" s="235"/>
      <c r="E11" s="235"/>
      <c r="F11" s="235"/>
      <c r="G11" s="235"/>
      <c r="H11" s="235"/>
      <c r="I11" s="235">
        <f>SUM(I4:I10)</f>
        <v>0</v>
      </c>
      <c r="J11" s="235">
        <f t="shared" ref="J11:K11" si="1">SUM(J4:J10)</f>
        <v>4</v>
      </c>
      <c r="K11" s="235">
        <f t="shared" si="1"/>
        <v>4</v>
      </c>
    </row>
  </sheetData>
  <mergeCells count="10">
    <mergeCell ref="H2:H3"/>
    <mergeCell ref="I2:K2"/>
    <mergeCell ref="B4:B10"/>
    <mergeCell ref="C4:C10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B128A-2345-477D-8C91-A39658A335DE}">
  <dimension ref="A2:E23"/>
  <sheetViews>
    <sheetView zoomScale="66" zoomScaleNormal="85" workbookViewId="0">
      <selection activeCell="C18" sqref="C18"/>
    </sheetView>
  </sheetViews>
  <sheetFormatPr defaultRowHeight="14.5" x14ac:dyDescent="0.35"/>
  <cols>
    <col min="1" max="1" width="32.26953125" bestFit="1" customWidth="1"/>
    <col min="2" max="2" width="120" bestFit="1" customWidth="1"/>
    <col min="3" max="3" width="35" bestFit="1" customWidth="1"/>
    <col min="4" max="4" width="10.453125" bestFit="1" customWidth="1"/>
  </cols>
  <sheetData>
    <row r="2" spans="1:5" ht="29" x14ac:dyDescent="0.35">
      <c r="A2" s="108" t="s">
        <v>138</v>
      </c>
      <c r="B2" s="108" t="s">
        <v>139</v>
      </c>
      <c r="C2" s="108" t="s">
        <v>140</v>
      </c>
      <c r="D2" s="108" t="s">
        <v>141</v>
      </c>
      <c r="E2" s="174" t="s">
        <v>182</v>
      </c>
    </row>
    <row r="3" spans="1:5" x14ac:dyDescent="0.35">
      <c r="A3" s="62" t="s">
        <v>142</v>
      </c>
      <c r="B3" s="5" t="s">
        <v>143</v>
      </c>
      <c r="C3" s="175">
        <f>((C4-C5)/C4)*C9</f>
        <v>0.92269999999999996</v>
      </c>
      <c r="D3" s="5" t="s">
        <v>144</v>
      </c>
      <c r="E3" s="174"/>
    </row>
    <row r="4" spans="1:5" x14ac:dyDescent="0.35">
      <c r="A4" s="5" t="s">
        <v>145</v>
      </c>
      <c r="B4" s="5" t="s">
        <v>146</v>
      </c>
      <c r="C4" s="110">
        <f>C6*C7</f>
        <v>3.0000000000000001E-3</v>
      </c>
      <c r="D4" s="5" t="s">
        <v>147</v>
      </c>
      <c r="E4" s="174"/>
    </row>
    <row r="5" spans="1:5" x14ac:dyDescent="0.35">
      <c r="A5" s="74" t="s">
        <v>148</v>
      </c>
      <c r="B5" s="5" t="s">
        <v>149</v>
      </c>
      <c r="C5" s="111">
        <f>C6*C8</f>
        <v>0</v>
      </c>
      <c r="D5" s="5" t="s">
        <v>150</v>
      </c>
      <c r="E5" s="174"/>
    </row>
    <row r="6" spans="1:5" ht="29" x14ac:dyDescent="0.35">
      <c r="A6" s="5" t="s">
        <v>42</v>
      </c>
      <c r="B6" s="5" t="s">
        <v>151</v>
      </c>
      <c r="C6" s="112">
        <v>4.0000000000000002E-4</v>
      </c>
      <c r="D6" s="5" t="s">
        <v>152</v>
      </c>
      <c r="E6" s="176" t="s">
        <v>185</v>
      </c>
    </row>
    <row r="7" spans="1:5" ht="87" x14ac:dyDescent="0.35">
      <c r="A7" s="5" t="s">
        <v>45</v>
      </c>
      <c r="B7" s="5" t="s">
        <v>153</v>
      </c>
      <c r="C7" s="111">
        <v>7.5</v>
      </c>
      <c r="D7" s="5" t="s">
        <v>154</v>
      </c>
      <c r="E7" s="176" t="s">
        <v>186</v>
      </c>
    </row>
    <row r="8" spans="1:5" x14ac:dyDescent="0.35">
      <c r="A8" s="5" t="s">
        <v>155</v>
      </c>
      <c r="B8" s="5" t="s">
        <v>156</v>
      </c>
      <c r="C8" s="111">
        <v>0</v>
      </c>
      <c r="D8" s="5" t="s">
        <v>154</v>
      </c>
      <c r="E8" s="176" t="s">
        <v>187</v>
      </c>
    </row>
    <row r="9" spans="1:5" ht="15.75" customHeight="1" x14ac:dyDescent="0.45">
      <c r="A9" s="5" t="s">
        <v>157</v>
      </c>
      <c r="B9" s="5" t="s">
        <v>158</v>
      </c>
      <c r="C9" s="177">
        <f>C20</f>
        <v>0.92269999999999996</v>
      </c>
      <c r="D9" s="5" t="s">
        <v>144</v>
      </c>
      <c r="E9" s="176" t="s">
        <v>190</v>
      </c>
    </row>
    <row r="10" spans="1:5" x14ac:dyDescent="0.35">
      <c r="E10" s="174"/>
    </row>
    <row r="11" spans="1:5" x14ac:dyDescent="0.35">
      <c r="A11" s="108" t="s">
        <v>159</v>
      </c>
      <c r="B11" s="108" t="s">
        <v>139</v>
      </c>
      <c r="C11" s="108" t="s">
        <v>160</v>
      </c>
      <c r="D11" s="108" t="s">
        <v>141</v>
      </c>
      <c r="E11" s="174"/>
    </row>
    <row r="12" spans="1:5" x14ac:dyDescent="0.35">
      <c r="A12" s="37" t="s">
        <v>161</v>
      </c>
      <c r="B12" s="5" t="s">
        <v>162</v>
      </c>
      <c r="C12" s="115">
        <f>(C13-C14)</f>
        <v>1.2899999999999998</v>
      </c>
      <c r="D12" s="5" t="s">
        <v>163</v>
      </c>
      <c r="E12" s="174"/>
    </row>
    <row r="13" spans="1:5" ht="29" x14ac:dyDescent="0.35">
      <c r="A13" s="37" t="s">
        <v>164</v>
      </c>
      <c r="B13" s="5" t="s">
        <v>165</v>
      </c>
      <c r="C13" s="5">
        <v>2.2599999999999998</v>
      </c>
      <c r="D13" s="5" t="s">
        <v>163</v>
      </c>
      <c r="E13" s="176" t="s">
        <v>237</v>
      </c>
    </row>
    <row r="14" spans="1:5" ht="29" x14ac:dyDescent="0.35">
      <c r="A14" s="37" t="s">
        <v>166</v>
      </c>
      <c r="B14" s="5" t="s">
        <v>167</v>
      </c>
      <c r="C14" s="5">
        <v>0.97</v>
      </c>
      <c r="D14" s="5" t="s">
        <v>163</v>
      </c>
      <c r="E14" s="176" t="s">
        <v>238</v>
      </c>
    </row>
    <row r="15" spans="1:5" x14ac:dyDescent="0.35">
      <c r="E15" s="174"/>
    </row>
    <row r="16" spans="1:5" x14ac:dyDescent="0.35">
      <c r="A16" s="108" t="s">
        <v>168</v>
      </c>
      <c r="B16" s="108" t="s">
        <v>139</v>
      </c>
      <c r="C16" s="108" t="s">
        <v>169</v>
      </c>
      <c r="D16" s="108" t="s">
        <v>141</v>
      </c>
      <c r="E16" s="174"/>
    </row>
    <row r="17" spans="1:5" x14ac:dyDescent="0.35">
      <c r="A17" s="37" t="s">
        <v>170</v>
      </c>
      <c r="B17" s="5" t="s">
        <v>171</v>
      </c>
      <c r="C17" s="116">
        <f>C18*(1-C19)*C20</f>
        <v>1692.2318</v>
      </c>
      <c r="D17" s="5" t="s">
        <v>172</v>
      </c>
      <c r="E17" s="174"/>
    </row>
    <row r="18" spans="1:5" x14ac:dyDescent="0.35">
      <c r="A18" s="37" t="s">
        <v>173</v>
      </c>
      <c r="B18" s="5" t="s">
        <v>174</v>
      </c>
      <c r="C18" s="117">
        <f>'VPA 126 PTDs'!J10</f>
        <v>1834</v>
      </c>
      <c r="D18" s="5" t="s">
        <v>172</v>
      </c>
      <c r="E18" s="174" t="s">
        <v>239</v>
      </c>
    </row>
    <row r="19" spans="1:5" ht="29" x14ac:dyDescent="0.35">
      <c r="A19" s="37" t="s">
        <v>38</v>
      </c>
      <c r="B19" s="5" t="s">
        <v>175</v>
      </c>
      <c r="C19" s="118">
        <v>0</v>
      </c>
      <c r="D19" s="5" t="s">
        <v>144</v>
      </c>
      <c r="E19" s="174" t="s">
        <v>237</v>
      </c>
    </row>
    <row r="20" spans="1:5" ht="73.5" x14ac:dyDescent="0.45">
      <c r="A20" s="37" t="s">
        <v>157</v>
      </c>
      <c r="B20" s="5" t="s">
        <v>158</v>
      </c>
      <c r="C20" s="177">
        <v>0.92269999999999996</v>
      </c>
      <c r="D20" s="5" t="s">
        <v>144</v>
      </c>
      <c r="E20" s="174" t="s">
        <v>190</v>
      </c>
    </row>
    <row r="21" spans="1:5" x14ac:dyDescent="0.35">
      <c r="E21" s="174"/>
    </row>
    <row r="22" spans="1:5" x14ac:dyDescent="0.35">
      <c r="A22" s="119" t="s">
        <v>176</v>
      </c>
      <c r="B22" s="108" t="s">
        <v>139</v>
      </c>
      <c r="C22" s="108"/>
      <c r="D22" s="108" t="s">
        <v>141</v>
      </c>
      <c r="E22" s="174"/>
    </row>
    <row r="23" spans="1:5" x14ac:dyDescent="0.35">
      <c r="A23" s="37" t="s">
        <v>177</v>
      </c>
      <c r="B23" s="5" t="s">
        <v>178</v>
      </c>
      <c r="C23" s="120">
        <f>'VPA 126 Summary'!E36</f>
        <v>3173</v>
      </c>
      <c r="D23" s="5" t="s">
        <v>179</v>
      </c>
      <c r="E23" s="174" t="s">
        <v>240</v>
      </c>
    </row>
  </sheetData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26E17-4FFA-49DF-8EC6-8E724E3F0AE6}">
  <dimension ref="B1:M34"/>
  <sheetViews>
    <sheetView topLeftCell="A26" zoomScale="77" workbookViewId="0">
      <selection activeCell="E35" sqref="E35"/>
    </sheetView>
  </sheetViews>
  <sheetFormatPr defaultColWidth="9.1796875" defaultRowHeight="14.5" x14ac:dyDescent="0.35"/>
  <cols>
    <col min="1" max="1" width="9.1796875" style="1"/>
    <col min="2" max="2" width="41.81640625" style="1" bestFit="1" customWidth="1"/>
    <col min="3" max="3" width="5.81640625" style="1" bestFit="1" customWidth="1"/>
    <col min="4" max="4" width="11" style="1" bestFit="1" customWidth="1"/>
    <col min="5" max="5" width="8.81640625" style="1" customWidth="1"/>
    <col min="6" max="7" width="9.1796875" style="1"/>
    <col min="8" max="8" width="3.26953125" style="1" customWidth="1"/>
    <col min="9" max="9" width="9.54296875" style="1" customWidth="1"/>
    <col min="10" max="11" width="17.54296875" style="1" customWidth="1"/>
    <col min="12" max="12" width="12.1796875" style="1" customWidth="1"/>
    <col min="13" max="16384" width="9.1796875" style="1"/>
  </cols>
  <sheetData>
    <row r="1" spans="2:13" ht="15" thickBot="1" x14ac:dyDescent="0.4"/>
    <row r="2" spans="2:13" ht="18.75" customHeight="1" thickBot="1" x14ac:dyDescent="0.5">
      <c r="B2" s="377" t="s">
        <v>324</v>
      </c>
      <c r="C2" s="378"/>
      <c r="D2" s="378"/>
      <c r="E2" s="379"/>
      <c r="F2" s="2"/>
      <c r="G2" s="2"/>
      <c r="H2" s="2"/>
      <c r="I2" s="377" t="s">
        <v>1</v>
      </c>
      <c r="J2" s="378"/>
      <c r="K2" s="378"/>
      <c r="L2" s="379"/>
    </row>
    <row r="3" spans="2:13" ht="15" thickBot="1" x14ac:dyDescent="0.4">
      <c r="B3" s="2"/>
      <c r="C3" s="2"/>
      <c r="D3" s="2"/>
      <c r="E3" s="2"/>
      <c r="F3" s="2"/>
      <c r="G3" s="2"/>
      <c r="H3" s="2"/>
      <c r="I3" s="2"/>
      <c r="J3" s="2"/>
      <c r="K3" s="2"/>
    </row>
    <row r="4" spans="2:13" ht="15" customHeight="1" x14ac:dyDescent="0.35">
      <c r="B4" s="380" t="s">
        <v>2</v>
      </c>
      <c r="C4" s="381"/>
      <c r="D4" s="381"/>
      <c r="E4" s="382"/>
      <c r="G4" s="2"/>
      <c r="H4" s="2"/>
      <c r="I4" s="383" t="s">
        <v>3</v>
      </c>
      <c r="J4" s="384"/>
      <c r="K4" s="384"/>
      <c r="L4" s="385"/>
    </row>
    <row r="5" spans="2:13" x14ac:dyDescent="0.35">
      <c r="B5" s="386" t="s">
        <v>4</v>
      </c>
      <c r="C5" s="387"/>
      <c r="D5" s="387"/>
      <c r="E5" s="388"/>
      <c r="G5" s="2"/>
      <c r="H5" s="2"/>
      <c r="I5" s="3" t="s">
        <v>5</v>
      </c>
      <c r="J5" s="3" t="s">
        <v>181</v>
      </c>
      <c r="K5" s="3" t="s">
        <v>7</v>
      </c>
      <c r="L5" s="3" t="s">
        <v>10</v>
      </c>
    </row>
    <row r="6" spans="2:13" x14ac:dyDescent="0.35">
      <c r="B6" s="4" t="s">
        <v>11</v>
      </c>
      <c r="C6" s="5" t="s">
        <v>12</v>
      </c>
      <c r="D6" s="5" t="s">
        <v>13</v>
      </c>
      <c r="E6" s="6">
        <f>'VPA 129 ER Calcs'!J27</f>
        <v>594</v>
      </c>
      <c r="G6" s="2"/>
      <c r="H6" s="2"/>
      <c r="I6" s="7">
        <v>2020</v>
      </c>
      <c r="J6" s="236">
        <f>E32</f>
        <v>537</v>
      </c>
      <c r="K6" s="236">
        <f>'VPA 129 ER Calcs'!J36</f>
        <v>537</v>
      </c>
      <c r="L6" s="15">
        <f>SUM(J6:K6)</f>
        <v>1074</v>
      </c>
    </row>
    <row r="7" spans="2:13" x14ac:dyDescent="0.35">
      <c r="B7" s="4" t="s">
        <v>14</v>
      </c>
      <c r="C7" s="5" t="s">
        <v>15</v>
      </c>
      <c r="D7" s="5" t="s">
        <v>13</v>
      </c>
      <c r="E7" s="6">
        <f>'VPA 129 ER Calcs'!J28</f>
        <v>0</v>
      </c>
      <c r="G7" s="2"/>
      <c r="H7" s="2"/>
      <c r="I7" s="237">
        <v>2021</v>
      </c>
      <c r="J7" s="104"/>
      <c r="K7" s="101">
        <f>'VPA 129 ER Calcs'!O36</f>
        <v>5843</v>
      </c>
      <c r="L7" s="159">
        <f>SUM(J7:K7)</f>
        <v>5843</v>
      </c>
      <c r="M7" s="11"/>
    </row>
    <row r="8" spans="2:13" x14ac:dyDescent="0.35">
      <c r="B8" s="4" t="s">
        <v>16</v>
      </c>
      <c r="C8" s="5" t="s">
        <v>17</v>
      </c>
      <c r="D8" s="5" t="s">
        <v>18</v>
      </c>
      <c r="E8" s="238">
        <v>0.92</v>
      </c>
      <c r="G8" s="2"/>
      <c r="H8" s="2"/>
      <c r="I8" s="126" t="s">
        <v>23</v>
      </c>
      <c r="J8" s="127">
        <f>SUM(J6)</f>
        <v>537</v>
      </c>
      <c r="K8" s="127">
        <f>'VPA 129 ER Calcs'!E38</f>
        <v>6380</v>
      </c>
      <c r="L8" s="127">
        <f>SUM(L6:L7)</f>
        <v>6917</v>
      </c>
      <c r="M8" s="2"/>
    </row>
    <row r="9" spans="2:13" x14ac:dyDescent="0.35">
      <c r="B9" s="4" t="s">
        <v>19</v>
      </c>
      <c r="C9" s="5" t="s">
        <v>20</v>
      </c>
      <c r="D9" s="5" t="s">
        <v>13</v>
      </c>
      <c r="E9" s="6">
        <f>'VPA 129 ER Calcs'!J30</f>
        <v>0</v>
      </c>
      <c r="G9" s="2"/>
      <c r="H9" s="2"/>
    </row>
    <row r="10" spans="2:13" x14ac:dyDescent="0.35">
      <c r="B10" s="4" t="s">
        <v>21</v>
      </c>
      <c r="C10" s="5" t="s">
        <v>22</v>
      </c>
      <c r="D10" s="5" t="s">
        <v>13</v>
      </c>
      <c r="E10" s="6">
        <f>'VPA 129 ER Calcs'!J31</f>
        <v>548.0838</v>
      </c>
      <c r="G10" s="2"/>
      <c r="H10" s="2"/>
    </row>
    <row r="11" spans="2:13" x14ac:dyDescent="0.35">
      <c r="B11" s="386" t="s">
        <v>24</v>
      </c>
      <c r="C11" s="387"/>
      <c r="D11" s="387"/>
      <c r="E11" s="388"/>
      <c r="G11" s="2"/>
      <c r="H11" s="2"/>
      <c r="I11" s="2"/>
      <c r="J11" s="2"/>
      <c r="K11" s="2"/>
    </row>
    <row r="12" spans="2:13" x14ac:dyDescent="0.35">
      <c r="B12" s="22" t="s">
        <v>25</v>
      </c>
      <c r="C12" s="5"/>
      <c r="D12" s="23"/>
      <c r="E12" s="24">
        <f>'VPA 129 ER Calcs'!J34</f>
        <v>0.98</v>
      </c>
      <c r="G12" s="2"/>
      <c r="H12" s="2"/>
      <c r="I12" s="2"/>
      <c r="J12" s="2"/>
      <c r="K12" s="2"/>
    </row>
    <row r="13" spans="2:13" x14ac:dyDescent="0.35">
      <c r="B13" s="22" t="s">
        <v>26</v>
      </c>
      <c r="C13" s="5" t="s">
        <v>27</v>
      </c>
      <c r="D13" s="23" t="s">
        <v>28</v>
      </c>
      <c r="E13" s="24">
        <f>'VPA 129 ER Calcs'!J35</f>
        <v>2.0000000000000018E-2</v>
      </c>
      <c r="G13" s="2"/>
      <c r="H13" s="2"/>
      <c r="I13" s="2"/>
      <c r="J13" s="2"/>
      <c r="K13" s="2"/>
    </row>
    <row r="14" spans="2:13" ht="15" thickBot="1" x14ac:dyDescent="0.4">
      <c r="B14" s="25" t="s">
        <v>21</v>
      </c>
      <c r="C14" s="26" t="s">
        <v>29</v>
      </c>
      <c r="D14" s="26" t="s">
        <v>13</v>
      </c>
      <c r="E14" s="27">
        <f>ROUNDDOWN(E10*(1-E13),0)</f>
        <v>537</v>
      </c>
      <c r="G14" s="2"/>
      <c r="H14" s="2"/>
      <c r="I14" s="2"/>
      <c r="J14" s="2"/>
      <c r="K14" s="2"/>
    </row>
    <row r="15" spans="2:13" ht="15" thickBot="1" x14ac:dyDescent="0.4">
      <c r="B15" s="25" t="s">
        <v>30</v>
      </c>
      <c r="C15" s="26" t="s">
        <v>29</v>
      </c>
      <c r="D15" s="26" t="s">
        <v>13</v>
      </c>
      <c r="E15" s="27">
        <f>'VPA 129 ER Calcs'!J38</f>
        <v>537</v>
      </c>
      <c r="G15" s="2"/>
      <c r="H15" s="2"/>
      <c r="I15" s="2"/>
      <c r="J15" s="2"/>
      <c r="K15" s="2"/>
    </row>
    <row r="16" spans="2:13" ht="15" thickBot="1" x14ac:dyDescent="0.4">
      <c r="G16" s="2"/>
      <c r="H16" s="2"/>
      <c r="I16" s="2"/>
      <c r="J16" s="2"/>
      <c r="K16" s="2"/>
    </row>
    <row r="17" spans="2:11" x14ac:dyDescent="0.35">
      <c r="B17" s="380" t="s">
        <v>35</v>
      </c>
      <c r="C17" s="381"/>
      <c r="D17" s="381"/>
      <c r="E17" s="382"/>
      <c r="F17" s="2"/>
      <c r="G17" s="2"/>
      <c r="H17" s="2"/>
      <c r="I17" s="28"/>
      <c r="J17" s="28"/>
      <c r="K17" s="28"/>
    </row>
    <row r="18" spans="2:11" x14ac:dyDescent="0.35">
      <c r="B18" s="121" t="s">
        <v>4</v>
      </c>
      <c r="C18" s="122"/>
      <c r="D18" s="122"/>
      <c r="E18" s="123"/>
      <c r="F18" s="2"/>
      <c r="G18" s="2"/>
      <c r="H18" s="2"/>
      <c r="I18" s="2"/>
      <c r="J18" s="2"/>
      <c r="K18" s="2"/>
    </row>
    <row r="19" spans="2:11" x14ac:dyDescent="0.35">
      <c r="B19" s="4" t="s">
        <v>11</v>
      </c>
      <c r="C19" s="5" t="s">
        <v>12</v>
      </c>
      <c r="D19" s="5" t="s">
        <v>13</v>
      </c>
      <c r="E19" s="6">
        <f>'VPA 129 ER Calcs'!O27</f>
        <v>6462</v>
      </c>
      <c r="F19" s="2"/>
      <c r="G19" s="2"/>
      <c r="H19" s="2"/>
      <c r="I19" s="2"/>
      <c r="J19" s="2"/>
      <c r="K19" s="2"/>
    </row>
    <row r="20" spans="2:11" x14ac:dyDescent="0.35">
      <c r="B20" s="4" t="s">
        <v>14</v>
      </c>
      <c r="C20" s="5" t="s">
        <v>15</v>
      </c>
      <c r="D20" s="5" t="s">
        <v>13</v>
      </c>
      <c r="E20" s="6">
        <f>'VPA 129 ER Calcs'!O28</f>
        <v>0</v>
      </c>
      <c r="F20" s="2"/>
      <c r="G20" s="2"/>
      <c r="H20" s="2"/>
      <c r="I20" s="2"/>
      <c r="J20" s="2"/>
      <c r="K20" s="2"/>
    </row>
    <row r="21" spans="2:11" x14ac:dyDescent="0.35">
      <c r="B21" s="4" t="s">
        <v>16</v>
      </c>
      <c r="C21" s="5" t="s">
        <v>17</v>
      </c>
      <c r="D21" s="5" t="s">
        <v>18</v>
      </c>
      <c r="E21" s="12">
        <v>0.92</v>
      </c>
      <c r="F21" s="2"/>
      <c r="G21" s="2"/>
      <c r="H21" s="2"/>
      <c r="I21" s="2"/>
      <c r="J21" s="2"/>
      <c r="K21" s="2"/>
    </row>
    <row r="22" spans="2:11" x14ac:dyDescent="0.35">
      <c r="B22" s="4" t="s">
        <v>19</v>
      </c>
      <c r="C22" s="5" t="s">
        <v>20</v>
      </c>
      <c r="D22" s="5" t="s">
        <v>13</v>
      </c>
      <c r="E22" s="6">
        <f>'VPA 129 ER Calcs'!J42</f>
        <v>0</v>
      </c>
      <c r="F22" s="2"/>
      <c r="G22" s="2"/>
      <c r="H22" s="2"/>
    </row>
    <row r="23" spans="2:11" x14ac:dyDescent="0.35">
      <c r="B23" s="4" t="s">
        <v>21</v>
      </c>
      <c r="C23" s="5" t="s">
        <v>22</v>
      </c>
      <c r="D23" s="5" t="s">
        <v>13</v>
      </c>
      <c r="E23" s="6">
        <f>'VPA 129 ER Calcs'!O31</f>
        <v>5962.4874</v>
      </c>
    </row>
    <row r="24" spans="2:11" x14ac:dyDescent="0.35">
      <c r="B24" s="121" t="s">
        <v>24</v>
      </c>
      <c r="C24" s="122"/>
      <c r="D24" s="122"/>
      <c r="E24" s="123"/>
    </row>
    <row r="25" spans="2:11" x14ac:dyDescent="0.35">
      <c r="B25" s="22" t="s">
        <v>25</v>
      </c>
      <c r="C25" s="5"/>
      <c r="D25" s="23"/>
      <c r="E25" s="24">
        <f>'VPA 129 ER Calcs'!O34</f>
        <v>0.98</v>
      </c>
    </row>
    <row r="26" spans="2:11" x14ac:dyDescent="0.35">
      <c r="B26" s="22" t="s">
        <v>26</v>
      </c>
      <c r="C26" s="5" t="s">
        <v>27</v>
      </c>
      <c r="D26" s="23" t="s">
        <v>28</v>
      </c>
      <c r="E26" s="24">
        <f>'VPA 129 ER Calcs'!O35</f>
        <v>2.0000000000000018E-2</v>
      </c>
    </row>
    <row r="27" spans="2:11" ht="15" thickBot="1" x14ac:dyDescent="0.4">
      <c r="B27" s="25" t="s">
        <v>21</v>
      </c>
      <c r="C27" s="26" t="s">
        <v>29</v>
      </c>
      <c r="D27" s="26" t="s">
        <v>13</v>
      </c>
      <c r="E27" s="27">
        <f>ROUNDDOWN(E23*(1-E26),0)</f>
        <v>5843</v>
      </c>
    </row>
    <row r="28" spans="2:11" ht="15" thickBot="1" x14ac:dyDescent="0.4">
      <c r="B28" s="25" t="s">
        <v>30</v>
      </c>
      <c r="C28" s="26" t="s">
        <v>29</v>
      </c>
      <c r="D28" s="26" t="s">
        <v>13</v>
      </c>
      <c r="E28" s="27">
        <f>'VPA 129 ER Calcs'!O38</f>
        <v>5843</v>
      </c>
    </row>
    <row r="29" spans="2:11" ht="15" thickBot="1" x14ac:dyDescent="0.4">
      <c r="B29" s="2"/>
      <c r="C29" s="2"/>
      <c r="D29" s="2"/>
      <c r="E29" s="2"/>
    </row>
    <row r="30" spans="2:11" ht="15.5" x14ac:dyDescent="0.35">
      <c r="B30" s="422" t="s">
        <v>325</v>
      </c>
      <c r="C30" s="423"/>
      <c r="D30" s="423"/>
      <c r="E30" s="424"/>
    </row>
    <row r="31" spans="2:11" x14ac:dyDescent="0.35">
      <c r="B31" s="482" t="s">
        <v>4</v>
      </c>
      <c r="C31" s="483"/>
      <c r="D31" s="483"/>
      <c r="E31" s="427"/>
    </row>
    <row r="32" spans="2:11" x14ac:dyDescent="0.35">
      <c r="B32" s="419">
        <v>2020</v>
      </c>
      <c r="C32" s="420"/>
      <c r="D32" s="421"/>
      <c r="E32" s="239">
        <f>E15</f>
        <v>537</v>
      </c>
    </row>
    <row r="33" spans="2:5" x14ac:dyDescent="0.35">
      <c r="B33" s="484">
        <v>2021</v>
      </c>
      <c r="C33" s="485"/>
      <c r="D33" s="486"/>
      <c r="E33" s="240">
        <f>E28</f>
        <v>5843</v>
      </c>
    </row>
    <row r="34" spans="2:5" ht="15" thickBot="1" x14ac:dyDescent="0.4">
      <c r="B34" s="375" t="s">
        <v>326</v>
      </c>
      <c r="C34" s="376"/>
      <c r="D34" s="31"/>
      <c r="E34" s="241">
        <f>SUM(E32:E33)</f>
        <v>6380</v>
      </c>
    </row>
  </sheetData>
  <mergeCells count="12">
    <mergeCell ref="B34:C34"/>
    <mergeCell ref="B2:E2"/>
    <mergeCell ref="I2:L2"/>
    <mergeCell ref="B4:E4"/>
    <mergeCell ref="I4:L4"/>
    <mergeCell ref="B5:E5"/>
    <mergeCell ref="B11:E11"/>
    <mergeCell ref="B17:E17"/>
    <mergeCell ref="B30:E30"/>
    <mergeCell ref="B31:E31"/>
    <mergeCell ref="B32:D32"/>
    <mergeCell ref="B33:D33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1A195-59A1-4778-86AF-D34F3233953E}">
  <dimension ref="B2:O47"/>
  <sheetViews>
    <sheetView zoomScale="60" zoomScaleNormal="60" workbookViewId="0">
      <selection activeCell="E6" sqref="E6"/>
    </sheetView>
  </sheetViews>
  <sheetFormatPr defaultColWidth="9.1796875" defaultRowHeight="14.5" x14ac:dyDescent="0.35"/>
  <cols>
    <col min="1" max="1" width="9.1796875" style="1"/>
    <col min="2" max="2" width="66.453125" style="1" bestFit="1" customWidth="1"/>
    <col min="3" max="3" width="19.1796875" style="1" bestFit="1" customWidth="1"/>
    <col min="4" max="4" width="12.54296875" style="1" bestFit="1" customWidth="1"/>
    <col min="5" max="5" width="12.81640625" style="1" bestFit="1" customWidth="1"/>
    <col min="6" max="6" width="42.26953125" style="1" customWidth="1"/>
    <col min="7" max="7" width="66.453125" style="1" bestFit="1" customWidth="1"/>
    <col min="8" max="8" width="19.1796875" style="1" bestFit="1" customWidth="1"/>
    <col min="9" max="9" width="12.54296875" style="1" bestFit="1" customWidth="1"/>
    <col min="10" max="10" width="13.1796875" style="1" bestFit="1" customWidth="1"/>
    <col min="11" max="11" width="12.81640625" style="1" bestFit="1" customWidth="1"/>
    <col min="12" max="12" width="56.1796875" style="1" customWidth="1"/>
    <col min="13" max="13" width="9.1796875" style="1"/>
    <col min="14" max="14" width="20.54296875" style="1" customWidth="1"/>
    <col min="15" max="15" width="27.54296875" style="1" customWidth="1"/>
    <col min="16" max="16384" width="9.1796875" style="1"/>
  </cols>
  <sheetData>
    <row r="2" spans="2:15" x14ac:dyDescent="0.35">
      <c r="B2" s="392" t="s">
        <v>34</v>
      </c>
      <c r="C2" s="392"/>
      <c r="D2" s="392"/>
      <c r="E2" s="392"/>
      <c r="G2" s="392" t="s">
        <v>2</v>
      </c>
      <c r="H2" s="392"/>
      <c r="I2" s="392"/>
      <c r="J2" s="392"/>
      <c r="L2" s="392" t="s">
        <v>35</v>
      </c>
      <c r="M2" s="392"/>
      <c r="N2" s="392"/>
      <c r="O2" s="392"/>
    </row>
    <row r="4" spans="2:15" x14ac:dyDescent="0.35">
      <c r="B4" s="391" t="s">
        <v>36</v>
      </c>
      <c r="C4" s="391"/>
      <c r="D4" s="391"/>
      <c r="E4" s="391"/>
      <c r="F4" s="178" t="s">
        <v>182</v>
      </c>
      <c r="G4" s="391" t="s">
        <v>36</v>
      </c>
      <c r="H4" s="391"/>
      <c r="I4" s="391"/>
      <c r="J4" s="391"/>
      <c r="L4" s="391" t="s">
        <v>36</v>
      </c>
      <c r="M4" s="391"/>
      <c r="N4" s="391"/>
      <c r="O4" s="391"/>
    </row>
    <row r="5" spans="2:15" x14ac:dyDescent="0.35">
      <c r="B5" s="5" t="s">
        <v>37</v>
      </c>
      <c r="C5" s="5" t="s">
        <v>38</v>
      </c>
      <c r="D5" s="5" t="s">
        <v>18</v>
      </c>
      <c r="E5" s="33">
        <v>0</v>
      </c>
      <c r="F5" s="180" t="s">
        <v>183</v>
      </c>
      <c r="G5" s="5" t="s">
        <v>37</v>
      </c>
      <c r="H5" s="5" t="s">
        <v>38</v>
      </c>
      <c r="I5" s="5" t="s">
        <v>18</v>
      </c>
      <c r="J5" s="33">
        <v>0</v>
      </c>
      <c r="L5" s="5" t="s">
        <v>37</v>
      </c>
      <c r="M5" s="5" t="s">
        <v>38</v>
      </c>
      <c r="N5" s="5" t="s">
        <v>18</v>
      </c>
      <c r="O5" s="33">
        <v>0</v>
      </c>
    </row>
    <row r="6" spans="2:15" x14ac:dyDescent="0.35">
      <c r="B6" s="5" t="s">
        <v>39</v>
      </c>
      <c r="C6" s="5" t="s">
        <v>40</v>
      </c>
      <c r="D6" s="5"/>
      <c r="E6" s="34">
        <f>'VPA 129 PTDs'!P16</f>
        <v>1278120.5</v>
      </c>
      <c r="F6" s="180" t="s">
        <v>184</v>
      </c>
      <c r="G6" s="5" t="s">
        <v>39</v>
      </c>
      <c r="H6" s="5" t="s">
        <v>40</v>
      </c>
      <c r="I6" s="5"/>
      <c r="J6" s="34">
        <f>'VPA 129 PTDs'!M16</f>
        <v>108552.7</v>
      </c>
      <c r="L6" s="5" t="s">
        <v>39</v>
      </c>
      <c r="M6" s="5" t="s">
        <v>40</v>
      </c>
      <c r="N6" s="5"/>
      <c r="O6" s="34">
        <f>'VPA 129 PTDs'!O16</f>
        <v>1169567.7999999998</v>
      </c>
    </row>
    <row r="7" spans="2:15" x14ac:dyDescent="0.35">
      <c r="B7" s="5" t="s">
        <v>41</v>
      </c>
      <c r="C7" s="5" t="s">
        <v>42</v>
      </c>
      <c r="D7" s="5" t="s">
        <v>43</v>
      </c>
      <c r="E7" s="36">
        <f>'VPA 129 SDGs Calculations'!C6</f>
        <v>4.0000000000000002E-4</v>
      </c>
      <c r="F7" s="180" t="s">
        <v>185</v>
      </c>
      <c r="G7" s="5" t="s">
        <v>41</v>
      </c>
      <c r="H7" s="5" t="s">
        <v>42</v>
      </c>
      <c r="I7" s="5" t="s">
        <v>43</v>
      </c>
      <c r="J7" s="36">
        <f>E7</f>
        <v>4.0000000000000002E-4</v>
      </c>
      <c r="L7" s="5" t="s">
        <v>41</v>
      </c>
      <c r="M7" s="5" t="s">
        <v>42</v>
      </c>
      <c r="N7" s="5" t="s">
        <v>43</v>
      </c>
      <c r="O7" s="36">
        <f>J7</f>
        <v>4.0000000000000002E-4</v>
      </c>
    </row>
    <row r="8" spans="2:15" ht="28.5" customHeight="1" x14ac:dyDescent="0.35">
      <c r="B8" s="37" t="s">
        <v>44</v>
      </c>
      <c r="C8" s="5" t="s">
        <v>45</v>
      </c>
      <c r="D8" s="5" t="s">
        <v>46</v>
      </c>
      <c r="E8" s="33">
        <v>7.5</v>
      </c>
      <c r="F8" s="180" t="s">
        <v>186</v>
      </c>
      <c r="G8" s="37" t="s">
        <v>44</v>
      </c>
      <c r="H8" s="5" t="s">
        <v>45</v>
      </c>
      <c r="I8" s="5" t="s">
        <v>46</v>
      </c>
      <c r="J8" s="33">
        <v>7.5</v>
      </c>
      <c r="L8" s="37" t="s">
        <v>44</v>
      </c>
      <c r="M8" s="5" t="s">
        <v>45</v>
      </c>
      <c r="N8" s="5" t="s">
        <v>46</v>
      </c>
      <c r="O8" s="33">
        <v>7.5</v>
      </c>
    </row>
    <row r="9" spans="2:15" ht="24.75" customHeight="1" x14ac:dyDescent="0.35">
      <c r="B9" s="37" t="s">
        <v>47</v>
      </c>
      <c r="C9" s="5" t="s">
        <v>48</v>
      </c>
      <c r="D9" s="5" t="s">
        <v>46</v>
      </c>
      <c r="E9" s="33">
        <v>0</v>
      </c>
      <c r="F9" s="180" t="s">
        <v>187</v>
      </c>
      <c r="G9" s="37" t="s">
        <v>47</v>
      </c>
      <c r="H9" s="5" t="s">
        <v>48</v>
      </c>
      <c r="I9" s="5" t="s">
        <v>46</v>
      </c>
      <c r="J9" s="33">
        <v>0</v>
      </c>
      <c r="L9" s="37" t="s">
        <v>47</v>
      </c>
      <c r="M9" s="5" t="s">
        <v>48</v>
      </c>
      <c r="N9" s="5" t="s">
        <v>46</v>
      </c>
      <c r="O9" s="33">
        <v>0</v>
      </c>
    </row>
    <row r="10" spans="2:15" x14ac:dyDescent="0.35">
      <c r="B10" s="5" t="s">
        <v>49</v>
      </c>
      <c r="C10" s="5" t="s">
        <v>50</v>
      </c>
      <c r="D10" s="5" t="s">
        <v>51</v>
      </c>
      <c r="E10" s="38">
        <f>ROUNDDOWN((1-E5)*E6*E7*(E8+E9),0)</f>
        <v>3834</v>
      </c>
      <c r="F10" s="180"/>
      <c r="G10" s="5" t="s">
        <v>49</v>
      </c>
      <c r="H10" s="5" t="s">
        <v>50</v>
      </c>
      <c r="I10" s="5" t="s">
        <v>51</v>
      </c>
      <c r="J10" s="38">
        <f>ROUNDDOWN((1-J5)*J6*J7*(J8+J9),0)</f>
        <v>325</v>
      </c>
      <c r="L10" s="5" t="s">
        <v>49</v>
      </c>
      <c r="M10" s="5" t="s">
        <v>50</v>
      </c>
      <c r="N10" s="5" t="s">
        <v>51</v>
      </c>
      <c r="O10" s="38">
        <f>ROUNDDOWN((1-O5)*O6*O7*(O8+O9),0)</f>
        <v>3508</v>
      </c>
    </row>
    <row r="11" spans="2:15" x14ac:dyDescent="0.35">
      <c r="F11" s="179"/>
    </row>
    <row r="12" spans="2:15" x14ac:dyDescent="0.35">
      <c r="B12" s="391" t="s">
        <v>52</v>
      </c>
      <c r="C12" s="391"/>
      <c r="D12" s="391"/>
      <c r="E12" s="391"/>
      <c r="F12" s="179"/>
      <c r="G12" s="391" t="s">
        <v>52</v>
      </c>
      <c r="H12" s="391"/>
      <c r="I12" s="391"/>
      <c r="J12" s="391"/>
      <c r="L12" s="391" t="s">
        <v>52</v>
      </c>
      <c r="M12" s="391"/>
      <c r="N12" s="391"/>
      <c r="O12" s="391"/>
    </row>
    <row r="13" spans="2:15" x14ac:dyDescent="0.35">
      <c r="B13" s="5" t="s">
        <v>53</v>
      </c>
      <c r="C13" s="5" t="s">
        <v>38</v>
      </c>
      <c r="D13" s="5" t="s">
        <v>18</v>
      </c>
      <c r="E13" s="33">
        <f>E5</f>
        <v>0</v>
      </c>
      <c r="F13" s="180" t="s">
        <v>183</v>
      </c>
      <c r="G13" s="5" t="s">
        <v>53</v>
      </c>
      <c r="H13" s="5" t="s">
        <v>38</v>
      </c>
      <c r="I13" s="5" t="s">
        <v>18</v>
      </c>
      <c r="J13" s="33">
        <f>J5</f>
        <v>0</v>
      </c>
      <c r="L13" s="5" t="s">
        <v>53</v>
      </c>
      <c r="M13" s="5" t="s">
        <v>38</v>
      </c>
      <c r="N13" s="5" t="s">
        <v>18</v>
      </c>
      <c r="O13" s="33">
        <f>O5</f>
        <v>0</v>
      </c>
    </row>
    <row r="14" spans="2:15" x14ac:dyDescent="0.35">
      <c r="B14" s="5" t="s">
        <v>39</v>
      </c>
      <c r="C14" s="5" t="s">
        <v>40</v>
      </c>
      <c r="D14" s="5"/>
      <c r="E14" s="34">
        <f>E6</f>
        <v>1278120.5</v>
      </c>
      <c r="F14" s="180" t="s">
        <v>188</v>
      </c>
      <c r="G14" s="5" t="s">
        <v>39</v>
      </c>
      <c r="H14" s="5" t="s">
        <v>40</v>
      </c>
      <c r="I14" s="5"/>
      <c r="J14" s="34">
        <f>J6</f>
        <v>108552.7</v>
      </c>
      <c r="L14" s="5" t="s">
        <v>39</v>
      </c>
      <c r="M14" s="5" t="s">
        <v>40</v>
      </c>
      <c r="N14" s="5"/>
      <c r="O14" s="34">
        <f>O6</f>
        <v>1169567.7999999998</v>
      </c>
    </row>
    <row r="15" spans="2:15" x14ac:dyDescent="0.35">
      <c r="B15" s="5" t="s">
        <v>54</v>
      </c>
      <c r="C15" s="5" t="s">
        <v>55</v>
      </c>
      <c r="D15" s="5" t="s">
        <v>43</v>
      </c>
      <c r="E15" s="39">
        <f>E7</f>
        <v>4.0000000000000002E-4</v>
      </c>
      <c r="F15" s="180"/>
      <c r="G15" s="5" t="s">
        <v>54</v>
      </c>
      <c r="H15" s="5" t="s">
        <v>55</v>
      </c>
      <c r="I15" s="5" t="s">
        <v>43</v>
      </c>
      <c r="J15" s="39">
        <f>J7</f>
        <v>4.0000000000000002E-4</v>
      </c>
      <c r="L15" s="5" t="s">
        <v>54</v>
      </c>
      <c r="M15" s="5" t="s">
        <v>55</v>
      </c>
      <c r="N15" s="5" t="s">
        <v>43</v>
      </c>
      <c r="O15" s="39">
        <f>O7</f>
        <v>4.0000000000000002E-4</v>
      </c>
    </row>
    <row r="16" spans="2:15" x14ac:dyDescent="0.35">
      <c r="B16" s="5" t="s">
        <v>56</v>
      </c>
      <c r="C16" s="5" t="s">
        <v>48</v>
      </c>
      <c r="D16" s="5" t="s">
        <v>46</v>
      </c>
      <c r="E16" s="33">
        <v>0</v>
      </c>
      <c r="F16" s="180" t="s">
        <v>187</v>
      </c>
      <c r="G16" s="5" t="s">
        <v>56</v>
      </c>
      <c r="H16" s="5" t="s">
        <v>48</v>
      </c>
      <c r="I16" s="5" t="s">
        <v>46</v>
      </c>
      <c r="J16" s="33">
        <v>0</v>
      </c>
      <c r="L16" s="5" t="s">
        <v>56</v>
      </c>
      <c r="M16" s="5" t="s">
        <v>48</v>
      </c>
      <c r="N16" s="5" t="s">
        <v>46</v>
      </c>
      <c r="O16" s="33">
        <v>0</v>
      </c>
    </row>
    <row r="17" spans="2:15" x14ac:dyDescent="0.35">
      <c r="B17" s="5" t="s">
        <v>57</v>
      </c>
      <c r="C17" s="5" t="s">
        <v>58</v>
      </c>
      <c r="D17" s="5" t="s">
        <v>46</v>
      </c>
      <c r="E17" s="33">
        <v>0</v>
      </c>
      <c r="F17" s="180" t="s">
        <v>187</v>
      </c>
      <c r="G17" s="5" t="s">
        <v>57</v>
      </c>
      <c r="H17" s="5" t="s">
        <v>58</v>
      </c>
      <c r="I17" s="5" t="s">
        <v>46</v>
      </c>
      <c r="J17" s="33">
        <v>0</v>
      </c>
      <c r="L17" s="5" t="s">
        <v>57</v>
      </c>
      <c r="M17" s="5" t="s">
        <v>58</v>
      </c>
      <c r="N17" s="5" t="s">
        <v>46</v>
      </c>
      <c r="O17" s="33">
        <v>0</v>
      </c>
    </row>
    <row r="18" spans="2:15" x14ac:dyDescent="0.35">
      <c r="B18" s="5" t="s">
        <v>59</v>
      </c>
      <c r="C18" s="5" t="s">
        <v>60</v>
      </c>
      <c r="D18" s="5" t="s">
        <v>51</v>
      </c>
      <c r="E18" s="38">
        <f>ROUNDDOWN((1-E13)*E14*E15*(E16+E17),0)</f>
        <v>0</v>
      </c>
      <c r="F18" s="180"/>
      <c r="G18" s="5" t="s">
        <v>59</v>
      </c>
      <c r="H18" s="5" t="s">
        <v>60</v>
      </c>
      <c r="I18" s="5" t="s">
        <v>51</v>
      </c>
      <c r="J18" s="38">
        <f>ROUNDDOWN((1-J13)*J14*J15*(J16+J17),0)</f>
        <v>0</v>
      </c>
      <c r="L18" s="5" t="s">
        <v>59</v>
      </c>
      <c r="M18" s="5" t="s">
        <v>60</v>
      </c>
      <c r="N18" s="5" t="s">
        <v>51</v>
      </c>
      <c r="O18" s="38">
        <f>ROUNDDOWN((1-O13)*O14*O15*(O16+O17),0)</f>
        <v>0</v>
      </c>
    </row>
    <row r="19" spans="2:15" x14ac:dyDescent="0.35">
      <c r="F19" s="179"/>
    </row>
    <row r="20" spans="2:15" x14ac:dyDescent="0.35">
      <c r="B20" s="389" t="s">
        <v>61</v>
      </c>
      <c r="C20" s="387"/>
      <c r="D20" s="387"/>
      <c r="E20" s="390"/>
      <c r="F20" s="179"/>
      <c r="G20" s="389" t="s">
        <v>61</v>
      </c>
      <c r="H20" s="387"/>
      <c r="I20" s="387"/>
      <c r="J20" s="390"/>
      <c r="L20" s="389" t="s">
        <v>61</v>
      </c>
      <c r="M20" s="387"/>
      <c r="N20" s="387"/>
      <c r="O20" s="390"/>
    </row>
    <row r="21" spans="2:15" x14ac:dyDescent="0.35">
      <c r="B21" s="37" t="s">
        <v>62</v>
      </c>
      <c r="C21" s="5" t="s">
        <v>62</v>
      </c>
      <c r="D21" s="5" t="s">
        <v>63</v>
      </c>
      <c r="E21" s="40">
        <v>0.97</v>
      </c>
      <c r="F21" s="180" t="s">
        <v>189</v>
      </c>
      <c r="G21" s="37" t="s">
        <v>62</v>
      </c>
      <c r="H21" s="5" t="s">
        <v>62</v>
      </c>
      <c r="I21" s="5" t="s">
        <v>63</v>
      </c>
      <c r="J21" s="40">
        <v>0.97</v>
      </c>
      <c r="L21" s="37" t="s">
        <v>62</v>
      </c>
      <c r="M21" s="5" t="s">
        <v>62</v>
      </c>
      <c r="N21" s="5" t="s">
        <v>63</v>
      </c>
      <c r="O21" s="40">
        <v>0.97</v>
      </c>
    </row>
    <row r="22" spans="2:15" x14ac:dyDescent="0.35">
      <c r="B22" s="5" t="s">
        <v>64</v>
      </c>
      <c r="C22" s="5" t="s">
        <v>65</v>
      </c>
      <c r="D22" s="5" t="s">
        <v>66</v>
      </c>
      <c r="E22" s="33">
        <v>112</v>
      </c>
      <c r="F22" s="180" t="s">
        <v>189</v>
      </c>
      <c r="G22" s="5" t="s">
        <v>64</v>
      </c>
      <c r="H22" s="5" t="s">
        <v>65</v>
      </c>
      <c r="I22" s="5" t="s">
        <v>66</v>
      </c>
      <c r="J22" s="33">
        <v>112</v>
      </c>
      <c r="L22" s="5" t="s">
        <v>64</v>
      </c>
      <c r="M22" s="5" t="s">
        <v>65</v>
      </c>
      <c r="N22" s="5" t="s">
        <v>66</v>
      </c>
      <c r="O22" s="33">
        <v>112</v>
      </c>
    </row>
    <row r="23" spans="2:15" x14ac:dyDescent="0.35">
      <c r="B23" s="5" t="s">
        <v>67</v>
      </c>
      <c r="C23" s="5" t="s">
        <v>68</v>
      </c>
      <c r="D23" s="5" t="s">
        <v>69</v>
      </c>
      <c r="E23" s="33">
        <f>(J23*J6+O23*O6)/E6</f>
        <v>9.3947726027397245</v>
      </c>
      <c r="F23" s="180" t="s">
        <v>189</v>
      </c>
      <c r="G23" s="5" t="s">
        <v>67</v>
      </c>
      <c r="H23" s="5" t="s">
        <v>68</v>
      </c>
      <c r="I23" s="5" t="s">
        <v>69</v>
      </c>
      <c r="J23" s="33">
        <f>7.5+1.192</f>
        <v>8.6920000000000002</v>
      </c>
      <c r="L23" s="5" t="s">
        <v>67</v>
      </c>
      <c r="M23" s="5" t="s">
        <v>68</v>
      </c>
      <c r="N23" s="5" t="s">
        <v>69</v>
      </c>
      <c r="O23" s="33">
        <v>9.4600000000000009</v>
      </c>
    </row>
    <row r="24" spans="2:15" x14ac:dyDescent="0.35">
      <c r="B24" s="5" t="s">
        <v>70</v>
      </c>
      <c r="C24" s="5" t="s">
        <v>71</v>
      </c>
      <c r="D24" s="5" t="s">
        <v>72</v>
      </c>
      <c r="E24" s="33">
        <v>1.5599999999999999E-2</v>
      </c>
      <c r="F24" s="180" t="s">
        <v>189</v>
      </c>
      <c r="G24" s="5" t="s">
        <v>70</v>
      </c>
      <c r="H24" s="5" t="s">
        <v>71</v>
      </c>
      <c r="I24" s="5" t="s">
        <v>72</v>
      </c>
      <c r="J24" s="33">
        <v>1.5599999999999999E-2</v>
      </c>
      <c r="L24" s="5" t="s">
        <v>70</v>
      </c>
      <c r="M24" s="5" t="s">
        <v>71</v>
      </c>
      <c r="N24" s="5" t="s">
        <v>72</v>
      </c>
      <c r="O24" s="33">
        <v>1.5599999999999999E-2</v>
      </c>
    </row>
    <row r="25" spans="2:15" x14ac:dyDescent="0.35">
      <c r="F25" s="179"/>
    </row>
    <row r="26" spans="2:15" x14ac:dyDescent="0.35">
      <c r="B26" s="389" t="s">
        <v>4</v>
      </c>
      <c r="C26" s="387"/>
      <c r="D26" s="387"/>
      <c r="E26" s="390"/>
      <c r="F26" s="179"/>
      <c r="G26" s="389" t="s">
        <v>4</v>
      </c>
      <c r="H26" s="387"/>
      <c r="I26" s="387"/>
      <c r="J26" s="390"/>
      <c r="L26" s="389" t="s">
        <v>4</v>
      </c>
      <c r="M26" s="387"/>
      <c r="N26" s="387"/>
      <c r="O26" s="390"/>
    </row>
    <row r="27" spans="2:15" x14ac:dyDescent="0.35">
      <c r="B27" s="5" t="s">
        <v>11</v>
      </c>
      <c r="C27" s="5" t="s">
        <v>12</v>
      </c>
      <c r="D27" s="5" t="s">
        <v>13</v>
      </c>
      <c r="E27" s="41">
        <f>ROUNDDOWN(E10*((E22*E21)+E23)*E24,0)</f>
        <v>7059</v>
      </c>
      <c r="F27" s="180"/>
      <c r="G27" s="5" t="s">
        <v>11</v>
      </c>
      <c r="H27" s="5" t="s">
        <v>12</v>
      </c>
      <c r="I27" s="5" t="s">
        <v>13</v>
      </c>
      <c r="J27" s="41">
        <f>ROUNDDOWN(J10*((J22*J21)+J23)*J24,0)</f>
        <v>594</v>
      </c>
      <c r="L27" s="5" t="s">
        <v>11</v>
      </c>
      <c r="M27" s="5" t="s">
        <v>12</v>
      </c>
      <c r="N27" s="5" t="s">
        <v>13</v>
      </c>
      <c r="O27" s="41">
        <f>ROUNDDOWN(O10*((O22*O21)+O23)*O24,0)</f>
        <v>6462</v>
      </c>
    </row>
    <row r="28" spans="2:15" x14ac:dyDescent="0.35">
      <c r="B28" s="5" t="s">
        <v>14</v>
      </c>
      <c r="C28" s="5" t="s">
        <v>15</v>
      </c>
      <c r="D28" s="5" t="s">
        <v>13</v>
      </c>
      <c r="E28" s="41">
        <f>E18*((E22*E21)+E23)*E24</f>
        <v>0</v>
      </c>
      <c r="F28" s="180"/>
      <c r="G28" s="5" t="s">
        <v>14</v>
      </c>
      <c r="H28" s="5" t="s">
        <v>15</v>
      </c>
      <c r="I28" s="5" t="s">
        <v>13</v>
      </c>
      <c r="J28" s="41">
        <f>J18*((J22*J21)+J23)*J24</f>
        <v>0</v>
      </c>
      <c r="L28" s="5" t="s">
        <v>14</v>
      </c>
      <c r="M28" s="5" t="s">
        <v>15</v>
      </c>
      <c r="N28" s="5" t="s">
        <v>13</v>
      </c>
      <c r="O28" s="41">
        <f>O18*((O22*O21)+O23)*O24</f>
        <v>0</v>
      </c>
    </row>
    <row r="29" spans="2:15" x14ac:dyDescent="0.35">
      <c r="B29" s="5" t="s">
        <v>16</v>
      </c>
      <c r="C29" s="5" t="s">
        <v>17</v>
      </c>
      <c r="D29" s="5" t="s">
        <v>18</v>
      </c>
      <c r="E29" s="44">
        <f>'VPA 129 SDGs Calculations'!C20</f>
        <v>0.92269999999999996</v>
      </c>
      <c r="F29" s="180" t="s">
        <v>301</v>
      </c>
      <c r="G29" s="5" t="s">
        <v>16</v>
      </c>
      <c r="H29" s="5" t="s">
        <v>17</v>
      </c>
      <c r="I29" s="5" t="s">
        <v>18</v>
      </c>
      <c r="J29" s="33">
        <f>E29</f>
        <v>0.92269999999999996</v>
      </c>
      <c r="L29" s="5" t="s">
        <v>16</v>
      </c>
      <c r="M29" s="5" t="s">
        <v>17</v>
      </c>
      <c r="N29" s="5" t="s">
        <v>18</v>
      </c>
      <c r="O29" s="33">
        <f>J29</f>
        <v>0.92269999999999996</v>
      </c>
    </row>
    <row r="30" spans="2:15" x14ac:dyDescent="0.35">
      <c r="B30" s="5" t="s">
        <v>19</v>
      </c>
      <c r="C30" s="5" t="s">
        <v>20</v>
      </c>
      <c r="D30" s="5" t="s">
        <v>13</v>
      </c>
      <c r="E30" s="33">
        <v>0</v>
      </c>
      <c r="F30" s="180" t="s">
        <v>191</v>
      </c>
      <c r="G30" s="5" t="s">
        <v>19</v>
      </c>
      <c r="H30" s="5" t="s">
        <v>20</v>
      </c>
      <c r="I30" s="5" t="s">
        <v>13</v>
      </c>
      <c r="J30" s="33">
        <v>0</v>
      </c>
      <c r="L30" s="5" t="s">
        <v>19</v>
      </c>
      <c r="M30" s="5" t="s">
        <v>20</v>
      </c>
      <c r="N30" s="5" t="s">
        <v>13</v>
      </c>
      <c r="O30" s="33">
        <v>0</v>
      </c>
    </row>
    <row r="31" spans="2:15" x14ac:dyDescent="0.35">
      <c r="B31" s="5" t="s">
        <v>34</v>
      </c>
      <c r="C31" s="5" t="s">
        <v>22</v>
      </c>
      <c r="D31" s="5" t="s">
        <v>13</v>
      </c>
      <c r="E31" s="38">
        <f>ROUNDDOWN(((E27-E28)*E29)-E30,0)</f>
        <v>6513</v>
      </c>
      <c r="F31" s="180"/>
      <c r="G31" s="5" t="s">
        <v>34</v>
      </c>
      <c r="H31" s="5" t="s">
        <v>22</v>
      </c>
      <c r="I31" s="5" t="s">
        <v>13</v>
      </c>
      <c r="J31" s="38">
        <f>((J27-J28)*J29)-J30</f>
        <v>548.0838</v>
      </c>
      <c r="L31" s="5" t="s">
        <v>34</v>
      </c>
      <c r="M31" s="5" t="s">
        <v>22</v>
      </c>
      <c r="N31" s="5" t="s">
        <v>13</v>
      </c>
      <c r="O31" s="38">
        <f>((O27-O28)*O29)-O30</f>
        <v>5962.4874</v>
      </c>
    </row>
    <row r="32" spans="2:15" x14ac:dyDescent="0.35">
      <c r="D32" s="42"/>
      <c r="F32" s="179"/>
      <c r="I32" s="42"/>
      <c r="N32" s="42"/>
    </row>
    <row r="33" spans="2:15" x14ac:dyDescent="0.35">
      <c r="B33" s="389" t="s">
        <v>24</v>
      </c>
      <c r="C33" s="387"/>
      <c r="D33" s="387"/>
      <c r="E33" s="390"/>
      <c r="F33" s="179"/>
      <c r="G33" s="389" t="s">
        <v>24</v>
      </c>
      <c r="H33" s="387"/>
      <c r="I33" s="387"/>
      <c r="J33" s="390"/>
      <c r="L33" s="389" t="s">
        <v>24</v>
      </c>
      <c r="M33" s="387"/>
      <c r="N33" s="387"/>
      <c r="O33" s="390"/>
    </row>
    <row r="34" spans="2:15" x14ac:dyDescent="0.35">
      <c r="B34" s="43" t="s">
        <v>25</v>
      </c>
      <c r="C34" s="5"/>
      <c r="D34" s="23"/>
      <c r="E34" s="44">
        <v>0.98</v>
      </c>
      <c r="F34" s="180" t="s">
        <v>183</v>
      </c>
      <c r="G34" s="43" t="s">
        <v>25</v>
      </c>
      <c r="H34" s="5"/>
      <c r="I34" s="23"/>
      <c r="J34" s="44">
        <f>E34</f>
        <v>0.98</v>
      </c>
      <c r="L34" s="43" t="s">
        <v>25</v>
      </c>
      <c r="M34" s="5"/>
      <c r="N34" s="23"/>
      <c r="O34" s="44">
        <f>J34</f>
        <v>0.98</v>
      </c>
    </row>
    <row r="35" spans="2:15" x14ac:dyDescent="0.35">
      <c r="B35" s="43" t="s">
        <v>26</v>
      </c>
      <c r="C35" s="5" t="s">
        <v>27</v>
      </c>
      <c r="D35" s="23" t="s">
        <v>28</v>
      </c>
      <c r="E35" s="44">
        <f>1-E34</f>
        <v>2.0000000000000018E-2</v>
      </c>
      <c r="F35" s="180" t="s">
        <v>183</v>
      </c>
      <c r="G35" s="43" t="s">
        <v>26</v>
      </c>
      <c r="H35" s="5" t="s">
        <v>27</v>
      </c>
      <c r="I35" s="23" t="s">
        <v>28</v>
      </c>
      <c r="J35" s="44">
        <f>E35</f>
        <v>2.0000000000000018E-2</v>
      </c>
      <c r="L35" s="43" t="s">
        <v>26</v>
      </c>
      <c r="M35" s="5" t="s">
        <v>27</v>
      </c>
      <c r="N35" s="23" t="s">
        <v>28</v>
      </c>
      <c r="O35" s="44">
        <f>J35</f>
        <v>2.0000000000000018E-2</v>
      </c>
    </row>
    <row r="36" spans="2:15" x14ac:dyDescent="0.35">
      <c r="B36" s="45" t="s">
        <v>73</v>
      </c>
      <c r="C36" s="46" t="s">
        <v>22</v>
      </c>
      <c r="D36" s="47" t="s">
        <v>13</v>
      </c>
      <c r="E36" s="48">
        <f>ROUNDDOWN(E31*(1-E35),0)</f>
        <v>6382</v>
      </c>
      <c r="G36" s="45" t="s">
        <v>73</v>
      </c>
      <c r="H36" s="46" t="s">
        <v>22</v>
      </c>
      <c r="I36" s="47" t="s">
        <v>13</v>
      </c>
      <c r="J36" s="48">
        <f>ROUNDDOWN(J31*(1-J35),0)</f>
        <v>537</v>
      </c>
      <c r="L36" s="45" t="s">
        <v>73</v>
      </c>
      <c r="M36" s="46" t="s">
        <v>22</v>
      </c>
      <c r="N36" s="47" t="s">
        <v>13</v>
      </c>
      <c r="O36" s="48">
        <f>ROUNDDOWN(O31*(1-O35),0)</f>
        <v>5843</v>
      </c>
    </row>
    <row r="38" spans="2:15" x14ac:dyDescent="0.35">
      <c r="B38" s="45" t="s">
        <v>74</v>
      </c>
      <c r="C38" s="46"/>
      <c r="D38" s="47" t="s">
        <v>13</v>
      </c>
      <c r="E38" s="48">
        <f>J38+O38</f>
        <v>6380</v>
      </c>
      <c r="G38" s="45" t="s">
        <v>74</v>
      </c>
      <c r="H38" s="46"/>
      <c r="I38" s="47" t="s">
        <v>13</v>
      </c>
      <c r="J38" s="48">
        <f>IF(J36&gt;10000,((10000/$E$6)*J6),J36)</f>
        <v>537</v>
      </c>
      <c r="L38" s="45" t="s">
        <v>74</v>
      </c>
      <c r="M38" s="46"/>
      <c r="N38" s="47" t="s">
        <v>13</v>
      </c>
      <c r="O38" s="48">
        <f>IF(O36&gt;10000,((10000/$E$6)*O6),O36)</f>
        <v>5843</v>
      </c>
    </row>
    <row r="40" spans="2:15" x14ac:dyDescent="0.35">
      <c r="B40"/>
      <c r="G40" t="s">
        <v>75</v>
      </c>
    </row>
    <row r="42" spans="2:15" x14ac:dyDescent="0.35">
      <c r="G42" s="11"/>
    </row>
    <row r="43" spans="2:15" x14ac:dyDescent="0.35">
      <c r="G43" s="11"/>
      <c r="H43" s="11"/>
    </row>
    <row r="44" spans="2:15" x14ac:dyDescent="0.35">
      <c r="G44" s="11"/>
    </row>
    <row r="46" spans="2:15" x14ac:dyDescent="0.35">
      <c r="G46" s="35"/>
    </row>
    <row r="47" spans="2:15" x14ac:dyDescent="0.35">
      <c r="K47" s="35"/>
    </row>
  </sheetData>
  <mergeCells count="18">
    <mergeCell ref="B2:E2"/>
    <mergeCell ref="G2:J2"/>
    <mergeCell ref="L2:O2"/>
    <mergeCell ref="B4:E4"/>
    <mergeCell ref="G4:J4"/>
    <mergeCell ref="L4:O4"/>
    <mergeCell ref="B12:E12"/>
    <mergeCell ref="G12:J12"/>
    <mergeCell ref="L12:O12"/>
    <mergeCell ref="B20:E20"/>
    <mergeCell ref="G20:J20"/>
    <mergeCell ref="L20:O20"/>
    <mergeCell ref="B26:E26"/>
    <mergeCell ref="G26:J26"/>
    <mergeCell ref="L26:O26"/>
    <mergeCell ref="B33:E33"/>
    <mergeCell ref="G33:J33"/>
    <mergeCell ref="L33:O33"/>
  </mergeCells>
  <pageMargins left="0.7" right="0.7" top="0.75" bottom="0.75" header="0.3" footer="0.3"/>
  <pageSetup paperSize="9" orientation="portrait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9575E-AEF5-4B26-B5EE-B03EABEFFCBC}">
  <dimension ref="B1:Q40"/>
  <sheetViews>
    <sheetView topLeftCell="A5" zoomScale="60" zoomScaleNormal="60" workbookViewId="0">
      <selection activeCell="C29" sqref="C29"/>
    </sheetView>
  </sheetViews>
  <sheetFormatPr defaultColWidth="9.1796875" defaultRowHeight="14.5" x14ac:dyDescent="0.35"/>
  <cols>
    <col min="1" max="1" width="9.1796875" style="1"/>
    <col min="2" max="2" width="36.54296875" style="1" bestFit="1" customWidth="1"/>
    <col min="3" max="3" width="20.1796875" style="1" customWidth="1"/>
    <col min="4" max="4" width="17.26953125" style="1" bestFit="1" customWidth="1"/>
    <col min="5" max="5" width="17.7265625" style="1" customWidth="1"/>
    <col min="6" max="6" width="18.26953125" style="1" customWidth="1"/>
    <col min="7" max="7" width="20.54296875" style="1" customWidth="1"/>
    <col min="8" max="8" width="10.81640625" style="1" bestFit="1" customWidth="1"/>
    <col min="9" max="9" width="14.453125" style="1" bestFit="1" customWidth="1"/>
    <col min="10" max="10" width="18.453125" style="1" customWidth="1"/>
    <col min="11" max="11" width="3.453125" style="1" customWidth="1"/>
    <col min="12" max="12" width="18.7265625" style="1" customWidth="1"/>
    <col min="13" max="13" width="18.81640625" style="1" customWidth="1"/>
    <col min="14" max="14" width="11.7265625" style="1" customWidth="1"/>
    <col min="15" max="15" width="15.26953125" style="1" customWidth="1"/>
    <col min="16" max="16" width="16.7265625" style="1" customWidth="1"/>
    <col min="17" max="16384" width="9.1796875" style="1"/>
  </cols>
  <sheetData>
    <row r="1" spans="2:16" ht="15" thickBot="1" x14ac:dyDescent="0.4">
      <c r="L1" s="487">
        <v>2020</v>
      </c>
      <c r="M1" s="488"/>
      <c r="N1" s="487">
        <v>2021</v>
      </c>
      <c r="O1" s="488"/>
    </row>
    <row r="2" spans="2:16" ht="29.5" thickBot="1" x14ac:dyDescent="0.4">
      <c r="B2" s="50" t="s">
        <v>76</v>
      </c>
      <c r="C2" s="51" t="s">
        <v>77</v>
      </c>
      <c r="D2" s="51" t="s">
        <v>78</v>
      </c>
      <c r="E2" s="51" t="s">
        <v>79</v>
      </c>
      <c r="F2" s="51" t="s">
        <v>80</v>
      </c>
      <c r="G2" s="51" t="s">
        <v>81</v>
      </c>
      <c r="H2" s="51" t="s">
        <v>82</v>
      </c>
      <c r="I2" s="52" t="s">
        <v>83</v>
      </c>
      <c r="J2" s="242" t="s">
        <v>84</v>
      </c>
      <c r="L2" s="243" t="s">
        <v>192</v>
      </c>
      <c r="M2" s="244" t="s">
        <v>86</v>
      </c>
      <c r="N2" s="245" t="s">
        <v>192</v>
      </c>
      <c r="O2" s="244" t="s">
        <v>86</v>
      </c>
      <c r="P2" s="246" t="s">
        <v>88</v>
      </c>
    </row>
    <row r="3" spans="2:16" ht="15" customHeight="1" x14ac:dyDescent="0.35">
      <c r="B3" s="396" t="s">
        <v>327</v>
      </c>
      <c r="C3" s="71" t="s">
        <v>328</v>
      </c>
      <c r="D3" s="71" t="s">
        <v>329</v>
      </c>
      <c r="E3" s="58">
        <v>15.695650000000001</v>
      </c>
      <c r="F3" s="58">
        <v>38.708269999999999</v>
      </c>
      <c r="G3" s="61">
        <v>43878</v>
      </c>
      <c r="H3" s="225">
        <v>101</v>
      </c>
      <c r="I3" s="247">
        <v>600</v>
      </c>
      <c r="J3" s="207">
        <v>300</v>
      </c>
      <c r="L3" s="79">
        <f>G25</f>
        <v>29.45</v>
      </c>
      <c r="M3" s="248">
        <f>G25*J3</f>
        <v>8835</v>
      </c>
      <c r="N3" s="249">
        <f>G26</f>
        <v>317.3</v>
      </c>
      <c r="O3" s="250">
        <f>N3*J3</f>
        <v>95190</v>
      </c>
      <c r="P3" s="184">
        <f>M3+O3</f>
        <v>104025</v>
      </c>
    </row>
    <row r="4" spans="2:16" ht="15.5" x14ac:dyDescent="0.35">
      <c r="B4" s="396"/>
      <c r="C4" s="71" t="s">
        <v>330</v>
      </c>
      <c r="D4" s="71" t="s">
        <v>331</v>
      </c>
      <c r="E4" s="58">
        <v>15.67422</v>
      </c>
      <c r="F4" s="58">
        <v>38.47146</v>
      </c>
      <c r="G4" s="61">
        <v>43880</v>
      </c>
      <c r="H4" s="225">
        <v>57</v>
      </c>
      <c r="I4" s="247">
        <v>262</v>
      </c>
      <c r="J4" s="207">
        <f t="shared" ref="J4:J12" si="0">I4</f>
        <v>262</v>
      </c>
      <c r="L4" s="79">
        <f>G25</f>
        <v>29.45</v>
      </c>
      <c r="M4" s="248">
        <f>G25*J4</f>
        <v>7715.9</v>
      </c>
      <c r="N4" s="249">
        <f>G26</f>
        <v>317.3</v>
      </c>
      <c r="O4" s="250">
        <f t="shared" ref="O4:O15" si="1">N4*J4</f>
        <v>83132.600000000006</v>
      </c>
      <c r="P4" s="184">
        <f t="shared" ref="P4:P15" si="2">M4+O4</f>
        <v>90848.5</v>
      </c>
    </row>
    <row r="5" spans="2:16" ht="15.5" x14ac:dyDescent="0.35">
      <c r="B5" s="396"/>
      <c r="C5" s="71" t="s">
        <v>332</v>
      </c>
      <c r="D5" s="71" t="s">
        <v>333</v>
      </c>
      <c r="E5" s="58">
        <v>15.881600000000001</v>
      </c>
      <c r="F5" s="58">
        <v>38.369619999999998</v>
      </c>
      <c r="G5" s="61">
        <v>43881</v>
      </c>
      <c r="H5" s="225">
        <v>461</v>
      </c>
      <c r="I5" s="247">
        <v>1935</v>
      </c>
      <c r="J5" s="207">
        <v>300</v>
      </c>
      <c r="L5" s="79">
        <f>G25</f>
        <v>29.45</v>
      </c>
      <c r="M5" s="248">
        <f>G25*J5</f>
        <v>8835</v>
      </c>
      <c r="N5" s="249">
        <f>G26</f>
        <v>317.3</v>
      </c>
      <c r="O5" s="250">
        <f t="shared" si="1"/>
        <v>95190</v>
      </c>
      <c r="P5" s="184">
        <f t="shared" si="2"/>
        <v>104025</v>
      </c>
    </row>
    <row r="6" spans="2:16" ht="15.5" x14ac:dyDescent="0.35">
      <c r="B6" s="396"/>
      <c r="C6" s="71" t="s">
        <v>334</v>
      </c>
      <c r="D6" s="71" t="s">
        <v>335</v>
      </c>
      <c r="E6" s="58">
        <v>15.863099999999999</v>
      </c>
      <c r="F6" s="58">
        <v>38.378059999999998</v>
      </c>
      <c r="G6" s="61">
        <v>43881</v>
      </c>
      <c r="H6" s="225">
        <v>170</v>
      </c>
      <c r="I6" s="247">
        <v>745</v>
      </c>
      <c r="J6" s="207">
        <v>300</v>
      </c>
      <c r="L6" s="79">
        <f>G25</f>
        <v>29.45</v>
      </c>
      <c r="M6" s="248">
        <f>G25*J6</f>
        <v>8835</v>
      </c>
      <c r="N6" s="249">
        <f>G26</f>
        <v>317.3</v>
      </c>
      <c r="O6" s="250">
        <f t="shared" si="1"/>
        <v>95190</v>
      </c>
      <c r="P6" s="184">
        <f t="shared" si="2"/>
        <v>104025</v>
      </c>
    </row>
    <row r="7" spans="2:16" ht="15.5" x14ac:dyDescent="0.35">
      <c r="B7" s="396"/>
      <c r="C7" s="58" t="s">
        <v>336</v>
      </c>
      <c r="D7" s="71" t="s">
        <v>337</v>
      </c>
      <c r="E7" s="58">
        <v>15.825900000000001</v>
      </c>
      <c r="F7" s="58">
        <v>38.753149999999998</v>
      </c>
      <c r="G7" s="61">
        <v>43886</v>
      </c>
      <c r="H7" s="251">
        <v>50</v>
      </c>
      <c r="I7" s="247">
        <v>250</v>
      </c>
      <c r="J7" s="207">
        <f t="shared" si="0"/>
        <v>250</v>
      </c>
      <c r="L7" s="79">
        <f>G25</f>
        <v>29.45</v>
      </c>
      <c r="M7" s="248">
        <f>G25*J7</f>
        <v>7362.5</v>
      </c>
      <c r="N7" s="249">
        <f>G26</f>
        <v>317.3</v>
      </c>
      <c r="O7" s="250">
        <f t="shared" si="1"/>
        <v>79325</v>
      </c>
      <c r="P7" s="184">
        <f t="shared" si="2"/>
        <v>86687.5</v>
      </c>
    </row>
    <row r="8" spans="2:16" ht="15.5" x14ac:dyDescent="0.35">
      <c r="B8" s="396"/>
      <c r="C8" s="71" t="s">
        <v>338</v>
      </c>
      <c r="D8" s="71" t="s">
        <v>339</v>
      </c>
      <c r="E8" s="58">
        <v>15.72878</v>
      </c>
      <c r="F8" s="58">
        <v>38.464329999999997</v>
      </c>
      <c r="G8" s="61">
        <v>43887</v>
      </c>
      <c r="H8" s="225">
        <v>100</v>
      </c>
      <c r="I8" s="224">
        <v>470</v>
      </c>
      <c r="J8" s="207">
        <v>300</v>
      </c>
      <c r="L8" s="79">
        <f>G25</f>
        <v>29.45</v>
      </c>
      <c r="M8" s="248">
        <f>G25*J8</f>
        <v>8835</v>
      </c>
      <c r="N8" s="249">
        <f>G26</f>
        <v>317.3</v>
      </c>
      <c r="O8" s="250">
        <f t="shared" si="1"/>
        <v>95190</v>
      </c>
      <c r="P8" s="184">
        <f t="shared" si="2"/>
        <v>104025</v>
      </c>
    </row>
    <row r="9" spans="2:16" ht="15.5" x14ac:dyDescent="0.35">
      <c r="B9" s="396"/>
      <c r="C9" s="71" t="s">
        <v>340</v>
      </c>
      <c r="D9" s="71" t="s">
        <v>341</v>
      </c>
      <c r="E9" s="58">
        <v>15.801880000000001</v>
      </c>
      <c r="F9" s="58">
        <v>38.561079999999997</v>
      </c>
      <c r="G9" s="61">
        <v>43887</v>
      </c>
      <c r="H9" s="225">
        <v>143</v>
      </c>
      <c r="I9" s="247">
        <v>709</v>
      </c>
      <c r="J9" s="207">
        <v>300</v>
      </c>
      <c r="L9" s="79">
        <f>G25</f>
        <v>29.45</v>
      </c>
      <c r="M9" s="248">
        <f>G25*J9</f>
        <v>8835</v>
      </c>
      <c r="N9" s="249">
        <f>G26</f>
        <v>317.3</v>
      </c>
      <c r="O9" s="250">
        <f t="shared" si="1"/>
        <v>95190</v>
      </c>
      <c r="P9" s="184">
        <f t="shared" si="2"/>
        <v>104025</v>
      </c>
    </row>
    <row r="10" spans="2:16" ht="15.5" x14ac:dyDescent="0.35">
      <c r="B10" s="396"/>
      <c r="C10" s="71" t="s">
        <v>342</v>
      </c>
      <c r="D10" s="71" t="s">
        <v>343</v>
      </c>
      <c r="E10" s="58">
        <v>15.73324</v>
      </c>
      <c r="F10" s="58">
        <v>38.326819999999998</v>
      </c>
      <c r="G10" s="61">
        <v>43889</v>
      </c>
      <c r="H10" s="225">
        <v>300</v>
      </c>
      <c r="I10" s="247">
        <v>1570</v>
      </c>
      <c r="J10" s="207">
        <v>300</v>
      </c>
      <c r="L10" s="79">
        <f>G25</f>
        <v>29.45</v>
      </c>
      <c r="M10" s="248">
        <f>G25*J10</f>
        <v>8835</v>
      </c>
      <c r="N10" s="249">
        <f>G26</f>
        <v>317.3</v>
      </c>
      <c r="O10" s="250">
        <f t="shared" si="1"/>
        <v>95190</v>
      </c>
      <c r="P10" s="184">
        <f t="shared" si="2"/>
        <v>104025</v>
      </c>
    </row>
    <row r="11" spans="2:16" ht="15.5" x14ac:dyDescent="0.35">
      <c r="B11" s="396"/>
      <c r="C11" s="71" t="s">
        <v>344</v>
      </c>
      <c r="D11" s="71" t="s">
        <v>345</v>
      </c>
      <c r="E11" s="58">
        <v>15.93877</v>
      </c>
      <c r="F11" s="58">
        <v>38.279809999999998</v>
      </c>
      <c r="G11" s="61">
        <v>43895</v>
      </c>
      <c r="H11" s="225">
        <v>228</v>
      </c>
      <c r="I11" s="247">
        <v>1800</v>
      </c>
      <c r="J11" s="207">
        <v>300</v>
      </c>
      <c r="L11" s="79">
        <f>G25</f>
        <v>29.45</v>
      </c>
      <c r="M11" s="248">
        <f>G25*J11</f>
        <v>8835</v>
      </c>
      <c r="N11" s="249">
        <f>G26</f>
        <v>317.3</v>
      </c>
      <c r="O11" s="250">
        <f t="shared" si="1"/>
        <v>95190</v>
      </c>
      <c r="P11" s="184">
        <f t="shared" si="2"/>
        <v>104025</v>
      </c>
    </row>
    <row r="12" spans="2:16" ht="15.5" x14ac:dyDescent="0.35">
      <c r="B12" s="396"/>
      <c r="C12" s="71" t="s">
        <v>346</v>
      </c>
      <c r="D12" s="71" t="s">
        <v>347</v>
      </c>
      <c r="E12" s="58">
        <v>15.73264</v>
      </c>
      <c r="F12" s="58">
        <v>38.607120000000002</v>
      </c>
      <c r="G12" s="61">
        <v>43901</v>
      </c>
      <c r="H12" s="225">
        <v>43</v>
      </c>
      <c r="I12" s="247">
        <v>201</v>
      </c>
      <c r="J12" s="207">
        <f t="shared" si="0"/>
        <v>201</v>
      </c>
      <c r="L12" s="79">
        <f>G25</f>
        <v>29.45</v>
      </c>
      <c r="M12" s="248">
        <f>G25*J12</f>
        <v>5919.45</v>
      </c>
      <c r="N12" s="249">
        <f>G26</f>
        <v>317.3</v>
      </c>
      <c r="O12" s="250">
        <f>N12*J12</f>
        <v>63777.3</v>
      </c>
      <c r="P12" s="184">
        <f t="shared" si="2"/>
        <v>69696.75</v>
      </c>
    </row>
    <row r="13" spans="2:16" ht="15.5" x14ac:dyDescent="0.35">
      <c r="B13" s="396"/>
      <c r="C13" s="71" t="s">
        <v>348</v>
      </c>
      <c r="D13" s="71" t="s">
        <v>349</v>
      </c>
      <c r="E13" s="58">
        <v>15.752370000000001</v>
      </c>
      <c r="F13" s="58">
        <v>38.468879999999999</v>
      </c>
      <c r="G13" s="61">
        <v>43904</v>
      </c>
      <c r="H13" s="225">
        <v>170</v>
      </c>
      <c r="I13" s="210">
        <v>745</v>
      </c>
      <c r="J13" s="207">
        <v>300</v>
      </c>
      <c r="L13" s="79">
        <f>G25</f>
        <v>29.45</v>
      </c>
      <c r="M13" s="248">
        <f>G25*J13</f>
        <v>8835</v>
      </c>
      <c r="N13" s="249">
        <f>G26</f>
        <v>317.3</v>
      </c>
      <c r="O13" s="250">
        <f t="shared" si="1"/>
        <v>95190</v>
      </c>
      <c r="P13" s="184">
        <f t="shared" si="2"/>
        <v>104025</v>
      </c>
    </row>
    <row r="14" spans="2:16" ht="15.5" x14ac:dyDescent="0.35">
      <c r="B14" s="396"/>
      <c r="C14" s="71" t="s">
        <v>350</v>
      </c>
      <c r="D14" s="71" t="s">
        <v>351</v>
      </c>
      <c r="E14" s="58">
        <v>15.86134</v>
      </c>
      <c r="F14" s="58">
        <v>38.384720000000002</v>
      </c>
      <c r="G14" s="61">
        <v>43906</v>
      </c>
      <c r="H14" s="225">
        <v>64</v>
      </c>
      <c r="I14" s="210">
        <v>345</v>
      </c>
      <c r="J14" s="207">
        <v>300</v>
      </c>
      <c r="L14" s="79">
        <f>G25</f>
        <v>29.45</v>
      </c>
      <c r="M14" s="248">
        <f>G25*J14</f>
        <v>8835</v>
      </c>
      <c r="N14" s="249">
        <f>G26</f>
        <v>317.3</v>
      </c>
      <c r="O14" s="250">
        <f t="shared" si="1"/>
        <v>95190</v>
      </c>
      <c r="P14" s="184">
        <f t="shared" si="2"/>
        <v>104025</v>
      </c>
    </row>
    <row r="15" spans="2:16" ht="16" thickBot="1" x14ac:dyDescent="0.4">
      <c r="B15" s="396"/>
      <c r="C15" s="71" t="s">
        <v>352</v>
      </c>
      <c r="D15" s="71" t="s">
        <v>353</v>
      </c>
      <c r="E15" s="58">
        <v>15.861330000000001</v>
      </c>
      <c r="F15" s="58">
        <v>38.38485</v>
      </c>
      <c r="G15" s="61">
        <v>43907</v>
      </c>
      <c r="H15" s="225">
        <v>59</v>
      </c>
      <c r="I15" s="252">
        <v>273</v>
      </c>
      <c r="J15" s="212">
        <v>273</v>
      </c>
      <c r="L15" s="79">
        <f>G25</f>
        <v>29.45</v>
      </c>
      <c r="M15" s="248">
        <f>G25*J15</f>
        <v>8039.8499999999995</v>
      </c>
      <c r="N15" s="249">
        <f>G26</f>
        <v>317.3</v>
      </c>
      <c r="O15" s="250">
        <f t="shared" si="1"/>
        <v>86622.900000000009</v>
      </c>
      <c r="P15" s="184">
        <f t="shared" si="2"/>
        <v>94662.750000000015</v>
      </c>
    </row>
    <row r="16" spans="2:16" ht="15" thickBot="1" x14ac:dyDescent="0.4">
      <c r="B16" s="75"/>
      <c r="G16" s="76"/>
      <c r="H16" s="77" t="s">
        <v>23</v>
      </c>
      <c r="I16" s="213">
        <f>SUM(I3:I15)</f>
        <v>9905</v>
      </c>
      <c r="J16" s="253">
        <f>SUM(J3:J15)</f>
        <v>3686</v>
      </c>
      <c r="L16" s="254" t="s">
        <v>125</v>
      </c>
      <c r="M16" s="152">
        <f>SUM(M3:M15)</f>
        <v>108552.7</v>
      </c>
      <c r="N16" s="152" t="s">
        <v>125</v>
      </c>
      <c r="O16" s="152">
        <f>SUM(O3:O15)</f>
        <v>1169567.7999999998</v>
      </c>
      <c r="P16" s="185">
        <f>SUM(P3:P15)</f>
        <v>1278120.5</v>
      </c>
    </row>
    <row r="17" spans="2:16" ht="15" customHeight="1" thickBot="1" x14ac:dyDescent="0.4">
      <c r="C17" s="153" t="s">
        <v>223</v>
      </c>
      <c r="G17" s="84"/>
    </row>
    <row r="18" spans="2:16" ht="15" customHeight="1" thickBot="1" x14ac:dyDescent="0.4">
      <c r="B18" s="82" t="s">
        <v>126</v>
      </c>
      <c r="C18" s="255">
        <v>44166</v>
      </c>
      <c r="D18" s="84"/>
      <c r="G18" s="215"/>
    </row>
    <row r="19" spans="2:16" ht="16" thickBot="1" x14ac:dyDescent="0.4">
      <c r="B19" s="256" t="s">
        <v>127</v>
      </c>
      <c r="C19" s="255">
        <v>44530</v>
      </c>
      <c r="D19" s="87"/>
      <c r="G19" s="223"/>
      <c r="L19" s="487">
        <v>2020</v>
      </c>
      <c r="M19" s="488"/>
      <c r="N19" s="487">
        <v>2021</v>
      </c>
      <c r="O19" s="488"/>
    </row>
    <row r="20" spans="2:16" ht="29.5" thickBot="1" x14ac:dyDescent="0.4">
      <c r="B20" s="85" t="s">
        <v>128</v>
      </c>
      <c r="C20" s="255">
        <v>44196</v>
      </c>
      <c r="D20" s="87"/>
      <c r="G20" s="223"/>
      <c r="L20" s="243" t="s">
        <v>192</v>
      </c>
      <c r="M20" s="244" t="s">
        <v>86</v>
      </c>
      <c r="N20" s="245" t="s">
        <v>192</v>
      </c>
      <c r="O20" s="244" t="s">
        <v>86</v>
      </c>
      <c r="P20" s="246" t="s">
        <v>88</v>
      </c>
    </row>
    <row r="21" spans="2:16" ht="15.5" x14ac:dyDescent="0.35">
      <c r="B21" s="90"/>
      <c r="C21" s="91"/>
      <c r="D21" s="87"/>
      <c r="G21" s="223"/>
      <c r="L21" s="79">
        <f>$G$25</f>
        <v>29.45</v>
      </c>
      <c r="M21" s="248">
        <f>L21*I3</f>
        <v>17670</v>
      </c>
      <c r="N21" s="249">
        <f>$G$26</f>
        <v>317.3</v>
      </c>
      <c r="O21" s="250">
        <f>I3*N21</f>
        <v>190380</v>
      </c>
      <c r="P21" s="184">
        <f>M21+O21</f>
        <v>208050</v>
      </c>
    </row>
    <row r="22" spans="2:16" ht="18.5" x14ac:dyDescent="0.45">
      <c r="B22" s="92" t="s">
        <v>129</v>
      </c>
      <c r="G22" s="223"/>
      <c r="L22" s="79">
        <f t="shared" ref="L22:L33" si="3">$G$25</f>
        <v>29.45</v>
      </c>
      <c r="M22" s="248">
        <f t="shared" ref="M22:M33" si="4">L22*I4</f>
        <v>7715.9</v>
      </c>
      <c r="N22" s="249">
        <f t="shared" ref="N22:N33" si="5">$G$26</f>
        <v>317.3</v>
      </c>
      <c r="O22" s="250">
        <f t="shared" ref="O22:O33" si="6">I4*N22</f>
        <v>83132.600000000006</v>
      </c>
      <c r="P22" s="184">
        <f t="shared" ref="P22:P33" si="7">M22+O22</f>
        <v>90848.5</v>
      </c>
    </row>
    <row r="23" spans="2:16" x14ac:dyDescent="0.35">
      <c r="C23" s="489" t="s">
        <v>354</v>
      </c>
      <c r="D23" s="491" t="s">
        <v>131</v>
      </c>
      <c r="E23" s="493" t="s">
        <v>132</v>
      </c>
      <c r="F23" s="495" t="s">
        <v>355</v>
      </c>
      <c r="G23" s="496" t="s">
        <v>85</v>
      </c>
      <c r="L23" s="79">
        <f t="shared" si="3"/>
        <v>29.45</v>
      </c>
      <c r="M23" s="248">
        <f t="shared" si="4"/>
        <v>56985.75</v>
      </c>
      <c r="N23" s="249">
        <f t="shared" si="5"/>
        <v>317.3</v>
      </c>
      <c r="O23" s="250">
        <f t="shared" si="6"/>
        <v>613975.5</v>
      </c>
      <c r="P23" s="184">
        <f t="shared" si="7"/>
        <v>670961.25</v>
      </c>
    </row>
    <row r="24" spans="2:16" ht="17.149999999999999" customHeight="1" x14ac:dyDescent="0.35">
      <c r="B24" s="257"/>
      <c r="C24" s="490"/>
      <c r="D24" s="492"/>
      <c r="E24" s="494"/>
      <c r="F24" s="495"/>
      <c r="G24" s="497"/>
      <c r="L24" s="79">
        <f t="shared" si="3"/>
        <v>29.45</v>
      </c>
      <c r="M24" s="248">
        <f t="shared" si="4"/>
        <v>21940.25</v>
      </c>
      <c r="N24" s="249">
        <f t="shared" si="5"/>
        <v>317.3</v>
      </c>
      <c r="O24" s="250">
        <f t="shared" si="6"/>
        <v>236388.5</v>
      </c>
      <c r="P24" s="184">
        <f t="shared" si="7"/>
        <v>258328.75</v>
      </c>
    </row>
    <row r="25" spans="2:16" x14ac:dyDescent="0.35">
      <c r="B25" s="155" t="s">
        <v>356</v>
      </c>
      <c r="C25" s="101">
        <f>C33*13</f>
        <v>403</v>
      </c>
      <c r="D25" s="191">
        <f>('VPA 129 Downdays'!K17)/C25</f>
        <v>3.2258064516129031E-2</v>
      </c>
      <c r="E25" s="232">
        <f>IF(D25&lt;5%,95%,100%-D25)</f>
        <v>0.95</v>
      </c>
      <c r="F25" s="104">
        <f>((C20-C18))+1</f>
        <v>31</v>
      </c>
      <c r="G25" s="218">
        <f>F25*E25</f>
        <v>29.45</v>
      </c>
      <c r="K25" s="11"/>
      <c r="L25" s="79">
        <f t="shared" si="3"/>
        <v>29.45</v>
      </c>
      <c r="M25" s="248">
        <f t="shared" si="4"/>
        <v>7362.5</v>
      </c>
      <c r="N25" s="249">
        <f t="shared" si="5"/>
        <v>317.3</v>
      </c>
      <c r="O25" s="250">
        <f t="shared" si="6"/>
        <v>79325</v>
      </c>
      <c r="P25" s="184">
        <f t="shared" si="7"/>
        <v>86687.5</v>
      </c>
    </row>
    <row r="26" spans="2:16" x14ac:dyDescent="0.35">
      <c r="B26" s="155" t="s">
        <v>357</v>
      </c>
      <c r="C26" s="101">
        <f>((C19-C20))*13</f>
        <v>4342</v>
      </c>
      <c r="D26" s="191">
        <f>('VPA 129 Downdays'!K9)/C26</f>
        <v>0</v>
      </c>
      <c r="E26" s="232">
        <f>IF(D26&lt;5%,95%,100%-D26)</f>
        <v>0.95</v>
      </c>
      <c r="F26" s="104">
        <f>(C19-C20)</f>
        <v>334</v>
      </c>
      <c r="G26" s="218">
        <f>F26*E26</f>
        <v>317.3</v>
      </c>
      <c r="K26" s="11"/>
      <c r="L26" s="79">
        <f t="shared" si="3"/>
        <v>29.45</v>
      </c>
      <c r="M26" s="248">
        <f t="shared" si="4"/>
        <v>13841.5</v>
      </c>
      <c r="N26" s="249">
        <f t="shared" si="5"/>
        <v>317.3</v>
      </c>
      <c r="O26" s="250">
        <f t="shared" si="6"/>
        <v>149131</v>
      </c>
      <c r="P26" s="184">
        <f t="shared" si="7"/>
        <v>162972.5</v>
      </c>
    </row>
    <row r="27" spans="2:16" ht="15.5" x14ac:dyDescent="0.35">
      <c r="B27" s="258" t="s">
        <v>403</v>
      </c>
      <c r="C27" s="373">
        <f>SUM(C25:C26)</f>
        <v>4745</v>
      </c>
      <c r="D27" s="259">
        <f>'VPA 129 Downdays'!K17/C27</f>
        <v>2.7397260273972603E-3</v>
      </c>
      <c r="G27" s="223"/>
      <c r="K27" s="11"/>
      <c r="L27" s="79">
        <f t="shared" si="3"/>
        <v>29.45</v>
      </c>
      <c r="M27" s="248">
        <f t="shared" si="4"/>
        <v>20880.05</v>
      </c>
      <c r="N27" s="249">
        <f t="shared" si="5"/>
        <v>317.3</v>
      </c>
      <c r="O27" s="250">
        <f t="shared" si="6"/>
        <v>224965.7</v>
      </c>
      <c r="P27" s="184">
        <f t="shared" si="7"/>
        <v>245845.75</v>
      </c>
    </row>
    <row r="28" spans="2:16" ht="15.5" x14ac:dyDescent="0.35">
      <c r="G28" s="223"/>
      <c r="K28" s="11"/>
      <c r="L28" s="79">
        <f t="shared" si="3"/>
        <v>29.45</v>
      </c>
      <c r="M28" s="248">
        <f t="shared" si="4"/>
        <v>46236.5</v>
      </c>
      <c r="N28" s="249">
        <f t="shared" si="5"/>
        <v>317.3</v>
      </c>
      <c r="O28" s="250">
        <f t="shared" si="6"/>
        <v>498161</v>
      </c>
      <c r="P28" s="184">
        <f t="shared" si="7"/>
        <v>544397.5</v>
      </c>
    </row>
    <row r="29" spans="2:16" ht="15.5" x14ac:dyDescent="0.35">
      <c r="G29" s="223"/>
      <c r="K29" s="11"/>
      <c r="L29" s="79">
        <f t="shared" si="3"/>
        <v>29.45</v>
      </c>
      <c r="M29" s="248">
        <f t="shared" si="4"/>
        <v>53010</v>
      </c>
      <c r="N29" s="249">
        <f t="shared" si="5"/>
        <v>317.3</v>
      </c>
      <c r="O29" s="250">
        <f t="shared" si="6"/>
        <v>571140</v>
      </c>
      <c r="P29" s="184">
        <f t="shared" si="7"/>
        <v>624150</v>
      </c>
    </row>
    <row r="30" spans="2:16" ht="15.5" x14ac:dyDescent="0.35">
      <c r="G30" s="223"/>
      <c r="K30" s="11"/>
      <c r="L30" s="79">
        <f t="shared" si="3"/>
        <v>29.45</v>
      </c>
      <c r="M30" s="248">
        <f t="shared" si="4"/>
        <v>5919.45</v>
      </c>
      <c r="N30" s="249">
        <f t="shared" si="5"/>
        <v>317.3</v>
      </c>
      <c r="O30" s="250">
        <f t="shared" si="6"/>
        <v>63777.3</v>
      </c>
      <c r="P30" s="184">
        <f t="shared" si="7"/>
        <v>69696.75</v>
      </c>
    </row>
    <row r="31" spans="2:16" x14ac:dyDescent="0.35">
      <c r="K31" s="11"/>
      <c r="L31" s="79">
        <f t="shared" si="3"/>
        <v>29.45</v>
      </c>
      <c r="M31" s="248">
        <f t="shared" si="4"/>
        <v>21940.25</v>
      </c>
      <c r="N31" s="249">
        <f t="shared" si="5"/>
        <v>317.3</v>
      </c>
      <c r="O31" s="250">
        <f t="shared" si="6"/>
        <v>236388.5</v>
      </c>
      <c r="P31" s="184">
        <f t="shared" si="7"/>
        <v>258328.75</v>
      </c>
    </row>
    <row r="32" spans="2:16" ht="15" thickBot="1" x14ac:dyDescent="0.4">
      <c r="B32" s="260" t="s">
        <v>358</v>
      </c>
      <c r="C32" s="179"/>
      <c r="K32" s="11"/>
      <c r="L32" s="79">
        <f t="shared" si="3"/>
        <v>29.45</v>
      </c>
      <c r="M32" s="248">
        <f t="shared" si="4"/>
        <v>10160.25</v>
      </c>
      <c r="N32" s="249">
        <f t="shared" si="5"/>
        <v>317.3</v>
      </c>
      <c r="O32" s="250">
        <f t="shared" si="6"/>
        <v>109468.5</v>
      </c>
      <c r="P32" s="184">
        <f t="shared" si="7"/>
        <v>119628.75</v>
      </c>
    </row>
    <row r="33" spans="2:17" ht="15" customHeight="1" thickBot="1" x14ac:dyDescent="0.4">
      <c r="B33" s="261" t="s">
        <v>135</v>
      </c>
      <c r="C33" s="262">
        <f>SUM(C20-C18)+1</f>
        <v>31</v>
      </c>
      <c r="K33" s="11"/>
      <c r="L33" s="79">
        <f t="shared" si="3"/>
        <v>29.45</v>
      </c>
      <c r="M33" s="248">
        <f t="shared" si="4"/>
        <v>8039.8499999999995</v>
      </c>
      <c r="N33" s="249">
        <f t="shared" si="5"/>
        <v>317.3</v>
      </c>
      <c r="O33" s="250">
        <f t="shared" si="6"/>
        <v>86622.900000000009</v>
      </c>
      <c r="P33" s="184">
        <f t="shared" si="7"/>
        <v>94662.750000000015</v>
      </c>
    </row>
    <row r="34" spans="2:17" ht="15" thickBot="1" x14ac:dyDescent="0.4">
      <c r="B34" s="263" t="s">
        <v>136</v>
      </c>
      <c r="C34" s="264">
        <f>(C19-C20)</f>
        <v>334</v>
      </c>
      <c r="L34" s="254" t="s">
        <v>125</v>
      </c>
      <c r="M34" s="152">
        <f>SUM(M21:M33)</f>
        <v>291702.25</v>
      </c>
      <c r="N34" s="152" t="s">
        <v>125</v>
      </c>
      <c r="O34" s="152">
        <f>SUM(O21:O33)</f>
        <v>3142856.4999999995</v>
      </c>
      <c r="P34" s="185">
        <f>SUM(P21:P33)</f>
        <v>3434558.75</v>
      </c>
      <c r="Q34" s="1" t="s">
        <v>271</v>
      </c>
    </row>
    <row r="35" spans="2:17" ht="15" thickBot="1" x14ac:dyDescent="0.4">
      <c r="B35" s="265" t="s">
        <v>359</v>
      </c>
      <c r="C35" s="266">
        <f>SUM(C33:C34)</f>
        <v>365</v>
      </c>
    </row>
    <row r="40" spans="2:17" ht="15" customHeight="1" x14ac:dyDescent="0.35"/>
  </sheetData>
  <mergeCells count="10">
    <mergeCell ref="C23:C24"/>
    <mergeCell ref="D23:D24"/>
    <mergeCell ref="E23:E24"/>
    <mergeCell ref="F23:F24"/>
    <mergeCell ref="G23:G24"/>
    <mergeCell ref="L1:M1"/>
    <mergeCell ref="N1:O1"/>
    <mergeCell ref="B3:B15"/>
    <mergeCell ref="L19:M19"/>
    <mergeCell ref="N19:O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D8662-6F41-4C35-9DE7-5B844EDAC8C7}">
  <dimension ref="B2:P47"/>
  <sheetViews>
    <sheetView topLeftCell="A13" zoomScale="62" zoomScaleNormal="62" workbookViewId="0">
      <selection activeCell="H41" sqref="H41"/>
    </sheetView>
  </sheetViews>
  <sheetFormatPr defaultColWidth="9.1796875" defaultRowHeight="14.5" x14ac:dyDescent="0.35"/>
  <cols>
    <col min="1" max="1" width="9.1796875" style="1"/>
    <col min="2" max="2" width="66.453125" style="1" bestFit="1" customWidth="1"/>
    <col min="3" max="3" width="19.1796875" style="1" bestFit="1" customWidth="1"/>
    <col min="4" max="4" width="12.54296875" style="1" bestFit="1" customWidth="1"/>
    <col min="5" max="5" width="12.81640625" style="1" bestFit="1" customWidth="1"/>
    <col min="6" max="6" width="9.1796875" style="1"/>
    <col min="7" max="7" width="66.453125" style="1" bestFit="1" customWidth="1"/>
    <col min="8" max="8" width="19.1796875" style="1" bestFit="1" customWidth="1"/>
    <col min="9" max="9" width="12.54296875" style="1" bestFit="1" customWidth="1"/>
    <col min="10" max="10" width="13.1796875" style="1" bestFit="1" customWidth="1"/>
    <col min="11" max="11" width="12.81640625" style="1" bestFit="1" customWidth="1"/>
    <col min="12" max="12" width="66.453125" style="1" bestFit="1" customWidth="1"/>
    <col min="13" max="13" width="19.1796875" style="1" bestFit="1" customWidth="1"/>
    <col min="14" max="14" width="12.54296875" style="1" bestFit="1" customWidth="1"/>
    <col min="15" max="15" width="12.81640625" style="1" bestFit="1" customWidth="1"/>
    <col min="16" max="16" width="10.54296875" style="1" bestFit="1" customWidth="1"/>
    <col min="17" max="16384" width="9.1796875" style="1"/>
  </cols>
  <sheetData>
    <row r="2" spans="2:16" x14ac:dyDescent="0.35">
      <c r="B2" s="392" t="s">
        <v>34</v>
      </c>
      <c r="C2" s="392"/>
      <c r="D2" s="392"/>
      <c r="E2" s="392"/>
      <c r="G2" s="392" t="s">
        <v>2</v>
      </c>
      <c r="H2" s="392"/>
      <c r="I2" s="392"/>
      <c r="J2" s="392"/>
      <c r="L2" s="392" t="s">
        <v>35</v>
      </c>
      <c r="M2" s="392"/>
      <c r="N2" s="392"/>
      <c r="O2" s="392"/>
    </row>
    <row r="4" spans="2:16" x14ac:dyDescent="0.35">
      <c r="B4" s="391" t="s">
        <v>36</v>
      </c>
      <c r="C4" s="391"/>
      <c r="D4" s="391"/>
      <c r="E4" s="391"/>
      <c r="G4" s="391" t="s">
        <v>36</v>
      </c>
      <c r="H4" s="391"/>
      <c r="I4" s="391"/>
      <c r="J4" s="391"/>
      <c r="L4" s="389" t="s">
        <v>36</v>
      </c>
      <c r="M4" s="387"/>
      <c r="N4" s="387"/>
      <c r="O4" s="390"/>
    </row>
    <row r="5" spans="2:16" x14ac:dyDescent="0.35">
      <c r="B5" s="5" t="s">
        <v>37</v>
      </c>
      <c r="C5" s="5" t="s">
        <v>38</v>
      </c>
      <c r="D5" s="5" t="s">
        <v>18</v>
      </c>
      <c r="E5" s="33">
        <v>0</v>
      </c>
      <c r="G5" s="5" t="s">
        <v>37</v>
      </c>
      <c r="H5" s="5" t="s">
        <v>38</v>
      </c>
      <c r="I5" s="5" t="s">
        <v>18</v>
      </c>
      <c r="J5" s="33">
        <v>0</v>
      </c>
      <c r="L5" s="5" t="s">
        <v>37</v>
      </c>
      <c r="M5" s="5" t="s">
        <v>38</v>
      </c>
      <c r="N5" s="5" t="s">
        <v>18</v>
      </c>
      <c r="O5" s="33">
        <v>0</v>
      </c>
    </row>
    <row r="6" spans="2:16" x14ac:dyDescent="0.35">
      <c r="B6" s="5" t="s">
        <v>39</v>
      </c>
      <c r="C6" s="5" t="s">
        <v>40</v>
      </c>
      <c r="D6" s="5"/>
      <c r="E6" s="34">
        <f>'VPA 122 PTDs'!P13</f>
        <v>956683.25</v>
      </c>
      <c r="G6" s="5" t="s">
        <v>39</v>
      </c>
      <c r="H6" s="5" t="s">
        <v>40</v>
      </c>
      <c r="I6" s="5"/>
      <c r="J6" s="34">
        <f>'VPA 122 PTDs'!M13</f>
        <v>81252.549999999988</v>
      </c>
      <c r="L6" s="5" t="s">
        <v>39</v>
      </c>
      <c r="M6" s="5" t="s">
        <v>40</v>
      </c>
      <c r="N6" s="5"/>
      <c r="O6" s="34">
        <f>'VPA 122 PTDs'!O13</f>
        <v>875430.70000000007</v>
      </c>
      <c r="P6" s="35"/>
    </row>
    <row r="7" spans="2:16" x14ac:dyDescent="0.35">
      <c r="B7" s="5" t="s">
        <v>41</v>
      </c>
      <c r="C7" s="5" t="s">
        <v>42</v>
      </c>
      <c r="D7" s="5" t="s">
        <v>43</v>
      </c>
      <c r="E7" s="36">
        <f>0.0004</f>
        <v>4.0000000000000002E-4</v>
      </c>
      <c r="G7" s="5" t="s">
        <v>41</v>
      </c>
      <c r="H7" s="5" t="s">
        <v>42</v>
      </c>
      <c r="I7" s="5" t="s">
        <v>43</v>
      </c>
      <c r="J7" s="36">
        <f>E7</f>
        <v>4.0000000000000002E-4</v>
      </c>
      <c r="L7" s="5" t="s">
        <v>41</v>
      </c>
      <c r="M7" s="5" t="s">
        <v>42</v>
      </c>
      <c r="N7" s="5" t="s">
        <v>43</v>
      </c>
      <c r="O7" s="36">
        <f>E7</f>
        <v>4.0000000000000002E-4</v>
      </c>
    </row>
    <row r="8" spans="2:16" ht="29" x14ac:dyDescent="0.35">
      <c r="B8" s="37" t="s">
        <v>44</v>
      </c>
      <c r="C8" s="5" t="s">
        <v>45</v>
      </c>
      <c r="D8" s="5" t="s">
        <v>46</v>
      </c>
      <c r="E8" s="33">
        <v>7.5</v>
      </c>
      <c r="G8" s="37" t="s">
        <v>44</v>
      </c>
      <c r="H8" s="5" t="s">
        <v>45</v>
      </c>
      <c r="I8" s="5" t="s">
        <v>46</v>
      </c>
      <c r="J8" s="33">
        <v>7.5</v>
      </c>
      <c r="L8" s="37" t="s">
        <v>44</v>
      </c>
      <c r="M8" s="5" t="s">
        <v>45</v>
      </c>
      <c r="N8" s="5" t="s">
        <v>46</v>
      </c>
      <c r="O8" s="33">
        <v>7.5</v>
      </c>
    </row>
    <row r="9" spans="2:16" x14ac:dyDescent="0.35">
      <c r="B9" s="37" t="s">
        <v>47</v>
      </c>
      <c r="C9" s="5" t="s">
        <v>48</v>
      </c>
      <c r="D9" s="5" t="s">
        <v>46</v>
      </c>
      <c r="E9" s="33">
        <v>0</v>
      </c>
      <c r="G9" s="37" t="s">
        <v>47</v>
      </c>
      <c r="H9" s="5" t="s">
        <v>48</v>
      </c>
      <c r="I9" s="5" t="s">
        <v>46</v>
      </c>
      <c r="J9" s="33">
        <v>0</v>
      </c>
      <c r="L9" s="37" t="s">
        <v>47</v>
      </c>
      <c r="M9" s="5" t="s">
        <v>48</v>
      </c>
      <c r="N9" s="5" t="s">
        <v>46</v>
      </c>
      <c r="O9" s="33">
        <v>0</v>
      </c>
    </row>
    <row r="10" spans="2:16" x14ac:dyDescent="0.35">
      <c r="B10" s="5" t="s">
        <v>49</v>
      </c>
      <c r="C10" s="5" t="s">
        <v>50</v>
      </c>
      <c r="D10" s="5" t="s">
        <v>51</v>
      </c>
      <c r="E10" s="38">
        <f>ROUNDDOWN((1-E5)*E6*E7*(E8+E9),0)</f>
        <v>2870</v>
      </c>
      <c r="G10" s="5" t="s">
        <v>49</v>
      </c>
      <c r="H10" s="5" t="s">
        <v>50</v>
      </c>
      <c r="I10" s="5" t="s">
        <v>51</v>
      </c>
      <c r="J10" s="38">
        <f>ROUNDDOWN((1-J5)*J6*J7*(J8+J9),0)</f>
        <v>243</v>
      </c>
      <c r="L10" s="5" t="s">
        <v>49</v>
      </c>
      <c r="M10" s="5" t="s">
        <v>50</v>
      </c>
      <c r="N10" s="5" t="s">
        <v>51</v>
      </c>
      <c r="O10" s="38">
        <f>ROUNDDOWN((1-O5)*O6*O7*(O8+O9),0)</f>
        <v>2626</v>
      </c>
    </row>
    <row r="12" spans="2:16" x14ac:dyDescent="0.35">
      <c r="B12" s="391" t="s">
        <v>52</v>
      </c>
      <c r="C12" s="391"/>
      <c r="D12" s="391"/>
      <c r="E12" s="391"/>
      <c r="G12" s="391" t="s">
        <v>52</v>
      </c>
      <c r="H12" s="391"/>
      <c r="I12" s="391"/>
      <c r="J12" s="391"/>
      <c r="L12" s="389" t="s">
        <v>52</v>
      </c>
      <c r="M12" s="387"/>
      <c r="N12" s="387"/>
      <c r="O12" s="390"/>
    </row>
    <row r="13" spans="2:16" x14ac:dyDescent="0.35">
      <c r="B13" s="5" t="s">
        <v>53</v>
      </c>
      <c r="C13" s="5" t="s">
        <v>38</v>
      </c>
      <c r="D13" s="5" t="s">
        <v>18</v>
      </c>
      <c r="E13" s="33">
        <f>E5</f>
        <v>0</v>
      </c>
      <c r="G13" s="5" t="s">
        <v>53</v>
      </c>
      <c r="H13" s="5" t="s">
        <v>38</v>
      </c>
      <c r="I13" s="5" t="s">
        <v>18</v>
      </c>
      <c r="J13" s="33">
        <f>J5</f>
        <v>0</v>
      </c>
      <c r="L13" s="5" t="s">
        <v>53</v>
      </c>
      <c r="M13" s="5" t="s">
        <v>38</v>
      </c>
      <c r="N13" s="5" t="s">
        <v>18</v>
      </c>
      <c r="O13" s="33">
        <f>O5</f>
        <v>0</v>
      </c>
    </row>
    <row r="14" spans="2:16" x14ac:dyDescent="0.35">
      <c r="B14" s="5" t="s">
        <v>39</v>
      </c>
      <c r="C14" s="5" t="s">
        <v>40</v>
      </c>
      <c r="D14" s="5"/>
      <c r="E14" s="34">
        <f>E6</f>
        <v>956683.25</v>
      </c>
      <c r="G14" s="5" t="s">
        <v>39</v>
      </c>
      <c r="H14" s="5" t="s">
        <v>40</v>
      </c>
      <c r="I14" s="5"/>
      <c r="J14" s="34">
        <f>J6</f>
        <v>81252.549999999988</v>
      </c>
      <c r="L14" s="5" t="s">
        <v>39</v>
      </c>
      <c r="M14" s="5" t="s">
        <v>40</v>
      </c>
      <c r="N14" s="5"/>
      <c r="O14" s="34">
        <f>O6</f>
        <v>875430.70000000007</v>
      </c>
    </row>
    <row r="15" spans="2:16" x14ac:dyDescent="0.35">
      <c r="B15" s="5" t="s">
        <v>54</v>
      </c>
      <c r="C15" s="5" t="s">
        <v>55</v>
      </c>
      <c r="D15" s="5" t="s">
        <v>43</v>
      </c>
      <c r="E15" s="39">
        <f>E7</f>
        <v>4.0000000000000002E-4</v>
      </c>
      <c r="G15" s="5" t="s">
        <v>54</v>
      </c>
      <c r="H15" s="5" t="s">
        <v>55</v>
      </c>
      <c r="I15" s="5" t="s">
        <v>43</v>
      </c>
      <c r="J15" s="39">
        <f>J7</f>
        <v>4.0000000000000002E-4</v>
      </c>
      <c r="L15" s="5" t="s">
        <v>54</v>
      </c>
      <c r="M15" s="5" t="s">
        <v>55</v>
      </c>
      <c r="N15" s="5" t="s">
        <v>43</v>
      </c>
      <c r="O15" s="39">
        <f>O7</f>
        <v>4.0000000000000002E-4</v>
      </c>
    </row>
    <row r="16" spans="2:16" x14ac:dyDescent="0.35">
      <c r="B16" s="5" t="s">
        <v>56</v>
      </c>
      <c r="C16" s="5" t="s">
        <v>48</v>
      </c>
      <c r="D16" s="5" t="s">
        <v>46</v>
      </c>
      <c r="E16" s="33">
        <v>0</v>
      </c>
      <c r="G16" s="5" t="s">
        <v>56</v>
      </c>
      <c r="H16" s="5" t="s">
        <v>48</v>
      </c>
      <c r="I16" s="5" t="s">
        <v>46</v>
      </c>
      <c r="J16" s="33">
        <v>0</v>
      </c>
      <c r="L16" s="5" t="s">
        <v>56</v>
      </c>
      <c r="M16" s="5" t="s">
        <v>48</v>
      </c>
      <c r="N16" s="5" t="s">
        <v>46</v>
      </c>
      <c r="O16" s="33">
        <v>0</v>
      </c>
    </row>
    <row r="17" spans="2:15" x14ac:dyDescent="0.35">
      <c r="B17" s="5" t="s">
        <v>57</v>
      </c>
      <c r="C17" s="5" t="s">
        <v>58</v>
      </c>
      <c r="D17" s="5" t="s">
        <v>46</v>
      </c>
      <c r="E17" s="33">
        <v>0</v>
      </c>
      <c r="G17" s="5" t="s">
        <v>57</v>
      </c>
      <c r="H17" s="5" t="s">
        <v>58</v>
      </c>
      <c r="I17" s="5" t="s">
        <v>46</v>
      </c>
      <c r="J17" s="33">
        <v>0</v>
      </c>
      <c r="L17" s="5" t="s">
        <v>57</v>
      </c>
      <c r="M17" s="5" t="s">
        <v>58</v>
      </c>
      <c r="N17" s="5" t="s">
        <v>46</v>
      </c>
      <c r="O17" s="33">
        <v>0</v>
      </c>
    </row>
    <row r="18" spans="2:15" x14ac:dyDescent="0.35">
      <c r="B18" s="5" t="s">
        <v>59</v>
      </c>
      <c r="C18" s="5" t="s">
        <v>60</v>
      </c>
      <c r="D18" s="5" t="s">
        <v>51</v>
      </c>
      <c r="E18" s="38">
        <f>ROUNDDOWN((1-E13)*E14*E15*(E16+E17),0)</f>
        <v>0</v>
      </c>
      <c r="G18" s="5" t="s">
        <v>59</v>
      </c>
      <c r="H18" s="5" t="s">
        <v>60</v>
      </c>
      <c r="I18" s="5" t="s">
        <v>51</v>
      </c>
      <c r="J18" s="38">
        <f>ROUNDDOWN((1-J13)*J14*J15*(J16+J17),0)</f>
        <v>0</v>
      </c>
      <c r="L18" s="5" t="s">
        <v>59</v>
      </c>
      <c r="M18" s="5" t="s">
        <v>60</v>
      </c>
      <c r="N18" s="5" t="s">
        <v>51</v>
      </c>
      <c r="O18" s="38">
        <f>ROUNDDOWN((1-O13)*O14*O15*(O16+O17),0)</f>
        <v>0</v>
      </c>
    </row>
    <row r="20" spans="2:15" x14ac:dyDescent="0.35">
      <c r="B20" s="389" t="s">
        <v>61</v>
      </c>
      <c r="C20" s="387"/>
      <c r="D20" s="387"/>
      <c r="E20" s="390"/>
      <c r="G20" s="389" t="s">
        <v>61</v>
      </c>
      <c r="H20" s="387"/>
      <c r="I20" s="387"/>
      <c r="J20" s="390"/>
      <c r="L20" s="389" t="s">
        <v>61</v>
      </c>
      <c r="M20" s="387"/>
      <c r="N20" s="387"/>
      <c r="O20" s="390"/>
    </row>
    <row r="21" spans="2:15" x14ac:dyDescent="0.35">
      <c r="B21" s="37" t="s">
        <v>62</v>
      </c>
      <c r="C21" s="5" t="s">
        <v>62</v>
      </c>
      <c r="D21" s="5" t="s">
        <v>63</v>
      </c>
      <c r="E21" s="40">
        <v>0.97</v>
      </c>
      <c r="G21" s="37" t="s">
        <v>62</v>
      </c>
      <c r="H21" s="5" t="s">
        <v>62</v>
      </c>
      <c r="I21" s="5" t="s">
        <v>63</v>
      </c>
      <c r="J21" s="40">
        <v>0.97</v>
      </c>
      <c r="L21" s="37" t="s">
        <v>62</v>
      </c>
      <c r="M21" s="5" t="s">
        <v>62</v>
      </c>
      <c r="N21" s="5" t="s">
        <v>63</v>
      </c>
      <c r="O21" s="40">
        <v>0.97</v>
      </c>
    </row>
    <row r="22" spans="2:15" x14ac:dyDescent="0.35">
      <c r="B22" s="5" t="s">
        <v>64</v>
      </c>
      <c r="C22" s="5" t="s">
        <v>65</v>
      </c>
      <c r="D22" s="5" t="s">
        <v>66</v>
      </c>
      <c r="E22" s="33">
        <v>112</v>
      </c>
      <c r="G22" s="5" t="s">
        <v>64</v>
      </c>
      <c r="H22" s="5" t="s">
        <v>65</v>
      </c>
      <c r="I22" s="5" t="s">
        <v>66</v>
      </c>
      <c r="J22" s="33">
        <v>112</v>
      </c>
      <c r="L22" s="5" t="s">
        <v>64</v>
      </c>
      <c r="M22" s="5" t="s">
        <v>65</v>
      </c>
      <c r="N22" s="5" t="s">
        <v>66</v>
      </c>
      <c r="O22" s="33">
        <v>112</v>
      </c>
    </row>
    <row r="23" spans="2:15" x14ac:dyDescent="0.35">
      <c r="B23" s="5" t="s">
        <v>67</v>
      </c>
      <c r="C23" s="5" t="s">
        <v>68</v>
      </c>
      <c r="D23" s="5" t="s">
        <v>69</v>
      </c>
      <c r="E23" s="33">
        <f>(J23*J6+O23*O6)/E6</f>
        <v>9.394772602739728</v>
      </c>
      <c r="G23" s="5" t="s">
        <v>67</v>
      </c>
      <c r="H23" s="5" t="s">
        <v>68</v>
      </c>
      <c r="I23" s="5" t="s">
        <v>69</v>
      </c>
      <c r="J23" s="33">
        <f>7.5+1.192</f>
        <v>8.6920000000000002</v>
      </c>
      <c r="L23" s="5" t="s">
        <v>67</v>
      </c>
      <c r="M23" s="5" t="s">
        <v>68</v>
      </c>
      <c r="N23" s="5" t="s">
        <v>69</v>
      </c>
      <c r="O23" s="33">
        <v>9.4600000000000009</v>
      </c>
    </row>
    <row r="24" spans="2:15" x14ac:dyDescent="0.35">
      <c r="B24" s="5" t="s">
        <v>70</v>
      </c>
      <c r="C24" s="5" t="s">
        <v>71</v>
      </c>
      <c r="D24" s="5" t="s">
        <v>72</v>
      </c>
      <c r="E24" s="33">
        <v>1.5599999999999999E-2</v>
      </c>
      <c r="G24" s="5" t="s">
        <v>70</v>
      </c>
      <c r="H24" s="5" t="s">
        <v>71</v>
      </c>
      <c r="I24" s="5" t="s">
        <v>72</v>
      </c>
      <c r="J24" s="33">
        <v>1.5599999999999999E-2</v>
      </c>
      <c r="L24" s="5" t="s">
        <v>70</v>
      </c>
      <c r="M24" s="5" t="s">
        <v>71</v>
      </c>
      <c r="N24" s="5" t="s">
        <v>72</v>
      </c>
      <c r="O24" s="33">
        <v>1.5599999999999999E-2</v>
      </c>
    </row>
    <row r="26" spans="2:15" x14ac:dyDescent="0.35">
      <c r="B26" s="389" t="s">
        <v>4</v>
      </c>
      <c r="C26" s="387"/>
      <c r="D26" s="387"/>
      <c r="E26" s="390"/>
      <c r="G26" s="389" t="s">
        <v>4</v>
      </c>
      <c r="H26" s="387"/>
      <c r="I26" s="387"/>
      <c r="J26" s="390"/>
      <c r="L26" s="389" t="s">
        <v>4</v>
      </c>
      <c r="M26" s="387"/>
      <c r="N26" s="387"/>
      <c r="O26" s="390"/>
    </row>
    <row r="27" spans="2:15" x14ac:dyDescent="0.35">
      <c r="B27" s="5" t="s">
        <v>11</v>
      </c>
      <c r="C27" s="5" t="s">
        <v>12</v>
      </c>
      <c r="D27" s="5" t="s">
        <v>13</v>
      </c>
      <c r="E27" s="41">
        <f>ROUNDDOWN(E10*((E22*E21)+E23)*E24,0)</f>
        <v>5284</v>
      </c>
      <c r="G27" s="5" t="s">
        <v>11</v>
      </c>
      <c r="H27" s="5" t="s">
        <v>12</v>
      </c>
      <c r="I27" s="5" t="s">
        <v>13</v>
      </c>
      <c r="J27" s="41">
        <f>ROUNDDOWN(J10*((J22*J21)+J23)*J24,0)</f>
        <v>444</v>
      </c>
      <c r="L27" s="5" t="s">
        <v>11</v>
      </c>
      <c r="M27" s="5" t="s">
        <v>12</v>
      </c>
      <c r="N27" s="5" t="s">
        <v>13</v>
      </c>
      <c r="O27" s="41">
        <f>ROUNDDOWN(O10*((O22*O21)+O23)*O24,0)</f>
        <v>4838</v>
      </c>
    </row>
    <row r="28" spans="2:15" x14ac:dyDescent="0.35">
      <c r="B28" s="5" t="s">
        <v>14</v>
      </c>
      <c r="C28" s="5" t="s">
        <v>15</v>
      </c>
      <c r="D28" s="5" t="s">
        <v>13</v>
      </c>
      <c r="E28" s="41">
        <f>E18*((E22*E21)+E23)*E24</f>
        <v>0</v>
      </c>
      <c r="G28" s="5" t="s">
        <v>14</v>
      </c>
      <c r="H28" s="5" t="s">
        <v>15</v>
      </c>
      <c r="I28" s="5" t="s">
        <v>13</v>
      </c>
      <c r="J28" s="41">
        <f>J18*((J22*J21)+J23)*J24</f>
        <v>0</v>
      </c>
      <c r="L28" s="5" t="s">
        <v>14</v>
      </c>
      <c r="M28" s="5" t="s">
        <v>15</v>
      </c>
      <c r="N28" s="5" t="s">
        <v>13</v>
      </c>
      <c r="O28" s="41">
        <f>O18*((O22*O21)+O23)*O24</f>
        <v>0</v>
      </c>
    </row>
    <row r="29" spans="2:15" x14ac:dyDescent="0.35">
      <c r="B29" s="5" t="s">
        <v>16</v>
      </c>
      <c r="C29" s="5" t="s">
        <v>17</v>
      </c>
      <c r="D29" s="5" t="s">
        <v>18</v>
      </c>
      <c r="E29" s="33">
        <v>0.92269999999999996</v>
      </c>
      <c r="G29" s="5" t="s">
        <v>16</v>
      </c>
      <c r="H29" s="5" t="s">
        <v>17</v>
      </c>
      <c r="I29" s="5" t="s">
        <v>18</v>
      </c>
      <c r="J29" s="33">
        <f>E29</f>
        <v>0.92269999999999996</v>
      </c>
      <c r="L29" s="5" t="s">
        <v>16</v>
      </c>
      <c r="M29" s="5" t="s">
        <v>17</v>
      </c>
      <c r="N29" s="5" t="s">
        <v>18</v>
      </c>
      <c r="O29" s="33">
        <f>E29</f>
        <v>0.92269999999999996</v>
      </c>
    </row>
    <row r="30" spans="2:15" x14ac:dyDescent="0.35">
      <c r="B30" s="5" t="s">
        <v>19</v>
      </c>
      <c r="C30" s="5" t="s">
        <v>20</v>
      </c>
      <c r="D30" s="5" t="s">
        <v>13</v>
      </c>
      <c r="E30" s="33">
        <v>0</v>
      </c>
      <c r="G30" s="5" t="s">
        <v>19</v>
      </c>
      <c r="H30" s="5" t="s">
        <v>20</v>
      </c>
      <c r="I30" s="5" t="s">
        <v>13</v>
      </c>
      <c r="J30" s="33">
        <v>0</v>
      </c>
      <c r="L30" s="5" t="s">
        <v>19</v>
      </c>
      <c r="M30" s="5" t="s">
        <v>20</v>
      </c>
      <c r="N30" s="5" t="s">
        <v>13</v>
      </c>
      <c r="O30" s="33">
        <v>0</v>
      </c>
    </row>
    <row r="31" spans="2:15" x14ac:dyDescent="0.35">
      <c r="B31" s="5" t="s">
        <v>34</v>
      </c>
      <c r="C31" s="5" t="s">
        <v>22</v>
      </c>
      <c r="D31" s="5" t="s">
        <v>13</v>
      </c>
      <c r="E31" s="38">
        <f>ROUNDDOWN(((E27-E28)*E29)-E30,0)</f>
        <v>4875</v>
      </c>
      <c r="G31" s="5" t="s">
        <v>34</v>
      </c>
      <c r="H31" s="5" t="s">
        <v>22</v>
      </c>
      <c r="I31" s="5" t="s">
        <v>13</v>
      </c>
      <c r="J31" s="38">
        <f>((J27-J28)*J29)-J30</f>
        <v>409.67879999999997</v>
      </c>
      <c r="L31" s="5" t="s">
        <v>34</v>
      </c>
      <c r="M31" s="5" t="s">
        <v>22</v>
      </c>
      <c r="N31" s="5" t="s">
        <v>13</v>
      </c>
      <c r="O31" s="38">
        <f>((O27-O28)*O29)-O30</f>
        <v>4464.0226000000002</v>
      </c>
    </row>
    <row r="32" spans="2:15" x14ac:dyDescent="0.35">
      <c r="D32" s="42"/>
      <c r="I32" s="42"/>
      <c r="N32" s="42"/>
    </row>
    <row r="33" spans="2:15" x14ac:dyDescent="0.35">
      <c r="B33" s="389" t="s">
        <v>24</v>
      </c>
      <c r="C33" s="387"/>
      <c r="D33" s="387"/>
      <c r="E33" s="390"/>
      <c r="G33" s="389" t="s">
        <v>24</v>
      </c>
      <c r="H33" s="387"/>
      <c r="I33" s="387"/>
      <c r="J33" s="390"/>
      <c r="L33" s="389" t="s">
        <v>24</v>
      </c>
      <c r="M33" s="387"/>
      <c r="N33" s="387"/>
      <c r="O33" s="390"/>
    </row>
    <row r="34" spans="2:15" x14ac:dyDescent="0.35">
      <c r="B34" s="43" t="s">
        <v>25</v>
      </c>
      <c r="C34" s="5"/>
      <c r="D34" s="23"/>
      <c r="E34" s="44">
        <v>0.98</v>
      </c>
      <c r="G34" s="43" t="s">
        <v>25</v>
      </c>
      <c r="H34" s="5"/>
      <c r="I34" s="23"/>
      <c r="J34" s="44">
        <f>E34</f>
        <v>0.98</v>
      </c>
      <c r="L34" s="43" t="s">
        <v>25</v>
      </c>
      <c r="M34" s="5"/>
      <c r="N34" s="23"/>
      <c r="O34" s="44">
        <f>E34</f>
        <v>0.98</v>
      </c>
    </row>
    <row r="35" spans="2:15" x14ac:dyDescent="0.35">
      <c r="B35" s="43" t="s">
        <v>26</v>
      </c>
      <c r="C35" s="5" t="s">
        <v>27</v>
      </c>
      <c r="D35" s="23" t="s">
        <v>28</v>
      </c>
      <c r="E35" s="44">
        <f>1-E34</f>
        <v>2.0000000000000018E-2</v>
      </c>
      <c r="G35" s="43" t="s">
        <v>26</v>
      </c>
      <c r="H35" s="5" t="s">
        <v>27</v>
      </c>
      <c r="I35" s="23" t="s">
        <v>28</v>
      </c>
      <c r="J35" s="44">
        <f>E35</f>
        <v>2.0000000000000018E-2</v>
      </c>
      <c r="L35" s="43" t="s">
        <v>26</v>
      </c>
      <c r="M35" s="5" t="s">
        <v>27</v>
      </c>
      <c r="N35" s="23" t="s">
        <v>28</v>
      </c>
      <c r="O35" s="44">
        <f>E35</f>
        <v>2.0000000000000018E-2</v>
      </c>
    </row>
    <row r="36" spans="2:15" x14ac:dyDescent="0.35">
      <c r="B36" s="45" t="s">
        <v>73</v>
      </c>
      <c r="C36" s="46" t="s">
        <v>22</v>
      </c>
      <c r="D36" s="47" t="s">
        <v>13</v>
      </c>
      <c r="E36" s="48">
        <f>ROUNDDOWN(E31*(1-E35),0)</f>
        <v>4777</v>
      </c>
      <c r="G36" s="45" t="s">
        <v>73</v>
      </c>
      <c r="H36" s="46" t="s">
        <v>22</v>
      </c>
      <c r="I36" s="47" t="s">
        <v>13</v>
      </c>
      <c r="J36" s="48">
        <f>ROUNDDOWN(J31*(1-J35),0)</f>
        <v>401</v>
      </c>
      <c r="L36" s="45" t="s">
        <v>73</v>
      </c>
      <c r="M36" s="46" t="s">
        <v>22</v>
      </c>
      <c r="N36" s="47" t="s">
        <v>13</v>
      </c>
      <c r="O36" s="48">
        <f>ROUNDDOWN(O31*(1-O35),0)</f>
        <v>4374</v>
      </c>
    </row>
    <row r="38" spans="2:15" x14ac:dyDescent="0.35">
      <c r="B38" s="45" t="s">
        <v>74</v>
      </c>
      <c r="C38" s="46"/>
      <c r="D38" s="47" t="s">
        <v>13</v>
      </c>
      <c r="E38" s="48">
        <f>J38+O38</f>
        <v>4775</v>
      </c>
      <c r="G38" s="45" t="s">
        <v>74</v>
      </c>
      <c r="H38" s="46"/>
      <c r="I38" s="47" t="s">
        <v>13</v>
      </c>
      <c r="J38" s="48">
        <f>IF(J36&gt;10000,((10000/$E$6)*J6),J36)</f>
        <v>401</v>
      </c>
      <c r="L38" s="45" t="s">
        <v>74</v>
      </c>
      <c r="M38" s="46"/>
      <c r="N38" s="47" t="s">
        <v>13</v>
      </c>
      <c r="O38" s="48">
        <f>IF(O36&gt;10000,((10000/$E$6)*O6),O36)</f>
        <v>4374</v>
      </c>
    </row>
    <row r="40" spans="2:15" x14ac:dyDescent="0.35">
      <c r="B40"/>
      <c r="G40" t="s">
        <v>75</v>
      </c>
      <c r="L40" t="s">
        <v>75</v>
      </c>
    </row>
    <row r="42" spans="2:15" x14ac:dyDescent="0.35">
      <c r="G42" s="11"/>
    </row>
    <row r="43" spans="2:15" x14ac:dyDescent="0.35">
      <c r="G43" s="11"/>
      <c r="H43" s="11"/>
    </row>
    <row r="44" spans="2:15" x14ac:dyDescent="0.35">
      <c r="G44" s="11"/>
    </row>
    <row r="46" spans="2:15" x14ac:dyDescent="0.35">
      <c r="G46" s="35"/>
    </row>
    <row r="47" spans="2:15" x14ac:dyDescent="0.35">
      <c r="K47" s="35"/>
    </row>
  </sheetData>
  <mergeCells count="18">
    <mergeCell ref="B2:E2"/>
    <mergeCell ref="G2:J2"/>
    <mergeCell ref="L2:O2"/>
    <mergeCell ref="B4:E4"/>
    <mergeCell ref="G4:J4"/>
    <mergeCell ref="L4:O4"/>
    <mergeCell ref="B12:E12"/>
    <mergeCell ref="G12:J12"/>
    <mergeCell ref="L12:O12"/>
    <mergeCell ref="B20:E20"/>
    <mergeCell ref="G20:J20"/>
    <mergeCell ref="L20:O20"/>
    <mergeCell ref="B26:E26"/>
    <mergeCell ref="G26:J26"/>
    <mergeCell ref="L26:O26"/>
    <mergeCell ref="B33:E33"/>
    <mergeCell ref="G33:J33"/>
    <mergeCell ref="L33:O33"/>
  </mergeCells>
  <pageMargins left="0.7" right="0.7" top="0.75" bottom="0.75" header="0.3" footer="0.3"/>
  <pageSetup paperSize="9" orientation="portrait" r:id="rId1"/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846D5-663A-411B-BDBA-C74B3AC709EB}">
  <dimension ref="B2:L26"/>
  <sheetViews>
    <sheetView zoomScale="80" zoomScaleNormal="80" workbookViewId="0">
      <selection activeCell="J12" sqref="J12"/>
    </sheetView>
  </sheetViews>
  <sheetFormatPr defaultRowHeight="14.5" x14ac:dyDescent="0.35"/>
  <cols>
    <col min="5" max="5" width="11.453125" customWidth="1"/>
    <col min="6" max="6" width="22.81640625" customWidth="1"/>
    <col min="7" max="7" width="20.54296875" customWidth="1"/>
    <col min="8" max="8" width="43.54296875" customWidth="1"/>
    <col min="9" max="10" width="30.1796875" customWidth="1"/>
    <col min="11" max="11" width="42.81640625" customWidth="1"/>
  </cols>
  <sheetData>
    <row r="2" spans="2:12" x14ac:dyDescent="0.35">
      <c r="B2" s="267"/>
      <c r="C2" s="268"/>
      <c r="D2" s="466" t="s">
        <v>77</v>
      </c>
      <c r="E2" s="500" t="s">
        <v>78</v>
      </c>
      <c r="F2" s="500" t="s">
        <v>227</v>
      </c>
      <c r="G2" s="468" t="s">
        <v>228</v>
      </c>
      <c r="H2" s="498" t="s">
        <v>229</v>
      </c>
      <c r="I2" s="407" t="s">
        <v>230</v>
      </c>
      <c r="J2" s="408"/>
      <c r="K2" s="408"/>
      <c r="L2" s="269"/>
    </row>
    <row r="3" spans="2:12" ht="29.25" customHeight="1" x14ac:dyDescent="0.35">
      <c r="B3" s="270" t="s">
        <v>225</v>
      </c>
      <c r="C3" s="270" t="s">
        <v>226</v>
      </c>
      <c r="D3" s="467"/>
      <c r="E3" s="501"/>
      <c r="F3" s="501"/>
      <c r="G3" s="469"/>
      <c r="H3" s="498"/>
      <c r="I3" s="195">
        <v>2020</v>
      </c>
      <c r="J3" s="195">
        <v>2021</v>
      </c>
      <c r="K3" s="195" t="s">
        <v>360</v>
      </c>
    </row>
    <row r="4" spans="2:12" ht="27.65" customHeight="1" x14ac:dyDescent="0.35">
      <c r="B4" s="499" t="s">
        <v>327</v>
      </c>
      <c r="C4" s="459">
        <v>129</v>
      </c>
      <c r="D4" s="71" t="s">
        <v>328</v>
      </c>
      <c r="E4" s="71" t="s">
        <v>329</v>
      </c>
      <c r="F4" s="166"/>
      <c r="G4" s="166"/>
      <c r="H4" s="198"/>
      <c r="I4" s="5"/>
      <c r="J4" s="5"/>
      <c r="K4" s="5">
        <f>I4+J4</f>
        <v>0</v>
      </c>
    </row>
    <row r="5" spans="2:12" ht="20.5" customHeight="1" x14ac:dyDescent="0.35">
      <c r="B5" s="499"/>
      <c r="C5" s="459"/>
      <c r="D5" s="71" t="s">
        <v>330</v>
      </c>
      <c r="E5" s="71" t="s">
        <v>331</v>
      </c>
      <c r="F5" s="166"/>
      <c r="G5" s="166"/>
      <c r="H5" s="198"/>
      <c r="I5" s="5"/>
      <c r="J5" s="165"/>
      <c r="K5" s="5">
        <f t="shared" ref="K5:K16" si="0">I5+J5</f>
        <v>0</v>
      </c>
    </row>
    <row r="6" spans="2:12" ht="30" customHeight="1" x14ac:dyDescent="0.35">
      <c r="B6" s="499"/>
      <c r="C6" s="459"/>
      <c r="D6" s="71" t="s">
        <v>332</v>
      </c>
      <c r="E6" s="71" t="s">
        <v>333</v>
      </c>
      <c r="F6" s="271">
        <v>44353</v>
      </c>
      <c r="G6" s="271">
        <v>44356</v>
      </c>
      <c r="H6" s="272" t="s">
        <v>234</v>
      </c>
      <c r="I6" s="5"/>
      <c r="J6" s="165">
        <f>G6-F6+1</f>
        <v>4</v>
      </c>
      <c r="K6" s="5">
        <f t="shared" si="0"/>
        <v>4</v>
      </c>
    </row>
    <row r="7" spans="2:12" ht="24" customHeight="1" x14ac:dyDescent="0.35">
      <c r="B7" s="499"/>
      <c r="C7" s="459"/>
      <c r="D7" s="71" t="s">
        <v>334</v>
      </c>
      <c r="E7" s="71" t="s">
        <v>335</v>
      </c>
      <c r="F7" s="273"/>
      <c r="G7" s="273"/>
      <c r="H7" s="272"/>
      <c r="I7" s="5"/>
      <c r="J7" s="165"/>
      <c r="K7" s="5">
        <f t="shared" si="0"/>
        <v>0</v>
      </c>
    </row>
    <row r="8" spans="2:12" ht="15.5" x14ac:dyDescent="0.35">
      <c r="B8" s="499"/>
      <c r="C8" s="459"/>
      <c r="D8" s="58" t="s">
        <v>336</v>
      </c>
      <c r="E8" s="71" t="s">
        <v>337</v>
      </c>
      <c r="F8" s="5"/>
      <c r="G8" s="5"/>
      <c r="H8" s="5"/>
      <c r="I8" s="5"/>
      <c r="J8" s="165"/>
      <c r="K8" s="5">
        <f t="shared" si="0"/>
        <v>0</v>
      </c>
    </row>
    <row r="9" spans="2:12" ht="15.5" x14ac:dyDescent="0.35">
      <c r="B9" s="499"/>
      <c r="C9" s="459"/>
      <c r="D9" s="71" t="s">
        <v>338</v>
      </c>
      <c r="E9" s="71" t="s">
        <v>339</v>
      </c>
      <c r="F9" s="5"/>
      <c r="G9" s="5"/>
      <c r="H9" s="5"/>
      <c r="I9" s="5"/>
      <c r="J9" s="165"/>
      <c r="K9" s="5">
        <f t="shared" si="0"/>
        <v>0</v>
      </c>
    </row>
    <row r="10" spans="2:12" ht="15.5" x14ac:dyDescent="0.35">
      <c r="B10" s="499"/>
      <c r="C10" s="459"/>
      <c r="D10" s="71" t="s">
        <v>340</v>
      </c>
      <c r="E10" s="71" t="s">
        <v>341</v>
      </c>
      <c r="F10" s="271">
        <v>44356</v>
      </c>
      <c r="G10" s="271">
        <v>44360</v>
      </c>
      <c r="H10" s="165" t="s">
        <v>299</v>
      </c>
      <c r="I10" s="5"/>
      <c r="J10" s="372">
        <f>G10-F10+1</f>
        <v>5</v>
      </c>
      <c r="K10" s="5">
        <f t="shared" si="0"/>
        <v>5</v>
      </c>
    </row>
    <row r="11" spans="2:12" ht="15.5" x14ac:dyDescent="0.35">
      <c r="B11" s="499"/>
      <c r="C11" s="459"/>
      <c r="D11" s="71" t="s">
        <v>342</v>
      </c>
      <c r="E11" s="71" t="s">
        <v>343</v>
      </c>
      <c r="F11" s="5"/>
      <c r="G11" s="5"/>
      <c r="H11" s="5"/>
      <c r="I11" s="5"/>
      <c r="J11" s="165"/>
      <c r="K11" s="5">
        <f t="shared" si="0"/>
        <v>0</v>
      </c>
    </row>
    <row r="12" spans="2:12" ht="15.5" x14ac:dyDescent="0.35">
      <c r="B12" s="499"/>
      <c r="C12" s="459"/>
      <c r="D12" s="71" t="s">
        <v>344</v>
      </c>
      <c r="E12" s="71" t="s">
        <v>345</v>
      </c>
      <c r="F12" s="274">
        <v>44364</v>
      </c>
      <c r="G12" s="274">
        <v>44367</v>
      </c>
      <c r="H12" s="272" t="s">
        <v>234</v>
      </c>
      <c r="I12" s="5"/>
      <c r="J12" s="372">
        <f>G12-F12+1</f>
        <v>4</v>
      </c>
      <c r="K12" s="5">
        <f t="shared" si="0"/>
        <v>4</v>
      </c>
    </row>
    <row r="13" spans="2:12" ht="15.5" x14ac:dyDescent="0.35">
      <c r="B13" s="499"/>
      <c r="C13" s="459"/>
      <c r="D13" s="71" t="s">
        <v>346</v>
      </c>
      <c r="E13" s="71" t="s">
        <v>347</v>
      </c>
      <c r="F13" s="5"/>
      <c r="G13" s="5"/>
      <c r="H13" s="5"/>
      <c r="I13" s="5"/>
      <c r="J13" s="5"/>
      <c r="K13" s="5">
        <f t="shared" si="0"/>
        <v>0</v>
      </c>
    </row>
    <row r="14" spans="2:12" ht="15.5" x14ac:dyDescent="0.35">
      <c r="B14" s="499"/>
      <c r="C14" s="459"/>
      <c r="D14" s="71" t="s">
        <v>348</v>
      </c>
      <c r="E14" s="71" t="s">
        <v>349</v>
      </c>
      <c r="F14" s="5"/>
      <c r="G14" s="5"/>
      <c r="H14" s="5"/>
      <c r="I14" s="5"/>
      <c r="J14" s="5"/>
      <c r="K14" s="5">
        <f t="shared" si="0"/>
        <v>0</v>
      </c>
    </row>
    <row r="15" spans="2:12" ht="15.5" x14ac:dyDescent="0.35">
      <c r="B15" s="499"/>
      <c r="C15" s="459"/>
      <c r="D15" s="71" t="s">
        <v>350</v>
      </c>
      <c r="E15" s="71" t="s">
        <v>351</v>
      </c>
      <c r="F15" s="5"/>
      <c r="G15" s="5"/>
      <c r="H15" s="5"/>
      <c r="I15" s="5"/>
      <c r="J15" s="5"/>
      <c r="K15" s="5">
        <f t="shared" si="0"/>
        <v>0</v>
      </c>
    </row>
    <row r="16" spans="2:12" ht="15.5" x14ac:dyDescent="0.35">
      <c r="B16" s="499"/>
      <c r="C16" s="459"/>
      <c r="D16" s="71" t="s">
        <v>352</v>
      </c>
      <c r="E16" s="71" t="s">
        <v>353</v>
      </c>
      <c r="F16" s="5"/>
      <c r="G16" s="5"/>
      <c r="H16" s="5"/>
      <c r="I16" s="5"/>
      <c r="J16" s="5"/>
      <c r="K16" s="5">
        <f t="shared" si="0"/>
        <v>0</v>
      </c>
    </row>
    <row r="17" spans="2:11" x14ac:dyDescent="0.35">
      <c r="B17" s="275" t="s">
        <v>23</v>
      </c>
      <c r="C17" s="276"/>
      <c r="D17" s="277"/>
      <c r="E17" s="277"/>
      <c r="F17" s="278"/>
      <c r="G17" s="279"/>
      <c r="H17" s="279"/>
      <c r="I17" s="275">
        <f t="shared" ref="I17:J17" si="1">SUM(I4:I16)</f>
        <v>0</v>
      </c>
      <c r="J17" s="275">
        <f t="shared" si="1"/>
        <v>13</v>
      </c>
      <c r="K17" s="275">
        <f>SUM(K4:K16)</f>
        <v>13</v>
      </c>
    </row>
    <row r="26" spans="2:11" x14ac:dyDescent="0.35">
      <c r="D26">
        <f>'VPA 129 Downdays'!K17</f>
        <v>13</v>
      </c>
    </row>
  </sheetData>
  <mergeCells count="8">
    <mergeCell ref="G2:G3"/>
    <mergeCell ref="H2:H3"/>
    <mergeCell ref="I2:K2"/>
    <mergeCell ref="B4:B16"/>
    <mergeCell ref="C4:C16"/>
    <mergeCell ref="D2:D3"/>
    <mergeCell ref="E2:E3"/>
    <mergeCell ref="F2:F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FAB59-6718-44A9-8DE4-E903C25BE518}">
  <dimension ref="A2:E23"/>
  <sheetViews>
    <sheetView topLeftCell="B1" zoomScale="64" zoomScaleNormal="85" workbookViewId="0">
      <selection activeCell="C18" sqref="C18"/>
    </sheetView>
  </sheetViews>
  <sheetFormatPr defaultRowHeight="14.5" x14ac:dyDescent="0.35"/>
  <cols>
    <col min="1" max="1" width="32.26953125" bestFit="1" customWidth="1"/>
    <col min="2" max="2" width="120" bestFit="1" customWidth="1"/>
    <col min="3" max="3" width="35" bestFit="1" customWidth="1"/>
    <col min="4" max="4" width="10.453125" bestFit="1" customWidth="1"/>
  </cols>
  <sheetData>
    <row r="2" spans="1:5" ht="29" x14ac:dyDescent="0.35">
      <c r="A2" s="108" t="s">
        <v>138</v>
      </c>
      <c r="B2" s="108" t="s">
        <v>139</v>
      </c>
      <c r="C2" s="108" t="s">
        <v>140</v>
      </c>
      <c r="D2" s="108" t="s">
        <v>141</v>
      </c>
      <c r="E2" s="174" t="s">
        <v>182</v>
      </c>
    </row>
    <row r="3" spans="1:5" x14ac:dyDescent="0.35">
      <c r="A3" s="62" t="s">
        <v>142</v>
      </c>
      <c r="B3" s="5" t="s">
        <v>143</v>
      </c>
      <c r="C3" s="175">
        <f>((C4-C5)/C4)*C9</f>
        <v>0.92269999999999996</v>
      </c>
      <c r="D3" s="5" t="s">
        <v>144</v>
      </c>
      <c r="E3" s="174"/>
    </row>
    <row r="4" spans="1:5" x14ac:dyDescent="0.35">
      <c r="A4" s="5" t="s">
        <v>145</v>
      </c>
      <c r="B4" s="5" t="s">
        <v>146</v>
      </c>
      <c r="C4" s="110">
        <f>C6*C7</f>
        <v>3.0000000000000001E-3</v>
      </c>
      <c r="D4" s="5" t="s">
        <v>147</v>
      </c>
      <c r="E4" s="174"/>
    </row>
    <row r="5" spans="1:5" x14ac:dyDescent="0.35">
      <c r="A5" s="74" t="s">
        <v>148</v>
      </c>
      <c r="B5" s="5" t="s">
        <v>149</v>
      </c>
      <c r="C5" s="111">
        <f>C6*C8</f>
        <v>0</v>
      </c>
      <c r="D5" s="5" t="s">
        <v>150</v>
      </c>
      <c r="E5" s="174"/>
    </row>
    <row r="6" spans="1:5" ht="29" x14ac:dyDescent="0.35">
      <c r="A6" s="5" t="s">
        <v>42</v>
      </c>
      <c r="B6" s="5" t="s">
        <v>151</v>
      </c>
      <c r="C6" s="112">
        <v>4.0000000000000002E-4</v>
      </c>
      <c r="D6" s="5" t="s">
        <v>152</v>
      </c>
      <c r="E6" s="176" t="s">
        <v>185</v>
      </c>
    </row>
    <row r="7" spans="1:5" ht="87" x14ac:dyDescent="0.35">
      <c r="A7" s="5" t="s">
        <v>45</v>
      </c>
      <c r="B7" s="5" t="s">
        <v>153</v>
      </c>
      <c r="C7" s="111">
        <v>7.5</v>
      </c>
      <c r="D7" s="5" t="s">
        <v>154</v>
      </c>
      <c r="E7" s="176" t="s">
        <v>186</v>
      </c>
    </row>
    <row r="8" spans="1:5" x14ac:dyDescent="0.35">
      <c r="A8" s="5" t="s">
        <v>155</v>
      </c>
      <c r="B8" s="5" t="s">
        <v>156</v>
      </c>
      <c r="C8" s="111">
        <v>0</v>
      </c>
      <c r="D8" s="5" t="s">
        <v>154</v>
      </c>
      <c r="E8" s="176" t="s">
        <v>187</v>
      </c>
    </row>
    <row r="9" spans="1:5" ht="15.75" customHeight="1" x14ac:dyDescent="0.45">
      <c r="A9" s="5" t="s">
        <v>157</v>
      </c>
      <c r="B9" s="5" t="s">
        <v>158</v>
      </c>
      <c r="C9" s="177">
        <f>C20</f>
        <v>0.92269999999999996</v>
      </c>
      <c r="D9" s="5" t="s">
        <v>144</v>
      </c>
      <c r="E9" s="176" t="s">
        <v>190</v>
      </c>
    </row>
    <row r="10" spans="1:5" x14ac:dyDescent="0.35">
      <c r="E10" s="174"/>
    </row>
    <row r="11" spans="1:5" x14ac:dyDescent="0.35">
      <c r="A11" s="108" t="s">
        <v>159</v>
      </c>
      <c r="B11" s="108" t="s">
        <v>139</v>
      </c>
      <c r="C11" s="108" t="s">
        <v>160</v>
      </c>
      <c r="D11" s="108" t="s">
        <v>141</v>
      </c>
      <c r="E11" s="174"/>
    </row>
    <row r="12" spans="1:5" x14ac:dyDescent="0.35">
      <c r="A12" s="37" t="s">
        <v>161</v>
      </c>
      <c r="B12" s="5" t="s">
        <v>162</v>
      </c>
      <c r="C12" s="115">
        <f>(C13-C14)</f>
        <v>1.2899999999999998</v>
      </c>
      <c r="D12" s="5" t="s">
        <v>163</v>
      </c>
      <c r="E12" s="174"/>
    </row>
    <row r="13" spans="1:5" ht="29" x14ac:dyDescent="0.35">
      <c r="A13" s="37" t="s">
        <v>164</v>
      </c>
      <c r="B13" s="5" t="s">
        <v>165</v>
      </c>
      <c r="C13" s="5">
        <v>2.2599999999999998</v>
      </c>
      <c r="D13" s="5" t="s">
        <v>163</v>
      </c>
      <c r="E13" s="176" t="s">
        <v>237</v>
      </c>
    </row>
    <row r="14" spans="1:5" ht="29" x14ac:dyDescent="0.35">
      <c r="A14" s="37" t="s">
        <v>166</v>
      </c>
      <c r="B14" s="5" t="s">
        <v>167</v>
      </c>
      <c r="C14" s="5">
        <v>0.97</v>
      </c>
      <c r="D14" s="5" t="s">
        <v>163</v>
      </c>
      <c r="E14" s="176" t="s">
        <v>238</v>
      </c>
    </row>
    <row r="15" spans="1:5" x14ac:dyDescent="0.35">
      <c r="E15" s="174"/>
    </row>
    <row r="16" spans="1:5" x14ac:dyDescent="0.35">
      <c r="A16" s="108" t="s">
        <v>168</v>
      </c>
      <c r="B16" s="108" t="s">
        <v>139</v>
      </c>
      <c r="C16" s="108" t="s">
        <v>169</v>
      </c>
      <c r="D16" s="108" t="s">
        <v>141</v>
      </c>
      <c r="E16" s="174"/>
    </row>
    <row r="17" spans="1:5" x14ac:dyDescent="0.35">
      <c r="A17" s="37" t="s">
        <v>170</v>
      </c>
      <c r="B17" s="5" t="s">
        <v>171</v>
      </c>
      <c r="C17" s="116">
        <f>C18*(1-C19)*C20</f>
        <v>3401.0722000000001</v>
      </c>
      <c r="D17" s="5" t="s">
        <v>172</v>
      </c>
      <c r="E17" s="174"/>
    </row>
    <row r="18" spans="1:5" x14ac:dyDescent="0.35">
      <c r="A18" s="37" t="s">
        <v>173</v>
      </c>
      <c r="B18" s="5" t="s">
        <v>174</v>
      </c>
      <c r="C18" s="117">
        <f>'VPA 129 PTDs'!J16</f>
        <v>3686</v>
      </c>
      <c r="D18" s="5" t="s">
        <v>172</v>
      </c>
      <c r="E18" s="174" t="s">
        <v>239</v>
      </c>
    </row>
    <row r="19" spans="1:5" ht="29" x14ac:dyDescent="0.35">
      <c r="A19" s="37" t="s">
        <v>38</v>
      </c>
      <c r="B19" s="5" t="s">
        <v>175</v>
      </c>
      <c r="C19" s="118">
        <v>0</v>
      </c>
      <c r="D19" s="5" t="s">
        <v>144</v>
      </c>
      <c r="E19" s="174" t="s">
        <v>237</v>
      </c>
    </row>
    <row r="20" spans="1:5" ht="73.5" x14ac:dyDescent="0.45">
      <c r="A20" s="37" t="s">
        <v>157</v>
      </c>
      <c r="B20" s="5" t="s">
        <v>158</v>
      </c>
      <c r="C20" s="177">
        <v>0.92269999999999996</v>
      </c>
      <c r="D20" s="5" t="s">
        <v>144</v>
      </c>
      <c r="E20" s="174" t="s">
        <v>190</v>
      </c>
    </row>
    <row r="21" spans="1:5" x14ac:dyDescent="0.35">
      <c r="E21" s="174"/>
    </row>
    <row r="22" spans="1:5" x14ac:dyDescent="0.35">
      <c r="A22" s="119" t="s">
        <v>176</v>
      </c>
      <c r="B22" s="108" t="s">
        <v>139</v>
      </c>
      <c r="C22" s="108"/>
      <c r="D22" s="108" t="s">
        <v>141</v>
      </c>
      <c r="E22" s="174"/>
    </row>
    <row r="23" spans="1:5" x14ac:dyDescent="0.35">
      <c r="A23" s="37" t="s">
        <v>177</v>
      </c>
      <c r="B23" s="5" t="s">
        <v>178</v>
      </c>
      <c r="C23" s="120">
        <f>'VPA 129 Summary'!E34</f>
        <v>6380</v>
      </c>
      <c r="D23" s="5" t="s">
        <v>179</v>
      </c>
      <c r="E23" s="174" t="s">
        <v>240</v>
      </c>
    </row>
  </sheetData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DD8EB-5A40-4E8C-A637-0CC74D5CF408}">
  <dimension ref="B1:M36"/>
  <sheetViews>
    <sheetView topLeftCell="A19" zoomScale="77" workbookViewId="0">
      <selection activeCell="E22" sqref="E22"/>
    </sheetView>
  </sheetViews>
  <sheetFormatPr defaultColWidth="9.1796875" defaultRowHeight="14.5" x14ac:dyDescent="0.35"/>
  <cols>
    <col min="1" max="1" width="9.1796875" style="1"/>
    <col min="2" max="2" width="41.81640625" style="1" bestFit="1" customWidth="1"/>
    <col min="3" max="3" width="5.81640625" style="1" bestFit="1" customWidth="1"/>
    <col min="4" max="4" width="11" style="1" bestFit="1" customWidth="1"/>
    <col min="5" max="5" width="8.81640625" style="1" customWidth="1"/>
    <col min="6" max="7" width="9.1796875" style="1"/>
    <col min="8" max="8" width="3.26953125" style="1" customWidth="1"/>
    <col min="9" max="9" width="9.54296875" style="1" customWidth="1"/>
    <col min="10" max="11" width="17.54296875" style="1" customWidth="1"/>
    <col min="12" max="12" width="12.1796875" style="1" customWidth="1"/>
    <col min="13" max="16384" width="9.1796875" style="1"/>
  </cols>
  <sheetData>
    <row r="1" spans="2:13" ht="15" thickBot="1" x14ac:dyDescent="0.4"/>
    <row r="2" spans="2:13" ht="18.75" customHeight="1" thickBot="1" x14ac:dyDescent="0.5">
      <c r="B2" s="377" t="s">
        <v>180</v>
      </c>
      <c r="C2" s="378"/>
      <c r="D2" s="378"/>
      <c r="E2" s="379"/>
      <c r="F2" s="2"/>
      <c r="G2" s="2"/>
      <c r="H2" s="2"/>
      <c r="I2" s="377" t="s">
        <v>1</v>
      </c>
      <c r="J2" s="378"/>
      <c r="K2" s="378"/>
      <c r="L2" s="379"/>
    </row>
    <row r="3" spans="2:13" ht="15" thickBot="1" x14ac:dyDescent="0.4">
      <c r="B3" s="2"/>
      <c r="C3" s="2"/>
      <c r="D3" s="2"/>
      <c r="E3" s="2"/>
      <c r="F3" s="2"/>
      <c r="G3" s="2"/>
      <c r="H3" s="2"/>
      <c r="I3" s="2"/>
      <c r="J3" s="2"/>
      <c r="K3" s="2"/>
    </row>
    <row r="4" spans="2:13" ht="15" customHeight="1" x14ac:dyDescent="0.35">
      <c r="B4" s="380" t="s">
        <v>2</v>
      </c>
      <c r="C4" s="381"/>
      <c r="D4" s="381"/>
      <c r="E4" s="382"/>
      <c r="G4" s="2"/>
      <c r="H4" s="2"/>
      <c r="I4" s="383" t="s">
        <v>3</v>
      </c>
      <c r="J4" s="384"/>
      <c r="K4" s="384"/>
      <c r="L4" s="385"/>
    </row>
    <row r="5" spans="2:13" x14ac:dyDescent="0.35">
      <c r="B5" s="386" t="s">
        <v>4</v>
      </c>
      <c r="C5" s="387"/>
      <c r="D5" s="387"/>
      <c r="E5" s="388"/>
      <c r="G5" s="2"/>
      <c r="H5" s="2"/>
      <c r="I5" s="3" t="s">
        <v>5</v>
      </c>
      <c r="J5" s="3" t="s">
        <v>181</v>
      </c>
      <c r="K5" s="3" t="s">
        <v>7</v>
      </c>
      <c r="L5" s="3" t="s">
        <v>10</v>
      </c>
    </row>
    <row r="6" spans="2:13" x14ac:dyDescent="0.35">
      <c r="B6" s="4" t="s">
        <v>11</v>
      </c>
      <c r="C6" s="5" t="s">
        <v>12</v>
      </c>
      <c r="D6" s="5" t="s">
        <v>13</v>
      </c>
      <c r="E6" s="6">
        <f>'VPA 130 ER Calcs'!J27</f>
        <v>530</v>
      </c>
      <c r="G6" s="2"/>
      <c r="H6" s="2"/>
      <c r="I6" s="7">
        <v>2020</v>
      </c>
      <c r="J6" s="236">
        <f>E34</f>
        <v>479</v>
      </c>
      <c r="K6" s="236">
        <f>E15</f>
        <v>479</v>
      </c>
      <c r="L6" s="280">
        <f>SUM(J6:K6)</f>
        <v>958</v>
      </c>
    </row>
    <row r="7" spans="2:13" x14ac:dyDescent="0.35">
      <c r="B7" s="4" t="s">
        <v>14</v>
      </c>
      <c r="C7" s="5" t="s">
        <v>15</v>
      </c>
      <c r="D7" s="5" t="s">
        <v>13</v>
      </c>
      <c r="E7" s="6">
        <f>'VPA 130 ER Calcs'!J28</f>
        <v>0</v>
      </c>
      <c r="G7" s="2"/>
      <c r="H7" s="2"/>
      <c r="I7" s="281">
        <v>2021</v>
      </c>
      <c r="J7" s="282"/>
      <c r="K7" s="282">
        <f>E29</f>
        <v>5209</v>
      </c>
      <c r="L7" s="282">
        <f>SUM(J7:K7)</f>
        <v>5209</v>
      </c>
      <c r="M7" s="11"/>
    </row>
    <row r="8" spans="2:13" x14ac:dyDescent="0.35">
      <c r="B8" s="4" t="s">
        <v>16</v>
      </c>
      <c r="C8" s="5" t="s">
        <v>17</v>
      </c>
      <c r="D8" s="5" t="s">
        <v>18</v>
      </c>
      <c r="E8" s="238">
        <v>0.92</v>
      </c>
      <c r="G8" s="2"/>
      <c r="H8" s="2"/>
      <c r="I8" s="126" t="s">
        <v>23</v>
      </c>
      <c r="J8" s="127">
        <f>SUM(J6)</f>
        <v>479</v>
      </c>
      <c r="K8" s="127">
        <f>SUM(K6:K7)</f>
        <v>5688</v>
      </c>
      <c r="L8" s="127">
        <f>SUM(L6:L7)</f>
        <v>6167</v>
      </c>
      <c r="M8" s="2"/>
    </row>
    <row r="9" spans="2:13" x14ac:dyDescent="0.35">
      <c r="B9" s="4" t="s">
        <v>19</v>
      </c>
      <c r="C9" s="5" t="s">
        <v>20</v>
      </c>
      <c r="D9" s="5" t="s">
        <v>13</v>
      </c>
      <c r="E9" s="6">
        <f>'VPA 130 ER Calcs'!J30</f>
        <v>0</v>
      </c>
      <c r="G9" s="2"/>
      <c r="H9" s="2"/>
    </row>
    <row r="10" spans="2:13" x14ac:dyDescent="0.35">
      <c r="B10" s="4" t="s">
        <v>21</v>
      </c>
      <c r="C10" s="5" t="s">
        <v>22</v>
      </c>
      <c r="D10" s="5" t="s">
        <v>13</v>
      </c>
      <c r="E10" s="6">
        <f>'VPA 130 ER Calcs'!J31</f>
        <v>489.03100000000001</v>
      </c>
      <c r="G10" s="2"/>
      <c r="H10" s="2"/>
    </row>
    <row r="11" spans="2:13" x14ac:dyDescent="0.35">
      <c r="B11" s="386" t="s">
        <v>24</v>
      </c>
      <c r="C11" s="387"/>
      <c r="D11" s="387"/>
      <c r="E11" s="388"/>
      <c r="G11" s="2"/>
      <c r="H11" s="2"/>
      <c r="I11" s="2"/>
      <c r="J11" s="2"/>
      <c r="K11" s="2"/>
    </row>
    <row r="12" spans="2:13" x14ac:dyDescent="0.35">
      <c r="B12" s="22" t="s">
        <v>25</v>
      </c>
      <c r="C12" s="5"/>
      <c r="D12" s="23"/>
      <c r="E12" s="24">
        <f>'VPA 130 ER Calcs'!J34</f>
        <v>0.98</v>
      </c>
      <c r="G12" s="2"/>
      <c r="H12" s="2"/>
      <c r="I12" s="2"/>
      <c r="J12" s="2"/>
      <c r="K12" s="2"/>
    </row>
    <row r="13" spans="2:13" x14ac:dyDescent="0.35">
      <c r="B13" s="22" t="s">
        <v>26</v>
      </c>
      <c r="C13" s="5" t="s">
        <v>27</v>
      </c>
      <c r="D13" s="23" t="s">
        <v>28</v>
      </c>
      <c r="E13" s="24">
        <f>'VPA 130 ER Calcs'!J35</f>
        <v>2.0000000000000018E-2</v>
      </c>
      <c r="G13" s="2"/>
      <c r="H13" s="2"/>
      <c r="I13" s="2"/>
      <c r="J13" s="2"/>
      <c r="K13" s="2"/>
    </row>
    <row r="14" spans="2:13" ht="15" thickBot="1" x14ac:dyDescent="0.4">
      <c r="B14" s="25" t="s">
        <v>21</v>
      </c>
      <c r="C14" s="26" t="s">
        <v>29</v>
      </c>
      <c r="D14" s="26" t="s">
        <v>13</v>
      </c>
      <c r="E14" s="27">
        <f>'VPA 130 ER Calcs'!J36</f>
        <v>479</v>
      </c>
      <c r="G14" s="2"/>
      <c r="H14" s="2"/>
      <c r="I14" s="2"/>
      <c r="J14" s="2"/>
      <c r="K14" s="2"/>
    </row>
    <row r="15" spans="2:13" ht="15" thickBot="1" x14ac:dyDescent="0.4">
      <c r="B15" s="25" t="s">
        <v>30</v>
      </c>
      <c r="C15" s="26" t="s">
        <v>29</v>
      </c>
      <c r="D15" s="26" t="s">
        <v>13</v>
      </c>
      <c r="E15" s="27">
        <f>'VPA 130 ER Calcs'!J38</f>
        <v>479</v>
      </c>
      <c r="G15" s="2"/>
      <c r="H15" s="2"/>
      <c r="I15" s="2"/>
      <c r="J15" s="2"/>
      <c r="K15" s="2"/>
    </row>
    <row r="16" spans="2:13" x14ac:dyDescent="0.35">
      <c r="B16" s="257"/>
      <c r="C16" s="257"/>
      <c r="D16" s="257"/>
      <c r="E16" s="283"/>
      <c r="G16" s="2"/>
      <c r="H16" s="2"/>
      <c r="I16" s="2"/>
      <c r="J16" s="2"/>
      <c r="K16" s="2"/>
    </row>
    <row r="17" spans="2:11" ht="15" thickBot="1" x14ac:dyDescent="0.4">
      <c r="B17" s="257"/>
      <c r="C17" s="257"/>
      <c r="D17" s="257"/>
      <c r="E17" s="283"/>
      <c r="G17" s="2"/>
      <c r="H17" s="2"/>
      <c r="I17" s="2"/>
      <c r="J17" s="2"/>
      <c r="K17" s="2"/>
    </row>
    <row r="18" spans="2:11" x14ac:dyDescent="0.35">
      <c r="B18" s="380" t="s">
        <v>35</v>
      </c>
      <c r="C18" s="381"/>
      <c r="D18" s="381"/>
      <c r="E18" s="382"/>
      <c r="G18" s="2"/>
      <c r="H18" s="2"/>
      <c r="I18" s="2"/>
      <c r="J18" s="2"/>
      <c r="K18" s="2"/>
    </row>
    <row r="19" spans="2:11" x14ac:dyDescent="0.35">
      <c r="B19" s="386" t="s">
        <v>4</v>
      </c>
      <c r="C19" s="387"/>
      <c r="D19" s="387"/>
      <c r="E19" s="388"/>
      <c r="G19" s="2"/>
      <c r="H19" s="2"/>
      <c r="I19" s="2"/>
      <c r="J19" s="2"/>
      <c r="K19" s="2"/>
    </row>
    <row r="20" spans="2:11" x14ac:dyDescent="0.35">
      <c r="B20" s="4" t="s">
        <v>11</v>
      </c>
      <c r="C20" s="5" t="s">
        <v>12</v>
      </c>
      <c r="D20" s="5" t="s">
        <v>13</v>
      </c>
      <c r="E20" s="6">
        <f>'VPA 130 ER Calcs'!O27</f>
        <v>5761</v>
      </c>
      <c r="G20" s="2"/>
      <c r="H20" s="2"/>
      <c r="I20" s="2"/>
      <c r="J20" s="2"/>
      <c r="K20" s="2"/>
    </row>
    <row r="21" spans="2:11" x14ac:dyDescent="0.35">
      <c r="B21" s="4" t="s">
        <v>14</v>
      </c>
      <c r="C21" s="5" t="s">
        <v>15</v>
      </c>
      <c r="D21" s="5" t="s">
        <v>13</v>
      </c>
      <c r="E21" s="6">
        <f>'VPA 130 ER Calcs'!O28</f>
        <v>0</v>
      </c>
      <c r="G21" s="2"/>
      <c r="H21" s="2"/>
      <c r="I21" s="2"/>
      <c r="J21" s="2"/>
      <c r="K21" s="2"/>
    </row>
    <row r="22" spans="2:11" x14ac:dyDescent="0.35">
      <c r="B22" s="4" t="s">
        <v>16</v>
      </c>
      <c r="C22" s="5" t="s">
        <v>17</v>
      </c>
      <c r="D22" s="5" t="s">
        <v>18</v>
      </c>
      <c r="E22" s="12">
        <v>0.92</v>
      </c>
      <c r="G22" s="2"/>
      <c r="H22" s="2"/>
      <c r="I22" s="2"/>
      <c r="J22" s="2"/>
      <c r="K22" s="2"/>
    </row>
    <row r="23" spans="2:11" x14ac:dyDescent="0.35">
      <c r="B23" s="4" t="s">
        <v>19</v>
      </c>
      <c r="C23" s="5" t="s">
        <v>20</v>
      </c>
      <c r="D23" s="5" t="s">
        <v>13</v>
      </c>
      <c r="E23" s="6">
        <f>'VPA 130 ER Calcs'!O30</f>
        <v>0</v>
      </c>
      <c r="G23" s="2"/>
      <c r="H23" s="2"/>
      <c r="I23" s="2"/>
      <c r="J23" s="2"/>
      <c r="K23" s="2"/>
    </row>
    <row r="24" spans="2:11" x14ac:dyDescent="0.35">
      <c r="B24" s="4" t="s">
        <v>21</v>
      </c>
      <c r="C24" s="5" t="s">
        <v>22</v>
      </c>
      <c r="D24" s="5" t="s">
        <v>13</v>
      </c>
      <c r="E24" s="6">
        <f>'VPA 130 ER Calcs'!O31</f>
        <v>5315.6746999999996</v>
      </c>
      <c r="G24" s="2"/>
      <c r="H24" s="2"/>
      <c r="I24" s="2"/>
      <c r="J24" s="2"/>
      <c r="K24" s="2"/>
    </row>
    <row r="25" spans="2:11" x14ac:dyDescent="0.35">
      <c r="B25" s="386" t="s">
        <v>24</v>
      </c>
      <c r="C25" s="387"/>
      <c r="D25" s="387"/>
      <c r="E25" s="388"/>
      <c r="G25" s="2"/>
      <c r="H25" s="2"/>
      <c r="I25" s="2"/>
      <c r="J25" s="2"/>
      <c r="K25" s="2"/>
    </row>
    <row r="26" spans="2:11" x14ac:dyDescent="0.35">
      <c r="B26" s="22" t="s">
        <v>25</v>
      </c>
      <c r="C26" s="5"/>
      <c r="D26" s="23"/>
      <c r="E26" s="24">
        <f>'VPA 130 ER Calcs'!O34</f>
        <v>0.98</v>
      </c>
      <c r="G26" s="2"/>
      <c r="H26" s="2"/>
      <c r="I26" s="2"/>
      <c r="J26" s="2"/>
      <c r="K26" s="2"/>
    </row>
    <row r="27" spans="2:11" x14ac:dyDescent="0.35">
      <c r="B27" s="22" t="s">
        <v>26</v>
      </c>
      <c r="C27" s="5" t="s">
        <v>27</v>
      </c>
      <c r="D27" s="23" t="s">
        <v>28</v>
      </c>
      <c r="E27" s="24">
        <f>'VPA 130 ER Calcs'!O35</f>
        <v>2.0000000000000018E-2</v>
      </c>
      <c r="G27" s="2"/>
      <c r="H27" s="2"/>
      <c r="I27" s="2"/>
      <c r="J27" s="2"/>
      <c r="K27" s="2"/>
    </row>
    <row r="28" spans="2:11" ht="15" thickBot="1" x14ac:dyDescent="0.4">
      <c r="B28" s="25" t="s">
        <v>21</v>
      </c>
      <c r="C28" s="26" t="s">
        <v>29</v>
      </c>
      <c r="D28" s="26" t="s">
        <v>13</v>
      </c>
      <c r="E28" s="27">
        <f>ROUNDDOWN(E24*(1-E27),0)</f>
        <v>5209</v>
      </c>
      <c r="G28" s="2"/>
      <c r="H28" s="2"/>
      <c r="I28" s="2"/>
      <c r="J28" s="2"/>
      <c r="K28" s="2"/>
    </row>
    <row r="29" spans="2:11" ht="15" thickBot="1" x14ac:dyDescent="0.4">
      <c r="B29" s="25" t="s">
        <v>30</v>
      </c>
      <c r="C29" s="26" t="s">
        <v>29</v>
      </c>
      <c r="D29" s="26" t="s">
        <v>13</v>
      </c>
      <c r="E29" s="27">
        <f>'VPA 130 ER Calcs'!O38</f>
        <v>5209</v>
      </c>
      <c r="G29" s="2"/>
      <c r="H29" s="2"/>
      <c r="I29" s="2"/>
      <c r="J29" s="2"/>
      <c r="K29" s="2"/>
    </row>
    <row r="30" spans="2:11" x14ac:dyDescent="0.35">
      <c r="B30" s="284"/>
      <c r="C30" s="284"/>
      <c r="D30" s="284"/>
      <c r="E30" s="283"/>
      <c r="G30" s="2"/>
      <c r="H30" s="2"/>
      <c r="I30" s="2"/>
      <c r="J30" s="2"/>
      <c r="K30" s="2"/>
    </row>
    <row r="31" spans="2:11" ht="15" thickBot="1" x14ac:dyDescent="0.4">
      <c r="B31" s="2"/>
      <c r="C31" s="2"/>
      <c r="D31" s="2"/>
      <c r="E31" s="2"/>
      <c r="F31" s="2"/>
      <c r="G31" s="2"/>
      <c r="H31" s="2"/>
      <c r="I31" s="28"/>
      <c r="J31" s="28"/>
      <c r="K31" s="28"/>
    </row>
    <row r="32" spans="2:11" ht="15.5" x14ac:dyDescent="0.35">
      <c r="B32" s="422" t="s">
        <v>325</v>
      </c>
      <c r="C32" s="423"/>
      <c r="D32" s="423"/>
      <c r="E32" s="424"/>
      <c r="F32" s="2"/>
      <c r="G32" s="2"/>
      <c r="H32" s="2"/>
      <c r="I32" s="2"/>
      <c r="J32" s="2"/>
      <c r="K32" s="2"/>
    </row>
    <row r="33" spans="2:11" x14ac:dyDescent="0.35">
      <c r="B33" s="425" t="s">
        <v>4</v>
      </c>
      <c r="C33" s="426"/>
      <c r="D33" s="426"/>
      <c r="E33" s="427"/>
      <c r="F33" s="2"/>
      <c r="G33" s="2"/>
      <c r="H33" s="2"/>
      <c r="I33" s="2"/>
      <c r="J33" s="2"/>
      <c r="K33" s="2"/>
    </row>
    <row r="34" spans="2:11" x14ac:dyDescent="0.35">
      <c r="B34" s="419">
        <v>2020</v>
      </c>
      <c r="C34" s="420"/>
      <c r="D34" s="421"/>
      <c r="E34" s="239">
        <f>E15</f>
        <v>479</v>
      </c>
      <c r="F34" s="2"/>
      <c r="G34" s="2"/>
      <c r="H34" s="2"/>
      <c r="I34" s="2"/>
      <c r="J34" s="2"/>
      <c r="K34" s="2"/>
    </row>
    <row r="35" spans="2:11" x14ac:dyDescent="0.35">
      <c r="B35" s="502">
        <v>2021</v>
      </c>
      <c r="C35" s="502"/>
      <c r="D35" s="502"/>
      <c r="E35" s="240">
        <f>E29</f>
        <v>5209</v>
      </c>
      <c r="F35" s="2"/>
      <c r="G35" s="2"/>
      <c r="H35" s="2"/>
      <c r="I35" s="2"/>
      <c r="J35" s="2"/>
      <c r="K35" s="2"/>
    </row>
    <row r="36" spans="2:11" ht="15" thickBot="1" x14ac:dyDescent="0.4">
      <c r="B36" s="375" t="s">
        <v>326</v>
      </c>
      <c r="C36" s="376"/>
      <c r="D36" s="31"/>
      <c r="E36" s="285">
        <f>SUM(E34:E35)</f>
        <v>5688</v>
      </c>
      <c r="F36" s="2"/>
      <c r="G36" s="2"/>
      <c r="H36" s="2"/>
      <c r="I36" s="2"/>
      <c r="J36" s="2"/>
      <c r="K36" s="2"/>
    </row>
  </sheetData>
  <mergeCells count="14">
    <mergeCell ref="B11:E11"/>
    <mergeCell ref="B2:E2"/>
    <mergeCell ref="I2:L2"/>
    <mergeCell ref="B4:E4"/>
    <mergeCell ref="I4:L4"/>
    <mergeCell ref="B5:E5"/>
    <mergeCell ref="B35:D35"/>
    <mergeCell ref="B36:C36"/>
    <mergeCell ref="B18:E18"/>
    <mergeCell ref="B19:E19"/>
    <mergeCell ref="B25:E25"/>
    <mergeCell ref="B32:E32"/>
    <mergeCell ref="B33:E33"/>
    <mergeCell ref="B34:D34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A2C90-F989-4CBC-B9EC-7787A694B1AA}">
  <dimension ref="B2:O47"/>
  <sheetViews>
    <sheetView topLeftCell="A2" zoomScale="60" zoomScaleNormal="60" workbookViewId="0">
      <selection activeCell="E23" sqref="E23"/>
    </sheetView>
  </sheetViews>
  <sheetFormatPr defaultColWidth="9.1796875" defaultRowHeight="14.5" x14ac:dyDescent="0.35"/>
  <cols>
    <col min="1" max="1" width="9.1796875" style="1"/>
    <col min="2" max="2" width="66.453125" style="1" bestFit="1" customWidth="1"/>
    <col min="3" max="3" width="19.1796875" style="1" bestFit="1" customWidth="1"/>
    <col min="4" max="4" width="12.54296875" style="1" bestFit="1" customWidth="1"/>
    <col min="5" max="5" width="12.81640625" style="1" bestFit="1" customWidth="1"/>
    <col min="6" max="6" width="31.26953125" style="1" customWidth="1"/>
    <col min="7" max="7" width="66.453125" style="1" bestFit="1" customWidth="1"/>
    <col min="8" max="8" width="19.1796875" style="1" bestFit="1" customWidth="1"/>
    <col min="9" max="9" width="12.54296875" style="1" bestFit="1" customWidth="1"/>
    <col min="10" max="10" width="13.1796875" style="1" bestFit="1" customWidth="1"/>
    <col min="11" max="11" width="12.81640625" style="1" bestFit="1" customWidth="1"/>
    <col min="12" max="12" width="41.81640625" style="1" customWidth="1"/>
    <col min="13" max="13" width="24.453125" style="1" customWidth="1"/>
    <col min="14" max="14" width="9.1796875" style="1"/>
    <col min="15" max="15" width="23.54296875" style="1" customWidth="1"/>
    <col min="16" max="16384" width="9.1796875" style="1"/>
  </cols>
  <sheetData>
    <row r="2" spans="2:15" x14ac:dyDescent="0.35">
      <c r="B2" s="392" t="s">
        <v>34</v>
      </c>
      <c r="C2" s="392"/>
      <c r="D2" s="392"/>
      <c r="E2" s="392"/>
      <c r="G2" s="392" t="s">
        <v>2</v>
      </c>
      <c r="H2" s="392"/>
      <c r="I2" s="392"/>
      <c r="J2" s="392"/>
      <c r="L2" s="392" t="s">
        <v>35</v>
      </c>
      <c r="M2" s="392"/>
      <c r="N2" s="392"/>
      <c r="O2" s="392"/>
    </row>
    <row r="4" spans="2:15" x14ac:dyDescent="0.35">
      <c r="B4" s="391" t="s">
        <v>36</v>
      </c>
      <c r="C4" s="391"/>
      <c r="D4" s="391"/>
      <c r="E4" s="391"/>
      <c r="F4" s="178" t="s">
        <v>182</v>
      </c>
      <c r="G4" s="391" t="s">
        <v>36</v>
      </c>
      <c r="H4" s="391"/>
      <c r="I4" s="391"/>
      <c r="J4" s="391"/>
      <c r="L4" s="391" t="s">
        <v>36</v>
      </c>
      <c r="M4" s="391"/>
      <c r="N4" s="391"/>
      <c r="O4" s="391"/>
    </row>
    <row r="5" spans="2:15" x14ac:dyDescent="0.35">
      <c r="B5" s="5" t="s">
        <v>37</v>
      </c>
      <c r="C5" s="5" t="s">
        <v>38</v>
      </c>
      <c r="D5" s="5" t="s">
        <v>18</v>
      </c>
      <c r="E5" s="33">
        <v>0</v>
      </c>
      <c r="F5" s="180" t="s">
        <v>183</v>
      </c>
      <c r="G5" s="5" t="s">
        <v>37</v>
      </c>
      <c r="H5" s="5" t="s">
        <v>38</v>
      </c>
      <c r="I5" s="5" t="s">
        <v>18</v>
      </c>
      <c r="J5" s="33">
        <v>0</v>
      </c>
      <c r="L5" s="5" t="s">
        <v>37</v>
      </c>
      <c r="M5" s="5" t="s">
        <v>38</v>
      </c>
      <c r="N5" s="5" t="s">
        <v>18</v>
      </c>
      <c r="O5" s="33">
        <v>0</v>
      </c>
    </row>
    <row r="6" spans="2:15" x14ac:dyDescent="0.35">
      <c r="B6" s="5" t="s">
        <v>39</v>
      </c>
      <c r="C6" s="5" t="s">
        <v>40</v>
      </c>
      <c r="D6" s="5"/>
      <c r="E6" s="34">
        <f>J6+O6</f>
        <v>1139420.5</v>
      </c>
      <c r="F6" s="180" t="s">
        <v>184</v>
      </c>
      <c r="G6" s="5" t="s">
        <v>39</v>
      </c>
      <c r="H6" s="5" t="s">
        <v>40</v>
      </c>
      <c r="I6" s="5"/>
      <c r="J6" s="34">
        <f>'VPA 130 PTDs'!M15</f>
        <v>96772.7</v>
      </c>
      <c r="L6" s="5" t="s">
        <v>39</v>
      </c>
      <c r="M6" s="5" t="s">
        <v>40</v>
      </c>
      <c r="N6" s="5"/>
      <c r="O6" s="34">
        <f>'VPA 130 PTDs'!O15</f>
        <v>1042647.8</v>
      </c>
    </row>
    <row r="7" spans="2:15" x14ac:dyDescent="0.35">
      <c r="B7" s="5" t="s">
        <v>41</v>
      </c>
      <c r="C7" s="5" t="s">
        <v>42</v>
      </c>
      <c r="D7" s="5" t="s">
        <v>43</v>
      </c>
      <c r="E7" s="36">
        <f>'VPA 130 SDGs Calculations'!C6</f>
        <v>4.0000000000000002E-4</v>
      </c>
      <c r="F7" s="180" t="s">
        <v>185</v>
      </c>
      <c r="G7" s="5" t="s">
        <v>41</v>
      </c>
      <c r="H7" s="5" t="s">
        <v>42</v>
      </c>
      <c r="I7" s="5" t="s">
        <v>43</v>
      </c>
      <c r="J7" s="36">
        <f>E7</f>
        <v>4.0000000000000002E-4</v>
      </c>
      <c r="L7" s="5" t="s">
        <v>41</v>
      </c>
      <c r="M7" s="5" t="s">
        <v>42</v>
      </c>
      <c r="N7" s="5" t="s">
        <v>43</v>
      </c>
      <c r="O7" s="36">
        <f>J7</f>
        <v>4.0000000000000002E-4</v>
      </c>
    </row>
    <row r="8" spans="2:15" ht="27.75" customHeight="1" x14ac:dyDescent="0.35">
      <c r="B8" s="37" t="s">
        <v>44</v>
      </c>
      <c r="C8" s="5" t="s">
        <v>45</v>
      </c>
      <c r="D8" s="5" t="s">
        <v>46</v>
      </c>
      <c r="E8" s="33">
        <v>7.5</v>
      </c>
      <c r="F8" s="180" t="s">
        <v>186</v>
      </c>
      <c r="G8" s="37" t="s">
        <v>44</v>
      </c>
      <c r="H8" s="5" t="s">
        <v>45</v>
      </c>
      <c r="I8" s="5" t="s">
        <v>46</v>
      </c>
      <c r="J8" s="33">
        <v>7.5</v>
      </c>
      <c r="L8" s="37" t="s">
        <v>44</v>
      </c>
      <c r="M8" s="5" t="s">
        <v>45</v>
      </c>
      <c r="N8" s="5" t="s">
        <v>46</v>
      </c>
      <c r="O8" s="33">
        <v>7.5</v>
      </c>
    </row>
    <row r="9" spans="2:15" ht="17.25" customHeight="1" x14ac:dyDescent="0.35">
      <c r="B9" s="37" t="s">
        <v>47</v>
      </c>
      <c r="C9" s="5" t="s">
        <v>48</v>
      </c>
      <c r="D9" s="5" t="s">
        <v>46</v>
      </c>
      <c r="E9" s="33">
        <v>0</v>
      </c>
      <c r="F9" s="180" t="s">
        <v>187</v>
      </c>
      <c r="G9" s="37" t="s">
        <v>47</v>
      </c>
      <c r="H9" s="5" t="s">
        <v>48</v>
      </c>
      <c r="I9" s="5" t="s">
        <v>46</v>
      </c>
      <c r="J9" s="33">
        <v>0</v>
      </c>
      <c r="L9" s="37" t="s">
        <v>47</v>
      </c>
      <c r="M9" s="5" t="s">
        <v>48</v>
      </c>
      <c r="N9" s="5" t="s">
        <v>46</v>
      </c>
      <c r="O9" s="33">
        <v>0</v>
      </c>
    </row>
    <row r="10" spans="2:15" x14ac:dyDescent="0.35">
      <c r="B10" s="5" t="s">
        <v>49</v>
      </c>
      <c r="C10" s="5" t="s">
        <v>50</v>
      </c>
      <c r="D10" s="5" t="s">
        <v>51</v>
      </c>
      <c r="E10" s="38">
        <f>ROUNDDOWN((1-E5)*E6*E7*(E8+E9),0)</f>
        <v>3418</v>
      </c>
      <c r="F10" s="180"/>
      <c r="G10" s="5" t="s">
        <v>49</v>
      </c>
      <c r="H10" s="5" t="s">
        <v>50</v>
      </c>
      <c r="I10" s="5" t="s">
        <v>51</v>
      </c>
      <c r="J10" s="38">
        <f>ROUNDDOWN((1-J5)*J6*J7*(J8+J9),0)</f>
        <v>290</v>
      </c>
      <c r="L10" s="5" t="s">
        <v>49</v>
      </c>
      <c r="M10" s="5" t="s">
        <v>50</v>
      </c>
      <c r="N10" s="5" t="s">
        <v>51</v>
      </c>
      <c r="O10" s="38">
        <f>ROUNDDOWN((1-O5)*O6*O7*(O8+O9),0)</f>
        <v>3127</v>
      </c>
    </row>
    <row r="11" spans="2:15" x14ac:dyDescent="0.35">
      <c r="F11" s="179"/>
    </row>
    <row r="12" spans="2:15" x14ac:dyDescent="0.35">
      <c r="B12" s="391" t="s">
        <v>52</v>
      </c>
      <c r="C12" s="391"/>
      <c r="D12" s="391"/>
      <c r="E12" s="391"/>
      <c r="F12" s="179"/>
      <c r="G12" s="391" t="s">
        <v>52</v>
      </c>
      <c r="H12" s="391"/>
      <c r="I12" s="391"/>
      <c r="J12" s="391"/>
      <c r="L12" s="391" t="s">
        <v>52</v>
      </c>
      <c r="M12" s="391"/>
      <c r="N12" s="391"/>
      <c r="O12" s="391"/>
    </row>
    <row r="13" spans="2:15" x14ac:dyDescent="0.35">
      <c r="B13" s="5" t="s">
        <v>53</v>
      </c>
      <c r="C13" s="5" t="s">
        <v>38</v>
      </c>
      <c r="D13" s="5" t="s">
        <v>18</v>
      </c>
      <c r="E13" s="33">
        <f>E5</f>
        <v>0</v>
      </c>
      <c r="F13" s="180" t="s">
        <v>183</v>
      </c>
      <c r="G13" s="5" t="s">
        <v>53</v>
      </c>
      <c r="H13" s="5" t="s">
        <v>38</v>
      </c>
      <c r="I13" s="5" t="s">
        <v>18</v>
      </c>
      <c r="J13" s="33">
        <f>J5</f>
        <v>0</v>
      </c>
      <c r="L13" s="5" t="s">
        <v>53</v>
      </c>
      <c r="M13" s="5" t="s">
        <v>38</v>
      </c>
      <c r="N13" s="5" t="s">
        <v>18</v>
      </c>
      <c r="O13" s="33">
        <f>O5</f>
        <v>0</v>
      </c>
    </row>
    <row r="14" spans="2:15" x14ac:dyDescent="0.35">
      <c r="B14" s="5" t="s">
        <v>39</v>
      </c>
      <c r="C14" s="5" t="s">
        <v>40</v>
      </c>
      <c r="D14" s="5"/>
      <c r="E14" s="34">
        <f>E6</f>
        <v>1139420.5</v>
      </c>
      <c r="F14" s="180" t="s">
        <v>188</v>
      </c>
      <c r="G14" s="5" t="s">
        <v>39</v>
      </c>
      <c r="H14" s="5" t="s">
        <v>40</v>
      </c>
      <c r="I14" s="5"/>
      <c r="J14" s="34">
        <f>J6</f>
        <v>96772.7</v>
      </c>
      <c r="L14" s="5" t="s">
        <v>39</v>
      </c>
      <c r="M14" s="5" t="s">
        <v>40</v>
      </c>
      <c r="N14" s="5"/>
      <c r="O14" s="34">
        <f>O6</f>
        <v>1042647.8</v>
      </c>
    </row>
    <row r="15" spans="2:15" x14ac:dyDescent="0.35">
      <c r="B15" s="5" t="s">
        <v>54</v>
      </c>
      <c r="C15" s="5" t="s">
        <v>55</v>
      </c>
      <c r="D15" s="5" t="s">
        <v>43</v>
      </c>
      <c r="E15" s="39">
        <f>E7</f>
        <v>4.0000000000000002E-4</v>
      </c>
      <c r="F15" s="180"/>
      <c r="G15" s="5" t="s">
        <v>54</v>
      </c>
      <c r="H15" s="5" t="s">
        <v>55</v>
      </c>
      <c r="I15" s="5" t="s">
        <v>43</v>
      </c>
      <c r="J15" s="39">
        <f>J7</f>
        <v>4.0000000000000002E-4</v>
      </c>
      <c r="L15" s="5" t="s">
        <v>54</v>
      </c>
      <c r="M15" s="5" t="s">
        <v>55</v>
      </c>
      <c r="N15" s="5" t="s">
        <v>43</v>
      </c>
      <c r="O15" s="39">
        <f>O7</f>
        <v>4.0000000000000002E-4</v>
      </c>
    </row>
    <row r="16" spans="2:15" x14ac:dyDescent="0.35">
      <c r="B16" s="5" t="s">
        <v>56</v>
      </c>
      <c r="C16" s="5" t="s">
        <v>48</v>
      </c>
      <c r="D16" s="5" t="s">
        <v>46</v>
      </c>
      <c r="E16" s="33">
        <v>0</v>
      </c>
      <c r="F16" s="180" t="s">
        <v>187</v>
      </c>
      <c r="G16" s="5" t="s">
        <v>56</v>
      </c>
      <c r="H16" s="5" t="s">
        <v>48</v>
      </c>
      <c r="I16" s="5" t="s">
        <v>46</v>
      </c>
      <c r="J16" s="33">
        <v>0</v>
      </c>
      <c r="L16" s="5" t="s">
        <v>56</v>
      </c>
      <c r="M16" s="5" t="s">
        <v>48</v>
      </c>
      <c r="N16" s="5" t="s">
        <v>46</v>
      </c>
      <c r="O16" s="33">
        <v>0</v>
      </c>
    </row>
    <row r="17" spans="2:15" x14ac:dyDescent="0.35">
      <c r="B17" s="5" t="s">
        <v>57</v>
      </c>
      <c r="C17" s="5" t="s">
        <v>58</v>
      </c>
      <c r="D17" s="5" t="s">
        <v>46</v>
      </c>
      <c r="E17" s="33">
        <v>0</v>
      </c>
      <c r="F17" s="180" t="s">
        <v>187</v>
      </c>
      <c r="G17" s="5" t="s">
        <v>57</v>
      </c>
      <c r="H17" s="5" t="s">
        <v>58</v>
      </c>
      <c r="I17" s="5" t="s">
        <v>46</v>
      </c>
      <c r="J17" s="33">
        <v>0</v>
      </c>
      <c r="L17" s="5" t="s">
        <v>57</v>
      </c>
      <c r="M17" s="5" t="s">
        <v>58</v>
      </c>
      <c r="N17" s="5" t="s">
        <v>46</v>
      </c>
      <c r="O17" s="33">
        <v>0</v>
      </c>
    </row>
    <row r="18" spans="2:15" x14ac:dyDescent="0.35">
      <c r="B18" s="5" t="s">
        <v>59</v>
      </c>
      <c r="C18" s="5" t="s">
        <v>60</v>
      </c>
      <c r="D18" s="5" t="s">
        <v>51</v>
      </c>
      <c r="E18" s="38">
        <f>ROUNDDOWN((1-E13)*E14*E15*(E16+E17),0)</f>
        <v>0</v>
      </c>
      <c r="F18" s="180"/>
      <c r="G18" s="5" t="s">
        <v>59</v>
      </c>
      <c r="H18" s="5" t="s">
        <v>60</v>
      </c>
      <c r="I18" s="5" t="s">
        <v>51</v>
      </c>
      <c r="J18" s="38">
        <f>ROUNDDOWN((1-J13)*J14*J15*(J16+J17),0)</f>
        <v>0</v>
      </c>
      <c r="L18" s="5" t="s">
        <v>59</v>
      </c>
      <c r="M18" s="5" t="s">
        <v>60</v>
      </c>
      <c r="N18" s="5" t="s">
        <v>51</v>
      </c>
      <c r="O18" s="38">
        <f>ROUNDDOWN((1-O13)*O14*O15*(O16+O17),0)</f>
        <v>0</v>
      </c>
    </row>
    <row r="19" spans="2:15" x14ac:dyDescent="0.35">
      <c r="F19" s="179"/>
    </row>
    <row r="20" spans="2:15" x14ac:dyDescent="0.35">
      <c r="B20" s="389" t="s">
        <v>61</v>
      </c>
      <c r="C20" s="387"/>
      <c r="D20" s="387"/>
      <c r="E20" s="390"/>
      <c r="F20" s="179"/>
      <c r="G20" s="389" t="s">
        <v>61</v>
      </c>
      <c r="H20" s="387"/>
      <c r="I20" s="387"/>
      <c r="J20" s="390"/>
      <c r="L20" s="389" t="s">
        <v>61</v>
      </c>
      <c r="M20" s="387"/>
      <c r="N20" s="387"/>
      <c r="O20" s="390"/>
    </row>
    <row r="21" spans="2:15" x14ac:dyDescent="0.35">
      <c r="B21" s="37" t="s">
        <v>62</v>
      </c>
      <c r="C21" s="5" t="s">
        <v>62</v>
      </c>
      <c r="D21" s="5" t="s">
        <v>63</v>
      </c>
      <c r="E21" s="40">
        <v>0.97</v>
      </c>
      <c r="F21" s="180" t="s">
        <v>189</v>
      </c>
      <c r="G21" s="37" t="s">
        <v>62</v>
      </c>
      <c r="H21" s="5" t="s">
        <v>62</v>
      </c>
      <c r="I21" s="5" t="s">
        <v>63</v>
      </c>
      <c r="J21" s="40">
        <v>0.97</v>
      </c>
      <c r="L21" s="37" t="s">
        <v>62</v>
      </c>
      <c r="M21" s="5" t="s">
        <v>62</v>
      </c>
      <c r="N21" s="5" t="s">
        <v>63</v>
      </c>
      <c r="O21" s="40">
        <v>0.97</v>
      </c>
    </row>
    <row r="22" spans="2:15" x14ac:dyDescent="0.35">
      <c r="B22" s="5" t="s">
        <v>64</v>
      </c>
      <c r="C22" s="5" t="s">
        <v>65</v>
      </c>
      <c r="D22" s="5" t="s">
        <v>66</v>
      </c>
      <c r="E22" s="33">
        <v>112</v>
      </c>
      <c r="F22" s="180" t="s">
        <v>189</v>
      </c>
      <c r="G22" s="5" t="s">
        <v>64</v>
      </c>
      <c r="H22" s="5" t="s">
        <v>65</v>
      </c>
      <c r="I22" s="5" t="s">
        <v>66</v>
      </c>
      <c r="J22" s="33">
        <v>112</v>
      </c>
      <c r="L22" s="5" t="s">
        <v>64</v>
      </c>
      <c r="M22" s="5" t="s">
        <v>65</v>
      </c>
      <c r="N22" s="5" t="s">
        <v>66</v>
      </c>
      <c r="O22" s="33">
        <v>112</v>
      </c>
    </row>
    <row r="23" spans="2:15" x14ac:dyDescent="0.35">
      <c r="B23" s="5" t="s">
        <v>67</v>
      </c>
      <c r="C23" s="5" t="s">
        <v>68</v>
      </c>
      <c r="D23" s="5" t="s">
        <v>69</v>
      </c>
      <c r="E23" s="33">
        <f>(J23*J6+O23*O6)/E6</f>
        <v>9.3947726027397263</v>
      </c>
      <c r="F23" s="180" t="s">
        <v>189</v>
      </c>
      <c r="G23" s="5" t="s">
        <v>67</v>
      </c>
      <c r="H23" s="5" t="s">
        <v>68</v>
      </c>
      <c r="I23" s="5" t="s">
        <v>69</v>
      </c>
      <c r="J23" s="33">
        <f>7.5+1.192</f>
        <v>8.6920000000000002</v>
      </c>
      <c r="L23" s="5" t="s">
        <v>67</v>
      </c>
      <c r="M23" s="5" t="s">
        <v>68</v>
      </c>
      <c r="N23" s="5" t="s">
        <v>69</v>
      </c>
      <c r="O23" s="33">
        <v>9.4600000000000009</v>
      </c>
    </row>
    <row r="24" spans="2:15" x14ac:dyDescent="0.35">
      <c r="B24" s="5" t="s">
        <v>70</v>
      </c>
      <c r="C24" s="5" t="s">
        <v>71</v>
      </c>
      <c r="D24" s="5" t="s">
        <v>72</v>
      </c>
      <c r="E24" s="33">
        <v>1.5599999999999999E-2</v>
      </c>
      <c r="F24" s="180" t="s">
        <v>189</v>
      </c>
      <c r="G24" s="5" t="s">
        <v>70</v>
      </c>
      <c r="H24" s="5" t="s">
        <v>71</v>
      </c>
      <c r="I24" s="5" t="s">
        <v>72</v>
      </c>
      <c r="J24" s="33">
        <v>1.5599999999999999E-2</v>
      </c>
      <c r="L24" s="5" t="s">
        <v>70</v>
      </c>
      <c r="M24" s="5" t="s">
        <v>71</v>
      </c>
      <c r="N24" s="5" t="s">
        <v>72</v>
      </c>
      <c r="O24" s="33">
        <v>1.5599999999999999E-2</v>
      </c>
    </row>
    <row r="25" spans="2:15" x14ac:dyDescent="0.35">
      <c r="F25" s="179"/>
    </row>
    <row r="26" spans="2:15" x14ac:dyDescent="0.35">
      <c r="B26" s="389" t="s">
        <v>4</v>
      </c>
      <c r="C26" s="387"/>
      <c r="D26" s="387"/>
      <c r="E26" s="390"/>
      <c r="F26" s="179"/>
      <c r="G26" s="389" t="s">
        <v>4</v>
      </c>
      <c r="H26" s="387"/>
      <c r="I26" s="387"/>
      <c r="J26" s="390"/>
      <c r="L26" s="389" t="s">
        <v>4</v>
      </c>
      <c r="M26" s="387"/>
      <c r="N26" s="387"/>
      <c r="O26" s="390"/>
    </row>
    <row r="27" spans="2:15" x14ac:dyDescent="0.35">
      <c r="B27" s="5" t="s">
        <v>11</v>
      </c>
      <c r="C27" s="5" t="s">
        <v>12</v>
      </c>
      <c r="D27" s="5" t="s">
        <v>13</v>
      </c>
      <c r="E27" s="41">
        <f>ROUNDDOWN(E10*((E22*E21)+E23)*E24,0)</f>
        <v>6293</v>
      </c>
      <c r="F27" s="180"/>
      <c r="G27" s="5" t="s">
        <v>11</v>
      </c>
      <c r="H27" s="5" t="s">
        <v>12</v>
      </c>
      <c r="I27" s="5" t="s">
        <v>13</v>
      </c>
      <c r="J27" s="41">
        <f>ROUNDDOWN(J10*((J22*J21)+J23)*J24,0)</f>
        <v>530</v>
      </c>
      <c r="L27" s="5" t="s">
        <v>11</v>
      </c>
      <c r="M27" s="5" t="s">
        <v>12</v>
      </c>
      <c r="N27" s="5" t="s">
        <v>13</v>
      </c>
      <c r="O27" s="41">
        <f>ROUNDDOWN(O10*((O22*O21)+O23)*O24,0)</f>
        <v>5761</v>
      </c>
    </row>
    <row r="28" spans="2:15" x14ac:dyDescent="0.35">
      <c r="B28" s="5" t="s">
        <v>14</v>
      </c>
      <c r="C28" s="5" t="s">
        <v>15</v>
      </c>
      <c r="D28" s="5" t="s">
        <v>13</v>
      </c>
      <c r="E28" s="41">
        <f>E18*((E22*E21)+E23)*E24</f>
        <v>0</v>
      </c>
      <c r="F28" s="180"/>
      <c r="G28" s="5" t="s">
        <v>14</v>
      </c>
      <c r="H28" s="5" t="s">
        <v>15</v>
      </c>
      <c r="I28" s="5" t="s">
        <v>13</v>
      </c>
      <c r="J28" s="41">
        <f>J18*((J22*J21)+J23)*J24</f>
        <v>0</v>
      </c>
      <c r="L28" s="5" t="s">
        <v>14</v>
      </c>
      <c r="M28" s="5" t="s">
        <v>15</v>
      </c>
      <c r="N28" s="5" t="s">
        <v>13</v>
      </c>
      <c r="O28" s="41">
        <f>O18*((O22*O21)+O23)*O24</f>
        <v>0</v>
      </c>
    </row>
    <row r="29" spans="2:15" x14ac:dyDescent="0.35">
      <c r="B29" s="5" t="s">
        <v>16</v>
      </c>
      <c r="C29" s="5" t="s">
        <v>17</v>
      </c>
      <c r="D29" s="5" t="s">
        <v>18</v>
      </c>
      <c r="E29" s="44">
        <f>'VPA 130 SDGs Calculations'!C20</f>
        <v>0.92269999999999996</v>
      </c>
      <c r="F29" s="180" t="s">
        <v>190</v>
      </c>
      <c r="G29" s="5" t="s">
        <v>16</v>
      </c>
      <c r="H29" s="5" t="s">
        <v>17</v>
      </c>
      <c r="I29" s="5" t="s">
        <v>18</v>
      </c>
      <c r="J29" s="33">
        <f>E29</f>
        <v>0.92269999999999996</v>
      </c>
      <c r="L29" s="5" t="s">
        <v>16</v>
      </c>
      <c r="M29" s="5" t="s">
        <v>17</v>
      </c>
      <c r="N29" s="5" t="s">
        <v>18</v>
      </c>
      <c r="O29" s="33">
        <f>J29</f>
        <v>0.92269999999999996</v>
      </c>
    </row>
    <row r="30" spans="2:15" x14ac:dyDescent="0.35">
      <c r="B30" s="5" t="s">
        <v>19</v>
      </c>
      <c r="C30" s="5" t="s">
        <v>20</v>
      </c>
      <c r="D30" s="5" t="s">
        <v>13</v>
      </c>
      <c r="E30" s="33">
        <v>0</v>
      </c>
      <c r="F30" s="180" t="s">
        <v>191</v>
      </c>
      <c r="G30" s="5" t="s">
        <v>19</v>
      </c>
      <c r="H30" s="5" t="s">
        <v>20</v>
      </c>
      <c r="I30" s="5" t="s">
        <v>13</v>
      </c>
      <c r="J30" s="33">
        <v>0</v>
      </c>
      <c r="L30" s="5" t="s">
        <v>19</v>
      </c>
      <c r="M30" s="5" t="s">
        <v>20</v>
      </c>
      <c r="N30" s="5" t="s">
        <v>13</v>
      </c>
      <c r="O30" s="33">
        <v>0</v>
      </c>
    </row>
    <row r="31" spans="2:15" x14ac:dyDescent="0.35">
      <c r="B31" s="5" t="s">
        <v>34</v>
      </c>
      <c r="C31" s="5" t="s">
        <v>22</v>
      </c>
      <c r="D31" s="5" t="s">
        <v>13</v>
      </c>
      <c r="E31" s="38">
        <f>ROUNDDOWN(((E27-E28)*E29)-E30,0)</f>
        <v>5806</v>
      </c>
      <c r="F31" s="180"/>
      <c r="G31" s="5" t="s">
        <v>34</v>
      </c>
      <c r="H31" s="5" t="s">
        <v>22</v>
      </c>
      <c r="I31" s="5" t="s">
        <v>13</v>
      </c>
      <c r="J31" s="38">
        <f>((J27-J28)*J29)-J30</f>
        <v>489.03100000000001</v>
      </c>
      <c r="L31" s="5" t="s">
        <v>34</v>
      </c>
      <c r="M31" s="5" t="s">
        <v>22</v>
      </c>
      <c r="N31" s="5" t="s">
        <v>13</v>
      </c>
      <c r="O31" s="38">
        <f>((O27-O28)*O29)-O30</f>
        <v>5315.6746999999996</v>
      </c>
    </row>
    <row r="32" spans="2:15" x14ac:dyDescent="0.35">
      <c r="D32" s="42"/>
      <c r="F32" s="179"/>
      <c r="I32" s="42"/>
      <c r="N32" s="42"/>
    </row>
    <row r="33" spans="2:15" x14ac:dyDescent="0.35">
      <c r="B33" s="389" t="s">
        <v>24</v>
      </c>
      <c r="C33" s="387"/>
      <c r="D33" s="387"/>
      <c r="E33" s="390"/>
      <c r="F33" s="179"/>
      <c r="G33" s="389" t="s">
        <v>24</v>
      </c>
      <c r="H33" s="387"/>
      <c r="I33" s="387"/>
      <c r="J33" s="390"/>
      <c r="L33" s="389" t="s">
        <v>24</v>
      </c>
      <c r="M33" s="387"/>
      <c r="N33" s="387"/>
      <c r="O33" s="390"/>
    </row>
    <row r="34" spans="2:15" x14ac:dyDescent="0.35">
      <c r="B34" s="43" t="s">
        <v>25</v>
      </c>
      <c r="C34" s="5"/>
      <c r="D34" s="23"/>
      <c r="E34" s="44">
        <v>0.98</v>
      </c>
      <c r="F34" s="180" t="s">
        <v>183</v>
      </c>
      <c r="G34" s="43" t="s">
        <v>25</v>
      </c>
      <c r="H34" s="5"/>
      <c r="I34" s="23"/>
      <c r="J34" s="44">
        <f>E34</f>
        <v>0.98</v>
      </c>
      <c r="L34" s="43" t="s">
        <v>25</v>
      </c>
      <c r="M34" s="5"/>
      <c r="N34" s="23"/>
      <c r="O34" s="44">
        <f>J34</f>
        <v>0.98</v>
      </c>
    </row>
    <row r="35" spans="2:15" x14ac:dyDescent="0.35">
      <c r="B35" s="43" t="s">
        <v>26</v>
      </c>
      <c r="C35" s="5" t="s">
        <v>27</v>
      </c>
      <c r="D35" s="23" t="s">
        <v>28</v>
      </c>
      <c r="E35" s="44">
        <f>1-E34</f>
        <v>2.0000000000000018E-2</v>
      </c>
      <c r="F35" s="180" t="s">
        <v>183</v>
      </c>
      <c r="G35" s="43" t="s">
        <v>26</v>
      </c>
      <c r="H35" s="5" t="s">
        <v>27</v>
      </c>
      <c r="I35" s="23" t="s">
        <v>28</v>
      </c>
      <c r="J35" s="44">
        <f>E35</f>
        <v>2.0000000000000018E-2</v>
      </c>
      <c r="L35" s="43" t="s">
        <v>26</v>
      </c>
      <c r="M35" s="5" t="s">
        <v>27</v>
      </c>
      <c r="N35" s="23" t="s">
        <v>28</v>
      </c>
      <c r="O35" s="44">
        <f>J35</f>
        <v>2.0000000000000018E-2</v>
      </c>
    </row>
    <row r="36" spans="2:15" x14ac:dyDescent="0.35">
      <c r="B36" s="45" t="s">
        <v>73</v>
      </c>
      <c r="C36" s="46" t="s">
        <v>22</v>
      </c>
      <c r="D36" s="47" t="s">
        <v>13</v>
      </c>
      <c r="E36" s="48">
        <f>ROUNDDOWN(E31*(1-E35),0)</f>
        <v>5689</v>
      </c>
      <c r="G36" s="45" t="s">
        <v>73</v>
      </c>
      <c r="H36" s="46" t="s">
        <v>22</v>
      </c>
      <c r="I36" s="47" t="s">
        <v>13</v>
      </c>
      <c r="J36" s="48">
        <f>ROUNDDOWN(J31*(1-J35),0)</f>
        <v>479</v>
      </c>
      <c r="L36" s="45" t="s">
        <v>73</v>
      </c>
      <c r="M36" s="46" t="s">
        <v>22</v>
      </c>
      <c r="N36" s="47" t="s">
        <v>13</v>
      </c>
      <c r="O36" s="48">
        <f>ROUNDDOWN(O31*(1-O35),0)</f>
        <v>5209</v>
      </c>
    </row>
    <row r="38" spans="2:15" x14ac:dyDescent="0.35">
      <c r="B38" s="45" t="s">
        <v>74</v>
      </c>
      <c r="C38" s="46"/>
      <c r="D38" s="47" t="s">
        <v>13</v>
      </c>
      <c r="E38" s="48">
        <f>J38+O38</f>
        <v>5688</v>
      </c>
      <c r="G38" s="45" t="s">
        <v>74</v>
      </c>
      <c r="H38" s="46"/>
      <c r="I38" s="47" t="s">
        <v>13</v>
      </c>
      <c r="J38" s="48">
        <f>J36</f>
        <v>479</v>
      </c>
      <c r="L38" s="45" t="s">
        <v>74</v>
      </c>
      <c r="M38" s="46"/>
      <c r="N38" s="47" t="s">
        <v>13</v>
      </c>
      <c r="O38" s="48">
        <f>O36</f>
        <v>5209</v>
      </c>
    </row>
    <row r="40" spans="2:15" x14ac:dyDescent="0.35">
      <c r="B40"/>
      <c r="G40" t="s">
        <v>75</v>
      </c>
    </row>
    <row r="42" spans="2:15" x14ac:dyDescent="0.35">
      <c r="G42" s="11"/>
    </row>
    <row r="43" spans="2:15" x14ac:dyDescent="0.35">
      <c r="G43" s="11"/>
      <c r="H43" s="11"/>
    </row>
    <row r="44" spans="2:15" x14ac:dyDescent="0.35">
      <c r="G44" s="11"/>
    </row>
    <row r="46" spans="2:15" x14ac:dyDescent="0.35">
      <c r="G46" s="35"/>
    </row>
    <row r="47" spans="2:15" x14ac:dyDescent="0.35">
      <c r="K47" s="35"/>
    </row>
  </sheetData>
  <mergeCells count="18">
    <mergeCell ref="B2:E2"/>
    <mergeCell ref="G2:J2"/>
    <mergeCell ref="L2:O2"/>
    <mergeCell ref="B4:E4"/>
    <mergeCell ref="G4:J4"/>
    <mergeCell ref="L4:O4"/>
    <mergeCell ref="B12:E12"/>
    <mergeCell ref="G12:J12"/>
    <mergeCell ref="L12:O12"/>
    <mergeCell ref="B20:E20"/>
    <mergeCell ref="G20:J20"/>
    <mergeCell ref="L20:O20"/>
    <mergeCell ref="B26:E26"/>
    <mergeCell ref="G26:J26"/>
    <mergeCell ref="L26:O26"/>
    <mergeCell ref="B33:E33"/>
    <mergeCell ref="G33:J33"/>
    <mergeCell ref="L33:O33"/>
  </mergeCells>
  <pageMargins left="0.7" right="0.7" top="0.75" bottom="0.75" header="0.3" footer="0.3"/>
  <pageSetup paperSize="9" orientation="portrait" r:id="rId1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E454A-A09E-42C1-BC77-F3D018BEB9EC}">
  <dimension ref="B1:Q42"/>
  <sheetViews>
    <sheetView topLeftCell="A8" zoomScale="70" zoomScaleNormal="70" workbookViewId="0">
      <selection activeCell="B26" sqref="B26:D26"/>
    </sheetView>
  </sheetViews>
  <sheetFormatPr defaultColWidth="9.1796875" defaultRowHeight="14.5" x14ac:dyDescent="0.35"/>
  <cols>
    <col min="1" max="1" width="9.1796875" style="1"/>
    <col min="2" max="2" width="36.54296875" style="1" bestFit="1" customWidth="1"/>
    <col min="3" max="3" width="20.453125" style="1" customWidth="1"/>
    <col min="4" max="4" width="17.26953125" style="1" bestFit="1" customWidth="1"/>
    <col min="5" max="5" width="15.7265625" style="1" customWidth="1"/>
    <col min="6" max="6" width="22.7265625" style="1" customWidth="1"/>
    <col min="7" max="7" width="21.54296875" style="1" customWidth="1"/>
    <col min="8" max="8" width="10.81640625" style="1" bestFit="1" customWidth="1"/>
    <col min="9" max="9" width="14.453125" style="1" bestFit="1" customWidth="1"/>
    <col min="10" max="10" width="14.453125" style="1" customWidth="1"/>
    <col min="11" max="11" width="8.54296875" style="1" customWidth="1"/>
    <col min="12" max="12" width="15.1796875" style="1" customWidth="1"/>
    <col min="13" max="13" width="15.54296875" style="1" bestFit="1" customWidth="1"/>
    <col min="14" max="14" width="16" style="1" customWidth="1"/>
    <col min="15" max="15" width="21.1796875" style="1" customWidth="1"/>
    <col min="16" max="16" width="17.81640625" style="1" customWidth="1"/>
    <col min="17" max="16384" width="9.1796875" style="1"/>
  </cols>
  <sheetData>
    <row r="1" spans="2:16" ht="15" thickBot="1" x14ac:dyDescent="0.4">
      <c r="L1" s="487">
        <v>2020</v>
      </c>
      <c r="M1" s="488"/>
      <c r="N1" s="487">
        <v>2021</v>
      </c>
      <c r="O1" s="488"/>
    </row>
    <row r="2" spans="2:16" ht="20.149999999999999" customHeight="1" thickBot="1" x14ac:dyDescent="0.4">
      <c r="B2" s="286" t="s">
        <v>76</v>
      </c>
      <c r="C2" s="287" t="s">
        <v>77</v>
      </c>
      <c r="D2" s="287" t="s">
        <v>78</v>
      </c>
      <c r="E2" s="287" t="s">
        <v>79</v>
      </c>
      <c r="F2" s="287" t="s">
        <v>80</v>
      </c>
      <c r="G2" s="287" t="s">
        <v>81</v>
      </c>
      <c r="H2" s="287" t="s">
        <v>82</v>
      </c>
      <c r="I2" s="288" t="s">
        <v>83</v>
      </c>
      <c r="J2" s="289" t="s">
        <v>84</v>
      </c>
      <c r="K2" s="290"/>
      <c r="L2" s="291" t="s">
        <v>361</v>
      </c>
      <c r="M2" s="291" t="s">
        <v>86</v>
      </c>
      <c r="N2" s="291" t="s">
        <v>361</v>
      </c>
      <c r="O2" s="291" t="s">
        <v>86</v>
      </c>
      <c r="P2" s="292" t="s">
        <v>88</v>
      </c>
    </row>
    <row r="3" spans="2:16" ht="15" customHeight="1" x14ac:dyDescent="0.35">
      <c r="B3" s="396" t="s">
        <v>362</v>
      </c>
      <c r="C3" s="71" t="s">
        <v>363</v>
      </c>
      <c r="D3" s="71" t="s">
        <v>307</v>
      </c>
      <c r="E3" s="58">
        <v>15.648870000000001</v>
      </c>
      <c r="F3" s="58">
        <v>38.711660000000002</v>
      </c>
      <c r="G3" s="61">
        <v>43878</v>
      </c>
      <c r="H3" s="225">
        <v>25</v>
      </c>
      <c r="I3" s="293">
        <f>'[2]VPA 130 HH List'!G27</f>
        <v>165</v>
      </c>
      <c r="J3" s="294">
        <f>I3</f>
        <v>165</v>
      </c>
      <c r="L3" s="295">
        <f>G23</f>
        <v>29.45</v>
      </c>
      <c r="M3" s="296">
        <f>L3*J3</f>
        <v>4859.25</v>
      </c>
      <c r="N3" s="295">
        <f>G24</f>
        <v>317.3</v>
      </c>
      <c r="O3" s="296">
        <f t="shared" ref="O3:O14" si="0">N3*J3</f>
        <v>52354.5</v>
      </c>
      <c r="P3" s="297">
        <f>M3+O3</f>
        <v>57213.75</v>
      </c>
    </row>
    <row r="4" spans="2:16" ht="15.5" x14ac:dyDescent="0.35">
      <c r="B4" s="396"/>
      <c r="C4" s="71" t="s">
        <v>364</v>
      </c>
      <c r="D4" s="71" t="s">
        <v>365</v>
      </c>
      <c r="E4" s="58">
        <v>15.706770000000001</v>
      </c>
      <c r="F4" s="58">
        <v>38.324150000000003</v>
      </c>
      <c r="G4" s="61">
        <v>43888</v>
      </c>
      <c r="H4" s="225">
        <v>62</v>
      </c>
      <c r="I4" s="293">
        <f>'[2]VPA 130 HH List'!G257</f>
        <v>344</v>
      </c>
      <c r="J4" s="293">
        <v>300</v>
      </c>
      <c r="L4" s="295">
        <f>G23</f>
        <v>29.45</v>
      </c>
      <c r="M4" s="296">
        <f t="shared" ref="M4:M14" si="1">L4*J4</f>
        <v>8835</v>
      </c>
      <c r="N4" s="295">
        <f>G24</f>
        <v>317.3</v>
      </c>
      <c r="O4" s="296">
        <f t="shared" si="0"/>
        <v>95190</v>
      </c>
      <c r="P4" s="297">
        <f t="shared" ref="P4:P13" si="2">M4+O4</f>
        <v>104025</v>
      </c>
    </row>
    <row r="5" spans="2:16" ht="15.5" x14ac:dyDescent="0.35">
      <c r="B5" s="396"/>
      <c r="C5" s="71" t="s">
        <v>366</v>
      </c>
      <c r="D5" s="71" t="s">
        <v>367</v>
      </c>
      <c r="E5" s="58">
        <v>15.72925</v>
      </c>
      <c r="F5" s="58">
        <v>38.464410000000001</v>
      </c>
      <c r="G5" s="61">
        <v>43888</v>
      </c>
      <c r="H5" s="225">
        <v>166</v>
      </c>
      <c r="I5" s="293">
        <f>'[2]VPA 130 HH List'!G194</f>
        <v>714</v>
      </c>
      <c r="J5" s="293">
        <v>300</v>
      </c>
      <c r="L5" s="295">
        <f>G23</f>
        <v>29.45</v>
      </c>
      <c r="M5" s="296">
        <f t="shared" si="1"/>
        <v>8835</v>
      </c>
      <c r="N5" s="295">
        <f>G24</f>
        <v>317.3</v>
      </c>
      <c r="O5" s="296">
        <f t="shared" si="0"/>
        <v>95190</v>
      </c>
      <c r="P5" s="297">
        <f t="shared" si="2"/>
        <v>104025</v>
      </c>
    </row>
    <row r="6" spans="2:16" ht="15.5" x14ac:dyDescent="0.35">
      <c r="B6" s="396"/>
      <c r="C6" s="71" t="s">
        <v>368</v>
      </c>
      <c r="D6" s="71" t="s">
        <v>369</v>
      </c>
      <c r="E6" s="58">
        <v>16.139410000000002</v>
      </c>
      <c r="F6" s="58">
        <v>38.135910000000003</v>
      </c>
      <c r="G6" s="61">
        <v>43891</v>
      </c>
      <c r="H6" s="225">
        <v>80</v>
      </c>
      <c r="I6" s="293">
        <f>'[2]VPA 130 HH List'!G338</f>
        <v>380</v>
      </c>
      <c r="J6" s="293">
        <v>300</v>
      </c>
      <c r="L6" s="295">
        <f>G23</f>
        <v>29.45</v>
      </c>
      <c r="M6" s="296">
        <f t="shared" si="1"/>
        <v>8835</v>
      </c>
      <c r="N6" s="295">
        <f>G24</f>
        <v>317.3</v>
      </c>
      <c r="O6" s="296">
        <f t="shared" si="0"/>
        <v>95190</v>
      </c>
      <c r="P6" s="297">
        <f t="shared" si="2"/>
        <v>104025</v>
      </c>
    </row>
    <row r="7" spans="2:16" ht="15.5" x14ac:dyDescent="0.35">
      <c r="B7" s="396"/>
      <c r="C7" s="58" t="s">
        <v>370</v>
      </c>
      <c r="D7" s="71" t="s">
        <v>264</v>
      </c>
      <c r="E7" s="58">
        <v>16.350439999999999</v>
      </c>
      <c r="F7" s="58">
        <v>37.967320000000001</v>
      </c>
      <c r="G7" s="61">
        <v>43891</v>
      </c>
      <c r="H7" s="225">
        <v>31</v>
      </c>
      <c r="I7" s="298">
        <f>'[2]VPA 130 HH List'!G370</f>
        <v>121</v>
      </c>
      <c r="J7" s="298">
        <f t="shared" ref="J7" si="3">I7</f>
        <v>121</v>
      </c>
      <c r="L7" s="295">
        <f>G23</f>
        <v>29.45</v>
      </c>
      <c r="M7" s="296">
        <f t="shared" si="1"/>
        <v>3563.45</v>
      </c>
      <c r="N7" s="295">
        <f>G24</f>
        <v>317.3</v>
      </c>
      <c r="O7" s="296">
        <f t="shared" si="0"/>
        <v>38393.300000000003</v>
      </c>
      <c r="P7" s="297">
        <f t="shared" si="2"/>
        <v>41956.75</v>
      </c>
    </row>
    <row r="8" spans="2:16" ht="15.5" x14ac:dyDescent="0.35">
      <c r="B8" s="396"/>
      <c r="C8" s="71" t="s">
        <v>371</v>
      </c>
      <c r="D8" s="71" t="s">
        <v>372</v>
      </c>
      <c r="E8" s="58">
        <v>15.752370000000001</v>
      </c>
      <c r="F8" s="58">
        <v>38.468879999999999</v>
      </c>
      <c r="G8" s="61">
        <v>43893</v>
      </c>
      <c r="H8" s="225">
        <v>68</v>
      </c>
      <c r="I8" s="299">
        <f>'[2]VPA 130 HH List'!G439</f>
        <v>376</v>
      </c>
      <c r="J8" s="298">
        <v>300</v>
      </c>
      <c r="L8" s="295">
        <f>G23</f>
        <v>29.45</v>
      </c>
      <c r="M8" s="296">
        <f t="shared" si="1"/>
        <v>8835</v>
      </c>
      <c r="N8" s="295">
        <f>G24</f>
        <v>317.3</v>
      </c>
      <c r="O8" s="296">
        <f t="shared" si="0"/>
        <v>95190</v>
      </c>
      <c r="P8" s="297">
        <f t="shared" si="2"/>
        <v>104025</v>
      </c>
    </row>
    <row r="9" spans="2:16" ht="15.5" x14ac:dyDescent="0.35">
      <c r="B9" s="396"/>
      <c r="C9" s="71" t="s">
        <v>373</v>
      </c>
      <c r="D9" s="71" t="s">
        <v>374</v>
      </c>
      <c r="E9" s="58">
        <v>16.127300000000002</v>
      </c>
      <c r="F9" s="58">
        <v>38.223509999999997</v>
      </c>
      <c r="G9" s="61">
        <v>43893</v>
      </c>
      <c r="H9" s="225">
        <v>536</v>
      </c>
      <c r="I9" s="293">
        <f>'[2]VPA 130 HH List'!G976</f>
        <v>2636</v>
      </c>
      <c r="J9" s="293">
        <v>300</v>
      </c>
      <c r="L9" s="295">
        <f>G23</f>
        <v>29.45</v>
      </c>
      <c r="M9" s="296">
        <f t="shared" si="1"/>
        <v>8835</v>
      </c>
      <c r="N9" s="295">
        <f>G24</f>
        <v>317.3</v>
      </c>
      <c r="O9" s="296">
        <f t="shared" si="0"/>
        <v>95190</v>
      </c>
      <c r="P9" s="297">
        <f t="shared" si="2"/>
        <v>104025</v>
      </c>
    </row>
    <row r="10" spans="2:16" ht="15.5" x14ac:dyDescent="0.35">
      <c r="B10" s="396"/>
      <c r="C10" s="71" t="s">
        <v>375</v>
      </c>
      <c r="D10" s="71" t="s">
        <v>376</v>
      </c>
      <c r="E10" s="58">
        <v>15.946300000000001</v>
      </c>
      <c r="F10" s="58">
        <v>38.217619999999997</v>
      </c>
      <c r="G10" s="61">
        <v>43895</v>
      </c>
      <c r="H10" s="225">
        <v>300</v>
      </c>
      <c r="I10" s="293">
        <f>'[2]VPA 130 HH List'!G1277</f>
        <v>1591</v>
      </c>
      <c r="J10" s="293">
        <v>300</v>
      </c>
      <c r="L10" s="295">
        <f>G23</f>
        <v>29.45</v>
      </c>
      <c r="M10" s="296">
        <f t="shared" si="1"/>
        <v>8835</v>
      </c>
      <c r="N10" s="295">
        <f>G24</f>
        <v>317.3</v>
      </c>
      <c r="O10" s="296">
        <f t="shared" si="0"/>
        <v>95190</v>
      </c>
      <c r="P10" s="297">
        <f t="shared" si="2"/>
        <v>104025</v>
      </c>
    </row>
    <row r="11" spans="2:16" ht="15.5" x14ac:dyDescent="0.35">
      <c r="B11" s="396"/>
      <c r="C11" s="71" t="s">
        <v>377</v>
      </c>
      <c r="D11" s="71" t="s">
        <v>378</v>
      </c>
      <c r="E11" s="58">
        <v>16.004020000000001</v>
      </c>
      <c r="F11" s="58">
        <v>38.25826</v>
      </c>
      <c r="G11" s="61">
        <v>43895</v>
      </c>
      <c r="H11" s="225">
        <v>280</v>
      </c>
      <c r="I11" s="293">
        <f>'[2]VPA 130 HH List'!G1558</f>
        <v>1470</v>
      </c>
      <c r="J11" s="293">
        <v>300</v>
      </c>
      <c r="L11" s="295">
        <f>G23</f>
        <v>29.45</v>
      </c>
      <c r="M11" s="296">
        <f t="shared" si="1"/>
        <v>8835</v>
      </c>
      <c r="N11" s="295">
        <f>G24</f>
        <v>317.3</v>
      </c>
      <c r="O11" s="296">
        <f t="shared" si="0"/>
        <v>95190</v>
      </c>
      <c r="P11" s="297">
        <f t="shared" si="2"/>
        <v>104025</v>
      </c>
    </row>
    <row r="12" spans="2:16" ht="15.5" x14ac:dyDescent="0.35">
      <c r="B12" s="396"/>
      <c r="C12" s="71" t="s">
        <v>379</v>
      </c>
      <c r="D12" s="71" t="s">
        <v>380</v>
      </c>
      <c r="E12" s="58">
        <v>16.014330000000001</v>
      </c>
      <c r="F12" s="58">
        <v>38.219149999999999</v>
      </c>
      <c r="G12" s="61">
        <v>43895</v>
      </c>
      <c r="H12" s="225">
        <v>360</v>
      </c>
      <c r="I12" s="293">
        <f>'[2]VPA 130 HH List'!G1919</f>
        <v>1750</v>
      </c>
      <c r="J12" s="293">
        <v>300</v>
      </c>
      <c r="L12" s="295">
        <f>G23</f>
        <v>29.45</v>
      </c>
      <c r="M12" s="296">
        <f t="shared" si="1"/>
        <v>8835</v>
      </c>
      <c r="N12" s="295">
        <f>G24</f>
        <v>317.3</v>
      </c>
      <c r="O12" s="296">
        <f t="shared" si="0"/>
        <v>95190</v>
      </c>
      <c r="P12" s="297">
        <f t="shared" si="2"/>
        <v>104025</v>
      </c>
    </row>
    <row r="13" spans="2:16" ht="15.5" x14ac:dyDescent="0.35">
      <c r="B13" s="396"/>
      <c r="C13" s="71" t="s">
        <v>381</v>
      </c>
      <c r="D13" s="71" t="s">
        <v>382</v>
      </c>
      <c r="E13" s="58">
        <v>15.911061</v>
      </c>
      <c r="F13" s="58">
        <v>38.496870000000001</v>
      </c>
      <c r="G13" s="61">
        <v>43899</v>
      </c>
      <c r="H13" s="225">
        <v>238</v>
      </c>
      <c r="I13" s="293">
        <f>'[2]VPA 130 HH List'!G2158</f>
        <v>1114</v>
      </c>
      <c r="J13" s="293">
        <v>300</v>
      </c>
      <c r="L13" s="295">
        <f>G23</f>
        <v>29.45</v>
      </c>
      <c r="M13" s="296">
        <f t="shared" si="1"/>
        <v>8835</v>
      </c>
      <c r="N13" s="295">
        <f>G24</f>
        <v>317.3</v>
      </c>
      <c r="O13" s="296">
        <f t="shared" si="0"/>
        <v>95190</v>
      </c>
      <c r="P13" s="297">
        <f t="shared" si="2"/>
        <v>104025</v>
      </c>
    </row>
    <row r="14" spans="2:16" ht="16" thickBot="1" x14ac:dyDescent="0.4">
      <c r="B14" s="396"/>
      <c r="C14" s="71" t="s">
        <v>383</v>
      </c>
      <c r="D14" s="71" t="s">
        <v>384</v>
      </c>
      <c r="E14" s="58">
        <v>15.78772</v>
      </c>
      <c r="F14" s="58">
        <v>38.48668</v>
      </c>
      <c r="G14" s="61">
        <v>43901</v>
      </c>
      <c r="H14" s="225">
        <v>200</v>
      </c>
      <c r="I14" s="293">
        <f>'[2]VPA 130 HH List'!G2359</f>
        <v>1040</v>
      </c>
      <c r="J14" s="300">
        <v>300</v>
      </c>
      <c r="L14" s="295">
        <f>G23</f>
        <v>29.45</v>
      </c>
      <c r="M14" s="296">
        <f t="shared" si="1"/>
        <v>8835</v>
      </c>
      <c r="N14" s="295">
        <f>G24</f>
        <v>317.3</v>
      </c>
      <c r="O14" s="296">
        <f t="shared" si="0"/>
        <v>95190</v>
      </c>
      <c r="P14" s="297">
        <f>M14+O14</f>
        <v>104025</v>
      </c>
    </row>
    <row r="15" spans="2:16" ht="15" thickBot="1" x14ac:dyDescent="0.4">
      <c r="B15" s="75"/>
      <c r="G15" s="76"/>
      <c r="H15" s="77" t="s">
        <v>23</v>
      </c>
      <c r="I15" s="78">
        <f>SUM(I3:I14)</f>
        <v>11701</v>
      </c>
      <c r="J15" s="78">
        <f>SUM(J3:J14)</f>
        <v>3286</v>
      </c>
      <c r="L15" s="152" t="s">
        <v>125</v>
      </c>
      <c r="M15" s="152">
        <f>SUM(M3:M14)</f>
        <v>96772.7</v>
      </c>
      <c r="N15" s="152" t="s">
        <v>125</v>
      </c>
      <c r="O15" s="152">
        <f>SUM(O3:O14)</f>
        <v>1042647.8</v>
      </c>
      <c r="P15" s="185">
        <f>SUM(P3:P14)</f>
        <v>1139420.5</v>
      </c>
    </row>
    <row r="16" spans="2:16" ht="15" customHeight="1" thickBot="1" x14ac:dyDescent="0.4">
      <c r="C16" s="153" t="s">
        <v>223</v>
      </c>
      <c r="G16" s="84"/>
    </row>
    <row r="17" spans="2:17" ht="15" customHeight="1" thickBot="1" x14ac:dyDescent="0.4">
      <c r="B17" s="301" t="s">
        <v>126</v>
      </c>
      <c r="C17" s="302">
        <v>44166</v>
      </c>
      <c r="D17" s="84"/>
      <c r="H17" s="223"/>
      <c r="L17" s="487">
        <v>2020</v>
      </c>
      <c r="M17" s="488"/>
      <c r="N17" s="487">
        <v>2021</v>
      </c>
      <c r="O17" s="488"/>
    </row>
    <row r="18" spans="2:17" ht="16" thickBot="1" x14ac:dyDescent="0.4">
      <c r="B18" s="301" t="s">
        <v>127</v>
      </c>
      <c r="C18" s="302">
        <v>44530</v>
      </c>
      <c r="D18" s="87"/>
      <c r="H18" s="223"/>
      <c r="L18" s="291" t="s">
        <v>361</v>
      </c>
      <c r="M18" s="291" t="s">
        <v>86</v>
      </c>
      <c r="N18" s="291" t="s">
        <v>361</v>
      </c>
      <c r="O18" s="291" t="s">
        <v>86</v>
      </c>
      <c r="P18" s="292" t="s">
        <v>88</v>
      </c>
    </row>
    <row r="19" spans="2:17" ht="15.5" x14ac:dyDescent="0.35">
      <c r="B19" s="301" t="s">
        <v>128</v>
      </c>
      <c r="C19" s="302">
        <v>44196</v>
      </c>
      <c r="D19" s="87"/>
      <c r="H19" s="223"/>
      <c r="L19" s="295">
        <f>$G$23</f>
        <v>29.45</v>
      </c>
      <c r="M19" s="296">
        <f>I3*L19</f>
        <v>4859.25</v>
      </c>
      <c r="N19" s="295">
        <f>$G$24</f>
        <v>317.3</v>
      </c>
      <c r="O19" s="296">
        <f>I3*N19</f>
        <v>52354.5</v>
      </c>
      <c r="P19" s="297">
        <f>M19+O19</f>
        <v>57213.75</v>
      </c>
    </row>
    <row r="20" spans="2:17" ht="15.5" x14ac:dyDescent="0.35">
      <c r="H20" s="223"/>
      <c r="L20" s="295">
        <f t="shared" ref="L20:L30" si="4">$G$23</f>
        <v>29.45</v>
      </c>
      <c r="M20" s="296">
        <f t="shared" ref="M20:M30" si="5">I4*L20</f>
        <v>10130.799999999999</v>
      </c>
      <c r="N20" s="295">
        <f t="shared" ref="N20:N30" si="6">$G$24</f>
        <v>317.3</v>
      </c>
      <c r="O20" s="296">
        <f t="shared" ref="O20:O30" si="7">I4*N20</f>
        <v>109151.2</v>
      </c>
      <c r="P20" s="297">
        <f t="shared" ref="P20:P29" si="8">M20+O20</f>
        <v>119282</v>
      </c>
    </row>
    <row r="21" spans="2:17" ht="15.5" x14ac:dyDescent="0.35">
      <c r="C21" s="473" t="s">
        <v>354</v>
      </c>
      <c r="D21" s="453" t="s">
        <v>131</v>
      </c>
      <c r="E21" s="453" t="s">
        <v>132</v>
      </c>
      <c r="F21" s="495" t="s">
        <v>385</v>
      </c>
      <c r="G21" s="453" t="s">
        <v>85</v>
      </c>
      <c r="H21" s="223"/>
      <c r="L21" s="295">
        <f t="shared" si="4"/>
        <v>29.45</v>
      </c>
      <c r="M21" s="296">
        <f t="shared" si="5"/>
        <v>21027.3</v>
      </c>
      <c r="N21" s="295">
        <f t="shared" si="6"/>
        <v>317.3</v>
      </c>
      <c r="O21" s="296">
        <f t="shared" si="7"/>
        <v>226552.2</v>
      </c>
      <c r="P21" s="297">
        <f t="shared" si="8"/>
        <v>247579.5</v>
      </c>
    </row>
    <row r="22" spans="2:17" ht="15" customHeight="1" x14ac:dyDescent="0.35">
      <c r="B22" s="257" t="s">
        <v>386</v>
      </c>
      <c r="C22" s="473"/>
      <c r="D22" s="453"/>
      <c r="E22" s="453"/>
      <c r="F22" s="495"/>
      <c r="G22" s="453"/>
      <c r="H22" s="223"/>
      <c r="L22" s="295">
        <f t="shared" si="4"/>
        <v>29.45</v>
      </c>
      <c r="M22" s="296">
        <f t="shared" si="5"/>
        <v>11191</v>
      </c>
      <c r="N22" s="295">
        <f t="shared" si="6"/>
        <v>317.3</v>
      </c>
      <c r="O22" s="296">
        <f t="shared" si="7"/>
        <v>120574</v>
      </c>
      <c r="P22" s="297">
        <f t="shared" si="8"/>
        <v>131765</v>
      </c>
    </row>
    <row r="23" spans="2:17" ht="15.5" x14ac:dyDescent="0.35">
      <c r="B23" s="155" t="s">
        <v>387</v>
      </c>
      <c r="C23" s="101">
        <f>C28*12</f>
        <v>372</v>
      </c>
      <c r="D23" s="191">
        <f>('VPA 130 Downdays'!I16)/C23</f>
        <v>0</v>
      </c>
      <c r="E23" s="303">
        <f>IF(D23&lt;5%,95%,100%-D23)</f>
        <v>0.95</v>
      </c>
      <c r="F23" s="104">
        <f>C28</f>
        <v>31</v>
      </c>
      <c r="G23" s="79">
        <f>F23*E23</f>
        <v>29.45</v>
      </c>
      <c r="H23" s="223"/>
      <c r="L23" s="295">
        <f t="shared" si="4"/>
        <v>29.45</v>
      </c>
      <c r="M23" s="296">
        <f t="shared" si="5"/>
        <v>3563.45</v>
      </c>
      <c r="N23" s="295">
        <f t="shared" si="6"/>
        <v>317.3</v>
      </c>
      <c r="O23" s="296">
        <f t="shared" si="7"/>
        <v>38393.300000000003</v>
      </c>
      <c r="P23" s="297">
        <f t="shared" si="8"/>
        <v>41956.75</v>
      </c>
    </row>
    <row r="24" spans="2:17" ht="15.5" x14ac:dyDescent="0.35">
      <c r="B24" s="155" t="s">
        <v>388</v>
      </c>
      <c r="C24" s="101">
        <f>(C29)*12</f>
        <v>4008</v>
      </c>
      <c r="D24" s="191">
        <f>('VPA 130 Downdays'!J16)/C24</f>
        <v>9.9800399201596798E-4</v>
      </c>
      <c r="E24" s="303">
        <f>IF(D24&lt;5%,95%,100%-D24)</f>
        <v>0.95</v>
      </c>
      <c r="F24" s="104">
        <f>C29</f>
        <v>334</v>
      </c>
      <c r="G24" s="79">
        <f>F24*E24</f>
        <v>317.3</v>
      </c>
      <c r="H24" s="223"/>
      <c r="L24" s="295">
        <f t="shared" si="4"/>
        <v>29.45</v>
      </c>
      <c r="M24" s="296">
        <f t="shared" si="5"/>
        <v>11073.199999999999</v>
      </c>
      <c r="N24" s="295">
        <f t="shared" si="6"/>
        <v>317.3</v>
      </c>
      <c r="O24" s="296">
        <f t="shared" si="7"/>
        <v>119304.8</v>
      </c>
      <c r="P24" s="297">
        <f t="shared" si="8"/>
        <v>130378</v>
      </c>
    </row>
    <row r="25" spans="2:17" ht="15.5" x14ac:dyDescent="0.35">
      <c r="B25" s="257"/>
      <c r="C25" s="304"/>
      <c r="D25" s="305"/>
      <c r="E25" s="306"/>
      <c r="G25" s="11"/>
      <c r="H25" s="223"/>
      <c r="L25" s="295">
        <f t="shared" si="4"/>
        <v>29.45</v>
      </c>
      <c r="M25" s="296">
        <f t="shared" si="5"/>
        <v>77630.2</v>
      </c>
      <c r="N25" s="295">
        <f t="shared" si="6"/>
        <v>317.3</v>
      </c>
      <c r="O25" s="296">
        <f t="shared" si="7"/>
        <v>836402.8</v>
      </c>
      <c r="P25" s="297">
        <f t="shared" si="8"/>
        <v>914033</v>
      </c>
    </row>
    <row r="26" spans="2:17" ht="15.5" x14ac:dyDescent="0.35">
      <c r="B26" s="307" t="s">
        <v>137</v>
      </c>
      <c r="C26" s="308">
        <f>SUM(C23:C24)</f>
        <v>4380</v>
      </c>
      <c r="D26" s="309">
        <f>'VPA 130 Downdays'!K16/'VPA 130 PTDs'!C26</f>
        <v>9.1324200913242006E-4</v>
      </c>
      <c r="E26" s="306"/>
      <c r="G26" s="11"/>
      <c r="H26" s="223"/>
      <c r="L26" s="295">
        <f t="shared" si="4"/>
        <v>29.45</v>
      </c>
      <c r="M26" s="296">
        <f t="shared" si="5"/>
        <v>46854.95</v>
      </c>
      <c r="N26" s="295">
        <f t="shared" si="6"/>
        <v>317.3</v>
      </c>
      <c r="O26" s="296">
        <f t="shared" si="7"/>
        <v>504824.30000000005</v>
      </c>
      <c r="P26" s="297">
        <f t="shared" si="8"/>
        <v>551679.25</v>
      </c>
    </row>
    <row r="27" spans="2:17" ht="15" customHeight="1" x14ac:dyDescent="0.35">
      <c r="H27" s="223"/>
      <c r="L27" s="295">
        <f t="shared" si="4"/>
        <v>29.45</v>
      </c>
      <c r="M27" s="296">
        <f t="shared" si="5"/>
        <v>43291.5</v>
      </c>
      <c r="N27" s="295">
        <f t="shared" si="6"/>
        <v>317.3</v>
      </c>
      <c r="O27" s="296">
        <f t="shared" si="7"/>
        <v>466431</v>
      </c>
      <c r="P27" s="297">
        <f t="shared" si="8"/>
        <v>509722.5</v>
      </c>
    </row>
    <row r="28" spans="2:17" ht="15.5" x14ac:dyDescent="0.35">
      <c r="B28" s="155" t="s">
        <v>356</v>
      </c>
      <c r="C28" s="104">
        <f>C19-C17 +1</f>
        <v>31</v>
      </c>
      <c r="H28" s="223"/>
      <c r="L28" s="295">
        <f t="shared" si="4"/>
        <v>29.45</v>
      </c>
      <c r="M28" s="296">
        <f t="shared" si="5"/>
        <v>51537.5</v>
      </c>
      <c r="N28" s="295">
        <f t="shared" si="6"/>
        <v>317.3</v>
      </c>
      <c r="O28" s="296">
        <f t="shared" si="7"/>
        <v>555275</v>
      </c>
      <c r="P28" s="297">
        <f t="shared" si="8"/>
        <v>606812.5</v>
      </c>
    </row>
    <row r="29" spans="2:17" ht="15.5" x14ac:dyDescent="0.35">
      <c r="B29" s="155" t="s">
        <v>357</v>
      </c>
      <c r="C29" s="104">
        <f>C18-C19</f>
        <v>334</v>
      </c>
      <c r="H29" s="223"/>
      <c r="L29" s="295">
        <f t="shared" si="4"/>
        <v>29.45</v>
      </c>
      <c r="M29" s="296">
        <f t="shared" si="5"/>
        <v>32807.299999999996</v>
      </c>
      <c r="N29" s="295">
        <f t="shared" si="6"/>
        <v>317.3</v>
      </c>
      <c r="O29" s="296">
        <f t="shared" si="7"/>
        <v>353472.2</v>
      </c>
      <c r="P29" s="297">
        <f t="shared" si="8"/>
        <v>386279.5</v>
      </c>
    </row>
    <row r="30" spans="2:17" ht="16" thickBot="1" x14ac:dyDescent="0.4">
      <c r="H30" s="223"/>
      <c r="L30" s="295">
        <f t="shared" si="4"/>
        <v>29.45</v>
      </c>
      <c r="M30" s="296">
        <f t="shared" si="5"/>
        <v>30628</v>
      </c>
      <c r="N30" s="295">
        <f t="shared" si="6"/>
        <v>317.3</v>
      </c>
      <c r="O30" s="296">
        <f t="shared" si="7"/>
        <v>329992</v>
      </c>
      <c r="P30" s="297">
        <f>M30+O30</f>
        <v>360620</v>
      </c>
    </row>
    <row r="31" spans="2:17" ht="15" thickBot="1" x14ac:dyDescent="0.4">
      <c r="L31" s="152" t="s">
        <v>125</v>
      </c>
      <c r="M31" s="152">
        <f>SUM(M19:M30)</f>
        <v>344594.44999999995</v>
      </c>
      <c r="N31" s="152" t="s">
        <v>125</v>
      </c>
      <c r="O31" s="152">
        <f>SUM(O19:O30)</f>
        <v>3712727.3000000007</v>
      </c>
      <c r="P31" s="185">
        <f>SUM(P19:P30)</f>
        <v>4057321.75</v>
      </c>
      <c r="Q31" s="1" t="s">
        <v>323</v>
      </c>
    </row>
    <row r="34" spans="12:12" x14ac:dyDescent="0.35">
      <c r="L34" s="35"/>
    </row>
    <row r="35" spans="12:12" ht="15" customHeight="1" x14ac:dyDescent="0.35"/>
    <row r="42" spans="12:12" ht="15" customHeight="1" x14ac:dyDescent="0.35"/>
  </sheetData>
  <mergeCells count="10">
    <mergeCell ref="C21:C22"/>
    <mergeCell ref="D21:D22"/>
    <mergeCell ref="E21:E22"/>
    <mergeCell ref="F21:F22"/>
    <mergeCell ref="G21:G22"/>
    <mergeCell ref="L1:M1"/>
    <mergeCell ref="N1:O1"/>
    <mergeCell ref="B3:B14"/>
    <mergeCell ref="L17:M17"/>
    <mergeCell ref="N17:O17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E9FDF-3B91-4A58-98D9-2F95F97DD81B}">
  <dimension ref="B2:L16"/>
  <sheetViews>
    <sheetView zoomScale="70" zoomScaleNormal="70" workbookViewId="0">
      <selection activeCell="J4" sqref="J4"/>
    </sheetView>
  </sheetViews>
  <sheetFormatPr defaultRowHeight="14.5" x14ac:dyDescent="0.35"/>
  <cols>
    <col min="2" max="2" width="13.7265625" customWidth="1"/>
    <col min="4" max="4" width="20" customWidth="1"/>
    <col min="5" max="5" width="12.7265625" customWidth="1"/>
    <col min="6" max="6" width="21.7265625" customWidth="1"/>
    <col min="7" max="7" width="23.81640625" customWidth="1"/>
    <col min="8" max="8" width="16.81640625" customWidth="1"/>
    <col min="9" max="9" width="28.453125" customWidth="1"/>
    <col min="10" max="10" width="30.453125" customWidth="1"/>
    <col min="11" max="11" width="33.81640625" customWidth="1"/>
  </cols>
  <sheetData>
    <row r="2" spans="2:12" ht="18.5" x14ac:dyDescent="0.45">
      <c r="B2" s="468" t="s">
        <v>225</v>
      </c>
      <c r="C2" s="468" t="s">
        <v>226</v>
      </c>
      <c r="D2" s="464" t="s">
        <v>77</v>
      </c>
      <c r="E2" s="468" t="s">
        <v>78</v>
      </c>
      <c r="F2" s="505" t="s">
        <v>227</v>
      </c>
      <c r="G2" s="505" t="s">
        <v>228</v>
      </c>
      <c r="H2" s="478" t="s">
        <v>229</v>
      </c>
      <c r="I2" s="503" t="s">
        <v>230</v>
      </c>
      <c r="J2" s="504"/>
      <c r="K2" s="504"/>
      <c r="L2" s="310"/>
    </row>
    <row r="3" spans="2:12" ht="15.5" x14ac:dyDescent="0.35">
      <c r="B3" s="469"/>
      <c r="C3" s="469"/>
      <c r="D3" s="465"/>
      <c r="E3" s="469"/>
      <c r="F3" s="506"/>
      <c r="G3" s="506"/>
      <c r="H3" s="456"/>
      <c r="I3" s="194" t="s">
        <v>389</v>
      </c>
      <c r="J3" s="194" t="s">
        <v>390</v>
      </c>
      <c r="K3" s="195" t="s">
        <v>360</v>
      </c>
    </row>
    <row r="4" spans="2:12" ht="36" customHeight="1" x14ac:dyDescent="0.35">
      <c r="B4" s="499" t="s">
        <v>362</v>
      </c>
      <c r="C4" s="444">
        <v>130</v>
      </c>
      <c r="D4" s="71" t="s">
        <v>363</v>
      </c>
      <c r="E4" s="71" t="s">
        <v>307</v>
      </c>
      <c r="F4" s="271">
        <v>44523</v>
      </c>
      <c r="G4" s="271">
        <v>44526</v>
      </c>
      <c r="H4" s="311" t="s">
        <v>391</v>
      </c>
      <c r="I4" s="5"/>
      <c r="J4" s="165">
        <f>G4-F4+1</f>
        <v>4</v>
      </c>
      <c r="K4" s="5">
        <f>I4+J4</f>
        <v>4</v>
      </c>
    </row>
    <row r="5" spans="2:12" ht="15.5" x14ac:dyDescent="0.35">
      <c r="B5" s="499"/>
      <c r="C5" s="444"/>
      <c r="D5" s="71" t="s">
        <v>364</v>
      </c>
      <c r="E5" s="71" t="s">
        <v>365</v>
      </c>
      <c r="F5" s="5"/>
      <c r="G5" s="5"/>
      <c r="H5" s="5"/>
      <c r="I5" s="5"/>
      <c r="J5" s="5"/>
      <c r="K5" s="5">
        <f t="shared" ref="K5:K15" si="0">I5+J5</f>
        <v>0</v>
      </c>
    </row>
    <row r="6" spans="2:12" ht="15.5" x14ac:dyDescent="0.35">
      <c r="B6" s="499"/>
      <c r="C6" s="444"/>
      <c r="D6" s="71" t="s">
        <v>366</v>
      </c>
      <c r="E6" s="71" t="s">
        <v>367</v>
      </c>
      <c r="F6" s="5"/>
      <c r="G6" s="5"/>
      <c r="H6" s="5"/>
      <c r="I6" s="5"/>
      <c r="J6" s="5"/>
      <c r="K6" s="5">
        <f t="shared" si="0"/>
        <v>0</v>
      </c>
    </row>
    <row r="7" spans="2:12" ht="15.5" x14ac:dyDescent="0.35">
      <c r="B7" s="499"/>
      <c r="C7" s="444"/>
      <c r="D7" s="71" t="s">
        <v>368</v>
      </c>
      <c r="E7" s="71" t="s">
        <v>369</v>
      </c>
      <c r="F7" s="5"/>
      <c r="G7" s="5"/>
      <c r="H7" s="5"/>
      <c r="I7" s="5"/>
      <c r="J7" s="5"/>
      <c r="K7" s="5">
        <f t="shared" si="0"/>
        <v>0</v>
      </c>
    </row>
    <row r="8" spans="2:12" ht="15.5" x14ac:dyDescent="0.35">
      <c r="B8" s="499"/>
      <c r="C8" s="444"/>
      <c r="D8" s="58" t="s">
        <v>370</v>
      </c>
      <c r="E8" s="71" t="s">
        <v>264</v>
      </c>
      <c r="F8" s="5"/>
      <c r="G8" s="5"/>
      <c r="H8" s="5"/>
      <c r="I8" s="5"/>
      <c r="J8" s="5"/>
      <c r="K8" s="5">
        <f t="shared" si="0"/>
        <v>0</v>
      </c>
    </row>
    <row r="9" spans="2:12" ht="15.5" x14ac:dyDescent="0.35">
      <c r="B9" s="499"/>
      <c r="C9" s="444"/>
      <c r="D9" s="71" t="s">
        <v>371</v>
      </c>
      <c r="E9" s="71" t="s">
        <v>372</v>
      </c>
      <c r="F9" s="5"/>
      <c r="G9" s="5"/>
      <c r="H9" s="5"/>
      <c r="I9" s="5"/>
      <c r="J9" s="5"/>
      <c r="K9" s="5">
        <f t="shared" si="0"/>
        <v>0</v>
      </c>
    </row>
    <row r="10" spans="2:12" ht="15.5" x14ac:dyDescent="0.35">
      <c r="B10" s="499"/>
      <c r="C10" s="444"/>
      <c r="D10" s="71" t="s">
        <v>373</v>
      </c>
      <c r="E10" s="71" t="s">
        <v>374</v>
      </c>
      <c r="F10" s="5"/>
      <c r="G10" s="5"/>
      <c r="H10" s="5"/>
      <c r="I10" s="5"/>
      <c r="J10" s="5"/>
      <c r="K10" s="5">
        <f t="shared" si="0"/>
        <v>0</v>
      </c>
    </row>
    <row r="11" spans="2:12" ht="15.5" x14ac:dyDescent="0.35">
      <c r="B11" s="499"/>
      <c r="C11" s="444"/>
      <c r="D11" s="71" t="s">
        <v>375</v>
      </c>
      <c r="E11" s="71" t="s">
        <v>376</v>
      </c>
      <c r="F11" s="5"/>
      <c r="G11" s="5"/>
      <c r="H11" s="5"/>
      <c r="I11" s="5"/>
      <c r="J11" s="5"/>
      <c r="K11" s="5">
        <f t="shared" si="0"/>
        <v>0</v>
      </c>
    </row>
    <row r="12" spans="2:12" ht="15.5" x14ac:dyDescent="0.35">
      <c r="B12" s="499"/>
      <c r="C12" s="444"/>
      <c r="D12" s="71" t="s">
        <v>377</v>
      </c>
      <c r="E12" s="71" t="s">
        <v>378</v>
      </c>
      <c r="F12" s="5"/>
      <c r="G12" s="5"/>
      <c r="H12" s="5"/>
      <c r="I12" s="5"/>
      <c r="J12" s="5"/>
      <c r="K12" s="5">
        <f t="shared" si="0"/>
        <v>0</v>
      </c>
    </row>
    <row r="13" spans="2:12" ht="15.5" x14ac:dyDescent="0.35">
      <c r="B13" s="499"/>
      <c r="C13" s="444"/>
      <c r="D13" s="71" t="s">
        <v>379</v>
      </c>
      <c r="E13" s="71" t="s">
        <v>380</v>
      </c>
      <c r="F13" s="5"/>
      <c r="G13" s="5"/>
      <c r="H13" s="5"/>
      <c r="I13" s="5"/>
      <c r="J13" s="5"/>
      <c r="K13" s="5">
        <f t="shared" si="0"/>
        <v>0</v>
      </c>
    </row>
    <row r="14" spans="2:12" ht="15.5" x14ac:dyDescent="0.35">
      <c r="B14" s="499"/>
      <c r="C14" s="444"/>
      <c r="D14" s="71" t="s">
        <v>381</v>
      </c>
      <c r="E14" s="71" t="s">
        <v>382</v>
      </c>
      <c r="F14" s="5"/>
      <c r="G14" s="5"/>
      <c r="H14" s="5"/>
      <c r="I14" s="5"/>
      <c r="J14" s="5"/>
      <c r="K14" s="5">
        <f t="shared" si="0"/>
        <v>0</v>
      </c>
    </row>
    <row r="15" spans="2:12" ht="15.5" x14ac:dyDescent="0.35">
      <c r="B15" s="499"/>
      <c r="C15" s="444"/>
      <c r="D15" s="71" t="s">
        <v>383</v>
      </c>
      <c r="E15" s="71" t="s">
        <v>384</v>
      </c>
      <c r="F15" s="5"/>
      <c r="G15" s="5"/>
      <c r="H15" s="5"/>
      <c r="I15" s="5"/>
      <c r="J15" s="5"/>
      <c r="K15" s="5">
        <f t="shared" si="0"/>
        <v>0</v>
      </c>
    </row>
    <row r="16" spans="2:12" x14ac:dyDescent="0.35">
      <c r="B16" s="312" t="s">
        <v>23</v>
      </c>
      <c r="C16" s="312"/>
      <c r="D16" s="313"/>
      <c r="E16" s="313"/>
      <c r="F16" s="312"/>
      <c r="G16" s="312"/>
      <c r="H16" s="312"/>
      <c r="I16" s="312">
        <f>SUM(I4:I15)</f>
        <v>0</v>
      </c>
      <c r="J16" s="312">
        <f>SUM(J4:J15)</f>
        <v>4</v>
      </c>
      <c r="K16" s="312">
        <f>SUM(K4)</f>
        <v>4</v>
      </c>
    </row>
  </sheetData>
  <mergeCells count="10">
    <mergeCell ref="H2:H3"/>
    <mergeCell ref="I2:K2"/>
    <mergeCell ref="B4:B15"/>
    <mergeCell ref="C4:C15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C67E4-D22C-445B-9360-3E52703E069F}">
  <dimension ref="A2:E23"/>
  <sheetViews>
    <sheetView zoomScale="64" zoomScaleNormal="85" workbookViewId="0">
      <selection activeCell="L35" sqref="L35"/>
    </sheetView>
  </sheetViews>
  <sheetFormatPr defaultRowHeight="14.5" x14ac:dyDescent="0.35"/>
  <cols>
    <col min="1" max="1" width="32.26953125" bestFit="1" customWidth="1"/>
    <col min="2" max="2" width="120" bestFit="1" customWidth="1"/>
    <col min="3" max="3" width="35" bestFit="1" customWidth="1"/>
    <col min="4" max="4" width="10.453125" bestFit="1" customWidth="1"/>
    <col min="5" max="5" width="16.81640625" customWidth="1"/>
  </cols>
  <sheetData>
    <row r="2" spans="1:5" x14ac:dyDescent="0.35">
      <c r="A2" s="108" t="s">
        <v>138</v>
      </c>
      <c r="B2" s="108" t="s">
        <v>139</v>
      </c>
      <c r="C2" s="108" t="s">
        <v>140</v>
      </c>
      <c r="D2" s="108" t="s">
        <v>141</v>
      </c>
      <c r="E2" s="128" t="s">
        <v>182</v>
      </c>
    </row>
    <row r="3" spans="1:5" x14ac:dyDescent="0.35">
      <c r="A3" s="62" t="s">
        <v>142</v>
      </c>
      <c r="B3" s="5" t="s">
        <v>143</v>
      </c>
      <c r="C3" s="175">
        <f>((C4-C5)/C4)*C9</f>
        <v>0.92269999999999996</v>
      </c>
      <c r="D3" s="5" t="s">
        <v>144</v>
      </c>
      <c r="E3" s="314"/>
    </row>
    <row r="4" spans="1:5" x14ac:dyDescent="0.35">
      <c r="A4" s="5" t="s">
        <v>145</v>
      </c>
      <c r="B4" s="5" t="s">
        <v>146</v>
      </c>
      <c r="C4" s="110">
        <f>C6*C7</f>
        <v>3.0000000000000001E-3</v>
      </c>
      <c r="D4" s="5" t="s">
        <v>147</v>
      </c>
      <c r="E4" s="314"/>
    </row>
    <row r="5" spans="1:5" x14ac:dyDescent="0.35">
      <c r="A5" s="74" t="s">
        <v>148</v>
      </c>
      <c r="B5" s="5" t="s">
        <v>149</v>
      </c>
      <c r="C5" s="111">
        <f>C6*C8</f>
        <v>0</v>
      </c>
      <c r="D5" s="5" t="s">
        <v>150</v>
      </c>
      <c r="E5" s="314"/>
    </row>
    <row r="6" spans="1:5" x14ac:dyDescent="0.35">
      <c r="A6" s="5" t="s">
        <v>42</v>
      </c>
      <c r="B6" s="5" t="s">
        <v>151</v>
      </c>
      <c r="C6" s="315">
        <v>4.0000000000000002E-4</v>
      </c>
      <c r="D6" s="5" t="s">
        <v>152</v>
      </c>
      <c r="E6" s="129" t="s">
        <v>185</v>
      </c>
    </row>
    <row r="7" spans="1:5" ht="43.5" x14ac:dyDescent="0.35">
      <c r="A7" s="5" t="s">
        <v>45</v>
      </c>
      <c r="B7" s="5" t="s">
        <v>153</v>
      </c>
      <c r="C7" s="111">
        <v>7.5</v>
      </c>
      <c r="D7" s="5" t="s">
        <v>154</v>
      </c>
      <c r="E7" s="129" t="s">
        <v>186</v>
      </c>
    </row>
    <row r="8" spans="1:5" x14ac:dyDescent="0.35">
      <c r="A8" s="5" t="s">
        <v>155</v>
      </c>
      <c r="B8" s="5" t="s">
        <v>156</v>
      </c>
      <c r="C8" s="111">
        <v>0</v>
      </c>
      <c r="D8" s="5" t="s">
        <v>154</v>
      </c>
      <c r="E8" s="129" t="s">
        <v>187</v>
      </c>
    </row>
    <row r="9" spans="1:5" ht="15.75" customHeight="1" x14ac:dyDescent="0.45">
      <c r="A9" s="5" t="s">
        <v>157</v>
      </c>
      <c r="B9" s="5" t="s">
        <v>158</v>
      </c>
      <c r="C9" s="177">
        <f>C20</f>
        <v>0.92269999999999996</v>
      </c>
      <c r="D9" s="5" t="s">
        <v>144</v>
      </c>
      <c r="E9" s="129" t="s">
        <v>190</v>
      </c>
    </row>
    <row r="10" spans="1:5" x14ac:dyDescent="0.35">
      <c r="E10" s="314"/>
    </row>
    <row r="11" spans="1:5" x14ac:dyDescent="0.35">
      <c r="A11" s="108" t="s">
        <v>159</v>
      </c>
      <c r="B11" s="108" t="s">
        <v>139</v>
      </c>
      <c r="C11" s="108" t="s">
        <v>160</v>
      </c>
      <c r="D11" s="108" t="s">
        <v>141</v>
      </c>
      <c r="E11" s="314"/>
    </row>
    <row r="12" spans="1:5" x14ac:dyDescent="0.35">
      <c r="A12" s="37" t="s">
        <v>161</v>
      </c>
      <c r="B12" s="5" t="s">
        <v>162</v>
      </c>
      <c r="C12" s="115">
        <f>(C13-C14)</f>
        <v>1.2899999999999998</v>
      </c>
      <c r="D12" s="5" t="s">
        <v>163</v>
      </c>
      <c r="E12" s="314"/>
    </row>
    <row r="13" spans="1:5" x14ac:dyDescent="0.35">
      <c r="A13" s="37" t="s">
        <v>164</v>
      </c>
      <c r="B13" s="5" t="s">
        <v>165</v>
      </c>
      <c r="C13" s="5">
        <v>2.2599999999999998</v>
      </c>
      <c r="D13" s="5" t="s">
        <v>163</v>
      </c>
      <c r="E13" s="316" t="s">
        <v>237</v>
      </c>
    </row>
    <row r="14" spans="1:5" x14ac:dyDescent="0.35">
      <c r="A14" s="37" t="s">
        <v>166</v>
      </c>
      <c r="B14" s="5" t="s">
        <v>167</v>
      </c>
      <c r="C14" s="5">
        <v>0.97</v>
      </c>
      <c r="D14" s="5" t="s">
        <v>163</v>
      </c>
      <c r="E14" s="316" t="s">
        <v>238</v>
      </c>
    </row>
    <row r="15" spans="1:5" x14ac:dyDescent="0.35">
      <c r="E15" s="314"/>
    </row>
    <row r="16" spans="1:5" x14ac:dyDescent="0.35">
      <c r="A16" s="108" t="s">
        <v>168</v>
      </c>
      <c r="B16" s="108" t="s">
        <v>139</v>
      </c>
      <c r="C16" s="108" t="s">
        <v>169</v>
      </c>
      <c r="D16" s="108" t="s">
        <v>141</v>
      </c>
      <c r="E16" s="314"/>
    </row>
    <row r="17" spans="1:5" x14ac:dyDescent="0.35">
      <c r="A17" s="37" t="s">
        <v>170</v>
      </c>
      <c r="B17" s="5" t="s">
        <v>171</v>
      </c>
      <c r="C17" s="116">
        <f>C18*(1-C19)*C20</f>
        <v>3031.9921999999997</v>
      </c>
      <c r="D17" s="5" t="s">
        <v>172</v>
      </c>
      <c r="E17" s="314"/>
    </row>
    <row r="18" spans="1:5" x14ac:dyDescent="0.35">
      <c r="A18" s="37" t="s">
        <v>173</v>
      </c>
      <c r="B18" s="5" t="s">
        <v>174</v>
      </c>
      <c r="C18" s="117">
        <f>'VPA 130 PTDs'!J15</f>
        <v>3286</v>
      </c>
      <c r="D18" s="5" t="s">
        <v>172</v>
      </c>
      <c r="E18" s="316" t="s">
        <v>239</v>
      </c>
    </row>
    <row r="19" spans="1:5" x14ac:dyDescent="0.35">
      <c r="A19" s="37" t="s">
        <v>38</v>
      </c>
      <c r="B19" s="5" t="s">
        <v>175</v>
      </c>
      <c r="C19" s="118">
        <v>0</v>
      </c>
      <c r="D19" s="5" t="s">
        <v>144</v>
      </c>
      <c r="E19" s="316" t="s">
        <v>237</v>
      </c>
    </row>
    <row r="20" spans="1:5" ht="44.5" x14ac:dyDescent="0.45">
      <c r="A20" s="37" t="s">
        <v>157</v>
      </c>
      <c r="B20" s="5" t="s">
        <v>158</v>
      </c>
      <c r="C20" s="177">
        <v>0.92269999999999996</v>
      </c>
      <c r="D20" s="5" t="s">
        <v>144</v>
      </c>
      <c r="E20" s="129" t="s">
        <v>190</v>
      </c>
    </row>
    <row r="21" spans="1:5" x14ac:dyDescent="0.35">
      <c r="E21" s="314"/>
    </row>
    <row r="22" spans="1:5" x14ac:dyDescent="0.35">
      <c r="A22" s="119" t="s">
        <v>176</v>
      </c>
      <c r="B22" s="108" t="s">
        <v>139</v>
      </c>
      <c r="C22" s="108"/>
      <c r="D22" s="108" t="s">
        <v>141</v>
      </c>
      <c r="E22" s="314"/>
    </row>
    <row r="23" spans="1:5" x14ac:dyDescent="0.35">
      <c r="A23" s="37" t="s">
        <v>177</v>
      </c>
      <c r="B23" s="5" t="s">
        <v>178</v>
      </c>
      <c r="C23" s="120">
        <f>'VPA 130 Summary'!E36</f>
        <v>5688</v>
      </c>
      <c r="D23" s="5" t="s">
        <v>179</v>
      </c>
      <c r="E23" s="316" t="s">
        <v>240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ECA75-5EE5-4022-81B1-18BEC9F10CBD}">
  <dimension ref="B1:Q39"/>
  <sheetViews>
    <sheetView workbookViewId="0">
      <selection activeCell="G22" sqref="G22"/>
    </sheetView>
  </sheetViews>
  <sheetFormatPr defaultColWidth="9.1796875" defaultRowHeight="14.5" x14ac:dyDescent="0.35"/>
  <cols>
    <col min="1" max="1" width="9.1796875" style="1"/>
    <col min="2" max="2" width="22.54296875" style="1" customWidth="1"/>
    <col min="3" max="3" width="21.26953125" style="1" customWidth="1"/>
    <col min="4" max="4" width="17.26953125" style="1" bestFit="1" customWidth="1"/>
    <col min="5" max="5" width="16" style="1" customWidth="1"/>
    <col min="6" max="6" width="20.54296875" style="1" customWidth="1"/>
    <col min="7" max="7" width="22.81640625" style="1" customWidth="1"/>
    <col min="8" max="8" width="11.1796875" style="1" customWidth="1"/>
    <col min="9" max="9" width="14.453125" style="1" bestFit="1" customWidth="1"/>
    <col min="10" max="10" width="16" style="1" customWidth="1"/>
    <col min="11" max="11" width="5.26953125" style="1" customWidth="1"/>
    <col min="12" max="12" width="18.54296875" style="1" customWidth="1"/>
    <col min="13" max="13" width="12.54296875" style="1" customWidth="1"/>
    <col min="14" max="14" width="22.1796875" style="1" customWidth="1"/>
    <col min="15" max="15" width="15.26953125" style="1" bestFit="1" customWidth="1"/>
    <col min="16" max="16" width="15.54296875" style="1" bestFit="1" customWidth="1"/>
    <col min="17" max="16384" width="9.1796875" style="1"/>
  </cols>
  <sheetData>
    <row r="1" spans="2:16" ht="15" thickBot="1" x14ac:dyDescent="0.4">
      <c r="L1" s="393">
        <v>2020</v>
      </c>
      <c r="M1" s="393"/>
      <c r="N1" s="394">
        <v>2021</v>
      </c>
      <c r="O1" s="395"/>
    </row>
    <row r="2" spans="2:16" ht="15" thickBot="1" x14ac:dyDescent="0.4">
      <c r="B2" s="50" t="s">
        <v>76</v>
      </c>
      <c r="C2" s="51" t="s">
        <v>77</v>
      </c>
      <c r="D2" s="51" t="s">
        <v>78</v>
      </c>
      <c r="E2" s="51" t="s">
        <v>79</v>
      </c>
      <c r="F2" s="51" t="s">
        <v>80</v>
      </c>
      <c r="G2" s="51" t="s">
        <v>81</v>
      </c>
      <c r="H2" s="51" t="s">
        <v>82</v>
      </c>
      <c r="I2" s="52" t="s">
        <v>83</v>
      </c>
      <c r="J2" s="53" t="s">
        <v>84</v>
      </c>
      <c r="L2" s="49" t="s">
        <v>85</v>
      </c>
      <c r="M2" s="49" t="s">
        <v>86</v>
      </c>
      <c r="N2" s="54" t="s">
        <v>87</v>
      </c>
      <c r="O2" s="55" t="s">
        <v>86</v>
      </c>
      <c r="P2" s="56" t="s">
        <v>88</v>
      </c>
    </row>
    <row r="3" spans="2:16" ht="15" customHeight="1" x14ac:dyDescent="0.35">
      <c r="B3" s="396" t="s">
        <v>89</v>
      </c>
      <c r="C3" s="57" t="s">
        <v>90</v>
      </c>
      <c r="D3" s="58" t="s">
        <v>91</v>
      </c>
      <c r="E3" s="59" t="s">
        <v>92</v>
      </c>
      <c r="F3" s="60" t="s">
        <v>93</v>
      </c>
      <c r="G3" s="61">
        <v>43041</v>
      </c>
      <c r="H3" s="5">
        <v>69</v>
      </c>
      <c r="I3" s="5">
        <v>409</v>
      </c>
      <c r="J3" s="62">
        <v>300</v>
      </c>
      <c r="L3" s="63">
        <f>G21</f>
        <v>29.45</v>
      </c>
      <c r="M3" s="63">
        <f>J3*L3</f>
        <v>8835</v>
      </c>
      <c r="N3" s="64">
        <f>G22</f>
        <v>317.3</v>
      </c>
      <c r="O3" s="65">
        <f t="shared" ref="O3:O12" si="0">J3*N3</f>
        <v>95190</v>
      </c>
      <c r="P3" s="66">
        <f t="shared" ref="P3:P12" si="1">M3+O3</f>
        <v>104025</v>
      </c>
    </row>
    <row r="4" spans="2:16" ht="15.5" x14ac:dyDescent="0.35">
      <c r="B4" s="396"/>
      <c r="C4" s="57" t="s">
        <v>94</v>
      </c>
      <c r="D4" s="58" t="s">
        <v>95</v>
      </c>
      <c r="E4" s="67">
        <v>16.170300000000001</v>
      </c>
      <c r="F4" s="68" t="s">
        <v>96</v>
      </c>
      <c r="G4" s="61">
        <v>43042</v>
      </c>
      <c r="H4" s="5">
        <v>72</v>
      </c>
      <c r="I4" s="5">
        <v>435</v>
      </c>
      <c r="J4" s="5">
        <v>300</v>
      </c>
      <c r="L4" s="63">
        <f>G21</f>
        <v>29.45</v>
      </c>
      <c r="M4" s="63">
        <f t="shared" ref="M4:M12" si="2">J4*L4</f>
        <v>8835</v>
      </c>
      <c r="N4" s="64">
        <f>G22</f>
        <v>317.3</v>
      </c>
      <c r="O4" s="65">
        <f t="shared" si="0"/>
        <v>95190</v>
      </c>
      <c r="P4" s="66">
        <f t="shared" si="1"/>
        <v>104025</v>
      </c>
    </row>
    <row r="5" spans="2:16" ht="15.5" x14ac:dyDescent="0.35">
      <c r="B5" s="396"/>
      <c r="C5" s="57" t="s">
        <v>97</v>
      </c>
      <c r="D5" s="58" t="s">
        <v>98</v>
      </c>
      <c r="E5" s="58">
        <v>15.67374</v>
      </c>
      <c r="F5" s="69" t="s">
        <v>99</v>
      </c>
      <c r="G5" s="61">
        <v>43049</v>
      </c>
      <c r="H5" s="5">
        <v>134</v>
      </c>
      <c r="I5" s="5">
        <f>'[1]HH List'!G279</f>
        <v>672</v>
      </c>
      <c r="J5" s="5">
        <v>300</v>
      </c>
      <c r="L5" s="63">
        <f>G21</f>
        <v>29.45</v>
      </c>
      <c r="M5" s="63">
        <f>J5*L5</f>
        <v>8835</v>
      </c>
      <c r="N5" s="64">
        <f>G22</f>
        <v>317.3</v>
      </c>
      <c r="O5" s="65">
        <f t="shared" si="0"/>
        <v>95190</v>
      </c>
      <c r="P5" s="66">
        <f t="shared" si="1"/>
        <v>104025</v>
      </c>
    </row>
    <row r="6" spans="2:16" ht="15.5" x14ac:dyDescent="0.35">
      <c r="B6" s="396"/>
      <c r="C6" s="57" t="s">
        <v>100</v>
      </c>
      <c r="D6" s="58" t="s">
        <v>101</v>
      </c>
      <c r="E6" s="70">
        <v>15.61317</v>
      </c>
      <c r="F6" s="69" t="s">
        <v>102</v>
      </c>
      <c r="G6" s="61">
        <v>43056</v>
      </c>
      <c r="H6" s="5">
        <v>45</v>
      </c>
      <c r="I6" s="5">
        <v>276</v>
      </c>
      <c r="J6" s="5">
        <f>I6</f>
        <v>276</v>
      </c>
      <c r="L6" s="63">
        <f>G21</f>
        <v>29.45</v>
      </c>
      <c r="M6" s="63">
        <f t="shared" si="2"/>
        <v>8128.2</v>
      </c>
      <c r="N6" s="64">
        <f>G22</f>
        <v>317.3</v>
      </c>
      <c r="O6" s="65">
        <f t="shared" si="0"/>
        <v>87574.8</v>
      </c>
      <c r="P6" s="66">
        <f t="shared" si="1"/>
        <v>95703</v>
      </c>
    </row>
    <row r="7" spans="2:16" ht="15.5" x14ac:dyDescent="0.35">
      <c r="B7" s="396"/>
      <c r="C7" s="57" t="s">
        <v>103</v>
      </c>
      <c r="D7" s="58" t="s">
        <v>104</v>
      </c>
      <c r="E7" s="67">
        <v>15.594620000000001</v>
      </c>
      <c r="F7" s="69" t="s">
        <v>105</v>
      </c>
      <c r="G7" s="61">
        <v>43057</v>
      </c>
      <c r="H7" s="5">
        <v>40</v>
      </c>
      <c r="I7" s="5">
        <v>257</v>
      </c>
      <c r="J7" s="5">
        <f>I7</f>
        <v>257</v>
      </c>
      <c r="L7" s="63">
        <f>G21</f>
        <v>29.45</v>
      </c>
      <c r="M7" s="63">
        <f t="shared" si="2"/>
        <v>7568.65</v>
      </c>
      <c r="N7" s="64">
        <f>G22</f>
        <v>317.3</v>
      </c>
      <c r="O7" s="65">
        <f t="shared" si="0"/>
        <v>81546.100000000006</v>
      </c>
      <c r="P7" s="66">
        <f t="shared" si="1"/>
        <v>89114.75</v>
      </c>
    </row>
    <row r="8" spans="2:16" ht="15.5" x14ac:dyDescent="0.35">
      <c r="B8" s="396"/>
      <c r="C8" s="57" t="s">
        <v>106</v>
      </c>
      <c r="D8" s="71" t="s">
        <v>107</v>
      </c>
      <c r="E8" s="67">
        <v>15.65963</v>
      </c>
      <c r="F8" s="69" t="s">
        <v>108</v>
      </c>
      <c r="G8" s="61">
        <v>43060</v>
      </c>
      <c r="H8" s="5">
        <v>53</v>
      </c>
      <c r="I8" s="5">
        <v>300</v>
      </c>
      <c r="J8" s="5">
        <f>I8</f>
        <v>300</v>
      </c>
      <c r="L8" s="63">
        <f>G21</f>
        <v>29.45</v>
      </c>
      <c r="M8" s="63">
        <f t="shared" si="2"/>
        <v>8835</v>
      </c>
      <c r="N8" s="64">
        <f>G22</f>
        <v>317.3</v>
      </c>
      <c r="O8" s="65">
        <f t="shared" si="0"/>
        <v>95190</v>
      </c>
      <c r="P8" s="66">
        <f t="shared" si="1"/>
        <v>104025</v>
      </c>
    </row>
    <row r="9" spans="2:16" ht="15.5" x14ac:dyDescent="0.35">
      <c r="B9" s="396"/>
      <c r="C9" s="57" t="s">
        <v>109</v>
      </c>
      <c r="D9" s="71" t="s">
        <v>110</v>
      </c>
      <c r="E9" s="59" t="s">
        <v>111</v>
      </c>
      <c r="F9" s="72" t="s">
        <v>112</v>
      </c>
      <c r="G9" s="61">
        <v>43077</v>
      </c>
      <c r="H9" s="5">
        <v>17</v>
      </c>
      <c r="I9" s="5">
        <v>126</v>
      </c>
      <c r="J9" s="5">
        <f>I9</f>
        <v>126</v>
      </c>
      <c r="L9" s="63">
        <f>G21</f>
        <v>29.45</v>
      </c>
      <c r="M9" s="63">
        <f t="shared" si="2"/>
        <v>3710.7</v>
      </c>
      <c r="N9" s="64">
        <f>G22</f>
        <v>317.3</v>
      </c>
      <c r="O9" s="65">
        <f t="shared" si="0"/>
        <v>39979.800000000003</v>
      </c>
      <c r="P9" s="66">
        <f t="shared" si="1"/>
        <v>43690.5</v>
      </c>
    </row>
    <row r="10" spans="2:16" ht="15.5" x14ac:dyDescent="0.35">
      <c r="B10" s="396"/>
      <c r="C10" s="57" t="s">
        <v>113</v>
      </c>
      <c r="D10" s="71" t="s">
        <v>114</v>
      </c>
      <c r="E10" s="59" t="s">
        <v>115</v>
      </c>
      <c r="F10" s="72" t="s">
        <v>116</v>
      </c>
      <c r="G10" s="61">
        <v>43081</v>
      </c>
      <c r="H10" s="5">
        <v>82</v>
      </c>
      <c r="I10" s="5">
        <v>459</v>
      </c>
      <c r="J10" s="5">
        <v>300</v>
      </c>
      <c r="L10" s="63">
        <f>G21</f>
        <v>29.45</v>
      </c>
      <c r="M10" s="63">
        <f t="shared" si="2"/>
        <v>8835</v>
      </c>
      <c r="N10" s="64">
        <f>G22</f>
        <v>317.3</v>
      </c>
      <c r="O10" s="65">
        <f t="shared" si="0"/>
        <v>95190</v>
      </c>
      <c r="P10" s="66">
        <f t="shared" si="1"/>
        <v>104025</v>
      </c>
    </row>
    <row r="11" spans="2:16" ht="15.5" x14ac:dyDescent="0.35">
      <c r="B11" s="396"/>
      <c r="C11" s="57" t="s">
        <v>117</v>
      </c>
      <c r="D11" s="71" t="s">
        <v>118</v>
      </c>
      <c r="E11" s="59" t="s">
        <v>119</v>
      </c>
      <c r="F11" s="72" t="s">
        <v>120</v>
      </c>
      <c r="G11" s="61">
        <v>43085</v>
      </c>
      <c r="H11" s="5">
        <v>65</v>
      </c>
      <c r="I11" s="5">
        <v>341</v>
      </c>
      <c r="J11" s="5">
        <v>300</v>
      </c>
      <c r="L11" s="63">
        <f>G21</f>
        <v>29.45</v>
      </c>
      <c r="M11" s="63">
        <f t="shared" si="2"/>
        <v>8835</v>
      </c>
      <c r="N11" s="64">
        <f>G22</f>
        <v>317.3</v>
      </c>
      <c r="O11" s="65">
        <f t="shared" si="0"/>
        <v>95190</v>
      </c>
      <c r="P11" s="66">
        <f t="shared" si="1"/>
        <v>104025</v>
      </c>
    </row>
    <row r="12" spans="2:16" ht="16" thickBot="1" x14ac:dyDescent="0.4">
      <c r="B12" s="396"/>
      <c r="C12" s="57" t="s">
        <v>121</v>
      </c>
      <c r="D12" s="73" t="s">
        <v>122</v>
      </c>
      <c r="E12" s="59" t="s">
        <v>123</v>
      </c>
      <c r="F12" s="72" t="s">
        <v>124</v>
      </c>
      <c r="G12" s="61">
        <v>43088</v>
      </c>
      <c r="H12" s="5">
        <v>62</v>
      </c>
      <c r="I12" s="5">
        <v>366</v>
      </c>
      <c r="J12" s="74">
        <v>300</v>
      </c>
      <c r="L12" s="63">
        <f>G21</f>
        <v>29.45</v>
      </c>
      <c r="M12" s="63">
        <f t="shared" si="2"/>
        <v>8835</v>
      </c>
      <c r="N12" s="64">
        <f>G22</f>
        <v>317.3</v>
      </c>
      <c r="O12" s="65">
        <f t="shared" si="0"/>
        <v>95190</v>
      </c>
      <c r="P12" s="66">
        <f t="shared" si="1"/>
        <v>104025</v>
      </c>
    </row>
    <row r="13" spans="2:16" ht="19" thickBot="1" x14ac:dyDescent="0.5">
      <c r="B13" s="75"/>
      <c r="C13"/>
      <c r="G13" s="76"/>
      <c r="H13" s="77" t="s">
        <v>23</v>
      </c>
      <c r="I13" s="78">
        <f>SUM(I3:I12)</f>
        <v>3641</v>
      </c>
      <c r="J13" s="78">
        <f>SUM(J3:J12)</f>
        <v>2759</v>
      </c>
      <c r="L13" s="79" t="s">
        <v>125</v>
      </c>
      <c r="M13" s="80">
        <f>SUM(M3:M12)</f>
        <v>81252.549999999988</v>
      </c>
      <c r="N13" s="79" t="s">
        <v>125</v>
      </c>
      <c r="O13" s="64">
        <f>SUM(O3:O12)</f>
        <v>875430.70000000007</v>
      </c>
      <c r="P13" s="81">
        <f>SUM(P3:P12)</f>
        <v>956683.25</v>
      </c>
    </row>
    <row r="14" spans="2:16" ht="15" customHeight="1" x14ac:dyDescent="0.35">
      <c r="B14" s="82" t="s">
        <v>126</v>
      </c>
      <c r="C14" s="83">
        <v>44166</v>
      </c>
      <c r="D14" s="84"/>
    </row>
    <row r="15" spans="2:16" ht="15" thickBot="1" x14ac:dyDescent="0.4">
      <c r="B15" s="85" t="s">
        <v>127</v>
      </c>
      <c r="C15" s="86">
        <v>44530</v>
      </c>
      <c r="D15" s="87"/>
      <c r="O15" s="88"/>
    </row>
    <row r="16" spans="2:16" ht="15" customHeight="1" thickBot="1" x14ac:dyDescent="0.4">
      <c r="B16" s="85" t="s">
        <v>128</v>
      </c>
      <c r="C16" s="86">
        <v>44196</v>
      </c>
      <c r="D16" s="89"/>
    </row>
    <row r="17" spans="2:17" ht="15" customHeight="1" thickBot="1" x14ac:dyDescent="0.4">
      <c r="B17" s="90"/>
      <c r="C17" s="91"/>
      <c r="D17" s="89"/>
      <c r="L17" s="393">
        <v>2020</v>
      </c>
      <c r="M17" s="393"/>
      <c r="N17" s="394">
        <v>2021</v>
      </c>
      <c r="O17" s="395"/>
    </row>
    <row r="18" spans="2:17" ht="18.5" x14ac:dyDescent="0.45">
      <c r="B18" s="92" t="s">
        <v>129</v>
      </c>
      <c r="L18" s="124" t="s">
        <v>85</v>
      </c>
      <c r="M18" s="124" t="s">
        <v>86</v>
      </c>
      <c r="N18" s="54" t="s">
        <v>87</v>
      </c>
      <c r="O18" s="55" t="s">
        <v>86</v>
      </c>
      <c r="P18" s="56" t="s">
        <v>88</v>
      </c>
    </row>
    <row r="19" spans="2:17" ht="15.75" customHeight="1" x14ac:dyDescent="0.35">
      <c r="B19" s="397"/>
      <c r="C19" s="399" t="s">
        <v>130</v>
      </c>
      <c r="D19" s="401" t="s">
        <v>131</v>
      </c>
      <c r="E19" s="401" t="s">
        <v>132</v>
      </c>
      <c r="F19" s="403" t="s">
        <v>133</v>
      </c>
      <c r="G19" s="403" t="s">
        <v>134</v>
      </c>
      <c r="L19" s="63">
        <f>$G$21</f>
        <v>29.45</v>
      </c>
      <c r="M19" s="63">
        <f>I3*$L$19</f>
        <v>12045.05</v>
      </c>
      <c r="N19" s="64">
        <f>$G$22</f>
        <v>317.3</v>
      </c>
      <c r="O19" s="65">
        <f>I3*N19</f>
        <v>129775.70000000001</v>
      </c>
      <c r="P19" s="66">
        <f t="shared" ref="P19:P28" si="3">M19+O19</f>
        <v>141820.75</v>
      </c>
    </row>
    <row r="20" spans="2:17" ht="15" customHeight="1" x14ac:dyDescent="0.35">
      <c r="B20" s="398"/>
      <c r="C20" s="400"/>
      <c r="D20" s="402"/>
      <c r="E20" s="402"/>
      <c r="F20" s="404"/>
      <c r="G20" s="404"/>
      <c r="L20" s="63">
        <f t="shared" ref="L20:L28" si="4">$G$21</f>
        <v>29.45</v>
      </c>
      <c r="M20" s="63">
        <f t="shared" ref="M20:M28" si="5">I4*$L$19</f>
        <v>12810.75</v>
      </c>
      <c r="N20" s="64">
        <f t="shared" ref="N20:N28" si="6">$G$22</f>
        <v>317.3</v>
      </c>
      <c r="O20" s="65">
        <f t="shared" ref="O20:O28" si="7">I4*N20</f>
        <v>138025.5</v>
      </c>
      <c r="P20" s="66">
        <f t="shared" si="3"/>
        <v>150836.25</v>
      </c>
    </row>
    <row r="21" spans="2:17" x14ac:dyDescent="0.35">
      <c r="B21" s="93" t="s">
        <v>135</v>
      </c>
      <c r="C21" s="94">
        <f>((C16-C14)+1)*10</f>
        <v>310</v>
      </c>
      <c r="D21" s="95">
        <f>([1]Downdays!H3)/[1]PTDs!C21</f>
        <v>0</v>
      </c>
      <c r="E21" s="96">
        <f>IF(D21&lt;5%,95%,100%-D21)</f>
        <v>0.95</v>
      </c>
      <c r="F21" s="97">
        <f>(C16-C14)+1</f>
        <v>31</v>
      </c>
      <c r="G21" s="98">
        <f>F21*E21</f>
        <v>29.45</v>
      </c>
      <c r="I21" s="99"/>
      <c r="L21" s="63">
        <f t="shared" si="4"/>
        <v>29.45</v>
      </c>
      <c r="M21" s="63">
        <f t="shared" si="5"/>
        <v>19790.399999999998</v>
      </c>
      <c r="N21" s="64">
        <f t="shared" si="6"/>
        <v>317.3</v>
      </c>
      <c r="O21" s="65">
        <f t="shared" si="7"/>
        <v>213225.60000000001</v>
      </c>
      <c r="P21" s="66">
        <f t="shared" si="3"/>
        <v>233016</v>
      </c>
    </row>
    <row r="22" spans="2:17" x14ac:dyDescent="0.35">
      <c r="B22" s="100" t="s">
        <v>136</v>
      </c>
      <c r="C22" s="101">
        <f>((C15-C16))*10</f>
        <v>3340</v>
      </c>
      <c r="D22" s="102">
        <f>([1]Downdays!I3)/[1]PTDs!C22</f>
        <v>0</v>
      </c>
      <c r="E22" s="103">
        <f>IF(D22&lt;5%,95%,100%-D22)</f>
        <v>0.95</v>
      </c>
      <c r="F22" s="104">
        <f>(C15-C16)</f>
        <v>334</v>
      </c>
      <c r="G22" s="79">
        <f>F22*E22</f>
        <v>317.3</v>
      </c>
      <c r="L22" s="63">
        <f t="shared" si="4"/>
        <v>29.45</v>
      </c>
      <c r="M22" s="63">
        <f t="shared" si="5"/>
        <v>8128.2</v>
      </c>
      <c r="N22" s="64">
        <f t="shared" si="6"/>
        <v>317.3</v>
      </c>
      <c r="O22" s="65">
        <f t="shared" si="7"/>
        <v>87574.8</v>
      </c>
      <c r="P22" s="66">
        <f t="shared" si="3"/>
        <v>95703</v>
      </c>
    </row>
    <row r="23" spans="2:17" x14ac:dyDescent="0.35">
      <c r="L23" s="63">
        <f t="shared" si="4"/>
        <v>29.45</v>
      </c>
      <c r="M23" s="63">
        <f t="shared" si="5"/>
        <v>7568.65</v>
      </c>
      <c r="N23" s="64">
        <f t="shared" si="6"/>
        <v>317.3</v>
      </c>
      <c r="O23" s="65">
        <f t="shared" si="7"/>
        <v>81546.100000000006</v>
      </c>
      <c r="P23" s="66">
        <f t="shared" si="3"/>
        <v>89114.75</v>
      </c>
    </row>
    <row r="24" spans="2:17" ht="15" customHeight="1" x14ac:dyDescent="0.35">
      <c r="B24" s="105" t="s">
        <v>137</v>
      </c>
      <c r="C24" s="106">
        <f>C21+C22</f>
        <v>3650</v>
      </c>
      <c r="D24" s="107">
        <f>'VPA 122 Downdays'!J13/'VPA 122 PTDs'!C24</f>
        <v>0</v>
      </c>
      <c r="L24" s="63">
        <f t="shared" si="4"/>
        <v>29.45</v>
      </c>
      <c r="M24" s="63">
        <f t="shared" si="5"/>
        <v>8835</v>
      </c>
      <c r="N24" s="64">
        <f t="shared" si="6"/>
        <v>317.3</v>
      </c>
      <c r="O24" s="65">
        <f t="shared" si="7"/>
        <v>95190</v>
      </c>
      <c r="P24" s="66">
        <f t="shared" si="3"/>
        <v>104025</v>
      </c>
    </row>
    <row r="25" spans="2:17" x14ac:dyDescent="0.35">
      <c r="L25" s="63">
        <f t="shared" si="4"/>
        <v>29.45</v>
      </c>
      <c r="M25" s="63">
        <f t="shared" si="5"/>
        <v>3710.7</v>
      </c>
      <c r="N25" s="64">
        <f t="shared" si="6"/>
        <v>317.3</v>
      </c>
      <c r="O25" s="65">
        <f t="shared" si="7"/>
        <v>39979.800000000003</v>
      </c>
      <c r="P25" s="66">
        <f t="shared" si="3"/>
        <v>43690.5</v>
      </c>
    </row>
    <row r="26" spans="2:17" x14ac:dyDescent="0.35">
      <c r="C26"/>
      <c r="D26"/>
      <c r="E26"/>
      <c r="F26"/>
      <c r="G26"/>
      <c r="H26"/>
      <c r="I26"/>
      <c r="J26"/>
      <c r="K26"/>
      <c r="L26" s="63">
        <f t="shared" si="4"/>
        <v>29.45</v>
      </c>
      <c r="M26" s="63">
        <f t="shared" si="5"/>
        <v>13517.55</v>
      </c>
      <c r="N26" s="64">
        <f t="shared" si="6"/>
        <v>317.3</v>
      </c>
      <c r="O26" s="65">
        <f t="shared" si="7"/>
        <v>145640.70000000001</v>
      </c>
      <c r="P26" s="66">
        <f t="shared" si="3"/>
        <v>159158.25</v>
      </c>
    </row>
    <row r="27" spans="2:17" x14ac:dyDescent="0.35">
      <c r="L27" s="63">
        <f t="shared" si="4"/>
        <v>29.45</v>
      </c>
      <c r="M27" s="63">
        <f t="shared" si="5"/>
        <v>10042.449999999999</v>
      </c>
      <c r="N27" s="64">
        <f t="shared" si="6"/>
        <v>317.3</v>
      </c>
      <c r="O27" s="65">
        <f t="shared" si="7"/>
        <v>108199.3</v>
      </c>
      <c r="P27" s="66">
        <f t="shared" si="3"/>
        <v>118241.75</v>
      </c>
    </row>
    <row r="28" spans="2:17" x14ac:dyDescent="0.35">
      <c r="L28" s="63">
        <f t="shared" si="4"/>
        <v>29.45</v>
      </c>
      <c r="M28" s="63">
        <f t="shared" si="5"/>
        <v>10778.699999999999</v>
      </c>
      <c r="N28" s="64">
        <f t="shared" si="6"/>
        <v>317.3</v>
      </c>
      <c r="O28" s="65">
        <f t="shared" si="7"/>
        <v>116131.8</v>
      </c>
      <c r="P28" s="66">
        <f t="shared" si="3"/>
        <v>126910.5</v>
      </c>
    </row>
    <row r="29" spans="2:17" ht="18.5" x14ac:dyDescent="0.45">
      <c r="L29" s="79" t="s">
        <v>125</v>
      </c>
      <c r="M29" s="80">
        <f>SUM(M19:M28)</f>
        <v>107227.44999999998</v>
      </c>
      <c r="N29" s="79" t="s">
        <v>125</v>
      </c>
      <c r="O29" s="64">
        <f>SUM(O19:O28)</f>
        <v>1155289.3000000003</v>
      </c>
      <c r="P29" s="81">
        <f>SUM(P19:P28)</f>
        <v>1262516.75</v>
      </c>
      <c r="Q29" s="1" t="s">
        <v>323</v>
      </c>
    </row>
    <row r="30" spans="2:17" x14ac:dyDescent="0.35">
      <c r="L30" s="11"/>
    </row>
    <row r="31" spans="2:17" x14ac:dyDescent="0.35">
      <c r="L31" s="11"/>
      <c r="M31" s="35"/>
    </row>
    <row r="32" spans="2:17" ht="15" customHeight="1" x14ac:dyDescent="0.35">
      <c r="L32" s="11"/>
    </row>
    <row r="39" s="1" customFormat="1" ht="15" customHeight="1" x14ac:dyDescent="0.35"/>
  </sheetData>
  <mergeCells count="11">
    <mergeCell ref="L1:M1"/>
    <mergeCell ref="N1:O1"/>
    <mergeCell ref="B3:B12"/>
    <mergeCell ref="B19:B20"/>
    <mergeCell ref="C19:C20"/>
    <mergeCell ref="D19:D20"/>
    <mergeCell ref="E19:E20"/>
    <mergeCell ref="F19:F20"/>
    <mergeCell ref="G19:G20"/>
    <mergeCell ref="L17:M17"/>
    <mergeCell ref="N17:O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2294B-904C-4D11-92FE-16BD4E384711}">
  <dimension ref="A1:J13"/>
  <sheetViews>
    <sheetView zoomScale="80" zoomScaleNormal="80" workbookViewId="0">
      <selection activeCell="C22" sqref="C22"/>
    </sheetView>
  </sheetViews>
  <sheetFormatPr defaultRowHeight="14.5" x14ac:dyDescent="0.35"/>
  <cols>
    <col min="2" max="2" width="13.453125" customWidth="1"/>
    <col min="3" max="4" width="14.54296875" customWidth="1"/>
    <col min="5" max="5" width="21.54296875" customWidth="1"/>
    <col min="6" max="6" width="20.453125" customWidth="1"/>
    <col min="7" max="7" width="21.26953125" customWidth="1"/>
    <col min="8" max="8" width="11" customWidth="1"/>
    <col min="9" max="9" width="10.54296875" customWidth="1"/>
    <col min="10" max="10" width="18.1796875" customWidth="1"/>
  </cols>
  <sheetData>
    <row r="1" spans="1:10" x14ac:dyDescent="0.35">
      <c r="A1" s="416" t="s">
        <v>225</v>
      </c>
      <c r="B1" s="416" t="s">
        <v>226</v>
      </c>
      <c r="C1" s="416" t="s">
        <v>77</v>
      </c>
      <c r="D1" s="417" t="s">
        <v>78</v>
      </c>
      <c r="E1" s="416" t="s">
        <v>227</v>
      </c>
      <c r="F1" s="416" t="s">
        <v>228</v>
      </c>
      <c r="G1" s="405" t="s">
        <v>229</v>
      </c>
      <c r="H1" s="407" t="s">
        <v>230</v>
      </c>
      <c r="I1" s="408"/>
      <c r="J1" s="409"/>
    </row>
    <row r="2" spans="1:10" x14ac:dyDescent="0.35">
      <c r="A2" s="417"/>
      <c r="B2" s="417"/>
      <c r="C2" s="417"/>
      <c r="D2" s="418"/>
      <c r="E2" s="417"/>
      <c r="F2" s="417"/>
      <c r="G2" s="406"/>
      <c r="H2" s="348">
        <v>2020</v>
      </c>
      <c r="I2" s="348">
        <v>2021</v>
      </c>
      <c r="J2" s="348" t="s">
        <v>401</v>
      </c>
    </row>
    <row r="3" spans="1:10" ht="13.5" customHeight="1" x14ac:dyDescent="0.35">
      <c r="A3" s="410" t="s">
        <v>89</v>
      </c>
      <c r="B3" s="413">
        <v>122</v>
      </c>
      <c r="C3" s="58" t="s">
        <v>90</v>
      </c>
      <c r="D3" s="58" t="s">
        <v>91</v>
      </c>
      <c r="E3" s="349"/>
      <c r="F3" s="349"/>
      <c r="G3" s="118"/>
      <c r="H3" s="111"/>
      <c r="I3" s="111"/>
      <c r="J3" s="111">
        <f>H3+I3</f>
        <v>0</v>
      </c>
    </row>
    <row r="4" spans="1:10" ht="13.5" customHeight="1" x14ac:dyDescent="0.35">
      <c r="A4" s="411"/>
      <c r="B4" s="414"/>
      <c r="C4" s="58" t="s">
        <v>94</v>
      </c>
      <c r="D4" s="58" t="s">
        <v>95</v>
      </c>
      <c r="E4" s="349"/>
      <c r="F4" s="349"/>
      <c r="G4" s="118"/>
      <c r="H4" s="111"/>
      <c r="I4" s="111"/>
      <c r="J4" s="111">
        <f t="shared" ref="J4:J12" si="0">H4+I4</f>
        <v>0</v>
      </c>
    </row>
    <row r="5" spans="1:10" ht="13.5" customHeight="1" x14ac:dyDescent="0.35">
      <c r="A5" s="411"/>
      <c r="B5" s="414"/>
      <c r="C5" s="58" t="s">
        <v>97</v>
      </c>
      <c r="D5" s="58" t="s">
        <v>98</v>
      </c>
      <c r="E5" s="349"/>
      <c r="F5" s="349"/>
      <c r="G5" s="118"/>
      <c r="H5" s="111"/>
      <c r="I5" s="111"/>
      <c r="J5" s="111">
        <f t="shared" si="0"/>
        <v>0</v>
      </c>
    </row>
    <row r="6" spans="1:10" ht="15.5" x14ac:dyDescent="0.35">
      <c r="A6" s="411"/>
      <c r="B6" s="414"/>
      <c r="C6" s="58" t="s">
        <v>100</v>
      </c>
      <c r="D6" s="58" t="s">
        <v>101</v>
      </c>
      <c r="E6" s="5"/>
      <c r="F6" s="5"/>
      <c r="G6" s="5"/>
      <c r="H6" s="5"/>
      <c r="I6" s="5"/>
      <c r="J6" s="111">
        <f t="shared" si="0"/>
        <v>0</v>
      </c>
    </row>
    <row r="7" spans="1:10" ht="15.5" x14ac:dyDescent="0.35">
      <c r="A7" s="411"/>
      <c r="B7" s="414"/>
      <c r="C7" s="58" t="s">
        <v>103</v>
      </c>
      <c r="D7" s="58" t="s">
        <v>104</v>
      </c>
      <c r="E7" s="5"/>
      <c r="F7" s="5"/>
      <c r="G7" s="5"/>
      <c r="H7" s="5"/>
      <c r="I7" s="5"/>
      <c r="J7" s="111">
        <f t="shared" si="0"/>
        <v>0</v>
      </c>
    </row>
    <row r="8" spans="1:10" ht="15.5" x14ac:dyDescent="0.35">
      <c r="A8" s="411"/>
      <c r="B8" s="414"/>
      <c r="C8" s="58" t="s">
        <v>106</v>
      </c>
      <c r="D8" s="71" t="s">
        <v>107</v>
      </c>
      <c r="E8" s="5"/>
      <c r="F8" s="5"/>
      <c r="G8" s="5"/>
      <c r="H8" s="5"/>
      <c r="I8" s="5"/>
      <c r="J8" s="111">
        <f t="shared" si="0"/>
        <v>0</v>
      </c>
    </row>
    <row r="9" spans="1:10" ht="15.5" x14ac:dyDescent="0.35">
      <c r="A9" s="411"/>
      <c r="B9" s="414"/>
      <c r="C9" s="58" t="s">
        <v>109</v>
      </c>
      <c r="D9" s="71" t="s">
        <v>110</v>
      </c>
      <c r="E9" s="5"/>
      <c r="F9" s="5"/>
      <c r="G9" s="5"/>
      <c r="H9" s="5"/>
      <c r="I9" s="5"/>
      <c r="J9" s="111">
        <f t="shared" si="0"/>
        <v>0</v>
      </c>
    </row>
    <row r="10" spans="1:10" ht="15.5" x14ac:dyDescent="0.35">
      <c r="A10" s="411"/>
      <c r="B10" s="414"/>
      <c r="C10" s="58" t="s">
        <v>113</v>
      </c>
      <c r="D10" s="71" t="s">
        <v>114</v>
      </c>
      <c r="E10" s="5"/>
      <c r="F10" s="5"/>
      <c r="G10" s="5"/>
      <c r="H10" s="5"/>
      <c r="I10" s="5"/>
      <c r="J10" s="111">
        <f t="shared" si="0"/>
        <v>0</v>
      </c>
    </row>
    <row r="11" spans="1:10" ht="15.5" x14ac:dyDescent="0.35">
      <c r="A11" s="411"/>
      <c r="B11" s="414"/>
      <c r="C11" s="58" t="s">
        <v>117</v>
      </c>
      <c r="D11" s="71" t="s">
        <v>118</v>
      </c>
      <c r="E11" s="5"/>
      <c r="F11" s="5"/>
      <c r="G11" s="5"/>
      <c r="H11" s="5"/>
      <c r="I11" s="5"/>
      <c r="J11" s="111">
        <f t="shared" si="0"/>
        <v>0</v>
      </c>
    </row>
    <row r="12" spans="1:10" ht="15.5" x14ac:dyDescent="0.35">
      <c r="A12" s="412"/>
      <c r="B12" s="415"/>
      <c r="C12" s="58" t="s">
        <v>121</v>
      </c>
      <c r="D12" s="73" t="s">
        <v>122</v>
      </c>
      <c r="E12" s="5"/>
      <c r="F12" s="5"/>
      <c r="G12" s="5"/>
      <c r="H12" s="5"/>
      <c r="I12" s="5"/>
      <c r="J12" s="111">
        <f t="shared" si="0"/>
        <v>0</v>
      </c>
    </row>
    <row r="13" spans="1:10" x14ac:dyDescent="0.35">
      <c r="A13" s="171" t="s">
        <v>23</v>
      </c>
      <c r="B13" s="350"/>
      <c r="C13" s="351"/>
      <c r="D13" s="351"/>
      <c r="E13" s="352"/>
      <c r="F13" s="171"/>
      <c r="G13" s="171"/>
      <c r="H13" s="171"/>
      <c r="I13" s="353"/>
      <c r="J13" s="171">
        <f>SUM(J3:J12)</f>
        <v>0</v>
      </c>
    </row>
  </sheetData>
  <mergeCells count="10">
    <mergeCell ref="G1:G2"/>
    <mergeCell ref="H1:J1"/>
    <mergeCell ref="A3:A12"/>
    <mergeCell ref="B3:B1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28D3B-85F5-4757-BB68-E68DFC91A120}">
  <dimension ref="B2:F23"/>
  <sheetViews>
    <sheetView topLeftCell="C1" workbookViewId="0">
      <selection activeCell="D9" sqref="D9"/>
    </sheetView>
  </sheetViews>
  <sheetFormatPr defaultRowHeight="14.5" x14ac:dyDescent="0.35"/>
  <cols>
    <col min="2" max="2" width="32.26953125" bestFit="1" customWidth="1"/>
    <col min="3" max="3" width="120" bestFit="1" customWidth="1"/>
    <col min="4" max="4" width="35" bestFit="1" customWidth="1"/>
    <col min="5" max="5" width="10.453125" bestFit="1" customWidth="1"/>
  </cols>
  <sheetData>
    <row r="2" spans="2:6" x14ac:dyDescent="0.35">
      <c r="B2" s="108" t="s">
        <v>138</v>
      </c>
      <c r="C2" s="108" t="s">
        <v>139</v>
      </c>
      <c r="D2" s="108" t="s">
        <v>140</v>
      </c>
      <c r="E2" s="108" t="s">
        <v>141</v>
      </c>
    </row>
    <row r="3" spans="2:6" x14ac:dyDescent="0.35">
      <c r="B3" s="62" t="s">
        <v>142</v>
      </c>
      <c r="C3" s="5" t="s">
        <v>143</v>
      </c>
      <c r="D3" s="109">
        <f>((D4-D5)/D4)*D9</f>
        <v>0.92269999999999996</v>
      </c>
      <c r="E3" s="5" t="s">
        <v>144</v>
      </c>
    </row>
    <row r="4" spans="2:6" x14ac:dyDescent="0.35">
      <c r="B4" s="5" t="s">
        <v>145</v>
      </c>
      <c r="C4" s="5" t="s">
        <v>146</v>
      </c>
      <c r="D4" s="110">
        <f>D6*D7</f>
        <v>3.0000000000000001E-3</v>
      </c>
      <c r="E4" s="5" t="s">
        <v>147</v>
      </c>
    </row>
    <row r="5" spans="2:6" x14ac:dyDescent="0.35">
      <c r="B5" s="74" t="s">
        <v>148</v>
      </c>
      <c r="C5" s="5" t="s">
        <v>149</v>
      </c>
      <c r="D5" s="111">
        <f>D6*D8</f>
        <v>0</v>
      </c>
      <c r="E5" s="5" t="s">
        <v>150</v>
      </c>
    </row>
    <row r="6" spans="2:6" x14ac:dyDescent="0.35">
      <c r="B6" s="5" t="s">
        <v>42</v>
      </c>
      <c r="C6" s="5" t="s">
        <v>151</v>
      </c>
      <c r="D6" s="112">
        <v>4.0000000000000002E-4</v>
      </c>
      <c r="E6" s="5" t="s">
        <v>152</v>
      </c>
      <c r="F6" s="113"/>
    </row>
    <row r="7" spans="2:6" x14ac:dyDescent="0.35">
      <c r="B7" s="5" t="s">
        <v>45</v>
      </c>
      <c r="C7" s="5" t="s">
        <v>153</v>
      </c>
      <c r="D7" s="111">
        <v>7.5</v>
      </c>
      <c r="E7" s="5" t="s">
        <v>154</v>
      </c>
      <c r="F7" s="113"/>
    </row>
    <row r="8" spans="2:6" x14ac:dyDescent="0.35">
      <c r="B8" s="5" t="s">
        <v>155</v>
      </c>
      <c r="C8" s="5" t="s">
        <v>156</v>
      </c>
      <c r="D8" s="111">
        <v>0</v>
      </c>
      <c r="E8" s="5" t="s">
        <v>154</v>
      </c>
      <c r="F8" s="113"/>
    </row>
    <row r="9" spans="2:6" ht="16.5" x14ac:dyDescent="0.45">
      <c r="B9" s="5" t="s">
        <v>157</v>
      </c>
      <c r="C9" s="5" t="s">
        <v>158</v>
      </c>
      <c r="D9" s="114">
        <f>'VPA 122 ER Calcs'!E29</f>
        <v>0.92269999999999996</v>
      </c>
      <c r="E9" s="5" t="s">
        <v>144</v>
      </c>
      <c r="F9" s="113"/>
    </row>
    <row r="11" spans="2:6" x14ac:dyDescent="0.35">
      <c r="B11" s="108" t="s">
        <v>159</v>
      </c>
      <c r="C11" s="108" t="s">
        <v>139</v>
      </c>
      <c r="D11" s="108" t="s">
        <v>160</v>
      </c>
      <c r="E11" s="108" t="s">
        <v>141</v>
      </c>
    </row>
    <row r="12" spans="2:6" x14ac:dyDescent="0.35">
      <c r="B12" s="37" t="s">
        <v>161</v>
      </c>
      <c r="C12" s="5" t="s">
        <v>162</v>
      </c>
      <c r="D12" s="115">
        <f>(D13-D14)</f>
        <v>1.2899999999999998</v>
      </c>
      <c r="E12" s="5" t="s">
        <v>163</v>
      </c>
    </row>
    <row r="13" spans="2:6" x14ac:dyDescent="0.35">
      <c r="B13" s="37" t="s">
        <v>164</v>
      </c>
      <c r="C13" s="5" t="s">
        <v>165</v>
      </c>
      <c r="D13" s="5">
        <v>2.2599999999999998</v>
      </c>
      <c r="E13" s="5" t="s">
        <v>163</v>
      </c>
      <c r="F13" s="113"/>
    </row>
    <row r="14" spans="2:6" x14ac:dyDescent="0.35">
      <c r="B14" s="37" t="s">
        <v>166</v>
      </c>
      <c r="C14" s="5" t="s">
        <v>167</v>
      </c>
      <c r="D14" s="5">
        <v>0.97</v>
      </c>
      <c r="E14" s="5" t="s">
        <v>163</v>
      </c>
      <c r="F14" s="113"/>
    </row>
    <row r="16" spans="2:6" x14ac:dyDescent="0.35">
      <c r="B16" s="108" t="s">
        <v>168</v>
      </c>
      <c r="C16" s="108" t="s">
        <v>139</v>
      </c>
      <c r="D16" s="108" t="s">
        <v>169</v>
      </c>
      <c r="E16" s="108" t="s">
        <v>141</v>
      </c>
    </row>
    <row r="17" spans="2:5" x14ac:dyDescent="0.35">
      <c r="B17" s="37" t="s">
        <v>170</v>
      </c>
      <c r="C17" s="5" t="s">
        <v>171</v>
      </c>
      <c r="D17" s="116">
        <f>D18*(1-D19)*D20</f>
        <v>2545.7293</v>
      </c>
      <c r="E17" s="5" t="s">
        <v>172</v>
      </c>
    </row>
    <row r="18" spans="2:5" x14ac:dyDescent="0.35">
      <c r="B18" s="37" t="s">
        <v>173</v>
      </c>
      <c r="C18" s="5" t="s">
        <v>174</v>
      </c>
      <c r="D18" s="117">
        <f>'VPA 122 PTDs'!J13</f>
        <v>2759</v>
      </c>
      <c r="E18" s="5" t="s">
        <v>172</v>
      </c>
    </row>
    <row r="19" spans="2:5" x14ac:dyDescent="0.35">
      <c r="B19" s="37" t="s">
        <v>38</v>
      </c>
      <c r="C19" s="5" t="s">
        <v>175</v>
      </c>
      <c r="D19" s="118">
        <v>0</v>
      </c>
      <c r="E19" s="5" t="s">
        <v>144</v>
      </c>
    </row>
    <row r="20" spans="2:5" ht="16.5" x14ac:dyDescent="0.45">
      <c r="B20" s="37" t="s">
        <v>157</v>
      </c>
      <c r="C20" s="5" t="s">
        <v>158</v>
      </c>
      <c r="D20" s="114">
        <f>D9</f>
        <v>0.92269999999999996</v>
      </c>
      <c r="E20" s="5" t="s">
        <v>144</v>
      </c>
    </row>
    <row r="22" spans="2:5" x14ac:dyDescent="0.35">
      <c r="B22" s="119" t="s">
        <v>176</v>
      </c>
      <c r="C22" s="108" t="s">
        <v>139</v>
      </c>
      <c r="D22" s="108"/>
      <c r="E22" s="108" t="s">
        <v>141</v>
      </c>
    </row>
    <row r="23" spans="2:5" x14ac:dyDescent="0.35">
      <c r="B23" s="37" t="s">
        <v>177</v>
      </c>
      <c r="C23" s="5" t="s">
        <v>178</v>
      </c>
      <c r="D23" s="120">
        <f>'VPA 122 ER Calcs'!E38</f>
        <v>4775</v>
      </c>
      <c r="E23" s="5" t="s">
        <v>179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8829D-76C8-4E9D-ABB7-02DB6A65E55A}">
  <dimension ref="B1:O36"/>
  <sheetViews>
    <sheetView topLeftCell="A25" zoomScale="80" zoomScaleNormal="80" workbookViewId="0">
      <selection activeCell="B32" sqref="B32:E32"/>
    </sheetView>
  </sheetViews>
  <sheetFormatPr defaultColWidth="9.1796875" defaultRowHeight="14.5" x14ac:dyDescent="0.35"/>
  <cols>
    <col min="1" max="1" width="9.1796875" style="1"/>
    <col min="2" max="2" width="41.81640625" style="1" bestFit="1" customWidth="1"/>
    <col min="3" max="3" width="5.81640625" style="1" bestFit="1" customWidth="1"/>
    <col min="4" max="4" width="11" style="1" bestFit="1" customWidth="1"/>
    <col min="5" max="5" width="8.81640625" style="1" customWidth="1"/>
    <col min="6" max="7" width="9.1796875" style="1"/>
    <col min="8" max="8" width="3.26953125" style="1" customWidth="1"/>
    <col min="9" max="9" width="9.54296875" style="1" customWidth="1"/>
    <col min="10" max="13" width="17.54296875" style="1" customWidth="1"/>
    <col min="14" max="14" width="12.1796875" style="1" customWidth="1"/>
    <col min="15" max="16384" width="9.1796875" style="1"/>
  </cols>
  <sheetData>
    <row r="1" spans="2:15" ht="15" thickBot="1" x14ac:dyDescent="0.4"/>
    <row r="2" spans="2:15" ht="18.75" customHeight="1" thickBot="1" x14ac:dyDescent="0.5">
      <c r="B2" s="377" t="s">
        <v>180</v>
      </c>
      <c r="C2" s="378"/>
      <c r="D2" s="378"/>
      <c r="E2" s="379"/>
      <c r="F2" s="2"/>
      <c r="G2" s="2"/>
      <c r="H2" s="2"/>
      <c r="I2" s="377" t="s">
        <v>1</v>
      </c>
      <c r="J2" s="378"/>
      <c r="K2" s="378"/>
      <c r="L2" s="378"/>
      <c r="M2" s="378"/>
      <c r="N2" s="379"/>
    </row>
    <row r="3" spans="2:15" ht="15" thickBot="1" x14ac:dyDescent="0.4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2:15" ht="15" customHeight="1" x14ac:dyDescent="0.35">
      <c r="B4" s="380" t="s">
        <v>2</v>
      </c>
      <c r="C4" s="381"/>
      <c r="D4" s="381"/>
      <c r="E4" s="382"/>
      <c r="G4" s="2"/>
      <c r="H4" s="2"/>
      <c r="I4" s="383" t="s">
        <v>3</v>
      </c>
      <c r="J4" s="384"/>
      <c r="K4" s="384"/>
      <c r="L4" s="384"/>
      <c r="M4" s="384"/>
      <c r="N4" s="385"/>
    </row>
    <row r="5" spans="2:15" x14ac:dyDescent="0.35">
      <c r="B5" s="386" t="s">
        <v>4</v>
      </c>
      <c r="C5" s="387"/>
      <c r="D5" s="387"/>
      <c r="E5" s="388"/>
      <c r="G5" s="2"/>
      <c r="H5" s="2"/>
      <c r="I5" s="3" t="s">
        <v>5</v>
      </c>
      <c r="J5" s="3" t="s">
        <v>181</v>
      </c>
      <c r="K5" s="3" t="s">
        <v>7</v>
      </c>
      <c r="L5" s="3" t="s">
        <v>8</v>
      </c>
      <c r="M5" s="3" t="s">
        <v>9</v>
      </c>
      <c r="N5" s="3" t="s">
        <v>10</v>
      </c>
    </row>
    <row r="6" spans="2:15" x14ac:dyDescent="0.35">
      <c r="B6" s="4" t="s">
        <v>11</v>
      </c>
      <c r="C6" s="5" t="s">
        <v>12</v>
      </c>
      <c r="D6" s="5" t="s">
        <v>13</v>
      </c>
      <c r="E6" s="6">
        <f>'VPA 123 ER Calcs'!J27</f>
        <v>344</v>
      </c>
      <c r="G6" s="2"/>
      <c r="H6" s="2"/>
      <c r="I6" s="126">
        <v>2017</v>
      </c>
      <c r="J6" s="8">
        <v>803</v>
      </c>
      <c r="K6" s="8"/>
      <c r="L6" s="8"/>
      <c r="M6" s="8"/>
      <c r="N6" s="8">
        <f>SUM(J6:L6)</f>
        <v>803</v>
      </c>
    </row>
    <row r="7" spans="2:15" x14ac:dyDescent="0.35">
      <c r="B7" s="4" t="s">
        <v>14</v>
      </c>
      <c r="C7" s="5" t="s">
        <v>15</v>
      </c>
      <c r="D7" s="5" t="s">
        <v>13</v>
      </c>
      <c r="E7" s="6">
        <f>'VPA 123 ER Calcs'!J28</f>
        <v>0</v>
      </c>
      <c r="G7" s="2"/>
      <c r="H7" s="2"/>
      <c r="I7" s="126">
        <v>2018</v>
      </c>
      <c r="J7" s="9">
        <v>9008</v>
      </c>
      <c r="K7" s="10">
        <v>808</v>
      </c>
      <c r="L7" s="10"/>
      <c r="M7" s="10"/>
      <c r="N7" s="8">
        <f>SUM(J7:L7)</f>
        <v>9816</v>
      </c>
      <c r="O7" s="11"/>
    </row>
    <row r="8" spans="2:15" x14ac:dyDescent="0.35">
      <c r="B8" s="4" t="s">
        <v>16</v>
      </c>
      <c r="C8" s="5" t="s">
        <v>17</v>
      </c>
      <c r="D8" s="5" t="s">
        <v>18</v>
      </c>
      <c r="E8" s="12">
        <f>'VPA 123 ER Calcs'!J29</f>
        <v>0.92269999999999996</v>
      </c>
      <c r="G8" s="2"/>
      <c r="H8" s="2"/>
      <c r="I8" s="126">
        <v>2019</v>
      </c>
      <c r="J8" s="9"/>
      <c r="K8" s="10">
        <v>9034</v>
      </c>
      <c r="L8" s="10">
        <f>E33</f>
        <v>311</v>
      </c>
      <c r="M8" s="10"/>
      <c r="N8" s="8">
        <f t="shared" ref="N8:N9" si="0">SUM(J8:L8)</f>
        <v>9345</v>
      </c>
      <c r="O8" s="11"/>
    </row>
    <row r="9" spans="2:15" x14ac:dyDescent="0.35">
      <c r="B9" s="4" t="s">
        <v>19</v>
      </c>
      <c r="C9" s="5" t="s">
        <v>20</v>
      </c>
      <c r="D9" s="5" t="s">
        <v>13</v>
      </c>
      <c r="E9" s="6">
        <f>'VPA 123 ER Calcs'!J30</f>
        <v>0</v>
      </c>
      <c r="G9" s="2"/>
      <c r="H9" s="2"/>
      <c r="I9" s="126">
        <v>2020</v>
      </c>
      <c r="J9" s="9"/>
      <c r="K9" s="10"/>
      <c r="L9" s="10">
        <f>E34</f>
        <v>3390</v>
      </c>
      <c r="M9" s="10">
        <f>'VPA 123 ER Calcs'!J38</f>
        <v>311</v>
      </c>
      <c r="N9" s="8">
        <f t="shared" si="0"/>
        <v>3390</v>
      </c>
    </row>
    <row r="10" spans="2:15" x14ac:dyDescent="0.35">
      <c r="B10" s="4"/>
      <c r="C10" s="5"/>
      <c r="D10" s="5"/>
      <c r="E10" s="6"/>
      <c r="G10" s="2"/>
      <c r="H10" s="2"/>
      <c r="I10" s="126">
        <v>2021</v>
      </c>
      <c r="J10" s="9"/>
      <c r="K10" s="10"/>
      <c r="L10" s="10"/>
      <c r="M10" s="10">
        <f>'VPA 123 ER Calcs'!O38</f>
        <v>3390</v>
      </c>
      <c r="N10" s="8">
        <f>SUM(J10:M10)</f>
        <v>3390</v>
      </c>
    </row>
    <row r="11" spans="2:15" x14ac:dyDescent="0.35">
      <c r="B11" s="4" t="s">
        <v>21</v>
      </c>
      <c r="C11" s="5" t="s">
        <v>22</v>
      </c>
      <c r="D11" s="5" t="s">
        <v>13</v>
      </c>
      <c r="E11" s="6">
        <f>'VPA 123 ER Calcs'!J31</f>
        <v>317.40879999999999</v>
      </c>
      <c r="G11" s="2"/>
      <c r="H11" s="2"/>
      <c r="I11" s="126" t="s">
        <v>23</v>
      </c>
      <c r="J11" s="127">
        <f>SUM(J6:J9)</f>
        <v>9811</v>
      </c>
      <c r="K11" s="127">
        <f>SUM(K6:K9)</f>
        <v>9842</v>
      </c>
      <c r="L11" s="127">
        <f>SUM(L6:L9)</f>
        <v>3701</v>
      </c>
      <c r="M11" s="127">
        <f>SUM(M6:M10)</f>
        <v>3701</v>
      </c>
      <c r="N11" s="127">
        <f>SUM(N6:N10)</f>
        <v>26744</v>
      </c>
    </row>
    <row r="12" spans="2:15" x14ac:dyDescent="0.35">
      <c r="B12" s="386" t="s">
        <v>24</v>
      </c>
      <c r="C12" s="387"/>
      <c r="D12" s="387"/>
      <c r="E12" s="388"/>
      <c r="G12" s="2"/>
      <c r="H12" s="2"/>
      <c r="I12" s="2"/>
      <c r="J12" s="2"/>
      <c r="K12" s="2"/>
      <c r="L12" s="2"/>
      <c r="M12" s="2"/>
    </row>
    <row r="13" spans="2:15" x14ac:dyDescent="0.35">
      <c r="B13" s="22" t="s">
        <v>25</v>
      </c>
      <c r="C13" s="5"/>
      <c r="D13" s="23"/>
      <c r="E13" s="24">
        <f>'VPA 123 ER Calcs'!J34</f>
        <v>0.98</v>
      </c>
      <c r="G13" s="2"/>
      <c r="H13" s="2"/>
      <c r="I13" s="2"/>
      <c r="J13" s="2"/>
      <c r="K13" s="2"/>
      <c r="L13" s="2"/>
      <c r="M13" s="2"/>
    </row>
    <row r="14" spans="2:15" x14ac:dyDescent="0.35">
      <c r="B14" s="22" t="s">
        <v>26</v>
      </c>
      <c r="C14" s="5" t="s">
        <v>27</v>
      </c>
      <c r="D14" s="23" t="s">
        <v>28</v>
      </c>
      <c r="E14" s="24">
        <f>'VPA 123 ER Calcs'!J35</f>
        <v>2.0000000000000018E-2</v>
      </c>
      <c r="G14" s="2"/>
      <c r="H14" s="2"/>
      <c r="I14" s="2"/>
      <c r="J14" s="2"/>
      <c r="K14" s="2"/>
      <c r="L14" s="2"/>
      <c r="M14" s="2"/>
    </row>
    <row r="15" spans="2:15" ht="15" thickBot="1" x14ac:dyDescent="0.4">
      <c r="B15" s="25" t="s">
        <v>21</v>
      </c>
      <c r="C15" s="26" t="s">
        <v>29</v>
      </c>
      <c r="D15" s="26" t="s">
        <v>13</v>
      </c>
      <c r="E15" s="27">
        <f>ROUNDDOWN(E11*(1-E14),0)</f>
        <v>311</v>
      </c>
      <c r="G15" s="2"/>
      <c r="H15" s="2"/>
      <c r="I15" s="2"/>
      <c r="J15" s="2"/>
      <c r="K15" s="2"/>
      <c r="L15" s="2"/>
      <c r="M15" s="2"/>
    </row>
    <row r="16" spans="2:15" ht="15" thickBot="1" x14ac:dyDescent="0.4">
      <c r="B16" s="25" t="s">
        <v>30</v>
      </c>
      <c r="C16" s="26" t="s">
        <v>29</v>
      </c>
      <c r="D16" s="26" t="s">
        <v>13</v>
      </c>
      <c r="E16" s="27">
        <f>'VPA 123 ER Calcs'!J38</f>
        <v>311</v>
      </c>
      <c r="G16" s="2"/>
      <c r="H16" s="2"/>
      <c r="I16" s="2"/>
      <c r="J16" s="2"/>
      <c r="K16" s="2"/>
      <c r="L16" s="2"/>
      <c r="M16" s="2"/>
    </row>
    <row r="17" spans="2:13" ht="15" thickBot="1" x14ac:dyDescent="0.4">
      <c r="B17" s="2"/>
      <c r="C17" s="2"/>
      <c r="D17" s="2"/>
      <c r="E17" s="2"/>
      <c r="G17" s="2"/>
      <c r="H17" s="2"/>
      <c r="I17" s="2"/>
      <c r="J17" s="2"/>
      <c r="K17" s="2"/>
      <c r="L17" s="2"/>
      <c r="M17" s="2"/>
    </row>
    <row r="18" spans="2:13" x14ac:dyDescent="0.35">
      <c r="B18" s="380" t="s">
        <v>35</v>
      </c>
      <c r="C18" s="381"/>
      <c r="D18" s="381"/>
      <c r="E18" s="382"/>
      <c r="F18" s="2"/>
      <c r="G18" s="2"/>
      <c r="H18" s="2"/>
      <c r="I18" s="2"/>
      <c r="J18" s="2"/>
      <c r="K18" s="2"/>
      <c r="L18" s="2"/>
      <c r="M18" s="2"/>
    </row>
    <row r="19" spans="2:13" x14ac:dyDescent="0.35">
      <c r="B19" s="386" t="s">
        <v>4</v>
      </c>
      <c r="C19" s="387"/>
      <c r="D19" s="387"/>
      <c r="E19" s="388"/>
      <c r="F19" s="2"/>
      <c r="G19" s="2"/>
      <c r="H19" s="2"/>
      <c r="I19" s="2"/>
      <c r="J19" s="2"/>
      <c r="K19" s="2"/>
      <c r="L19" s="2"/>
      <c r="M19" s="2"/>
    </row>
    <row r="20" spans="2:13" x14ac:dyDescent="0.35">
      <c r="B20" s="4" t="s">
        <v>11</v>
      </c>
      <c r="C20" s="5" t="s">
        <v>12</v>
      </c>
      <c r="D20" s="5" t="s">
        <v>13</v>
      </c>
      <c r="E20" s="6">
        <f>'VPA 123 ER Calcs'!O27</f>
        <v>3749</v>
      </c>
      <c r="F20" s="2"/>
      <c r="G20" s="2"/>
      <c r="H20" s="2"/>
      <c r="I20" s="2"/>
      <c r="J20" s="2"/>
      <c r="K20" s="2"/>
      <c r="L20" s="2"/>
      <c r="M20" s="2"/>
    </row>
    <row r="21" spans="2:13" x14ac:dyDescent="0.35">
      <c r="B21" s="4" t="s">
        <v>14</v>
      </c>
      <c r="C21" s="5" t="s">
        <v>15</v>
      </c>
      <c r="D21" s="5" t="s">
        <v>13</v>
      </c>
      <c r="E21" s="6">
        <f>'VPA 123 ER Calcs'!O28</f>
        <v>0</v>
      </c>
      <c r="F21" s="2"/>
      <c r="G21" s="2"/>
      <c r="H21" s="2"/>
      <c r="I21" s="2"/>
      <c r="J21" s="2"/>
      <c r="K21" s="2"/>
      <c r="L21" s="2"/>
      <c r="M21" s="2"/>
    </row>
    <row r="22" spans="2:13" x14ac:dyDescent="0.35">
      <c r="B22" s="4" t="s">
        <v>16</v>
      </c>
      <c r="C22" s="5" t="s">
        <v>17</v>
      </c>
      <c r="D22" s="5" t="s">
        <v>18</v>
      </c>
      <c r="E22" s="12">
        <f>'VPA 123 ER Calcs'!O29</f>
        <v>0.92269999999999996</v>
      </c>
      <c r="F22" s="2"/>
      <c r="G22" s="2"/>
      <c r="H22" s="2"/>
      <c r="I22" s="2"/>
      <c r="J22" s="2"/>
      <c r="K22" s="2"/>
      <c r="L22" s="2"/>
      <c r="M22" s="2"/>
    </row>
    <row r="23" spans="2:13" x14ac:dyDescent="0.35">
      <c r="B23" s="4" t="s">
        <v>19</v>
      </c>
      <c r="C23" s="5" t="s">
        <v>20</v>
      </c>
      <c r="D23" s="5" t="s">
        <v>13</v>
      </c>
      <c r="E23" s="6">
        <f>'VPA 123 ER Calcs'!O30</f>
        <v>0</v>
      </c>
      <c r="F23" s="2"/>
      <c r="G23" s="2"/>
      <c r="H23" s="2"/>
      <c r="I23" s="2"/>
      <c r="J23" s="2"/>
      <c r="K23" s="2"/>
      <c r="L23" s="2"/>
      <c r="M23" s="2"/>
    </row>
    <row r="24" spans="2:13" x14ac:dyDescent="0.35">
      <c r="B24" s="4" t="s">
        <v>21</v>
      </c>
      <c r="C24" s="5" t="s">
        <v>22</v>
      </c>
      <c r="D24" s="5" t="s">
        <v>13</v>
      </c>
      <c r="E24" s="6">
        <f>'VPA 123 ER Calcs'!O31</f>
        <v>3459.2022999999999</v>
      </c>
      <c r="F24" s="2"/>
      <c r="G24" s="2"/>
      <c r="H24" s="2"/>
      <c r="I24" s="2"/>
      <c r="J24" s="2"/>
      <c r="K24" s="2"/>
      <c r="L24" s="2"/>
      <c r="M24" s="2"/>
    </row>
    <row r="25" spans="2:13" x14ac:dyDescent="0.35">
      <c r="B25" s="386" t="s">
        <v>24</v>
      </c>
      <c r="C25" s="387"/>
      <c r="D25" s="387"/>
      <c r="E25" s="388"/>
      <c r="F25" s="2"/>
      <c r="G25" s="2"/>
      <c r="H25" s="2"/>
      <c r="I25" s="2"/>
      <c r="J25" s="2"/>
      <c r="K25" s="2"/>
      <c r="L25" s="2"/>
      <c r="M25" s="2"/>
    </row>
    <row r="26" spans="2:13" x14ac:dyDescent="0.35">
      <c r="B26" s="22" t="s">
        <v>25</v>
      </c>
      <c r="C26" s="5"/>
      <c r="D26" s="23"/>
      <c r="E26" s="24">
        <f>'VPA 123 ER Calcs'!O34</f>
        <v>0.98</v>
      </c>
      <c r="F26" s="2"/>
      <c r="G26" s="2"/>
      <c r="H26" s="2"/>
      <c r="I26" s="2"/>
      <c r="J26" s="2"/>
      <c r="K26" s="2"/>
      <c r="L26" s="2"/>
      <c r="M26" s="2"/>
    </row>
    <row r="27" spans="2:13" x14ac:dyDescent="0.35">
      <c r="B27" s="22" t="s">
        <v>26</v>
      </c>
      <c r="C27" s="5" t="s">
        <v>27</v>
      </c>
      <c r="D27" s="23" t="s">
        <v>28</v>
      </c>
      <c r="E27" s="24">
        <f>'VPA 123 ER Calcs'!O35</f>
        <v>2.0000000000000018E-2</v>
      </c>
      <c r="F27" s="2"/>
      <c r="G27" s="2"/>
      <c r="H27" s="2"/>
      <c r="I27" s="2"/>
      <c r="J27" s="2"/>
      <c r="K27" s="2"/>
      <c r="L27" s="2"/>
      <c r="M27" s="2"/>
    </row>
    <row r="28" spans="2:13" ht="15" thickBot="1" x14ac:dyDescent="0.4">
      <c r="B28" s="25" t="s">
        <v>21</v>
      </c>
      <c r="C28" s="26" t="s">
        <v>22</v>
      </c>
      <c r="D28" s="26" t="s">
        <v>13</v>
      </c>
      <c r="E28" s="27">
        <f>ROUNDDOWN(E24*(1-E27),0)</f>
        <v>3390</v>
      </c>
      <c r="F28" s="2"/>
      <c r="G28" s="2"/>
      <c r="H28" s="2"/>
      <c r="I28" s="2"/>
      <c r="J28" s="2"/>
      <c r="K28" s="2"/>
      <c r="L28" s="2"/>
      <c r="M28" s="2"/>
    </row>
    <row r="29" spans="2:13" ht="15" thickBot="1" x14ac:dyDescent="0.4">
      <c r="B29" s="25" t="s">
        <v>30</v>
      </c>
      <c r="C29" s="26" t="s">
        <v>22</v>
      </c>
      <c r="D29" s="26" t="s">
        <v>13</v>
      </c>
      <c r="E29" s="27">
        <f>'VPA 123 ER Calcs'!O38</f>
        <v>3390</v>
      </c>
      <c r="F29" s="2"/>
      <c r="G29" s="2"/>
      <c r="H29" s="2"/>
      <c r="I29" s="2"/>
      <c r="J29" s="2"/>
      <c r="K29" s="2"/>
      <c r="L29" s="2"/>
      <c r="M29" s="2"/>
    </row>
    <row r="30" spans="2:13" ht="15" thickBot="1" x14ac:dyDescent="0.4">
      <c r="B30" s="2"/>
      <c r="C30" s="2"/>
      <c r="D30" s="2"/>
      <c r="E30" s="2"/>
      <c r="F30" s="2"/>
      <c r="G30" s="2"/>
      <c r="H30" s="2"/>
      <c r="I30" s="28"/>
      <c r="J30" s="28"/>
      <c r="K30" s="28"/>
      <c r="L30" s="28"/>
      <c r="M30" s="28"/>
    </row>
    <row r="31" spans="2:13" ht="15.5" x14ac:dyDescent="0.35">
      <c r="B31" s="422" t="s">
        <v>31</v>
      </c>
      <c r="C31" s="423"/>
      <c r="D31" s="423"/>
      <c r="E31" s="424"/>
      <c r="F31" s="2"/>
      <c r="G31" s="2"/>
      <c r="H31" s="2"/>
      <c r="I31" s="2"/>
      <c r="J31" s="2"/>
      <c r="K31" s="2"/>
      <c r="L31" s="2"/>
      <c r="M31" s="2"/>
    </row>
    <row r="32" spans="2:13" x14ac:dyDescent="0.35">
      <c r="B32" s="425" t="s">
        <v>4</v>
      </c>
      <c r="C32" s="426"/>
      <c r="D32" s="426"/>
      <c r="E32" s="427"/>
      <c r="F32" s="2"/>
      <c r="G32" s="2"/>
      <c r="H32" s="2"/>
      <c r="I32" s="2"/>
      <c r="J32" s="2"/>
      <c r="K32" s="2"/>
      <c r="L32" s="2"/>
      <c r="M32" s="2"/>
    </row>
    <row r="33" spans="2:13" x14ac:dyDescent="0.35">
      <c r="B33" s="419">
        <v>2020</v>
      </c>
      <c r="C33" s="420"/>
      <c r="D33" s="421"/>
      <c r="E33" s="29">
        <f>E16</f>
        <v>311</v>
      </c>
      <c r="F33" s="2"/>
      <c r="G33" s="2"/>
      <c r="H33" s="2"/>
      <c r="I33" s="2"/>
      <c r="J33" s="2"/>
      <c r="K33" s="2"/>
      <c r="L33" s="2"/>
      <c r="M33" s="2"/>
    </row>
    <row r="34" spans="2:13" x14ac:dyDescent="0.35">
      <c r="B34" s="419">
        <v>2021</v>
      </c>
      <c r="C34" s="420"/>
      <c r="D34" s="421"/>
      <c r="E34" s="30">
        <f>E29</f>
        <v>3390</v>
      </c>
      <c r="F34" s="2"/>
      <c r="G34" s="2"/>
      <c r="H34" s="2"/>
      <c r="I34" s="2"/>
      <c r="J34" s="2"/>
      <c r="K34" s="2"/>
      <c r="L34" s="2"/>
      <c r="M34" s="2"/>
    </row>
    <row r="35" spans="2:13" ht="15" thickBot="1" x14ac:dyDescent="0.4">
      <c r="B35" s="375" t="s">
        <v>32</v>
      </c>
      <c r="C35" s="376"/>
      <c r="D35" s="31"/>
      <c r="E35" s="32">
        <f>SUM(E33:E34)</f>
        <v>3701</v>
      </c>
      <c r="F35" s="2"/>
      <c r="G35" s="2"/>
      <c r="H35" s="2"/>
      <c r="I35" s="2"/>
      <c r="J35" s="2"/>
      <c r="K35" s="2"/>
      <c r="L35" s="2"/>
      <c r="M35" s="2"/>
    </row>
    <row r="36" spans="2:13" ht="15" thickBot="1" x14ac:dyDescent="0.4">
      <c r="B36" s="375" t="s">
        <v>33</v>
      </c>
      <c r="C36" s="376"/>
      <c r="D36" s="31"/>
      <c r="E36" s="32">
        <f>E29+E16</f>
        <v>3701</v>
      </c>
      <c r="F36" s="2"/>
      <c r="G36" s="2"/>
      <c r="H36" s="2"/>
    </row>
  </sheetData>
  <mergeCells count="15">
    <mergeCell ref="B12:E12"/>
    <mergeCell ref="B2:E2"/>
    <mergeCell ref="I2:N2"/>
    <mergeCell ref="B4:E4"/>
    <mergeCell ref="I4:N4"/>
    <mergeCell ref="B5:E5"/>
    <mergeCell ref="B34:D34"/>
    <mergeCell ref="B35:C35"/>
    <mergeCell ref="B36:C36"/>
    <mergeCell ref="B18:E18"/>
    <mergeCell ref="B19:E19"/>
    <mergeCell ref="B25:E25"/>
    <mergeCell ref="B31:E31"/>
    <mergeCell ref="B32:E32"/>
    <mergeCell ref="B33:D3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8554B-10B5-4E8F-A1C4-10CB108B1800}">
  <dimension ref="B2:P47"/>
  <sheetViews>
    <sheetView topLeftCell="A3" zoomScale="66" zoomScaleNormal="66" workbookViewId="0">
      <selection activeCell="B30" sqref="B30:B31"/>
    </sheetView>
  </sheetViews>
  <sheetFormatPr defaultColWidth="9.1796875" defaultRowHeight="14.5" x14ac:dyDescent="0.35"/>
  <cols>
    <col min="1" max="1" width="9.1796875" style="1"/>
    <col min="2" max="2" width="66.453125" style="1" bestFit="1" customWidth="1"/>
    <col min="3" max="3" width="19.1796875" style="1" bestFit="1" customWidth="1"/>
    <col min="4" max="4" width="12.54296875" style="1" bestFit="1" customWidth="1"/>
    <col min="5" max="5" width="12.81640625" style="1" bestFit="1" customWidth="1"/>
    <col min="6" max="6" width="34.26953125" style="2" customWidth="1"/>
    <col min="7" max="7" width="66.453125" style="1" bestFit="1" customWidth="1"/>
    <col min="8" max="8" width="19.1796875" style="1" bestFit="1" customWidth="1"/>
    <col min="9" max="9" width="12.54296875" style="1" bestFit="1" customWidth="1"/>
    <col min="10" max="10" width="13.1796875" style="1" bestFit="1" customWidth="1"/>
    <col min="11" max="11" width="12.81640625" style="1" bestFit="1" customWidth="1"/>
    <col min="12" max="12" width="66.453125" style="1" bestFit="1" customWidth="1"/>
    <col min="13" max="13" width="19.1796875" style="1" bestFit="1" customWidth="1"/>
    <col min="14" max="14" width="12.54296875" style="1" bestFit="1" customWidth="1"/>
    <col min="15" max="15" width="12.81640625" style="1" bestFit="1" customWidth="1"/>
    <col min="16" max="16" width="10.54296875" style="1" bestFit="1" customWidth="1"/>
    <col min="17" max="16384" width="9.1796875" style="1"/>
  </cols>
  <sheetData>
    <row r="2" spans="2:16" x14ac:dyDescent="0.35">
      <c r="B2" s="392" t="s">
        <v>34</v>
      </c>
      <c r="C2" s="392"/>
      <c r="D2" s="392"/>
      <c r="E2" s="392"/>
      <c r="G2" s="392" t="s">
        <v>2</v>
      </c>
      <c r="H2" s="392"/>
      <c r="I2" s="392"/>
      <c r="J2" s="392"/>
      <c r="L2" s="392" t="s">
        <v>35</v>
      </c>
      <c r="M2" s="392"/>
      <c r="N2" s="392"/>
      <c r="O2" s="392"/>
    </row>
    <row r="4" spans="2:16" x14ac:dyDescent="0.35">
      <c r="B4" s="391" t="s">
        <v>36</v>
      </c>
      <c r="C4" s="391"/>
      <c r="D4" s="391"/>
      <c r="E4" s="391"/>
      <c r="F4" s="128" t="s">
        <v>182</v>
      </c>
      <c r="G4" s="391" t="s">
        <v>36</v>
      </c>
      <c r="H4" s="391"/>
      <c r="I4" s="391"/>
      <c r="J4" s="391"/>
      <c r="L4" s="389" t="s">
        <v>36</v>
      </c>
      <c r="M4" s="387"/>
      <c r="N4" s="387"/>
      <c r="O4" s="390"/>
    </row>
    <row r="5" spans="2:16" x14ac:dyDescent="0.35">
      <c r="B5" s="5" t="s">
        <v>37</v>
      </c>
      <c r="C5" s="5" t="s">
        <v>38</v>
      </c>
      <c r="D5" s="5" t="s">
        <v>18</v>
      </c>
      <c r="E5" s="33">
        <v>0</v>
      </c>
      <c r="F5" s="129" t="s">
        <v>183</v>
      </c>
      <c r="G5" s="5" t="s">
        <v>37</v>
      </c>
      <c r="H5" s="5" t="s">
        <v>38</v>
      </c>
      <c r="I5" s="5" t="s">
        <v>18</v>
      </c>
      <c r="J5" s="33">
        <v>0</v>
      </c>
      <c r="L5" s="5" t="s">
        <v>37</v>
      </c>
      <c r="M5" s="5" t="s">
        <v>38</v>
      </c>
      <c r="N5" s="5" t="s">
        <v>18</v>
      </c>
      <c r="O5" s="33">
        <v>0</v>
      </c>
    </row>
    <row r="6" spans="2:16" ht="29" x14ac:dyDescent="0.35">
      <c r="B6" s="5" t="s">
        <v>39</v>
      </c>
      <c r="C6" s="5" t="s">
        <v>40</v>
      </c>
      <c r="D6" s="5"/>
      <c r="E6" s="34">
        <f>'VPA 123 PTDs'!P11</f>
        <v>741351.5</v>
      </c>
      <c r="F6" s="129" t="s">
        <v>184</v>
      </c>
      <c r="G6" s="5" t="s">
        <v>39</v>
      </c>
      <c r="H6" s="5" t="s">
        <v>40</v>
      </c>
      <c r="I6" s="5"/>
      <c r="J6" s="34">
        <f>'VPA 123 PTDs'!M11</f>
        <v>62964.1</v>
      </c>
      <c r="L6" s="5" t="s">
        <v>39</v>
      </c>
      <c r="M6" s="5" t="s">
        <v>40</v>
      </c>
      <c r="N6" s="5"/>
      <c r="O6" s="34">
        <f>'VPA 123 PTDs'!O11</f>
        <v>678387.4</v>
      </c>
      <c r="P6" s="35"/>
    </row>
    <row r="7" spans="2:16" x14ac:dyDescent="0.35">
      <c r="B7" s="5" t="s">
        <v>41</v>
      </c>
      <c r="C7" s="5" t="s">
        <v>42</v>
      </c>
      <c r="D7" s="5" t="s">
        <v>43</v>
      </c>
      <c r="E7" s="36">
        <f>'VPA 123 SDGs Calculations'!D6</f>
        <v>4.0000000000000002E-4</v>
      </c>
      <c r="F7" s="129" t="s">
        <v>185</v>
      </c>
      <c r="G7" s="5" t="s">
        <v>41</v>
      </c>
      <c r="H7" s="5" t="s">
        <v>42</v>
      </c>
      <c r="I7" s="5" t="s">
        <v>43</v>
      </c>
      <c r="J7" s="36">
        <f>E7</f>
        <v>4.0000000000000002E-4</v>
      </c>
      <c r="L7" s="5" t="s">
        <v>41</v>
      </c>
      <c r="M7" s="5" t="s">
        <v>42</v>
      </c>
      <c r="N7" s="5" t="s">
        <v>43</v>
      </c>
      <c r="O7" s="36">
        <f>E7</f>
        <v>4.0000000000000002E-4</v>
      </c>
    </row>
    <row r="8" spans="2:16" ht="29" x14ac:dyDescent="0.35">
      <c r="B8" s="37" t="s">
        <v>44</v>
      </c>
      <c r="C8" s="5" t="s">
        <v>45</v>
      </c>
      <c r="D8" s="5" t="s">
        <v>46</v>
      </c>
      <c r="E8" s="33">
        <v>7.5</v>
      </c>
      <c r="F8" s="129" t="s">
        <v>186</v>
      </c>
      <c r="G8" s="37" t="s">
        <v>44</v>
      </c>
      <c r="H8" s="5" t="s">
        <v>45</v>
      </c>
      <c r="I8" s="5" t="s">
        <v>46</v>
      </c>
      <c r="J8" s="33">
        <v>7.5</v>
      </c>
      <c r="L8" s="37" t="s">
        <v>44</v>
      </c>
      <c r="M8" s="5" t="s">
        <v>45</v>
      </c>
      <c r="N8" s="5" t="s">
        <v>46</v>
      </c>
      <c r="O8" s="33">
        <v>7.5</v>
      </c>
    </row>
    <row r="9" spans="2:16" x14ac:dyDescent="0.35">
      <c r="B9" s="37" t="s">
        <v>47</v>
      </c>
      <c r="C9" s="5" t="s">
        <v>48</v>
      </c>
      <c r="D9" s="5" t="s">
        <v>46</v>
      </c>
      <c r="E9" s="33">
        <v>0</v>
      </c>
      <c r="F9" s="129" t="s">
        <v>187</v>
      </c>
      <c r="G9" s="37" t="s">
        <v>47</v>
      </c>
      <c r="H9" s="5" t="s">
        <v>48</v>
      </c>
      <c r="I9" s="5" t="s">
        <v>46</v>
      </c>
      <c r="J9" s="33">
        <v>0</v>
      </c>
      <c r="L9" s="37" t="s">
        <v>47</v>
      </c>
      <c r="M9" s="5" t="s">
        <v>48</v>
      </c>
      <c r="N9" s="5" t="s">
        <v>46</v>
      </c>
      <c r="O9" s="33">
        <v>0</v>
      </c>
    </row>
    <row r="10" spans="2:16" x14ac:dyDescent="0.35">
      <c r="B10" s="5" t="s">
        <v>49</v>
      </c>
      <c r="C10" s="5" t="s">
        <v>50</v>
      </c>
      <c r="D10" s="5" t="s">
        <v>51</v>
      </c>
      <c r="E10" s="38">
        <f>ROUNDDOWN((1-E5)*E6*E7*(E8+E9),0)</f>
        <v>2224</v>
      </c>
      <c r="F10" s="129"/>
      <c r="G10" s="5" t="s">
        <v>49</v>
      </c>
      <c r="H10" s="5" t="s">
        <v>50</v>
      </c>
      <c r="I10" s="5" t="s">
        <v>51</v>
      </c>
      <c r="J10" s="38">
        <f>ROUNDDOWN((1-J5)*J6*J7*(J8+J9),0)</f>
        <v>188</v>
      </c>
      <c r="L10" s="5" t="s">
        <v>49</v>
      </c>
      <c r="M10" s="5" t="s">
        <v>50</v>
      </c>
      <c r="N10" s="5" t="s">
        <v>51</v>
      </c>
      <c r="O10" s="38">
        <f>ROUNDDOWN((1-O5)*O6*O7*(O8+O9),0)</f>
        <v>2035</v>
      </c>
    </row>
    <row r="11" spans="2:16" x14ac:dyDescent="0.35">
      <c r="F11" s="130"/>
    </row>
    <row r="12" spans="2:16" x14ac:dyDescent="0.35">
      <c r="B12" s="391" t="s">
        <v>52</v>
      </c>
      <c r="C12" s="391"/>
      <c r="D12" s="391"/>
      <c r="E12" s="391"/>
      <c r="F12" s="130"/>
      <c r="G12" s="391" t="s">
        <v>52</v>
      </c>
      <c r="H12" s="391"/>
      <c r="I12" s="391"/>
      <c r="J12" s="391"/>
      <c r="L12" s="389" t="s">
        <v>52</v>
      </c>
      <c r="M12" s="387"/>
      <c r="N12" s="387"/>
      <c r="O12" s="390"/>
    </row>
    <row r="13" spans="2:16" x14ac:dyDescent="0.35">
      <c r="B13" s="5" t="s">
        <v>53</v>
      </c>
      <c r="C13" s="5" t="s">
        <v>38</v>
      </c>
      <c r="D13" s="5" t="s">
        <v>18</v>
      </c>
      <c r="E13" s="33">
        <f>E5</f>
        <v>0</v>
      </c>
      <c r="F13" s="129" t="s">
        <v>183</v>
      </c>
      <c r="G13" s="5" t="s">
        <v>53</v>
      </c>
      <c r="H13" s="5" t="s">
        <v>38</v>
      </c>
      <c r="I13" s="5" t="s">
        <v>18</v>
      </c>
      <c r="J13" s="33">
        <f>J5</f>
        <v>0</v>
      </c>
      <c r="L13" s="5" t="s">
        <v>53</v>
      </c>
      <c r="M13" s="5" t="s">
        <v>38</v>
      </c>
      <c r="N13" s="5" t="s">
        <v>18</v>
      </c>
      <c r="O13" s="33">
        <f>O5</f>
        <v>0</v>
      </c>
    </row>
    <row r="14" spans="2:16" ht="29" x14ac:dyDescent="0.35">
      <c r="B14" s="5" t="s">
        <v>39</v>
      </c>
      <c r="C14" s="5" t="s">
        <v>40</v>
      </c>
      <c r="D14" s="5"/>
      <c r="E14" s="34">
        <f>E6</f>
        <v>741351.5</v>
      </c>
      <c r="F14" s="129" t="s">
        <v>188</v>
      </c>
      <c r="G14" s="5" t="s">
        <v>39</v>
      </c>
      <c r="H14" s="5" t="s">
        <v>40</v>
      </c>
      <c r="I14" s="5"/>
      <c r="J14" s="34">
        <f>J6</f>
        <v>62964.1</v>
      </c>
      <c r="L14" s="5" t="s">
        <v>39</v>
      </c>
      <c r="M14" s="5" t="s">
        <v>40</v>
      </c>
      <c r="N14" s="5"/>
      <c r="O14" s="34">
        <f>O6</f>
        <v>678387.4</v>
      </c>
    </row>
    <row r="15" spans="2:16" x14ac:dyDescent="0.35">
      <c r="B15" s="5" t="s">
        <v>54</v>
      </c>
      <c r="C15" s="5" t="s">
        <v>55</v>
      </c>
      <c r="D15" s="5" t="s">
        <v>43</v>
      </c>
      <c r="E15" s="39">
        <f>E7</f>
        <v>4.0000000000000002E-4</v>
      </c>
      <c r="F15" s="129"/>
      <c r="G15" s="5" t="s">
        <v>54</v>
      </c>
      <c r="H15" s="5" t="s">
        <v>55</v>
      </c>
      <c r="I15" s="5" t="s">
        <v>43</v>
      </c>
      <c r="J15" s="39">
        <f>J7</f>
        <v>4.0000000000000002E-4</v>
      </c>
      <c r="L15" s="5" t="s">
        <v>54</v>
      </c>
      <c r="M15" s="5" t="s">
        <v>55</v>
      </c>
      <c r="N15" s="5" t="s">
        <v>43</v>
      </c>
      <c r="O15" s="39">
        <f>O7</f>
        <v>4.0000000000000002E-4</v>
      </c>
    </row>
    <row r="16" spans="2:16" x14ac:dyDescent="0.35">
      <c r="B16" s="5" t="s">
        <v>56</v>
      </c>
      <c r="C16" s="5" t="s">
        <v>48</v>
      </c>
      <c r="D16" s="5" t="s">
        <v>46</v>
      </c>
      <c r="E16" s="33">
        <v>0</v>
      </c>
      <c r="F16" s="129" t="s">
        <v>187</v>
      </c>
      <c r="G16" s="5" t="s">
        <v>56</v>
      </c>
      <c r="H16" s="5" t="s">
        <v>48</v>
      </c>
      <c r="I16" s="5" t="s">
        <v>46</v>
      </c>
      <c r="J16" s="33">
        <v>0</v>
      </c>
      <c r="L16" s="5" t="s">
        <v>56</v>
      </c>
      <c r="M16" s="5" t="s">
        <v>48</v>
      </c>
      <c r="N16" s="5" t="s">
        <v>46</v>
      </c>
      <c r="O16" s="33">
        <v>0</v>
      </c>
    </row>
    <row r="17" spans="2:15" x14ac:dyDescent="0.35">
      <c r="B17" s="5" t="s">
        <v>57</v>
      </c>
      <c r="C17" s="5" t="s">
        <v>58</v>
      </c>
      <c r="D17" s="5" t="s">
        <v>46</v>
      </c>
      <c r="E17" s="33">
        <v>0</v>
      </c>
      <c r="F17" s="129" t="s">
        <v>187</v>
      </c>
      <c r="G17" s="5" t="s">
        <v>57</v>
      </c>
      <c r="H17" s="5" t="s">
        <v>58</v>
      </c>
      <c r="I17" s="5" t="s">
        <v>46</v>
      </c>
      <c r="J17" s="33">
        <v>0</v>
      </c>
      <c r="L17" s="5" t="s">
        <v>57</v>
      </c>
      <c r="M17" s="5" t="s">
        <v>58</v>
      </c>
      <c r="N17" s="5" t="s">
        <v>46</v>
      </c>
      <c r="O17" s="33">
        <v>0</v>
      </c>
    </row>
    <row r="18" spans="2:15" x14ac:dyDescent="0.35">
      <c r="B18" s="5" t="s">
        <v>59</v>
      </c>
      <c r="C18" s="5" t="s">
        <v>60</v>
      </c>
      <c r="D18" s="5" t="s">
        <v>51</v>
      </c>
      <c r="E18" s="38">
        <f>ROUNDDOWN((1-E13)*E14*E15*(E16+E17),0)</f>
        <v>0</v>
      </c>
      <c r="F18" s="129"/>
      <c r="G18" s="5" t="s">
        <v>59</v>
      </c>
      <c r="H18" s="5" t="s">
        <v>60</v>
      </c>
      <c r="I18" s="5" t="s">
        <v>51</v>
      </c>
      <c r="J18" s="38">
        <f>ROUNDDOWN((1-J13)*J14*J15*(J16+J17),0)</f>
        <v>0</v>
      </c>
      <c r="L18" s="5" t="s">
        <v>59</v>
      </c>
      <c r="M18" s="5" t="s">
        <v>60</v>
      </c>
      <c r="N18" s="5" t="s">
        <v>51</v>
      </c>
      <c r="O18" s="38">
        <f>ROUNDDOWN((1-O13)*O14*O15*(O16+O17),0)</f>
        <v>0</v>
      </c>
    </row>
    <row r="19" spans="2:15" x14ac:dyDescent="0.35">
      <c r="F19" s="130"/>
    </row>
    <row r="20" spans="2:15" x14ac:dyDescent="0.35">
      <c r="B20" s="389" t="s">
        <v>61</v>
      </c>
      <c r="C20" s="387"/>
      <c r="D20" s="387"/>
      <c r="E20" s="390"/>
      <c r="F20" s="130"/>
      <c r="G20" s="389" t="s">
        <v>61</v>
      </c>
      <c r="H20" s="387"/>
      <c r="I20" s="387"/>
      <c r="J20" s="390"/>
      <c r="L20" s="389" t="s">
        <v>61</v>
      </c>
      <c r="M20" s="387"/>
      <c r="N20" s="387"/>
      <c r="O20" s="390"/>
    </row>
    <row r="21" spans="2:15" x14ac:dyDescent="0.35">
      <c r="B21" s="37" t="s">
        <v>62</v>
      </c>
      <c r="C21" s="5" t="s">
        <v>62</v>
      </c>
      <c r="D21" s="5" t="s">
        <v>63</v>
      </c>
      <c r="E21" s="40">
        <v>0.97</v>
      </c>
      <c r="F21" s="129" t="s">
        <v>189</v>
      </c>
      <c r="G21" s="37" t="s">
        <v>62</v>
      </c>
      <c r="H21" s="5" t="s">
        <v>62</v>
      </c>
      <c r="I21" s="5" t="s">
        <v>63</v>
      </c>
      <c r="J21" s="40">
        <v>0.97</v>
      </c>
      <c r="L21" s="37" t="s">
        <v>62</v>
      </c>
      <c r="M21" s="5" t="s">
        <v>62</v>
      </c>
      <c r="N21" s="5" t="s">
        <v>63</v>
      </c>
      <c r="O21" s="40">
        <v>0.97</v>
      </c>
    </row>
    <row r="22" spans="2:15" x14ac:dyDescent="0.35">
      <c r="B22" s="5" t="s">
        <v>64</v>
      </c>
      <c r="C22" s="5" t="s">
        <v>65</v>
      </c>
      <c r="D22" s="5" t="s">
        <v>66</v>
      </c>
      <c r="E22" s="33">
        <v>112</v>
      </c>
      <c r="F22" s="129" t="s">
        <v>189</v>
      </c>
      <c r="G22" s="5" t="s">
        <v>64</v>
      </c>
      <c r="H22" s="5" t="s">
        <v>65</v>
      </c>
      <c r="I22" s="5" t="s">
        <v>66</v>
      </c>
      <c r="J22" s="33">
        <v>112</v>
      </c>
      <c r="L22" s="5" t="s">
        <v>64</v>
      </c>
      <c r="M22" s="5" t="s">
        <v>65</v>
      </c>
      <c r="N22" s="5" t="s">
        <v>66</v>
      </c>
      <c r="O22" s="33">
        <v>112</v>
      </c>
    </row>
    <row r="23" spans="2:15" x14ac:dyDescent="0.35">
      <c r="B23" s="5" t="s">
        <v>67</v>
      </c>
      <c r="C23" s="5" t="s">
        <v>68</v>
      </c>
      <c r="D23" s="5" t="s">
        <v>69</v>
      </c>
      <c r="E23" s="33">
        <f>(J23*J6+O23*O6)/E6</f>
        <v>9.3947726027397263</v>
      </c>
      <c r="F23" s="129" t="s">
        <v>189</v>
      </c>
      <c r="G23" s="5" t="s">
        <v>67</v>
      </c>
      <c r="H23" s="5" t="s">
        <v>68</v>
      </c>
      <c r="I23" s="5" t="s">
        <v>69</v>
      </c>
      <c r="J23" s="33">
        <f>7.5+1.192</f>
        <v>8.6920000000000002</v>
      </c>
      <c r="L23" s="5" t="s">
        <v>67</v>
      </c>
      <c r="M23" s="5" t="s">
        <v>68</v>
      </c>
      <c r="N23" s="5" t="s">
        <v>69</v>
      </c>
      <c r="O23" s="33">
        <v>9.4600000000000009</v>
      </c>
    </row>
    <row r="24" spans="2:15" x14ac:dyDescent="0.35">
      <c r="B24" s="5" t="s">
        <v>70</v>
      </c>
      <c r="C24" s="5" t="s">
        <v>71</v>
      </c>
      <c r="D24" s="5" t="s">
        <v>72</v>
      </c>
      <c r="E24" s="33">
        <v>1.5599999999999999E-2</v>
      </c>
      <c r="F24" s="129" t="s">
        <v>189</v>
      </c>
      <c r="G24" s="5" t="s">
        <v>70</v>
      </c>
      <c r="H24" s="5" t="s">
        <v>71</v>
      </c>
      <c r="I24" s="5" t="s">
        <v>72</v>
      </c>
      <c r="J24" s="33">
        <v>1.5599999999999999E-2</v>
      </c>
      <c r="L24" s="5" t="s">
        <v>70</v>
      </c>
      <c r="M24" s="5" t="s">
        <v>71</v>
      </c>
      <c r="N24" s="5" t="s">
        <v>72</v>
      </c>
      <c r="O24" s="33">
        <v>1.5599999999999999E-2</v>
      </c>
    </row>
    <row r="25" spans="2:15" x14ac:dyDescent="0.35">
      <c r="F25" s="130"/>
    </row>
    <row r="26" spans="2:15" x14ac:dyDescent="0.35">
      <c r="B26" s="389" t="s">
        <v>4</v>
      </c>
      <c r="C26" s="387"/>
      <c r="D26" s="387"/>
      <c r="E26" s="390"/>
      <c r="F26" s="130"/>
      <c r="G26" s="389" t="s">
        <v>4</v>
      </c>
      <c r="H26" s="387"/>
      <c r="I26" s="387"/>
      <c r="J26" s="390"/>
      <c r="L26" s="389" t="s">
        <v>4</v>
      </c>
      <c r="M26" s="387"/>
      <c r="N26" s="387"/>
      <c r="O26" s="390"/>
    </row>
    <row r="27" spans="2:15" x14ac:dyDescent="0.35">
      <c r="B27" s="5" t="s">
        <v>11</v>
      </c>
      <c r="C27" s="5" t="s">
        <v>12</v>
      </c>
      <c r="D27" s="5" t="s">
        <v>13</v>
      </c>
      <c r="E27" s="41">
        <f>ROUNDDOWN(E10*((E22*E21)+E23)*E24,0)</f>
        <v>4095</v>
      </c>
      <c r="F27" s="129"/>
      <c r="G27" s="5" t="s">
        <v>11</v>
      </c>
      <c r="H27" s="5" t="s">
        <v>12</v>
      </c>
      <c r="I27" s="5" t="s">
        <v>13</v>
      </c>
      <c r="J27" s="41">
        <f>ROUNDDOWN(J10*((J22*J21)+J23)*J24,0)</f>
        <v>344</v>
      </c>
      <c r="L27" s="5" t="s">
        <v>11</v>
      </c>
      <c r="M27" s="5" t="s">
        <v>12</v>
      </c>
      <c r="N27" s="5" t="s">
        <v>13</v>
      </c>
      <c r="O27" s="41">
        <f>ROUNDDOWN(O10*((O22*O21)+O23)*O24,0)</f>
        <v>3749</v>
      </c>
    </row>
    <row r="28" spans="2:15" x14ac:dyDescent="0.35">
      <c r="B28" s="5" t="s">
        <v>14</v>
      </c>
      <c r="C28" s="5" t="s">
        <v>15</v>
      </c>
      <c r="D28" s="5" t="s">
        <v>13</v>
      </c>
      <c r="E28" s="41">
        <f>E18*((E22*E21)+E23)*E24</f>
        <v>0</v>
      </c>
      <c r="F28" s="129"/>
      <c r="G28" s="5" t="s">
        <v>14</v>
      </c>
      <c r="H28" s="5" t="s">
        <v>15</v>
      </c>
      <c r="I28" s="5" t="s">
        <v>13</v>
      </c>
      <c r="J28" s="41">
        <f>J18*((J22*J21)+J23)*J24</f>
        <v>0</v>
      </c>
      <c r="L28" s="5" t="s">
        <v>14</v>
      </c>
      <c r="M28" s="5" t="s">
        <v>15</v>
      </c>
      <c r="N28" s="5" t="s">
        <v>13</v>
      </c>
      <c r="O28" s="41">
        <f>O18*((O22*O21)+O23)*O24</f>
        <v>0</v>
      </c>
    </row>
    <row r="29" spans="2:15" x14ac:dyDescent="0.35">
      <c r="B29" s="5" t="s">
        <v>16</v>
      </c>
      <c r="C29" s="5" t="s">
        <v>17</v>
      </c>
      <c r="D29" s="5" t="s">
        <v>18</v>
      </c>
      <c r="E29" s="131">
        <v>0.92269999999999996</v>
      </c>
      <c r="F29" s="129" t="s">
        <v>190</v>
      </c>
      <c r="G29" s="5" t="s">
        <v>16</v>
      </c>
      <c r="H29" s="5" t="s">
        <v>17</v>
      </c>
      <c r="I29" s="5" t="s">
        <v>18</v>
      </c>
      <c r="J29" s="33">
        <f>E29</f>
        <v>0.92269999999999996</v>
      </c>
      <c r="L29" s="5" t="s">
        <v>16</v>
      </c>
      <c r="M29" s="5" t="s">
        <v>17</v>
      </c>
      <c r="N29" s="5" t="s">
        <v>18</v>
      </c>
      <c r="O29" s="33">
        <f>E29</f>
        <v>0.92269999999999996</v>
      </c>
    </row>
    <row r="30" spans="2:15" x14ac:dyDescent="0.35">
      <c r="B30" s="5" t="s">
        <v>19</v>
      </c>
      <c r="C30" s="5" t="s">
        <v>20</v>
      </c>
      <c r="D30" s="5" t="s">
        <v>13</v>
      </c>
      <c r="E30" s="33">
        <v>0</v>
      </c>
      <c r="F30" s="129" t="s">
        <v>191</v>
      </c>
      <c r="G30" s="5" t="s">
        <v>19</v>
      </c>
      <c r="H30" s="5" t="s">
        <v>20</v>
      </c>
      <c r="I30" s="5" t="s">
        <v>13</v>
      </c>
      <c r="J30" s="33">
        <v>0</v>
      </c>
      <c r="L30" s="5" t="s">
        <v>19</v>
      </c>
      <c r="M30" s="5" t="s">
        <v>20</v>
      </c>
      <c r="N30" s="5" t="s">
        <v>13</v>
      </c>
      <c r="O30" s="33">
        <v>0</v>
      </c>
    </row>
    <row r="31" spans="2:15" x14ac:dyDescent="0.35">
      <c r="B31" s="5" t="s">
        <v>34</v>
      </c>
      <c r="C31" s="5" t="s">
        <v>22</v>
      </c>
      <c r="D31" s="5" t="s">
        <v>13</v>
      </c>
      <c r="E31" s="38">
        <f>ROUNDDOWN(((E27-E28)*E29)-E30,0)</f>
        <v>3778</v>
      </c>
      <c r="F31" s="129"/>
      <c r="G31" s="5" t="s">
        <v>34</v>
      </c>
      <c r="H31" s="5" t="s">
        <v>22</v>
      </c>
      <c r="I31" s="5" t="s">
        <v>13</v>
      </c>
      <c r="J31" s="38">
        <f>((J27-J28)*J29)-J30</f>
        <v>317.40879999999999</v>
      </c>
      <c r="L31" s="5" t="s">
        <v>34</v>
      </c>
      <c r="M31" s="5" t="s">
        <v>22</v>
      </c>
      <c r="N31" s="5" t="s">
        <v>13</v>
      </c>
      <c r="O31" s="38">
        <f>((O27-O28)*O29)-O30</f>
        <v>3459.2022999999999</v>
      </c>
    </row>
    <row r="32" spans="2:15" x14ac:dyDescent="0.35">
      <c r="D32" s="42"/>
      <c r="F32" s="130"/>
      <c r="I32" s="42"/>
      <c r="N32" s="42"/>
    </row>
    <row r="33" spans="2:15" x14ac:dyDescent="0.35">
      <c r="B33" s="389" t="s">
        <v>24</v>
      </c>
      <c r="C33" s="387"/>
      <c r="D33" s="387"/>
      <c r="E33" s="390"/>
      <c r="F33" s="130"/>
      <c r="G33" s="389" t="s">
        <v>24</v>
      </c>
      <c r="H33" s="387"/>
      <c r="I33" s="387"/>
      <c r="J33" s="390"/>
      <c r="L33" s="389" t="s">
        <v>24</v>
      </c>
      <c r="M33" s="387"/>
      <c r="N33" s="387"/>
      <c r="O33" s="390"/>
    </row>
    <row r="34" spans="2:15" x14ac:dyDescent="0.35">
      <c r="B34" s="43" t="s">
        <v>25</v>
      </c>
      <c r="C34" s="5"/>
      <c r="D34" s="23"/>
      <c r="E34" s="44">
        <v>0.98</v>
      </c>
      <c r="F34" s="129" t="s">
        <v>183</v>
      </c>
      <c r="G34" s="43" t="s">
        <v>25</v>
      </c>
      <c r="H34" s="5"/>
      <c r="I34" s="23"/>
      <c r="J34" s="44">
        <f>E34</f>
        <v>0.98</v>
      </c>
      <c r="L34" s="43" t="s">
        <v>25</v>
      </c>
      <c r="M34" s="5"/>
      <c r="N34" s="23"/>
      <c r="O34" s="44">
        <f>E34</f>
        <v>0.98</v>
      </c>
    </row>
    <row r="35" spans="2:15" x14ac:dyDescent="0.35">
      <c r="B35" s="43" t="s">
        <v>26</v>
      </c>
      <c r="C35" s="5" t="s">
        <v>27</v>
      </c>
      <c r="D35" s="23" t="s">
        <v>28</v>
      </c>
      <c r="E35" s="44">
        <f>1-E34</f>
        <v>2.0000000000000018E-2</v>
      </c>
      <c r="F35" s="129" t="s">
        <v>183</v>
      </c>
      <c r="G35" s="43" t="s">
        <v>26</v>
      </c>
      <c r="H35" s="5" t="s">
        <v>27</v>
      </c>
      <c r="I35" s="23" t="s">
        <v>28</v>
      </c>
      <c r="J35" s="44">
        <f>E35</f>
        <v>2.0000000000000018E-2</v>
      </c>
      <c r="L35" s="43" t="s">
        <v>26</v>
      </c>
      <c r="M35" s="5" t="s">
        <v>27</v>
      </c>
      <c r="N35" s="23" t="s">
        <v>28</v>
      </c>
      <c r="O35" s="44">
        <f>E35</f>
        <v>2.0000000000000018E-2</v>
      </c>
    </row>
    <row r="36" spans="2:15" x14ac:dyDescent="0.35">
      <c r="B36" s="45" t="s">
        <v>73</v>
      </c>
      <c r="C36" s="46" t="s">
        <v>22</v>
      </c>
      <c r="D36" s="47" t="s">
        <v>13</v>
      </c>
      <c r="E36" s="48">
        <f>ROUNDDOWN(E31*(1-E35),0)</f>
        <v>3702</v>
      </c>
      <c r="G36" s="45" t="s">
        <v>73</v>
      </c>
      <c r="H36" s="46" t="s">
        <v>22</v>
      </c>
      <c r="I36" s="47" t="s">
        <v>13</v>
      </c>
      <c r="J36" s="48">
        <f>ROUNDDOWN(J31*(1-J35),0)</f>
        <v>311</v>
      </c>
      <c r="L36" s="45" t="s">
        <v>73</v>
      </c>
      <c r="M36" s="46" t="s">
        <v>22</v>
      </c>
      <c r="N36" s="47" t="s">
        <v>13</v>
      </c>
      <c r="O36" s="48">
        <f>ROUNDDOWN(O31*(1-O35),0)</f>
        <v>3390</v>
      </c>
    </row>
    <row r="38" spans="2:15" x14ac:dyDescent="0.35">
      <c r="B38" s="45" t="s">
        <v>74</v>
      </c>
      <c r="C38" s="46"/>
      <c r="D38" s="47" t="s">
        <v>13</v>
      </c>
      <c r="E38" s="48">
        <f>J38+O38</f>
        <v>3701</v>
      </c>
      <c r="G38" s="45" t="s">
        <v>74</v>
      </c>
      <c r="H38" s="46"/>
      <c r="I38" s="47" t="s">
        <v>13</v>
      </c>
      <c r="J38" s="48">
        <f>IF(J36&gt;10000,((10000/$E$6)*J6),J36)</f>
        <v>311</v>
      </c>
      <c r="L38" s="45" t="s">
        <v>74</v>
      </c>
      <c r="M38" s="46"/>
      <c r="N38" s="47" t="s">
        <v>13</v>
      </c>
      <c r="O38" s="48">
        <f>IF(O36&gt;10000,((10000/$E$6)*O6),O36)</f>
        <v>3390</v>
      </c>
    </row>
    <row r="40" spans="2:15" x14ac:dyDescent="0.35">
      <c r="B40"/>
      <c r="G40" t="s">
        <v>75</v>
      </c>
      <c r="L40" t="s">
        <v>75</v>
      </c>
    </row>
    <row r="42" spans="2:15" x14ac:dyDescent="0.35">
      <c r="G42" s="11"/>
    </row>
    <row r="43" spans="2:15" x14ac:dyDescent="0.35">
      <c r="G43" s="11"/>
      <c r="H43" s="11"/>
    </row>
    <row r="44" spans="2:15" x14ac:dyDescent="0.35">
      <c r="G44" s="11"/>
    </row>
    <row r="46" spans="2:15" x14ac:dyDescent="0.35">
      <c r="G46" s="35"/>
    </row>
    <row r="47" spans="2:15" x14ac:dyDescent="0.35">
      <c r="K47" s="35"/>
    </row>
  </sheetData>
  <mergeCells count="18">
    <mergeCell ref="B2:E2"/>
    <mergeCell ref="G2:J2"/>
    <mergeCell ref="L2:O2"/>
    <mergeCell ref="B4:E4"/>
    <mergeCell ref="G4:J4"/>
    <mergeCell ref="L4:O4"/>
    <mergeCell ref="B12:E12"/>
    <mergeCell ref="G12:J12"/>
    <mergeCell ref="L12:O12"/>
    <mergeCell ref="B20:E20"/>
    <mergeCell ref="G20:J20"/>
    <mergeCell ref="L20:O20"/>
    <mergeCell ref="B26:E26"/>
    <mergeCell ref="G26:J26"/>
    <mergeCell ref="L26:O26"/>
    <mergeCell ref="B33:E33"/>
    <mergeCell ref="G33:J33"/>
    <mergeCell ref="L33:O33"/>
  </mergeCells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705E9-61D1-4E64-A733-DA5F33F479DD}">
  <dimension ref="B1:R36"/>
  <sheetViews>
    <sheetView zoomScale="60" zoomScaleNormal="60" workbookViewId="0">
      <selection activeCell="B25" sqref="B25"/>
    </sheetView>
  </sheetViews>
  <sheetFormatPr defaultColWidth="9.1796875" defaultRowHeight="14.5" x14ac:dyDescent="0.35"/>
  <cols>
    <col min="1" max="1" width="9.1796875" style="1"/>
    <col min="2" max="2" width="36.54296875" style="1" bestFit="1" customWidth="1"/>
    <col min="3" max="3" width="15" style="1" bestFit="1" customWidth="1"/>
    <col min="4" max="4" width="17.26953125" style="1" bestFit="1" customWidth="1"/>
    <col min="5" max="5" width="20.1796875" style="1" customWidth="1"/>
    <col min="6" max="6" width="27.7265625" style="1" customWidth="1"/>
    <col min="7" max="7" width="24.1796875" style="1" bestFit="1" customWidth="1"/>
    <col min="8" max="8" width="10.81640625" style="1" bestFit="1" customWidth="1"/>
    <col min="9" max="9" width="14.453125" style="1" bestFit="1" customWidth="1"/>
    <col min="10" max="10" width="18.453125" style="1" customWidth="1"/>
    <col min="11" max="11" width="7.81640625" style="1" customWidth="1"/>
    <col min="12" max="12" width="17.7265625" style="1" customWidth="1"/>
    <col min="13" max="14" width="21.453125" style="1" customWidth="1"/>
    <col min="15" max="15" width="26.1796875" style="1" customWidth="1"/>
    <col min="16" max="16" width="25.7265625" style="1" customWidth="1"/>
    <col min="17" max="17" width="19.54296875" style="1" customWidth="1"/>
    <col min="18" max="18" width="11" style="1" customWidth="1"/>
    <col min="19" max="16384" width="9.1796875" style="1"/>
  </cols>
  <sheetData>
    <row r="1" spans="2:18" ht="15" thickBot="1" x14ac:dyDescent="0.4">
      <c r="L1" s="428">
        <v>2020</v>
      </c>
      <c r="M1" s="428"/>
      <c r="N1" s="428">
        <v>2021</v>
      </c>
      <c r="O1" s="428"/>
      <c r="P1" s="132"/>
      <c r="Q1" s="132"/>
      <c r="R1" s="133"/>
    </row>
    <row r="2" spans="2:18" x14ac:dyDescent="0.35">
      <c r="B2" s="50" t="s">
        <v>76</v>
      </c>
      <c r="C2" s="51" t="s">
        <v>77</v>
      </c>
      <c r="D2" s="51" t="s">
        <v>78</v>
      </c>
      <c r="E2" s="51" t="s">
        <v>79</v>
      </c>
      <c r="F2" s="51" t="s">
        <v>80</v>
      </c>
      <c r="G2" s="51" t="s">
        <v>81</v>
      </c>
      <c r="H2" s="51" t="s">
        <v>82</v>
      </c>
      <c r="I2" s="52" t="s">
        <v>83</v>
      </c>
      <c r="J2" s="134" t="s">
        <v>84</v>
      </c>
      <c r="L2" s="135" t="s">
        <v>192</v>
      </c>
      <c r="M2" s="136" t="s">
        <v>86</v>
      </c>
      <c r="N2" s="135" t="s">
        <v>192</v>
      </c>
      <c r="O2" s="137" t="s">
        <v>86</v>
      </c>
      <c r="P2" s="138" t="s">
        <v>88</v>
      </c>
    </row>
    <row r="3" spans="2:18" ht="15" customHeight="1" x14ac:dyDescent="0.35">
      <c r="B3" s="429" t="s">
        <v>193</v>
      </c>
      <c r="C3" s="57" t="s">
        <v>194</v>
      </c>
      <c r="D3" s="58" t="s">
        <v>195</v>
      </c>
      <c r="E3" s="139">
        <v>15.80716</v>
      </c>
      <c r="F3" s="69" t="s">
        <v>196</v>
      </c>
      <c r="G3" s="61">
        <v>43043</v>
      </c>
      <c r="H3" s="140">
        <v>45</v>
      </c>
      <c r="I3" s="140">
        <v>282</v>
      </c>
      <c r="J3" s="104">
        <f>I3</f>
        <v>282</v>
      </c>
      <c r="L3" s="141">
        <f>G20</f>
        <v>29.45</v>
      </c>
      <c r="M3" s="64">
        <f>L3*J3</f>
        <v>8304.9</v>
      </c>
      <c r="N3" s="141">
        <f>G21</f>
        <v>317.3</v>
      </c>
      <c r="O3" s="65">
        <f>N3*J3</f>
        <v>89478.6</v>
      </c>
      <c r="P3" s="66">
        <f t="shared" ref="P3:P10" si="0">M3+O3</f>
        <v>97783.5</v>
      </c>
    </row>
    <row r="4" spans="2:18" ht="15.75" customHeight="1" x14ac:dyDescent="0.35">
      <c r="B4" s="430"/>
      <c r="C4" s="57" t="s">
        <v>197</v>
      </c>
      <c r="D4" s="142" t="s">
        <v>198</v>
      </c>
      <c r="E4" s="58">
        <v>15.681290000000001</v>
      </c>
      <c r="F4" s="69" t="s">
        <v>199</v>
      </c>
      <c r="G4" s="143">
        <v>43048</v>
      </c>
      <c r="H4" s="140">
        <v>64</v>
      </c>
      <c r="I4" s="140">
        <v>351</v>
      </c>
      <c r="J4" s="104">
        <v>300</v>
      </c>
      <c r="L4" s="141">
        <f>G20</f>
        <v>29.45</v>
      </c>
      <c r="M4" s="64">
        <f t="shared" ref="M4:M10" si="1">L4*J4</f>
        <v>8835</v>
      </c>
      <c r="N4" s="141">
        <f>G21</f>
        <v>317.3</v>
      </c>
      <c r="O4" s="65">
        <f t="shared" ref="O4:O10" si="2">N4*J4</f>
        <v>95190</v>
      </c>
      <c r="P4" s="66">
        <f t="shared" si="0"/>
        <v>104025</v>
      </c>
    </row>
    <row r="5" spans="2:18" ht="15.75" customHeight="1" x14ac:dyDescent="0.35">
      <c r="B5" s="430"/>
      <c r="C5" s="57" t="s">
        <v>200</v>
      </c>
      <c r="D5" s="58" t="s">
        <v>201</v>
      </c>
      <c r="E5" s="59" t="s">
        <v>202</v>
      </c>
      <c r="F5" s="72" t="s">
        <v>203</v>
      </c>
      <c r="G5" s="61">
        <v>43065</v>
      </c>
      <c r="H5" s="144">
        <v>138</v>
      </c>
      <c r="I5" s="144">
        <v>603</v>
      </c>
      <c r="J5" s="104">
        <v>300</v>
      </c>
      <c r="L5" s="141">
        <f>G20</f>
        <v>29.45</v>
      </c>
      <c r="M5" s="64">
        <f t="shared" si="1"/>
        <v>8835</v>
      </c>
      <c r="N5" s="141">
        <f>G21</f>
        <v>317.3</v>
      </c>
      <c r="O5" s="65">
        <f t="shared" si="2"/>
        <v>95190</v>
      </c>
      <c r="P5" s="66">
        <f t="shared" si="0"/>
        <v>104025</v>
      </c>
    </row>
    <row r="6" spans="2:18" ht="15.75" customHeight="1" x14ac:dyDescent="0.35">
      <c r="B6" s="430"/>
      <c r="C6" s="57" t="s">
        <v>204</v>
      </c>
      <c r="D6" s="142" t="s">
        <v>205</v>
      </c>
      <c r="E6" s="58">
        <v>15.58268</v>
      </c>
      <c r="F6" s="69" t="s">
        <v>206</v>
      </c>
      <c r="G6" s="143">
        <v>43067</v>
      </c>
      <c r="H6" s="140">
        <v>20</v>
      </c>
      <c r="I6" s="140">
        <v>98</v>
      </c>
      <c r="J6" s="104">
        <f t="shared" ref="J6:J7" si="3">I6</f>
        <v>98</v>
      </c>
      <c r="L6" s="141">
        <f>G20</f>
        <v>29.45</v>
      </c>
      <c r="M6" s="64">
        <f t="shared" si="1"/>
        <v>2886.1</v>
      </c>
      <c r="N6" s="141">
        <f>G21</f>
        <v>317.3</v>
      </c>
      <c r="O6" s="65">
        <f t="shared" si="2"/>
        <v>31095.4</v>
      </c>
      <c r="P6" s="66">
        <f t="shared" si="0"/>
        <v>33981.5</v>
      </c>
    </row>
    <row r="7" spans="2:18" ht="15.75" customHeight="1" x14ac:dyDescent="0.35">
      <c r="B7" s="430"/>
      <c r="C7" s="57" t="s">
        <v>207</v>
      </c>
      <c r="D7" s="145" t="s">
        <v>208</v>
      </c>
      <c r="E7" s="59" t="s">
        <v>209</v>
      </c>
      <c r="F7" s="72" t="s">
        <v>210</v>
      </c>
      <c r="G7" s="146">
        <v>43069</v>
      </c>
      <c r="H7" s="147">
        <v>58</v>
      </c>
      <c r="I7" s="147">
        <v>258</v>
      </c>
      <c r="J7" s="104">
        <f t="shared" si="3"/>
        <v>258</v>
      </c>
      <c r="L7" s="141">
        <f>G20</f>
        <v>29.45</v>
      </c>
      <c r="M7" s="64">
        <f t="shared" si="1"/>
        <v>7598.0999999999995</v>
      </c>
      <c r="N7" s="141">
        <f>G21</f>
        <v>317.3</v>
      </c>
      <c r="O7" s="65">
        <f t="shared" si="2"/>
        <v>81863.400000000009</v>
      </c>
      <c r="P7" s="66">
        <f t="shared" si="0"/>
        <v>89461.500000000015</v>
      </c>
    </row>
    <row r="8" spans="2:18" ht="15.75" customHeight="1" x14ac:dyDescent="0.35">
      <c r="B8" s="430"/>
      <c r="C8" s="57" t="s">
        <v>211</v>
      </c>
      <c r="D8" s="148" t="s">
        <v>212</v>
      </c>
      <c r="E8" s="59" t="s">
        <v>213</v>
      </c>
      <c r="F8" s="72" t="s">
        <v>214</v>
      </c>
      <c r="G8" s="143">
        <v>43077</v>
      </c>
      <c r="H8" s="147">
        <v>59</v>
      </c>
      <c r="I8" s="147">
        <v>734</v>
      </c>
      <c r="J8" s="104">
        <v>300</v>
      </c>
      <c r="L8" s="141">
        <f>G20</f>
        <v>29.45</v>
      </c>
      <c r="M8" s="64">
        <f t="shared" si="1"/>
        <v>8835</v>
      </c>
      <c r="N8" s="141">
        <f>G21</f>
        <v>317.3</v>
      </c>
      <c r="O8" s="65">
        <f t="shared" si="2"/>
        <v>95190</v>
      </c>
      <c r="P8" s="66">
        <f t="shared" si="0"/>
        <v>104025</v>
      </c>
    </row>
    <row r="9" spans="2:18" ht="15.75" customHeight="1" x14ac:dyDescent="0.35">
      <c r="B9" s="430"/>
      <c r="C9" s="57" t="s">
        <v>215</v>
      </c>
      <c r="D9" s="71" t="s">
        <v>216</v>
      </c>
      <c r="E9" s="59" t="s">
        <v>217</v>
      </c>
      <c r="F9" s="72" t="s">
        <v>218</v>
      </c>
      <c r="G9" s="61">
        <v>43085</v>
      </c>
      <c r="H9" s="147">
        <v>65</v>
      </c>
      <c r="I9" s="140">
        <v>404</v>
      </c>
      <c r="J9" s="104">
        <v>300</v>
      </c>
      <c r="L9" s="141">
        <f>G20</f>
        <v>29.45</v>
      </c>
      <c r="M9" s="64">
        <f t="shared" si="1"/>
        <v>8835</v>
      </c>
      <c r="N9" s="141">
        <f>G21</f>
        <v>317.3</v>
      </c>
      <c r="O9" s="65">
        <f t="shared" si="2"/>
        <v>95190</v>
      </c>
      <c r="P9" s="66">
        <f t="shared" si="0"/>
        <v>104025</v>
      </c>
    </row>
    <row r="10" spans="2:18" ht="15.75" customHeight="1" thickBot="1" x14ac:dyDescent="0.4">
      <c r="B10" s="431"/>
      <c r="C10" s="57" t="s">
        <v>219</v>
      </c>
      <c r="D10" s="71" t="s">
        <v>220</v>
      </c>
      <c r="E10" s="59" t="s">
        <v>221</v>
      </c>
      <c r="F10" s="72" t="s">
        <v>222</v>
      </c>
      <c r="G10" s="61">
        <v>43090</v>
      </c>
      <c r="H10" s="140">
        <v>70</v>
      </c>
      <c r="I10" s="140">
        <v>396</v>
      </c>
      <c r="J10" s="149">
        <v>300</v>
      </c>
      <c r="L10" s="141">
        <f>G20</f>
        <v>29.45</v>
      </c>
      <c r="M10" s="150">
        <f t="shared" si="1"/>
        <v>8835</v>
      </c>
      <c r="N10" s="141">
        <f>G21</f>
        <v>317.3</v>
      </c>
      <c r="O10" s="65">
        <f t="shared" si="2"/>
        <v>95190</v>
      </c>
      <c r="P10" s="66">
        <f t="shared" si="0"/>
        <v>104025</v>
      </c>
    </row>
    <row r="11" spans="2:18" ht="15" thickBot="1" x14ac:dyDescent="0.4">
      <c r="B11" s="75"/>
      <c r="C11"/>
      <c r="G11" s="76"/>
      <c r="H11" s="77" t="s">
        <v>23</v>
      </c>
      <c r="I11" s="78">
        <f>SUM(I3:I10)</f>
        <v>3126</v>
      </c>
      <c r="J11" s="78">
        <f>SUM(J3:J10)</f>
        <v>2138</v>
      </c>
      <c r="L11" s="151" t="s">
        <v>125</v>
      </c>
      <c r="M11" s="78">
        <f>SUM(M3:M10)</f>
        <v>62964.1</v>
      </c>
      <c r="N11" s="151"/>
      <c r="O11" s="152">
        <f t="shared" ref="O11:P11" si="4">SUM(O3:O10)</f>
        <v>678387.4</v>
      </c>
      <c r="P11" s="152">
        <f t="shared" si="4"/>
        <v>741351.5</v>
      </c>
    </row>
    <row r="12" spans="2:18" ht="15" customHeight="1" thickBot="1" x14ac:dyDescent="0.4">
      <c r="C12" s="153" t="s">
        <v>223</v>
      </c>
      <c r="G12" s="84"/>
    </row>
    <row r="13" spans="2:18" ht="15" customHeight="1" x14ac:dyDescent="0.35">
      <c r="B13" s="82" t="s">
        <v>126</v>
      </c>
      <c r="C13" s="83">
        <v>44166</v>
      </c>
      <c r="D13" s="84"/>
    </row>
    <row r="14" spans="2:18" ht="15" thickBot="1" x14ac:dyDescent="0.4">
      <c r="B14" s="85" t="s">
        <v>127</v>
      </c>
      <c r="C14" s="86">
        <v>44530</v>
      </c>
      <c r="D14" s="87"/>
      <c r="O14" s="88"/>
      <c r="P14" s="88"/>
    </row>
    <row r="15" spans="2:18" ht="15" customHeight="1" thickBot="1" x14ac:dyDescent="0.4">
      <c r="B15" s="85" t="s">
        <v>128</v>
      </c>
      <c r="C15" s="86">
        <v>44196</v>
      </c>
      <c r="D15" s="89"/>
    </row>
    <row r="17" spans="2:17" ht="15" thickBot="1" x14ac:dyDescent="0.4"/>
    <row r="18" spans="2:17" ht="19" thickBot="1" x14ac:dyDescent="0.5">
      <c r="B18" s="92" t="s">
        <v>129</v>
      </c>
      <c r="I18" s="154"/>
      <c r="L18" s="393">
        <v>2020</v>
      </c>
      <c r="M18" s="393"/>
      <c r="N18" s="394">
        <v>2021</v>
      </c>
      <c r="O18" s="395"/>
    </row>
    <row r="19" spans="2:17" ht="45" customHeight="1" x14ac:dyDescent="0.35">
      <c r="B19" s="155"/>
      <c r="C19" s="156" t="s">
        <v>130</v>
      </c>
      <c r="D19" s="157" t="s">
        <v>131</v>
      </c>
      <c r="E19" s="158" t="s">
        <v>132</v>
      </c>
      <c r="F19" s="125" t="s">
        <v>133</v>
      </c>
      <c r="G19" s="158" t="s">
        <v>85</v>
      </c>
      <c r="I19" s="154"/>
      <c r="L19" s="124" t="s">
        <v>85</v>
      </c>
      <c r="M19" s="124" t="s">
        <v>86</v>
      </c>
      <c r="N19" s="54" t="s">
        <v>87</v>
      </c>
      <c r="O19" s="55" t="s">
        <v>86</v>
      </c>
      <c r="P19" s="56" t="s">
        <v>88</v>
      </c>
    </row>
    <row r="20" spans="2:17" ht="15.5" x14ac:dyDescent="0.35">
      <c r="B20" s="100" t="s">
        <v>135</v>
      </c>
      <c r="C20" s="159">
        <f>((C15-C13) +1)*8</f>
        <v>248</v>
      </c>
      <c r="D20" s="160">
        <f>('VPA 123 Downdays'!H11)/C20</f>
        <v>0</v>
      </c>
      <c r="E20" s="161">
        <f>IF(D20&lt;5%,95%,100%-D20)</f>
        <v>0.95</v>
      </c>
      <c r="F20" s="159">
        <f>((C15-C13) +1)</f>
        <v>31</v>
      </c>
      <c r="G20" s="63">
        <f>F20*E20</f>
        <v>29.45</v>
      </c>
      <c r="I20" s="154"/>
      <c r="L20" s="63">
        <f>$G$20</f>
        <v>29.45</v>
      </c>
      <c r="M20" s="63">
        <f>I3*L20</f>
        <v>8304.9</v>
      </c>
      <c r="N20" s="64">
        <f>$G$21</f>
        <v>317.3</v>
      </c>
      <c r="O20" s="65">
        <f>I3*N20</f>
        <v>89478.6</v>
      </c>
      <c r="P20" s="66">
        <f t="shared" ref="P20:P27" si="5">M20+O20</f>
        <v>97783.5</v>
      </c>
    </row>
    <row r="21" spans="2:17" ht="15.5" x14ac:dyDescent="0.35">
      <c r="B21" s="100" t="s">
        <v>136</v>
      </c>
      <c r="C21" s="101">
        <f>(C14-C15)*8</f>
        <v>2672</v>
      </c>
      <c r="D21" s="162">
        <f>('VPA 123 Downdays'!I11)/C21</f>
        <v>3.7425149700598802E-3</v>
      </c>
      <c r="E21" s="161">
        <f>IF(D21&lt;5%,95%,100%-D21)</f>
        <v>0.95</v>
      </c>
      <c r="F21" s="101">
        <f>(C14-C15)</f>
        <v>334</v>
      </c>
      <c r="G21" s="63">
        <f>F21*E21</f>
        <v>317.3</v>
      </c>
      <c r="I21" s="163"/>
      <c r="L21" s="63">
        <f t="shared" ref="L21:L27" si="6">$G$20</f>
        <v>29.45</v>
      </c>
      <c r="M21" s="63">
        <f t="shared" ref="M21:M27" si="7">I4*L21</f>
        <v>10336.949999999999</v>
      </c>
      <c r="N21" s="64">
        <f t="shared" ref="N21:N27" si="8">$G$21</f>
        <v>317.3</v>
      </c>
      <c r="O21" s="65">
        <f t="shared" ref="O21:O27" si="9">I4*N21</f>
        <v>111372.3</v>
      </c>
      <c r="P21" s="66">
        <f t="shared" si="5"/>
        <v>121709.25</v>
      </c>
    </row>
    <row r="22" spans="2:17" ht="15.5" x14ac:dyDescent="0.35">
      <c r="C22" s="11"/>
      <c r="I22" s="154"/>
      <c r="K22" s="11"/>
      <c r="L22" s="63">
        <f t="shared" si="6"/>
        <v>29.45</v>
      </c>
      <c r="M22" s="63">
        <f t="shared" si="7"/>
        <v>17758.349999999999</v>
      </c>
      <c r="N22" s="64">
        <f t="shared" si="8"/>
        <v>317.3</v>
      </c>
      <c r="O22" s="65">
        <f t="shared" si="9"/>
        <v>191331.9</v>
      </c>
      <c r="P22" s="66">
        <f t="shared" si="5"/>
        <v>209090.25</v>
      </c>
    </row>
    <row r="23" spans="2:17" ht="15" customHeight="1" x14ac:dyDescent="0.35">
      <c r="I23" s="154"/>
      <c r="K23" s="11"/>
      <c r="L23" s="63">
        <f t="shared" si="6"/>
        <v>29.45</v>
      </c>
      <c r="M23" s="63">
        <f t="shared" si="7"/>
        <v>2886.1</v>
      </c>
      <c r="N23" s="64">
        <f t="shared" si="8"/>
        <v>317.3</v>
      </c>
      <c r="O23" s="65">
        <f t="shared" si="9"/>
        <v>31095.4</v>
      </c>
      <c r="P23" s="66">
        <f t="shared" si="5"/>
        <v>33981.5</v>
      </c>
    </row>
    <row r="24" spans="2:17" x14ac:dyDescent="0.35">
      <c r="B24" s="105" t="s">
        <v>402</v>
      </c>
      <c r="C24" s="106">
        <f>C21+C22</f>
        <v>2672</v>
      </c>
      <c r="D24" s="107">
        <f>'VPA 123 Downdays'!J11/'VPA 123 PTDs'!C24</f>
        <v>3.7425149700598802E-3</v>
      </c>
      <c r="K24" s="11"/>
      <c r="L24" s="63">
        <f t="shared" si="6"/>
        <v>29.45</v>
      </c>
      <c r="M24" s="63">
        <f t="shared" si="7"/>
        <v>7598.0999999999995</v>
      </c>
      <c r="N24" s="64">
        <f t="shared" si="8"/>
        <v>317.3</v>
      </c>
      <c r="O24" s="65">
        <f t="shared" si="9"/>
        <v>81863.400000000009</v>
      </c>
      <c r="P24" s="66">
        <f t="shared" si="5"/>
        <v>89461.500000000015</v>
      </c>
    </row>
    <row r="25" spans="2:17" x14ac:dyDescent="0.35">
      <c r="K25" s="11"/>
      <c r="L25" s="63">
        <f t="shared" si="6"/>
        <v>29.45</v>
      </c>
      <c r="M25" s="63">
        <f t="shared" si="7"/>
        <v>21616.3</v>
      </c>
      <c r="N25" s="64">
        <f t="shared" si="8"/>
        <v>317.3</v>
      </c>
      <c r="O25" s="65">
        <f t="shared" si="9"/>
        <v>232898.2</v>
      </c>
      <c r="P25" s="66">
        <f t="shared" si="5"/>
        <v>254514.5</v>
      </c>
    </row>
    <row r="26" spans="2:17" x14ac:dyDescent="0.35">
      <c r="K26" s="11"/>
      <c r="L26" s="63">
        <f t="shared" si="6"/>
        <v>29.45</v>
      </c>
      <c r="M26" s="63">
        <f t="shared" si="7"/>
        <v>11897.8</v>
      </c>
      <c r="N26" s="64">
        <f t="shared" si="8"/>
        <v>317.3</v>
      </c>
      <c r="O26" s="65">
        <f t="shared" si="9"/>
        <v>128189.20000000001</v>
      </c>
      <c r="P26" s="66">
        <f t="shared" si="5"/>
        <v>140087</v>
      </c>
    </row>
    <row r="27" spans="2:17" x14ac:dyDescent="0.35">
      <c r="K27" s="11"/>
      <c r="L27" s="63">
        <f t="shared" si="6"/>
        <v>29.45</v>
      </c>
      <c r="M27" s="63">
        <f t="shared" si="7"/>
        <v>11662.199999999999</v>
      </c>
      <c r="N27" s="64">
        <f t="shared" si="8"/>
        <v>317.3</v>
      </c>
      <c r="O27" s="65">
        <f t="shared" si="9"/>
        <v>125650.8</v>
      </c>
      <c r="P27" s="66">
        <f t="shared" si="5"/>
        <v>137313</v>
      </c>
    </row>
    <row r="28" spans="2:17" ht="18.5" x14ac:dyDescent="0.45">
      <c r="K28" s="11"/>
      <c r="L28" s="79" t="s">
        <v>125</v>
      </c>
      <c r="M28" s="80">
        <f>SUM(M20:M27)</f>
        <v>92060.7</v>
      </c>
      <c r="N28" s="79" t="s">
        <v>125</v>
      </c>
      <c r="O28" s="64">
        <f>SUM(O20:O27)</f>
        <v>991879.8</v>
      </c>
      <c r="P28" s="81">
        <f>SUM(P20:P27)</f>
        <v>1083940.5</v>
      </c>
      <c r="Q28" s="1" t="s">
        <v>224</v>
      </c>
    </row>
    <row r="29" spans="2:17" ht="15" customHeight="1" x14ac:dyDescent="0.35">
      <c r="K29" s="11"/>
    </row>
    <row r="36" ht="15" customHeight="1" x14ac:dyDescent="0.35"/>
  </sheetData>
  <mergeCells count="5">
    <mergeCell ref="L1:M1"/>
    <mergeCell ref="N1:O1"/>
    <mergeCell ref="B3:B10"/>
    <mergeCell ref="L18:M18"/>
    <mergeCell ref="N18:O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14251798576C42B90B41FFCE5D698B" ma:contentTypeVersion="16" ma:contentTypeDescription="Create a new document." ma:contentTypeScope="" ma:versionID="3a0dca1b89474caf597b0d8620644d0b">
  <xsd:schema xmlns:xsd="http://www.w3.org/2001/XMLSchema" xmlns:xs="http://www.w3.org/2001/XMLSchema" xmlns:p="http://schemas.microsoft.com/office/2006/metadata/properties" xmlns:ns2="d7343a7c-9e42-4a88-945f-1a57865d2ee3" xmlns:ns3="896fd384-b557-4242-8ebd-875baf592b38" xmlns:ns4="229cd273-e6a8-441a-be96-ca165f2ef484" targetNamespace="http://schemas.microsoft.com/office/2006/metadata/properties" ma:root="true" ma:fieldsID="82ec22816d403aa3cefdc7a97163ec51" ns2:_="" ns3:_="" ns4:_="">
    <xsd:import namespace="d7343a7c-9e42-4a88-945f-1a57865d2ee3"/>
    <xsd:import namespace="896fd384-b557-4242-8ebd-875baf592b38"/>
    <xsd:import namespace="229cd273-e6a8-441a-be96-ca165f2ef48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343a7c-9e42-4a88-945f-1a57865d2ee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6fd384-b557-4242-8ebd-875baf592b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7130a6f-f85e-4512-91b8-fbeda0f83b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9cd273-e6a8-441a-be96-ca165f2ef484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fb1e51f1-af49-4a8c-9b61-1a661ff7577f}" ma:internalName="TaxCatchAll" ma:showField="CatchAllData" ma:web="229cd273-e6a8-441a-be96-ca165f2ef4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96fd384-b557-4242-8ebd-875baf592b38">
      <Terms xmlns="http://schemas.microsoft.com/office/infopath/2007/PartnerControls"/>
    </lcf76f155ced4ddcb4097134ff3c332f>
    <TaxCatchAll xmlns="229cd273-e6a8-441a-be96-ca165f2ef484" xsi:nil="true"/>
  </documentManagement>
</p:properties>
</file>

<file path=customXml/itemProps1.xml><?xml version="1.0" encoding="utf-8"?>
<ds:datastoreItem xmlns:ds="http://schemas.openxmlformats.org/officeDocument/2006/customXml" ds:itemID="{B3F8D0CA-F50B-4EA8-AE4B-B3FAA8F214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F5503F-747E-4F40-B412-55211CFE749B}"/>
</file>

<file path=customXml/itemProps3.xml><?xml version="1.0" encoding="utf-8"?>
<ds:datastoreItem xmlns:ds="http://schemas.openxmlformats.org/officeDocument/2006/customXml" ds:itemID="{7ECE65F9-8E82-4B96-B5F3-28BEF680DB46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8bcd9205-aa71-43b1-82fe-dcc00a36dd04"/>
    <ds:schemaRef ds:uri="http://schemas.microsoft.com/sharepoint/v3"/>
    <ds:schemaRef ds:uri="http://purl.org/dc/terms/"/>
    <ds:schemaRef ds:uri="http://schemas.openxmlformats.org/package/2006/metadata/core-properties"/>
    <ds:schemaRef ds:uri="83a6049c-05c8-4e22-bd03-2c19a5f84a8b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All VPAs SDG Summary</vt:lpstr>
      <vt:lpstr>VPA 122 Summary</vt:lpstr>
      <vt:lpstr>VPA 122 ER Calcs</vt:lpstr>
      <vt:lpstr>VPA 122 PTDs</vt:lpstr>
      <vt:lpstr>VPA 122 Downdays</vt:lpstr>
      <vt:lpstr>VPA 122 SDGs calcs</vt:lpstr>
      <vt:lpstr>VPA 123 Summary</vt:lpstr>
      <vt:lpstr>VPA 123 ER Calcs</vt:lpstr>
      <vt:lpstr>VPA 123 PTDs</vt:lpstr>
      <vt:lpstr>VPA 123 Downdays</vt:lpstr>
      <vt:lpstr>VPA 123 SDGs Calculations</vt:lpstr>
      <vt:lpstr>VPA 124 Summary</vt:lpstr>
      <vt:lpstr>VPA 124 ER Calcs</vt:lpstr>
      <vt:lpstr>VPA 124 PTDs</vt:lpstr>
      <vt:lpstr>VPA 124 Downdays</vt:lpstr>
      <vt:lpstr>VPA 124 SDGs Calculations</vt:lpstr>
      <vt:lpstr>VPA 125 Summary</vt:lpstr>
      <vt:lpstr>VPA 125 ER Calcs</vt:lpstr>
      <vt:lpstr>VPA 125 PTDs</vt:lpstr>
      <vt:lpstr>VPA 125 Downdays</vt:lpstr>
      <vt:lpstr>VPA 125 SDGs Calculations</vt:lpstr>
      <vt:lpstr>VPA 126 Summary</vt:lpstr>
      <vt:lpstr>VPA 126 ER Calcs</vt:lpstr>
      <vt:lpstr>VPA 126 PTDs</vt:lpstr>
      <vt:lpstr>VPA 126 Downdays</vt:lpstr>
      <vt:lpstr>VPA 126 SDGs Calculations</vt:lpstr>
      <vt:lpstr>VPA 129 Summary</vt:lpstr>
      <vt:lpstr>VPA 129 ER Calcs</vt:lpstr>
      <vt:lpstr>VPA 129 PTDs</vt:lpstr>
      <vt:lpstr>VPA 129 Downdays</vt:lpstr>
      <vt:lpstr>VPA 129 SDGs Calculations</vt:lpstr>
      <vt:lpstr>VPA 130 Summary</vt:lpstr>
      <vt:lpstr>VPA 130 ER Calcs</vt:lpstr>
      <vt:lpstr>VPA 130 PTDs</vt:lpstr>
      <vt:lpstr>VPA 130 Downdays</vt:lpstr>
      <vt:lpstr>VPA 130 SDGs Calculations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James Walker</dc:creator>
  <cp:keywords/>
  <dc:description/>
  <cp:lastModifiedBy>Shivraj Sharma</cp:lastModifiedBy>
  <cp:revision/>
  <dcterms:created xsi:type="dcterms:W3CDTF">2022-04-12T09:43:45Z</dcterms:created>
  <dcterms:modified xsi:type="dcterms:W3CDTF">2022-10-13T11:41:37Z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0x010100E314251798576C42B90B41FFCE5D698B</vt:lpwstr>
  </property>
  <property fmtid="{D5CDD505-2E9C-101B-9397-08002B2CF9AE}" pid="3" name="MediaServiceImageTags">
    <vt:lpwstr/>
  </property>
</Properties>
</file>