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0ed6817951abd0/Desktop/shalini projects/GS projects/CCIPL1664/second round responses/"/>
    </mc:Choice>
  </mc:AlternateContent>
  <xr:revisionPtr revIDLastSave="298" documentId="8_{2BFE9864-6C05-4695-9475-1E349ABE3A17}" xr6:coauthVersionLast="47" xr6:coauthVersionMax="47" xr10:uidLastSave="{B412E9E8-72EB-48E6-9F3B-EF484C64658B}"/>
  <bookViews>
    <workbookView minimized="1" xWindow="1440" yWindow="1440" windowWidth="2370" windowHeight="560" tabRatio="705" firstSheet="1" activeTab="7" xr2:uid="{00000000-000D-0000-FFFF-FFFF00000000}"/>
  </bookViews>
  <sheets>
    <sheet name="Summary" sheetId="14" r:id="rId1"/>
    <sheet name="Total PTDs" sheetId="1" r:id="rId2"/>
    <sheet name="Maintenance" sheetId="34" r:id="rId3"/>
    <sheet name="Treatment Capacity" sheetId="30" r:id="rId4"/>
    <sheet name="SDG Impacts" sheetId="23" r:id="rId5"/>
    <sheet name="All VPAs" sheetId="33" r:id="rId6"/>
    <sheet name="Uncapped Emissions" sheetId="32" r:id="rId7"/>
    <sheet name="Sheet1" sheetId="3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5" l="1"/>
  <c r="C11" i="35"/>
  <c r="C12" i="35"/>
  <c r="C13" i="35"/>
  <c r="C14" i="35"/>
  <c r="C9" i="35"/>
  <c r="C2" i="35"/>
  <c r="C3" i="35"/>
  <c r="C4" i="35"/>
  <c r="C5" i="35"/>
  <c r="C6" i="35"/>
  <c r="C1" i="35"/>
  <c r="D126" i="23" l="1"/>
  <c r="D103" i="23"/>
  <c r="D80" i="23"/>
  <c r="D57" i="23"/>
  <c r="D34" i="23"/>
  <c r="Y5" i="1"/>
  <c r="D12" i="23" l="1"/>
  <c r="D13" i="23" s="1"/>
  <c r="K4" i="14" s="1"/>
  <c r="P6" i="33"/>
  <c r="E13" i="33"/>
  <c r="E15" i="33"/>
  <c r="E16" i="33"/>
  <c r="P5" i="33"/>
  <c r="P10" i="33"/>
  <c r="P27" i="33"/>
  <c r="P13" i="33"/>
  <c r="P14" i="33"/>
  <c r="P15" i="33"/>
  <c r="P18" i="33"/>
  <c r="P28" i="33"/>
  <c r="P31" i="33"/>
  <c r="P32" i="33"/>
  <c r="Z5" i="33"/>
  <c r="Z13" i="33"/>
  <c r="Z15" i="33"/>
  <c r="Z16" i="33"/>
  <c r="Q5" i="33"/>
  <c r="Q6" i="33"/>
  <c r="Q10" i="33"/>
  <c r="Q27" i="33"/>
  <c r="Q13" i="33"/>
  <c r="Q14" i="33"/>
  <c r="Q15" i="33"/>
  <c r="Q18" i="33"/>
  <c r="Q28" i="33"/>
  <c r="Q31" i="33"/>
  <c r="Q32" i="33"/>
  <c r="AA5" i="33"/>
  <c r="AA13" i="33"/>
  <c r="AA15" i="33"/>
  <c r="AA16" i="33"/>
  <c r="R5" i="33"/>
  <c r="R6" i="33"/>
  <c r="R10" i="33"/>
  <c r="R27" i="33"/>
  <c r="R13" i="33"/>
  <c r="R14" i="33"/>
  <c r="R15" i="33"/>
  <c r="R18" i="33"/>
  <c r="R28" i="33"/>
  <c r="R31" i="33"/>
  <c r="R32" i="33"/>
  <c r="AB5" i="33"/>
  <c r="AB13" i="33"/>
  <c r="AB15" i="33"/>
  <c r="AB16" i="33"/>
  <c r="S5" i="33"/>
  <c r="S6" i="33"/>
  <c r="S10" i="33"/>
  <c r="S27" i="33"/>
  <c r="S13" i="33"/>
  <c r="S14" i="33"/>
  <c r="S15" i="33"/>
  <c r="S18" i="33"/>
  <c r="S28" i="33"/>
  <c r="S31" i="33"/>
  <c r="S32" i="33"/>
  <c r="AC5" i="33"/>
  <c r="AC13" i="33"/>
  <c r="AC15" i="33"/>
  <c r="AC16" i="33"/>
  <c r="T5" i="33"/>
  <c r="T6" i="33"/>
  <c r="T10" i="33"/>
  <c r="T27" i="33"/>
  <c r="T13" i="33"/>
  <c r="T14" i="33"/>
  <c r="T15" i="33"/>
  <c r="T18" i="33"/>
  <c r="T28" i="33"/>
  <c r="T31" i="33"/>
  <c r="T32" i="33"/>
  <c r="AD5" i="33"/>
  <c r="AD13" i="33"/>
  <c r="AD15" i="33"/>
  <c r="AD16" i="33"/>
  <c r="U5" i="33"/>
  <c r="U6" i="33"/>
  <c r="U10" i="33"/>
  <c r="U27" i="33"/>
  <c r="U13" i="33"/>
  <c r="U14" i="33"/>
  <c r="U15" i="33"/>
  <c r="U18" i="33"/>
  <c r="U28" i="33"/>
  <c r="U31" i="33"/>
  <c r="U32" i="33"/>
  <c r="AE5" i="33"/>
  <c r="AE13" i="33"/>
  <c r="AE15" i="33"/>
  <c r="AE16" i="33"/>
  <c r="D19" i="23"/>
  <c r="X5" i="1"/>
  <c r="X6" i="1"/>
  <c r="Y6" i="1" s="1"/>
  <c r="X7" i="1"/>
  <c r="Y7" i="1" s="1"/>
  <c r="X8" i="1"/>
  <c r="X9" i="1"/>
  <c r="L45" i="1"/>
  <c r="L47" i="1"/>
  <c r="L38" i="1"/>
  <c r="L31" i="1"/>
  <c r="L24" i="1"/>
  <c r="L17" i="1"/>
  <c r="L10" i="1"/>
  <c r="P45" i="1"/>
  <c r="N45" i="1"/>
  <c r="P38" i="1"/>
  <c r="N38" i="1"/>
  <c r="P31" i="1"/>
  <c r="N31" i="1"/>
  <c r="P24" i="1"/>
  <c r="N24" i="1"/>
  <c r="P17" i="1"/>
  <c r="N17" i="1"/>
  <c r="P10" i="1"/>
  <c r="N10" i="1"/>
  <c r="N47" i="1"/>
  <c r="J16" i="33"/>
  <c r="I16" i="33"/>
  <c r="H16" i="33"/>
  <c r="G16" i="33"/>
  <c r="F16" i="33"/>
  <c r="J15" i="33"/>
  <c r="I15" i="33"/>
  <c r="H15" i="33"/>
  <c r="G15" i="33"/>
  <c r="F15" i="33"/>
  <c r="J13" i="33"/>
  <c r="I13" i="33"/>
  <c r="H13" i="33"/>
  <c r="G13" i="33"/>
  <c r="F13" i="33"/>
  <c r="M37" i="1"/>
  <c r="M35" i="1"/>
  <c r="M34" i="1"/>
  <c r="M33" i="1"/>
  <c r="M30" i="1"/>
  <c r="M27" i="1"/>
  <c r="M23" i="1"/>
  <c r="M22" i="1"/>
  <c r="N6" i="14"/>
  <c r="M16" i="1"/>
  <c r="M13" i="1"/>
  <c r="M9" i="1"/>
  <c r="X44" i="1"/>
  <c r="Y44" i="1"/>
  <c r="X43" i="1"/>
  <c r="Y43" i="1" s="1"/>
  <c r="X42" i="1"/>
  <c r="Y42" i="1"/>
  <c r="X41" i="1"/>
  <c r="Y41" i="1" s="1"/>
  <c r="X40" i="1"/>
  <c r="X37" i="1"/>
  <c r="Y37" i="1"/>
  <c r="X36" i="1"/>
  <c r="Y36" i="1"/>
  <c r="X35" i="1"/>
  <c r="Y35" i="1"/>
  <c r="X34" i="1"/>
  <c r="Y34" i="1" s="1"/>
  <c r="X33" i="1"/>
  <c r="Y33" i="1" s="1"/>
  <c r="X38" i="1"/>
  <c r="X30" i="1"/>
  <c r="Y30" i="1" s="1"/>
  <c r="X29" i="1"/>
  <c r="Y29" i="1" s="1"/>
  <c r="X28" i="1"/>
  <c r="Y28" i="1"/>
  <c r="X27" i="1"/>
  <c r="Y27" i="1"/>
  <c r="X26" i="1"/>
  <c r="Y26" i="1" s="1"/>
  <c r="X23" i="1"/>
  <c r="Y23" i="1"/>
  <c r="X22" i="1"/>
  <c r="Y22" i="1" s="1"/>
  <c r="X21" i="1"/>
  <c r="Y21" i="1"/>
  <c r="X20" i="1"/>
  <c r="Y20" i="1"/>
  <c r="X19" i="1"/>
  <c r="Y19" i="1" s="1"/>
  <c r="X16" i="1"/>
  <c r="Y16" i="1" s="1"/>
  <c r="X15" i="1"/>
  <c r="Y15" i="1" s="1"/>
  <c r="X14" i="1"/>
  <c r="Y14" i="1" s="1"/>
  <c r="X13" i="1"/>
  <c r="Y13" i="1"/>
  <c r="X12" i="1"/>
  <c r="Y12" i="1" s="1"/>
  <c r="Y9" i="1"/>
  <c r="Y8" i="1"/>
  <c r="Q28" i="1"/>
  <c r="Q44" i="1"/>
  <c r="Q43" i="1"/>
  <c r="S43" i="1" s="1"/>
  <c r="T43" i="1" s="1"/>
  <c r="Q42" i="1"/>
  <c r="V42" i="1"/>
  <c r="Q41" i="1"/>
  <c r="V41" i="1" s="1"/>
  <c r="Q40" i="1"/>
  <c r="V40" i="1"/>
  <c r="W40" i="1" s="1"/>
  <c r="Q37" i="1"/>
  <c r="S37" i="1" s="1"/>
  <c r="T37" i="1" s="1"/>
  <c r="V37" i="1"/>
  <c r="W37" i="1" s="1"/>
  <c r="Q36" i="1"/>
  <c r="Q35" i="1"/>
  <c r="V35" i="1"/>
  <c r="Q34" i="1"/>
  <c r="Q33" i="1"/>
  <c r="Q30" i="1"/>
  <c r="S30" i="1"/>
  <c r="T30" i="1" s="1"/>
  <c r="Q29" i="1"/>
  <c r="S29" i="1" s="1"/>
  <c r="T29" i="1" s="1"/>
  <c r="Q27" i="1"/>
  <c r="Q26" i="1"/>
  <c r="Q23" i="1"/>
  <c r="Q24" i="1" s="1"/>
  <c r="V23" i="1"/>
  <c r="W23" i="1" s="1"/>
  <c r="Q22" i="1"/>
  <c r="V22" i="1" s="1"/>
  <c r="W22" i="1" s="1"/>
  <c r="Q21" i="1"/>
  <c r="V21" i="1" s="1"/>
  <c r="W21" i="1" s="1"/>
  <c r="Q20" i="1"/>
  <c r="V20" i="1"/>
  <c r="Q19" i="1"/>
  <c r="V19" i="1" s="1"/>
  <c r="Q16" i="1"/>
  <c r="V16" i="1" s="1"/>
  <c r="W16" i="1" s="1"/>
  <c r="Q15" i="1"/>
  <c r="Q14" i="1"/>
  <c r="S14" i="1"/>
  <c r="T14" i="1" s="1"/>
  <c r="Q13" i="1"/>
  <c r="Q12" i="1"/>
  <c r="S12" i="1" s="1"/>
  <c r="Q6" i="1"/>
  <c r="V6" i="1" s="1"/>
  <c r="W6" i="1" s="1"/>
  <c r="Q7" i="1"/>
  <c r="V7" i="1"/>
  <c r="W7" i="1" s="1"/>
  <c r="Q8" i="1"/>
  <c r="Q9" i="1"/>
  <c r="V9" i="1"/>
  <c r="Q5" i="1"/>
  <c r="J9" i="14"/>
  <c r="J8" i="14"/>
  <c r="J7" i="14"/>
  <c r="J6" i="14"/>
  <c r="J5" i="14"/>
  <c r="J4" i="14"/>
  <c r="B10" i="14"/>
  <c r="J10" i="14"/>
  <c r="AD16" i="32"/>
  <c r="AD15" i="32"/>
  <c r="AC16" i="32"/>
  <c r="AC15" i="32"/>
  <c r="AB16" i="32"/>
  <c r="AB15" i="32"/>
  <c r="AA16" i="32"/>
  <c r="AA15" i="32"/>
  <c r="Z16" i="32"/>
  <c r="Z15" i="32"/>
  <c r="T23" i="32"/>
  <c r="T15" i="32"/>
  <c r="T5" i="32"/>
  <c r="T13" i="32"/>
  <c r="S23" i="32"/>
  <c r="S15" i="32"/>
  <c r="S5" i="32"/>
  <c r="AC5" i="32"/>
  <c r="S13" i="32"/>
  <c r="R23" i="32"/>
  <c r="R15" i="32"/>
  <c r="R5" i="32"/>
  <c r="R13" i="32"/>
  <c r="Q23" i="32"/>
  <c r="Q15" i="32"/>
  <c r="Q5" i="32"/>
  <c r="AA5" i="32"/>
  <c r="Q13" i="32"/>
  <c r="P23" i="32"/>
  <c r="P15" i="32"/>
  <c r="P5" i="32"/>
  <c r="P13" i="32"/>
  <c r="J16" i="32"/>
  <c r="J15" i="32"/>
  <c r="J13" i="32"/>
  <c r="I16" i="32"/>
  <c r="I15" i="32"/>
  <c r="I13" i="32"/>
  <c r="H16" i="32"/>
  <c r="H15" i="32"/>
  <c r="H13" i="32"/>
  <c r="G16" i="32"/>
  <c r="G15" i="32"/>
  <c r="G13" i="32"/>
  <c r="F16" i="32"/>
  <c r="F15" i="32"/>
  <c r="F13" i="32"/>
  <c r="O23" i="32"/>
  <c r="Y16" i="32"/>
  <c r="E16" i="32"/>
  <c r="Y15" i="32"/>
  <c r="O15" i="32"/>
  <c r="E15" i="32"/>
  <c r="E13" i="32"/>
  <c r="O5" i="32"/>
  <c r="O13" i="32"/>
  <c r="M43" i="1"/>
  <c r="M19" i="1"/>
  <c r="M12" i="1"/>
  <c r="M7" i="1"/>
  <c r="D122" i="23"/>
  <c r="D99" i="23"/>
  <c r="D76" i="23"/>
  <c r="D53" i="23"/>
  <c r="D30" i="23"/>
  <c r="D8" i="23"/>
  <c r="M28" i="1"/>
  <c r="M5" i="1"/>
  <c r="M44" i="1"/>
  <c r="S44" i="1"/>
  <c r="T44" i="1" s="1"/>
  <c r="M6" i="1"/>
  <c r="AB5" i="32"/>
  <c r="AB13" i="32"/>
  <c r="AD5" i="32"/>
  <c r="AD13" i="32"/>
  <c r="Z5" i="32"/>
  <c r="Z13" i="32"/>
  <c r="Y5" i="32"/>
  <c r="M40" i="1"/>
  <c r="M20" i="1"/>
  <c r="Y13" i="32"/>
  <c r="D127" i="23"/>
  <c r="K9" i="14" s="1"/>
  <c r="D81" i="23"/>
  <c r="K7" i="14" s="1"/>
  <c r="D35" i="23"/>
  <c r="K5" i="14"/>
  <c r="D58" i="23"/>
  <c r="K6" i="14"/>
  <c r="D104" i="23"/>
  <c r="K8" i="14"/>
  <c r="F44" i="1"/>
  <c r="O44" i="1"/>
  <c r="R44" i="1"/>
  <c r="F43" i="1"/>
  <c r="O43" i="1"/>
  <c r="U43" i="1"/>
  <c r="F42" i="1"/>
  <c r="O42" i="1"/>
  <c r="F41" i="1"/>
  <c r="O41" i="1"/>
  <c r="F40" i="1"/>
  <c r="O40" i="1"/>
  <c r="F37" i="1"/>
  <c r="O37" i="1"/>
  <c r="U37" i="1"/>
  <c r="F36" i="1"/>
  <c r="O36" i="1"/>
  <c r="F35" i="1"/>
  <c r="O35" i="1"/>
  <c r="F34" i="1"/>
  <c r="O34" i="1"/>
  <c r="F33" i="1"/>
  <c r="O33" i="1"/>
  <c r="F30" i="1"/>
  <c r="O30" i="1"/>
  <c r="U30" i="1"/>
  <c r="F29" i="1"/>
  <c r="O29" i="1"/>
  <c r="F28" i="1"/>
  <c r="O28" i="1"/>
  <c r="F27" i="1"/>
  <c r="O27" i="1"/>
  <c r="F26" i="1"/>
  <c r="O26" i="1"/>
  <c r="F23" i="1"/>
  <c r="O23" i="1"/>
  <c r="U23" i="1"/>
  <c r="F22" i="1"/>
  <c r="O22" i="1"/>
  <c r="F21" i="1"/>
  <c r="O21" i="1"/>
  <c r="F20" i="1"/>
  <c r="O20" i="1"/>
  <c r="R20" i="1"/>
  <c r="F19" i="1"/>
  <c r="O19" i="1"/>
  <c r="R19" i="1"/>
  <c r="F16" i="1"/>
  <c r="O16" i="1"/>
  <c r="U16" i="1"/>
  <c r="F15" i="1"/>
  <c r="O15" i="1"/>
  <c r="F14" i="1"/>
  <c r="O14" i="1"/>
  <c r="U14" i="1"/>
  <c r="F13" i="1"/>
  <c r="O13" i="1"/>
  <c r="U13" i="1"/>
  <c r="F12" i="1"/>
  <c r="O12" i="1"/>
  <c r="U12" i="1"/>
  <c r="F6" i="1"/>
  <c r="O6" i="1"/>
  <c r="F7" i="1"/>
  <c r="O7" i="1"/>
  <c r="F8" i="1"/>
  <c r="O8" i="1"/>
  <c r="F9" i="1"/>
  <c r="O9" i="1"/>
  <c r="F5" i="1"/>
  <c r="O5" i="1"/>
  <c r="C8" i="30"/>
  <c r="A12" i="30"/>
  <c r="C12" i="30"/>
  <c r="A16" i="30"/>
  <c r="C16" i="30"/>
  <c r="M42" i="1"/>
  <c r="M14" i="1"/>
  <c r="N8" i="14"/>
  <c r="N4" i="14"/>
  <c r="N5" i="14"/>
  <c r="U35" i="1"/>
  <c r="U28" i="1"/>
  <c r="U5" i="1"/>
  <c r="V15" i="1"/>
  <c r="V27" i="1"/>
  <c r="W27" i="1" s="1"/>
  <c r="S27" i="1"/>
  <c r="T27" i="1" s="1"/>
  <c r="Y40" i="1"/>
  <c r="S23" i="1"/>
  <c r="T23" i="1" s="1"/>
  <c r="X10" i="1"/>
  <c r="R23" i="1"/>
  <c r="V12" i="1"/>
  <c r="R14" i="1"/>
  <c r="W35" i="1"/>
  <c r="S35" i="1"/>
  <c r="O45" i="1"/>
  <c r="O38" i="1"/>
  <c r="O31" i="1"/>
  <c r="U27" i="1"/>
  <c r="U19" i="1"/>
  <c r="U20" i="1"/>
  <c r="W20" i="1"/>
  <c r="R13" i="1"/>
  <c r="R35" i="1"/>
  <c r="T35" i="1"/>
  <c r="R22" i="1"/>
  <c r="W12" i="1"/>
  <c r="R7" i="1"/>
  <c r="R6" i="1"/>
  <c r="V33" i="1"/>
  <c r="S7" i="1"/>
  <c r="T7" i="1" s="1"/>
  <c r="S20" i="1"/>
  <c r="R30" i="1"/>
  <c r="U6" i="1"/>
  <c r="U42" i="1"/>
  <c r="W42" i="1"/>
  <c r="O24" i="1"/>
  <c r="O17" i="1"/>
  <c r="S42" i="1"/>
  <c r="V28" i="1"/>
  <c r="W28" i="1"/>
  <c r="S13" i="1"/>
  <c r="T13" i="1" s="1"/>
  <c r="S9" i="1"/>
  <c r="V13" i="1"/>
  <c r="R9" i="1"/>
  <c r="U9" i="1"/>
  <c r="W9" i="1"/>
  <c r="R37" i="1"/>
  <c r="R43" i="1"/>
  <c r="U7" i="1"/>
  <c r="U34" i="1"/>
  <c r="U41" i="1"/>
  <c r="O10" i="1"/>
  <c r="R27" i="1"/>
  <c r="U33" i="1"/>
  <c r="R34" i="1"/>
  <c r="V29" i="1"/>
  <c r="W29" i="1" s="1"/>
  <c r="M29" i="1"/>
  <c r="U29" i="1"/>
  <c r="R33" i="1"/>
  <c r="S33" i="1"/>
  <c r="T33" i="1" s="1"/>
  <c r="R5" i="1"/>
  <c r="U40" i="1"/>
  <c r="M26" i="1"/>
  <c r="V26" i="1"/>
  <c r="W26" i="1" s="1"/>
  <c r="U26" i="1"/>
  <c r="N7" i="14"/>
  <c r="R12" i="1"/>
  <c r="V8" i="1"/>
  <c r="U8" i="1"/>
  <c r="W8" i="1"/>
  <c r="R16" i="1"/>
  <c r="S16" i="1"/>
  <c r="S28" i="1"/>
  <c r="T28" i="1" s="1"/>
  <c r="R28" i="1"/>
  <c r="M8" i="1"/>
  <c r="M10" i="1"/>
  <c r="U15" i="1"/>
  <c r="W15" i="1"/>
  <c r="M15" i="1"/>
  <c r="M17" i="1"/>
  <c r="S40" i="1"/>
  <c r="R40" i="1"/>
  <c r="U36" i="1"/>
  <c r="V36" i="1"/>
  <c r="M36" i="1"/>
  <c r="M38" i="1"/>
  <c r="V44" i="1"/>
  <c r="U44" i="1"/>
  <c r="U21" i="1"/>
  <c r="M21" i="1"/>
  <c r="M24" i="1"/>
  <c r="M6" i="14"/>
  <c r="V30" i="1"/>
  <c r="W30" i="1" s="1"/>
  <c r="R42" i="1"/>
  <c r="U22" i="1"/>
  <c r="M41" i="1"/>
  <c r="M45" i="1"/>
  <c r="V34" i="1"/>
  <c r="AA13" i="32"/>
  <c r="AC13" i="32"/>
  <c r="T42" i="1"/>
  <c r="O47" i="1"/>
  <c r="T9" i="1"/>
  <c r="W13" i="1"/>
  <c r="W44" i="1"/>
  <c r="W36" i="1"/>
  <c r="D61" i="23"/>
  <c r="D64" i="23"/>
  <c r="L6" i="14"/>
  <c r="U24" i="1"/>
  <c r="T20" i="1"/>
  <c r="M5" i="14"/>
  <c r="D38" i="23"/>
  <c r="D41" i="23"/>
  <c r="L5" i="14"/>
  <c r="T16" i="1"/>
  <c r="U17" i="1"/>
  <c r="P6" i="32"/>
  <c r="U10" i="1"/>
  <c r="O6" i="32"/>
  <c r="U38" i="1"/>
  <c r="W33" i="1"/>
  <c r="M9" i="14"/>
  <c r="D130" i="23"/>
  <c r="D133" i="23"/>
  <c r="L9" i="14"/>
  <c r="N9" i="14"/>
  <c r="N10" i="14"/>
  <c r="U45" i="1"/>
  <c r="S36" i="1"/>
  <c r="R36" i="1"/>
  <c r="T36" i="1"/>
  <c r="S8" i="1"/>
  <c r="R8" i="1"/>
  <c r="R10" i="1"/>
  <c r="U31" i="1"/>
  <c r="M8" i="14"/>
  <c r="D107" i="23"/>
  <c r="D110" i="23"/>
  <c r="L8" i="14"/>
  <c r="R29" i="1"/>
  <c r="R41" i="1"/>
  <c r="S41" i="1"/>
  <c r="M4" i="14"/>
  <c r="D16" i="23"/>
  <c r="L4" i="14"/>
  <c r="R26" i="1"/>
  <c r="M31" i="1"/>
  <c r="M47" i="1"/>
  <c r="D16" i="30"/>
  <c r="E16" i="30"/>
  <c r="S26" i="1"/>
  <c r="T26" i="1" s="1"/>
  <c r="R21" i="1"/>
  <c r="T40" i="1"/>
  <c r="R15" i="1"/>
  <c r="S15" i="1"/>
  <c r="R38" i="1"/>
  <c r="U47" i="1"/>
  <c r="R45" i="1"/>
  <c r="L10" i="14"/>
  <c r="R24" i="1"/>
  <c r="Q6" i="32"/>
  <c r="T15" i="1"/>
  <c r="R17" i="1"/>
  <c r="T8" i="1"/>
  <c r="S6" i="32"/>
  <c r="P10" i="32"/>
  <c r="P27" i="32"/>
  <c r="P14" i="32"/>
  <c r="P18" i="32"/>
  <c r="P28" i="32"/>
  <c r="R31" i="1"/>
  <c r="M7" i="14"/>
  <c r="M10" i="14"/>
  <c r="D84" i="23"/>
  <c r="D87" i="23"/>
  <c r="L7" i="14"/>
  <c r="T6" i="32"/>
  <c r="R6" i="32"/>
  <c r="O14" i="32"/>
  <c r="O18" i="32"/>
  <c r="O28" i="32"/>
  <c r="O10" i="32"/>
  <c r="O27" i="32"/>
  <c r="R47" i="1"/>
  <c r="Q10" i="32"/>
  <c r="Q27" i="32"/>
  <c r="Q14" i="32"/>
  <c r="Q18" i="32"/>
  <c r="Q28" i="32"/>
  <c r="Q31" i="32"/>
  <c r="Q32" i="32"/>
  <c r="C4" i="14"/>
  <c r="P31" i="32"/>
  <c r="P32" i="32"/>
  <c r="S14" i="32"/>
  <c r="S18" i="32"/>
  <c r="S28" i="32"/>
  <c r="S10" i="32"/>
  <c r="S27" i="32"/>
  <c r="O31" i="32"/>
  <c r="O32" i="32"/>
  <c r="T14" i="32"/>
  <c r="T18" i="32"/>
  <c r="T28" i="32"/>
  <c r="T10" i="32"/>
  <c r="T27" i="32"/>
  <c r="R14" i="32"/>
  <c r="R18" i="32"/>
  <c r="R28" i="32"/>
  <c r="R10" i="32"/>
  <c r="R27" i="32"/>
  <c r="F6" i="14"/>
  <c r="F4" i="14"/>
  <c r="S31" i="32"/>
  <c r="S32" i="32"/>
  <c r="F5" i="14"/>
  <c r="R31" i="32"/>
  <c r="R32" i="32"/>
  <c r="T31" i="32"/>
  <c r="T32" i="32"/>
  <c r="C5" i="14"/>
  <c r="C9" i="14"/>
  <c r="C7" i="14"/>
  <c r="C8" i="14"/>
  <c r="C6" i="14"/>
  <c r="F8" i="14"/>
  <c r="F7" i="14"/>
  <c r="F9" i="14"/>
  <c r="C10" i="14"/>
  <c r="F10" i="14"/>
  <c r="K10" i="14" l="1"/>
  <c r="V43" i="1"/>
  <c r="W43" i="1" s="1"/>
  <c r="S45" i="1"/>
  <c r="W41" i="1"/>
  <c r="Y45" i="1"/>
  <c r="W45" i="1"/>
  <c r="O9" i="14" s="1"/>
  <c r="X45" i="1"/>
  <c r="Q45" i="1"/>
  <c r="T41" i="1"/>
  <c r="T45" i="1" s="1"/>
  <c r="P9" i="14" s="1"/>
  <c r="V38" i="1"/>
  <c r="AD6" i="33" s="1"/>
  <c r="Y38" i="1"/>
  <c r="Q38" i="1"/>
  <c r="S31" i="1"/>
  <c r="Y31" i="1"/>
  <c r="W31" i="1"/>
  <c r="O7" i="14" s="1"/>
  <c r="Q31" i="1"/>
  <c r="T31" i="1"/>
  <c r="P7" i="14" s="1"/>
  <c r="X31" i="1"/>
  <c r="V31" i="1"/>
  <c r="S22" i="1"/>
  <c r="T22" i="1" s="1"/>
  <c r="S21" i="1"/>
  <c r="T21" i="1" s="1"/>
  <c r="Y24" i="1"/>
  <c r="Q17" i="1"/>
  <c r="V14" i="1"/>
  <c r="W14" i="1" s="1"/>
  <c r="V17" i="1"/>
  <c r="AA6" i="33" s="1"/>
  <c r="S6" i="1"/>
  <c r="T6" i="1" s="1"/>
  <c r="Y10" i="1"/>
  <c r="Q10" i="1"/>
  <c r="S5" i="1"/>
  <c r="V5" i="1"/>
  <c r="T12" i="1"/>
  <c r="T17" i="1" s="1"/>
  <c r="P5" i="14" s="1"/>
  <c r="S17" i="1"/>
  <c r="W17" i="1"/>
  <c r="O5" i="14" s="1"/>
  <c r="X17" i="1"/>
  <c r="Y17" i="1"/>
  <c r="P47" i="1"/>
  <c r="V24" i="1"/>
  <c r="W19" i="1"/>
  <c r="W24" i="1" s="1"/>
  <c r="O6" i="14" s="1"/>
  <c r="S19" i="1"/>
  <c r="X24" i="1"/>
  <c r="W34" i="1"/>
  <c r="W38" i="1" s="1"/>
  <c r="S34" i="1"/>
  <c r="V45" i="1" l="1"/>
  <c r="Q47" i="1"/>
  <c r="AC6" i="32"/>
  <c r="AC6" i="33"/>
  <c r="AB6" i="32"/>
  <c r="Y47" i="1"/>
  <c r="Z6" i="32"/>
  <c r="F6" i="32" s="1"/>
  <c r="X47" i="1"/>
  <c r="V10" i="1"/>
  <c r="W5" i="1"/>
  <c r="W10" i="1" s="1"/>
  <c r="O4" i="14" s="1"/>
  <c r="T5" i="1"/>
  <c r="T10" i="1" s="1"/>
  <c r="P4" i="14" s="1"/>
  <c r="S10" i="1"/>
  <c r="Z14" i="32"/>
  <c r="Z18" i="32" s="1"/>
  <c r="Z28" i="32" s="1"/>
  <c r="AA10" i="33"/>
  <c r="AA27" i="33" s="1"/>
  <c r="F6" i="33"/>
  <c r="F23" i="33" s="1"/>
  <c r="AA14" i="33"/>
  <c r="AA18" i="33" s="1"/>
  <c r="AA28" i="33" s="1"/>
  <c r="AB6" i="33"/>
  <c r="AA6" i="32"/>
  <c r="S24" i="1"/>
  <c r="T19" i="1"/>
  <c r="T24" i="1" s="1"/>
  <c r="P6" i="14" s="1"/>
  <c r="AD10" i="33"/>
  <c r="AD27" i="33" s="1"/>
  <c r="AD14" i="33"/>
  <c r="AD18" i="33" s="1"/>
  <c r="AD28" i="33" s="1"/>
  <c r="I6" i="33"/>
  <c r="I23" i="33" s="1"/>
  <c r="T34" i="1"/>
  <c r="T38" i="1" s="1"/>
  <c r="S38" i="1"/>
  <c r="AC10" i="32"/>
  <c r="AC27" i="32" s="1"/>
  <c r="AC14" i="32"/>
  <c r="AC18" i="32" s="1"/>
  <c r="AC28" i="32" s="1"/>
  <c r="I6" i="32"/>
  <c r="I23" i="32" s="1"/>
  <c r="O8" i="14"/>
  <c r="W47" i="1"/>
  <c r="AE6" i="33" l="1"/>
  <c r="AD6" i="32"/>
  <c r="AB14" i="32"/>
  <c r="AB18" i="32" s="1"/>
  <c r="AB28" i="32" s="1"/>
  <c r="H6" i="32"/>
  <c r="AB10" i="32"/>
  <c r="AB27" i="32" s="1"/>
  <c r="H6" i="33"/>
  <c r="H23" i="33" s="1"/>
  <c r="AC14" i="33"/>
  <c r="AC18" i="33" s="1"/>
  <c r="AC28" i="33" s="1"/>
  <c r="AC10" i="33"/>
  <c r="AC27" i="33" s="1"/>
  <c r="Z10" i="32"/>
  <c r="Z27" i="32" s="1"/>
  <c r="Z31" i="32" s="1"/>
  <c r="Z32" i="32" s="1"/>
  <c r="O10" i="14"/>
  <c r="S47" i="1"/>
  <c r="Z6" i="33"/>
  <c r="Y6" i="32"/>
  <c r="V47" i="1"/>
  <c r="F14" i="33"/>
  <c r="F18" i="33" s="1"/>
  <c r="F28" i="33" s="1"/>
  <c r="F10" i="33"/>
  <c r="F27" i="33" s="1"/>
  <c r="F31" i="33" s="1"/>
  <c r="AA31" i="33"/>
  <c r="AA32" i="33" s="1"/>
  <c r="F14" i="32"/>
  <c r="F18" i="32" s="1"/>
  <c r="F10" i="32"/>
  <c r="F23" i="32"/>
  <c r="AA10" i="32"/>
  <c r="AA27" i="32" s="1"/>
  <c r="AA14" i="32"/>
  <c r="AA18" i="32" s="1"/>
  <c r="AA28" i="32" s="1"/>
  <c r="G6" i="32"/>
  <c r="AB10" i="33"/>
  <c r="AB27" i="33" s="1"/>
  <c r="AB14" i="33"/>
  <c r="AB18" i="33" s="1"/>
  <c r="AB28" i="33" s="1"/>
  <c r="G6" i="33"/>
  <c r="AC31" i="32"/>
  <c r="AC32" i="32" s="1"/>
  <c r="T47" i="1"/>
  <c r="P8" i="14"/>
  <c r="P10" i="14" s="1"/>
  <c r="I10" i="33"/>
  <c r="I27" i="33" s="1"/>
  <c r="I14" i="33"/>
  <c r="I18" i="33" s="1"/>
  <c r="I28" i="33" s="1"/>
  <c r="I10" i="32"/>
  <c r="I27" i="32" s="1"/>
  <c r="I14" i="32"/>
  <c r="I18" i="32" s="1"/>
  <c r="I28" i="32" s="1"/>
  <c r="AD31" i="33"/>
  <c r="AD32" i="33" s="1"/>
  <c r="AD14" i="32" l="1"/>
  <c r="AD18" i="32" s="1"/>
  <c r="AD28" i="32" s="1"/>
  <c r="AD10" i="32"/>
  <c r="AD27" i="32" s="1"/>
  <c r="AD31" i="32" s="1"/>
  <c r="AD32" i="32" s="1"/>
  <c r="G9" i="14" s="1"/>
  <c r="J6" i="32"/>
  <c r="J6" i="33"/>
  <c r="AE14" i="33"/>
  <c r="AE18" i="33" s="1"/>
  <c r="AE28" i="33" s="1"/>
  <c r="AE10" i="33"/>
  <c r="AE27" i="33" s="1"/>
  <c r="AC31" i="33"/>
  <c r="AC32" i="33" s="1"/>
  <c r="H14" i="33"/>
  <c r="H18" i="33" s="1"/>
  <c r="H28" i="33" s="1"/>
  <c r="H10" i="33"/>
  <c r="H27" i="33" s="1"/>
  <c r="AB31" i="32"/>
  <c r="AB32" i="32" s="1"/>
  <c r="H14" i="32"/>
  <c r="H18" i="32" s="1"/>
  <c r="H10" i="32"/>
  <c r="H23" i="32"/>
  <c r="AB31" i="33"/>
  <c r="AB32" i="33" s="1"/>
  <c r="G32" i="33" s="1"/>
  <c r="AA31" i="32"/>
  <c r="AA32" i="32" s="1"/>
  <c r="G32" i="32" s="1"/>
  <c r="H6" i="14" s="1"/>
  <c r="E6" i="32"/>
  <c r="E23" i="32" s="1"/>
  <c r="Y14" i="32"/>
  <c r="Y18" i="32" s="1"/>
  <c r="Y28" i="32" s="1"/>
  <c r="Y10" i="32"/>
  <c r="Y27" i="32" s="1"/>
  <c r="Z10" i="33"/>
  <c r="Z27" i="33" s="1"/>
  <c r="E6" i="33"/>
  <c r="E23" i="33" s="1"/>
  <c r="Z14" i="33"/>
  <c r="Z18" i="33" s="1"/>
  <c r="Z28" i="33" s="1"/>
  <c r="F27" i="32"/>
  <c r="F28" i="32"/>
  <c r="F32" i="32"/>
  <c r="H5" i="14" s="1"/>
  <c r="G5" i="14"/>
  <c r="F32" i="33"/>
  <c r="D5" i="14"/>
  <c r="G14" i="33"/>
  <c r="G18" i="33" s="1"/>
  <c r="G10" i="33"/>
  <c r="G23" i="33"/>
  <c r="G10" i="32"/>
  <c r="G14" i="32"/>
  <c r="G18" i="32" s="1"/>
  <c r="G23" i="32"/>
  <c r="G8" i="14"/>
  <c r="I32" i="32"/>
  <c r="H8" i="14" s="1"/>
  <c r="I32" i="33"/>
  <c r="D8" i="14"/>
  <c r="I31" i="32"/>
  <c r="I31" i="33"/>
  <c r="AE31" i="33" l="1"/>
  <c r="AE32" i="33" s="1"/>
  <c r="J23" i="33"/>
  <c r="J14" i="33"/>
  <c r="J18" i="33" s="1"/>
  <c r="J28" i="33" s="1"/>
  <c r="J10" i="33"/>
  <c r="J27" i="33" s="1"/>
  <c r="J23" i="32"/>
  <c r="J10" i="32"/>
  <c r="J14" i="32"/>
  <c r="J18" i="32" s="1"/>
  <c r="J32" i="32"/>
  <c r="H9" i="14" s="1"/>
  <c r="H27" i="32"/>
  <c r="H28" i="32"/>
  <c r="H31" i="32" s="1"/>
  <c r="G7" i="14"/>
  <c r="H32" i="32"/>
  <c r="H7" i="14" s="1"/>
  <c r="H31" i="33"/>
  <c r="H32" i="33"/>
  <c r="D7" i="14"/>
  <c r="G6" i="14"/>
  <c r="D6" i="14"/>
  <c r="Y31" i="32"/>
  <c r="Y32" i="32" s="1"/>
  <c r="G4" i="14" s="1"/>
  <c r="E14" i="33"/>
  <c r="E18" i="33" s="1"/>
  <c r="E28" i="33" s="1"/>
  <c r="E10" i="33"/>
  <c r="E27" i="33" s="1"/>
  <c r="Z31" i="33"/>
  <c r="Z32" i="33" s="1"/>
  <c r="E14" i="32"/>
  <c r="E18" i="32" s="1"/>
  <c r="E28" i="32" s="1"/>
  <c r="E10" i="32"/>
  <c r="E27" i="32" s="1"/>
  <c r="D136" i="23"/>
  <c r="E5" i="14"/>
  <c r="D44" i="23"/>
  <c r="F31" i="32"/>
  <c r="G27" i="32"/>
  <c r="G27" i="33"/>
  <c r="E6" i="14"/>
  <c r="D67" i="23"/>
  <c r="G28" i="33"/>
  <c r="G28" i="32"/>
  <c r="D113" i="23"/>
  <c r="E8" i="14"/>
  <c r="J31" i="33" l="1"/>
  <c r="J32" i="33"/>
  <c r="E9" i="14" s="1"/>
  <c r="D9" i="14"/>
  <c r="J28" i="32"/>
  <c r="J27" i="32"/>
  <c r="J31" i="32" s="1"/>
  <c r="D90" i="23"/>
  <c r="E7" i="14"/>
  <c r="G10" i="14"/>
  <c r="G31" i="33"/>
  <c r="E31" i="33"/>
  <c r="E32" i="32"/>
  <c r="H4" i="14" s="1"/>
  <c r="H10" i="14" s="1"/>
  <c r="E31" i="32"/>
  <c r="E32" i="33"/>
  <c r="D4" i="14"/>
  <c r="G31" i="32"/>
  <c r="D10" i="14" l="1"/>
  <c r="E4" i="14"/>
  <c r="E10" i="14" s="1"/>
  <c r="D22" i="23"/>
  <c r="L32" i="33"/>
</calcChain>
</file>

<file path=xl/sharedStrings.xml><?xml version="1.0" encoding="utf-8"?>
<sst xmlns="http://schemas.openxmlformats.org/spreadsheetml/2006/main" count="1511" uniqueCount="278">
  <si>
    <t>Borehole ID</t>
  </si>
  <si>
    <t>Date of Rehabilitation</t>
  </si>
  <si>
    <t>Village</t>
  </si>
  <si>
    <t>Pump Model</t>
  </si>
  <si>
    <t>Lat</t>
  </si>
  <si>
    <t>Long</t>
  </si>
  <si>
    <t>Mode of use</t>
  </si>
  <si>
    <t>Total PTDs</t>
  </si>
  <si>
    <t>Domestic</t>
  </si>
  <si>
    <t>End of MP</t>
  </si>
  <si>
    <t>Total</t>
  </si>
  <si>
    <t>Baseline Fuel Use (Bby)</t>
  </si>
  <si>
    <t>Portion using safe water</t>
  </si>
  <si>
    <t>Cj</t>
  </si>
  <si>
    <t>fraction</t>
  </si>
  <si>
    <t>Njy</t>
  </si>
  <si>
    <t>Wb,y</t>
  </si>
  <si>
    <t>T/L</t>
  </si>
  <si>
    <t>Qp,y</t>
  </si>
  <si>
    <t>L/pd</t>
  </si>
  <si>
    <t>Quantity of raw water boiled in addition to project technology water</t>
  </si>
  <si>
    <t>Qp, raw, y</t>
  </si>
  <si>
    <t>Quantity fuel consumed in baseline scenario</t>
  </si>
  <si>
    <t>Bb,y</t>
  </si>
  <si>
    <t>T</t>
  </si>
  <si>
    <t>Project Fuel Use (Pby)</t>
  </si>
  <si>
    <t>Portion of safe users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</si>
  <si>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</si>
  <si>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</si>
  <si>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</si>
  <si>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</si>
  <si>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</si>
  <si>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</si>
  <si>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</si>
  <si>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</si>
  <si>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</si>
  <si>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</si>
  <si>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</si>
  <si>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</si>
  <si>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</si>
  <si>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</si>
  <si>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</si>
  <si>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</si>
  <si>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</si>
  <si>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</si>
  <si>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Emissions Reductions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</si>
  <si>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</si>
  <si>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</si>
  <si>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</si>
  <si>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</si>
  <si>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</si>
  <si>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</si>
  <si>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</si>
  <si>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Leakage</t>
  </si>
  <si>
    <t>LEp,y</t>
  </si>
  <si>
    <t>Emission Reductions</t>
  </si>
  <si>
    <t>Ery</t>
  </si>
  <si>
    <t>GS ID</t>
  </si>
  <si>
    <t>PTD Total</t>
  </si>
  <si>
    <t>Mujeke</t>
  </si>
  <si>
    <t>Gezahle</t>
  </si>
  <si>
    <t>Kubiri 3</t>
  </si>
  <si>
    <t>Zambangoma</t>
  </si>
  <si>
    <t>Mukuni South Primary School</t>
  </si>
  <si>
    <t>Zamchiya</t>
  </si>
  <si>
    <t>Mubuyayi</t>
  </si>
  <si>
    <t>Vadzimu</t>
  </si>
  <si>
    <t>Takunda B</t>
  </si>
  <si>
    <t>Mvurachena</t>
  </si>
  <si>
    <t>GS6518</t>
  </si>
  <si>
    <t>GS6519</t>
  </si>
  <si>
    <t>Hanganyi</t>
  </si>
  <si>
    <t>Ngatitonge 3</t>
  </si>
  <si>
    <t>Mutepfa</t>
  </si>
  <si>
    <t>Gurumidzo</t>
  </si>
  <si>
    <t>Hanganyi / Glenview</t>
  </si>
  <si>
    <t>Ngatitonge</t>
  </si>
  <si>
    <t>Machira</t>
  </si>
  <si>
    <t>GS6520</t>
  </si>
  <si>
    <t>Singizi</t>
  </si>
  <si>
    <t>Chinyamagona</t>
  </si>
  <si>
    <t>Mbabvu</t>
  </si>
  <si>
    <t>Chinyudze</t>
  </si>
  <si>
    <t>Zvirongohwe</t>
  </si>
  <si>
    <t>Nyangani</t>
  </si>
  <si>
    <t>GS6521</t>
  </si>
  <si>
    <t>Mutii</t>
  </si>
  <si>
    <t>Gogodo / Botani</t>
  </si>
  <si>
    <t>Kwaedza Mahihii</t>
  </si>
  <si>
    <t>Muroti Junction</t>
  </si>
  <si>
    <t>Musara Diptank</t>
  </si>
  <si>
    <t>Bako</t>
  </si>
  <si>
    <t>Nyamadzawo</t>
  </si>
  <si>
    <t>Chipiro</t>
  </si>
  <si>
    <t>Muheji B</t>
  </si>
  <si>
    <t>GS6522</t>
  </si>
  <si>
    <t>Warehouse Mahihii</t>
  </si>
  <si>
    <t>Mbire Borehole Chikwanda</t>
  </si>
  <si>
    <t>Mutandati</t>
  </si>
  <si>
    <t>Mukuni South Secondary School</t>
  </si>
  <si>
    <t>Masinga</t>
  </si>
  <si>
    <t>Mbire</t>
  </si>
  <si>
    <t>Torera</t>
  </si>
  <si>
    <t>GS6523</t>
  </si>
  <si>
    <t>Zvebocha</t>
  </si>
  <si>
    <t>Rukangare 1</t>
  </si>
  <si>
    <t>Matosi</t>
  </si>
  <si>
    <t>Mudzere</t>
  </si>
  <si>
    <t>Chitora</t>
  </si>
  <si>
    <t>Rukangare</t>
  </si>
  <si>
    <t>Muheji</t>
  </si>
  <si>
    <t>SDG 3 Good Health and Well-Being</t>
  </si>
  <si>
    <t>Parameter</t>
  </si>
  <si>
    <t>Description</t>
  </si>
  <si>
    <t>Value</t>
  </si>
  <si>
    <t>Unit</t>
  </si>
  <si>
    <t>%</t>
  </si>
  <si>
    <t>SDG 5 Gender Equality</t>
  </si>
  <si>
    <r>
      <t>T</t>
    </r>
    <r>
      <rPr>
        <vertAlign val="subscript"/>
        <sz val="11"/>
        <color theme="1"/>
        <rFont val="Calibri"/>
        <family val="2"/>
        <scheme val="minor"/>
      </rPr>
      <t>b,y</t>
    </r>
  </si>
  <si>
    <t>Minutes</t>
  </si>
  <si>
    <t>Number</t>
  </si>
  <si>
    <r>
      <t>T</t>
    </r>
    <r>
      <rPr>
        <vertAlign val="subscript"/>
        <sz val="11"/>
        <color theme="1"/>
        <rFont val="Calibri"/>
        <family val="2"/>
        <scheme val="minor"/>
      </rPr>
      <t>p,y</t>
    </r>
  </si>
  <si>
    <r>
      <t>TR</t>
    </r>
    <r>
      <rPr>
        <vertAlign val="subscript"/>
        <sz val="11"/>
        <color theme="1"/>
        <rFont val="Calibri"/>
        <family val="2"/>
        <scheme val="minor"/>
      </rPr>
      <t>y</t>
    </r>
  </si>
  <si>
    <t>SDG 6 (Clean Water and Sanitation)</t>
  </si>
  <si>
    <r>
      <t>P</t>
    </r>
    <r>
      <rPr>
        <vertAlign val="subscript"/>
        <sz val="11"/>
        <color theme="1"/>
        <rFont val="Avenir Book"/>
      </rPr>
      <t>y</t>
    </r>
  </si>
  <si>
    <t>Persons having access to safe water in the project activity</t>
  </si>
  <si>
    <r>
      <t>C</t>
    </r>
    <r>
      <rPr>
        <vertAlign val="subscript"/>
        <sz val="11"/>
        <color theme="1"/>
        <rFont val="Avenir Book"/>
      </rPr>
      <t>j</t>
    </r>
  </si>
  <si>
    <t>Portion of users of the project technology j who in the baseline were consuming safe water without boiling it</t>
  </si>
  <si>
    <r>
      <t>P</t>
    </r>
    <r>
      <rPr>
        <vertAlign val="subscript"/>
        <sz val="11"/>
        <color theme="1"/>
        <rFont val="Avenir Book"/>
      </rPr>
      <t>access</t>
    </r>
  </si>
  <si>
    <t>Additional persons having access to safe water in the project activity compared to the baseline scenario</t>
  </si>
  <si>
    <t>SDG 13 (Climate Action)</t>
  </si>
  <si>
    <t xml:space="preserve">Emission Reductions </t>
  </si>
  <si>
    <t>CO2 equivalent emission reductions</t>
  </si>
  <si>
    <t>tCO2-e/y</t>
  </si>
  <si>
    <t>Percentage of premises that would have used other non-GHG emitting technologies like chlorine treatment techniques, if available, in the absence of the project activity.</t>
  </si>
  <si>
    <r>
      <t>X</t>
    </r>
    <r>
      <rPr>
        <vertAlign val="subscript"/>
        <sz val="11"/>
        <color theme="1"/>
        <rFont val="Avenir Book"/>
      </rPr>
      <t>boil</t>
    </r>
  </si>
  <si>
    <t>Total reduction in negative health effects for the project activity in year y</t>
  </si>
  <si>
    <r>
      <t>I</t>
    </r>
    <r>
      <rPr>
        <vertAlign val="subscript"/>
        <sz val="11"/>
        <color theme="1"/>
        <rFont val="Avenir Book"/>
      </rPr>
      <t>b,y</t>
    </r>
  </si>
  <si>
    <r>
      <t>I</t>
    </r>
    <r>
      <rPr>
        <vertAlign val="subscript"/>
        <sz val="11"/>
        <color theme="1"/>
        <rFont val="Avenir Book"/>
      </rPr>
      <t>p,y</t>
    </r>
  </si>
  <si>
    <t>Jopa / Moodies Rest</t>
  </si>
  <si>
    <t>Moodies Rest / Jopa</t>
  </si>
  <si>
    <t>Percentage of the population experiencing water-related illnesses in the baseline scenario</t>
  </si>
  <si>
    <t>Percentage of the population experiencing water-related illnesses in the project scenario</t>
  </si>
  <si>
    <t>Borehole Name</t>
  </si>
  <si>
    <t>MUT001</t>
  </si>
  <si>
    <t>MUT002</t>
  </si>
  <si>
    <t>MUT003</t>
  </si>
  <si>
    <t>MUT004</t>
  </si>
  <si>
    <t>MUT005</t>
  </si>
  <si>
    <t>MUT006</t>
  </si>
  <si>
    <t>MUT007</t>
  </si>
  <si>
    <t>MUT008</t>
  </si>
  <si>
    <t>MUT009</t>
  </si>
  <si>
    <t>MUT010</t>
  </si>
  <si>
    <t>MUT011</t>
  </si>
  <si>
    <t>MUT012</t>
  </si>
  <si>
    <t>MUT013</t>
  </si>
  <si>
    <t>MUT014</t>
  </si>
  <si>
    <t>MUT015</t>
  </si>
  <si>
    <t>MUT016</t>
  </si>
  <si>
    <t>CHI001</t>
  </si>
  <si>
    <t>CHI002</t>
  </si>
  <si>
    <t>CHI003</t>
  </si>
  <si>
    <t>CHI004</t>
  </si>
  <si>
    <t>CHI005</t>
  </si>
  <si>
    <t>CHI006</t>
  </si>
  <si>
    <t>CHI007</t>
  </si>
  <si>
    <t>CHI008</t>
  </si>
  <si>
    <t>CHI009</t>
  </si>
  <si>
    <t>CHI010</t>
  </si>
  <si>
    <t>CHI011</t>
  </si>
  <si>
    <t>CHI012</t>
  </si>
  <si>
    <t>CHI013</t>
  </si>
  <si>
    <t>CHI014</t>
  </si>
  <si>
    <t>Source</t>
  </si>
  <si>
    <t>Baseline Survey, question 17</t>
  </si>
  <si>
    <t>Household lists</t>
  </si>
  <si>
    <t>Baseline survey, questions 18-21</t>
  </si>
  <si>
    <t>Baseline survey, question 22</t>
  </si>
  <si>
    <t>Start of MP</t>
  </si>
  <si>
    <t>Crediting start date per BH</t>
  </si>
  <si>
    <t>Fuel to treat  1 litre of water using baseline tech (CAPPED)</t>
  </si>
  <si>
    <t>Fossil fuel required to treat 1 litre for water in project scenario (CAPPED)</t>
  </si>
  <si>
    <t>Number of people using borehole (CAPPED at 300)</t>
  </si>
  <si>
    <t>Py</t>
  </si>
  <si>
    <t>Capacity in Litres</t>
  </si>
  <si>
    <t>litres</t>
  </si>
  <si>
    <t>Capacity per Capita, per handpump</t>
  </si>
  <si>
    <t>QP,y: Litres per person per day</t>
  </si>
  <si>
    <t>Max People</t>
  </si>
  <si>
    <t>people</t>
  </si>
  <si>
    <t>Capacity per VPA Check</t>
  </si>
  <si>
    <t>Capacity per Capita</t>
  </si>
  <si>
    <t>No. Handpumps in VPA</t>
  </si>
  <si>
    <t>Actual</t>
  </si>
  <si>
    <t>CHECK</t>
  </si>
  <si>
    <t>Litres per hour at 15m head:</t>
  </si>
  <si>
    <t>Operating hours of the borehole:</t>
  </si>
  <si>
    <t>Daily capacity of the borehole</t>
  </si>
  <si>
    <t>https://www.rural-water-supply.net/en/implementation/public-domain-handpumps/bush-pump</t>
  </si>
  <si>
    <t>Installation and Maintenance Manual for the B-type Bush Pump</t>
  </si>
  <si>
    <t>Number of people using borehole (USER LISTS)</t>
  </si>
  <si>
    <t>B-Type Bush Pump</t>
  </si>
  <si>
    <t>Borehole database</t>
  </si>
  <si>
    <t>User numbers</t>
  </si>
  <si>
    <t>PTDs calculation</t>
  </si>
  <si>
    <t>PTDs 2021</t>
  </si>
  <si>
    <t>PTDs 2020 (Uncapped)</t>
  </si>
  <si>
    <t>PTDs 2021 (Uncapped)</t>
  </si>
  <si>
    <t>Total PTDs (Uncapped)</t>
  </si>
  <si>
    <t>Total Emission Reductions for Monitoring Period 3</t>
  </si>
  <si>
    <t>Emission Reductions Vintage 2021</t>
  </si>
  <si>
    <t>Emissions factor fuel (non-co2) (AVERAGE)</t>
  </si>
  <si>
    <t>Baseline Survey, questions 15 &amp; 34</t>
  </si>
  <si>
    <t>Project Survey, questions 15 &amp; 28</t>
  </si>
  <si>
    <t>Total reduction time spent collecting water and fuel for project activity in year y</t>
  </si>
  <si>
    <t>Non-functioning Days 2021</t>
  </si>
  <si>
    <t>Project Survey, question 16</t>
  </si>
  <si>
    <t>Person Days</t>
  </si>
  <si>
    <t>Quantity safe water litres consumed in project scenario supplied by project technology</t>
  </si>
  <si>
    <t>ERs 2021 - CAPPED</t>
  </si>
  <si>
    <t>ERs CAPPED ( ):</t>
  </si>
  <si>
    <t>ERs 2020 - UNCAPPED</t>
  </si>
  <si>
    <t>ERs 2021 - UNCAPPED</t>
  </si>
  <si>
    <t>ERs UNCAPPED</t>
  </si>
  <si>
    <t>Py UNCAPPED</t>
  </si>
  <si>
    <t>PTD Total UNCAPPED</t>
  </si>
  <si>
    <t>Emission Reductions MP3</t>
  </si>
  <si>
    <t>SDGs MP3</t>
  </si>
  <si>
    <t>SDG6 Paccess</t>
  </si>
  <si>
    <t xml:space="preserve">Time spent collecting water per household per day prior to project </t>
  </si>
  <si>
    <t xml:space="preserve">Time spent collecting water per household per day in project </t>
  </si>
  <si>
    <r>
      <t>IR</t>
    </r>
    <r>
      <rPr>
        <vertAlign val="subscript"/>
        <sz val="11"/>
        <color theme="1"/>
        <rFont val="Calibri"/>
        <family val="2"/>
        <scheme val="minor"/>
      </rPr>
      <t>y</t>
    </r>
  </si>
  <si>
    <t>SDG3 IRy</t>
  </si>
  <si>
    <t>SDG5 TRy</t>
  </si>
  <si>
    <t>Total Non-functioning days</t>
  </si>
  <si>
    <t>Time Non-functioning (%)</t>
  </si>
  <si>
    <t>NFD</t>
  </si>
  <si>
    <t>Emission Reductions Vintage 2022</t>
  </si>
  <si>
    <t>Total ERs claimed for MP4</t>
  </si>
  <si>
    <t xml:space="preserve">ERs claimed 2020 </t>
  </si>
  <si>
    <t>ERs claimed 2021</t>
  </si>
  <si>
    <t>End of 2021</t>
  </si>
  <si>
    <t>Start of 2022</t>
  </si>
  <si>
    <t>ERs 2022 - CAPPED</t>
  </si>
  <si>
    <t>Total Emission Reductions for Monitoring Period 4</t>
  </si>
  <si>
    <t>Days Crediting 2021</t>
  </si>
  <si>
    <t>Non-functioning Days 2022</t>
  </si>
  <si>
    <t>Days crediting 2022</t>
  </si>
  <si>
    <t>PTDs 2022</t>
  </si>
  <si>
    <t>ERs claimed 2022</t>
  </si>
  <si>
    <t>Baseline Survey</t>
  </si>
  <si>
    <t>Total PTDs' Tab</t>
  </si>
  <si>
    <t>Methodology Cap</t>
  </si>
  <si>
    <t>Calculated</t>
  </si>
  <si>
    <t>CDM Default</t>
  </si>
  <si>
    <t>Method Default</t>
  </si>
  <si>
    <t>IPCC Values</t>
  </si>
  <si>
    <t>WCFT</t>
  </si>
  <si>
    <t>Maintainence Record</t>
  </si>
  <si>
    <t>Cause of Issue</t>
  </si>
  <si>
    <t>Start Date</t>
  </si>
  <si>
    <t>End Date</t>
  </si>
  <si>
    <t>Date</t>
  </si>
  <si>
    <t>Maintainence/Repair Conducted</t>
  </si>
  <si>
    <t>Leaking Cylinder</t>
  </si>
  <si>
    <t>Capacity Reduction</t>
  </si>
  <si>
    <t>Loose Piping</t>
  </si>
  <si>
    <t>Pipes had holes</t>
  </si>
  <si>
    <t>Signage Installation and Cylinder Replaced</t>
  </si>
  <si>
    <t>Signage Installation and Pipe Fitting</t>
  </si>
  <si>
    <t>Signage Installed</t>
  </si>
  <si>
    <t>Pipe and Rod Replaced</t>
  </si>
  <si>
    <t>Signage Installation</t>
  </si>
  <si>
    <t>Replacement of Pipes</t>
  </si>
  <si>
    <t>Apron Construction</t>
  </si>
  <si>
    <t>-</t>
  </si>
  <si>
    <t>Signage and Wall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</si>
</sst>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000000"/>
    <numFmt numFmtId="166" formatCode="0.000000"/>
    <numFmt numFmtId="167" formatCode="0.0000"/>
    <numFmt numFmtId="168" formatCode="0.0"/>
    <numFmt numFmtId="169" formatCode="_-* #,##0_-;\-* #,##0_-;_-* &quot;-&quot;??_-;_-@_-"/>
    <numFmt numFmtId="170" formatCode="0.0%"/>
  </numFmts>
  <fonts count="1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11"/>
      <color theme="1"/>
      <name val="Avenir Book"/>
    </font>
    <font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1" xfId="0" applyBorder="1"/>
    <xf numFmtId="3" fontId="0" fillId="0" borderId="0" xfId="0" applyNumberFormat="1"/>
    <xf numFmtId="0" fontId="0" fillId="0" borderId="1" xfId="0" applyBorder="1" applyAlignment="1">
      <alignment wrapText="1"/>
    </xf>
    <xf numFmtId="1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2" fillId="0" borderId="1" xfId="0" applyFont="1" applyBorder="1"/>
    <xf numFmtId="0" fontId="2" fillId="0" borderId="11" xfId="0" applyFont="1" applyBorder="1"/>
    <xf numFmtId="0" fontId="0" fillId="0" borderId="2" xfId="0" applyBorder="1"/>
    <xf numFmtId="0" fontId="0" fillId="0" borderId="3" xfId="0" applyBorder="1"/>
    <xf numFmtId="1" fontId="0" fillId="0" borderId="4" xfId="0" applyNumberFormat="1" applyBorder="1"/>
    <xf numFmtId="0" fontId="5" fillId="0" borderId="0" xfId="0" applyFont="1"/>
    <xf numFmtId="0" fontId="6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1" fontId="0" fillId="0" borderId="0" xfId="0" applyNumberFormat="1"/>
    <xf numFmtId="0" fontId="0" fillId="0" borderId="23" xfId="0" applyBorder="1"/>
    <xf numFmtId="0" fontId="0" fillId="2" borderId="2" xfId="0" applyFill="1" applyBorder="1"/>
    <xf numFmtId="0" fontId="2" fillId="10" borderId="2" xfId="0" applyFont="1" applyFill="1" applyBorder="1"/>
    <xf numFmtId="0" fontId="2" fillId="10" borderId="3" xfId="0" applyFont="1" applyFill="1" applyBorder="1"/>
    <xf numFmtId="0" fontId="0" fillId="10" borderId="3" xfId="0" applyFill="1" applyBorder="1"/>
    <xf numFmtId="0" fontId="0" fillId="0" borderId="9" xfId="0" applyBorder="1"/>
    <xf numFmtId="0" fontId="0" fillId="10" borderId="9" xfId="0" applyFill="1" applyBorder="1"/>
    <xf numFmtId="0" fontId="0" fillId="10" borderId="23" xfId="0" applyFill="1" applyBorder="1"/>
    <xf numFmtId="0" fontId="2" fillId="11" borderId="2" xfId="0" applyFont="1" applyFill="1" applyBorder="1"/>
    <xf numFmtId="0" fontId="2" fillId="11" borderId="3" xfId="0" applyFont="1" applyFill="1" applyBorder="1"/>
    <xf numFmtId="0" fontId="0" fillId="11" borderId="3" xfId="0" applyFill="1" applyBorder="1"/>
    <xf numFmtId="0" fontId="0" fillId="11" borderId="4" xfId="0" applyFill="1" applyBorder="1"/>
    <xf numFmtId="3" fontId="0" fillId="11" borderId="2" xfId="0" applyNumberFormat="1" applyFill="1" applyBorder="1"/>
    <xf numFmtId="3" fontId="0" fillId="11" borderId="3" xfId="0" applyNumberFormat="1" applyFill="1" applyBorder="1"/>
    <xf numFmtId="1" fontId="0" fillId="11" borderId="3" xfId="0" applyNumberFormat="1" applyFill="1" applyBorder="1"/>
    <xf numFmtId="0" fontId="2" fillId="12" borderId="6" xfId="0" applyFont="1" applyFill="1" applyBorder="1"/>
    <xf numFmtId="0" fontId="2" fillId="12" borderId="24" xfId="0" applyFont="1" applyFill="1" applyBorder="1"/>
    <xf numFmtId="0" fontId="0" fillId="12" borderId="24" xfId="0" applyFill="1" applyBorder="1"/>
    <xf numFmtId="0" fontId="0" fillId="12" borderId="7" xfId="0" applyFill="1" applyBorder="1"/>
    <xf numFmtId="0" fontId="0" fillId="12" borderId="2" xfId="0" applyFill="1" applyBorder="1"/>
    <xf numFmtId="0" fontId="0" fillId="12" borderId="3" xfId="0" applyFill="1" applyBorder="1"/>
    <xf numFmtId="0" fontId="0" fillId="12" borderId="4" xfId="0" applyFill="1" applyBorder="1"/>
    <xf numFmtId="166" fontId="0" fillId="5" borderId="1" xfId="0" applyNumberFormat="1" applyFill="1" applyBorder="1"/>
    <xf numFmtId="166" fontId="0" fillId="0" borderId="1" xfId="0" applyNumberFormat="1" applyBorder="1"/>
    <xf numFmtId="1" fontId="0" fillId="12" borderId="3" xfId="0" applyNumberFormat="1" applyFill="1" applyBorder="1" applyAlignment="1">
      <alignment horizontal="right"/>
    </xf>
    <xf numFmtId="9" fontId="6" fillId="0" borderId="0" xfId="0" applyNumberFormat="1" applyFont="1"/>
    <xf numFmtId="9" fontId="0" fillId="2" borderId="4" xfId="0" applyNumberFormat="1" applyFill="1" applyBorder="1"/>
    <xf numFmtId="167" fontId="0" fillId="0" borderId="0" xfId="0" applyNumberFormat="1"/>
    <xf numFmtId="0" fontId="0" fillId="0" borderId="24" xfId="0" applyBorder="1"/>
    <xf numFmtId="0" fontId="0" fillId="0" borderId="0" xfId="0" applyAlignment="1">
      <alignment horizontal="left"/>
    </xf>
    <xf numFmtId="0" fontId="6" fillId="0" borderId="5" xfId="0" applyFont="1" applyBorder="1"/>
    <xf numFmtId="0" fontId="6" fillId="2" borderId="4" xfId="0" applyFont="1" applyFill="1" applyBorder="1"/>
    <xf numFmtId="0" fontId="6" fillId="10" borderId="4" xfId="0" applyFont="1" applyFill="1" applyBorder="1"/>
    <xf numFmtId="0" fontId="6" fillId="0" borderId="5" xfId="0" applyFont="1" applyBorder="1" applyAlignment="1">
      <alignment horizontal="left"/>
    </xf>
    <xf numFmtId="0" fontId="6" fillId="10" borderId="10" xfId="0" applyFont="1" applyFill="1" applyBorder="1"/>
    <xf numFmtId="0" fontId="6" fillId="11" borderId="4" xfId="0" applyFont="1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wrapText="1"/>
    </xf>
    <xf numFmtId="0" fontId="8" fillId="0" borderId="28" xfId="0" applyFont="1" applyBorder="1"/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3" fillId="13" borderId="1" xfId="0" applyFont="1" applyFill="1" applyBorder="1"/>
    <xf numFmtId="0" fontId="0" fillId="14" borderId="1" xfId="0" applyFill="1" applyBorder="1"/>
    <xf numFmtId="0" fontId="3" fillId="13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right"/>
    </xf>
    <xf numFmtId="0" fontId="3" fillId="13" borderId="28" xfId="0" applyFont="1" applyFill="1" applyBorder="1"/>
    <xf numFmtId="0" fontId="3" fillId="13" borderId="29" xfId="0" applyFont="1" applyFill="1" applyBorder="1" applyAlignment="1">
      <alignment horizontal="center"/>
    </xf>
    <xf numFmtId="0" fontId="0" fillId="14" borderId="28" xfId="0" applyFill="1" applyBorder="1"/>
    <xf numFmtId="0" fontId="0" fillId="14" borderId="29" xfId="0" applyFill="1" applyBorder="1" applyAlignment="1">
      <alignment horizontal="center"/>
    </xf>
    <xf numFmtId="0" fontId="0" fillId="14" borderId="30" xfId="0" applyFill="1" applyBorder="1"/>
    <xf numFmtId="0" fontId="0" fillId="14" borderId="31" xfId="0" applyFill="1" applyBorder="1"/>
    <xf numFmtId="0" fontId="0" fillId="14" borderId="31" xfId="0" applyFill="1" applyBorder="1" applyAlignment="1">
      <alignment horizontal="right"/>
    </xf>
    <xf numFmtId="14" fontId="8" fillId="0" borderId="22" xfId="0" applyNumberFormat="1" applyFont="1" applyBorder="1" applyAlignment="1">
      <alignment horizontal="center"/>
    </xf>
    <xf numFmtId="14" fontId="8" fillId="0" borderId="19" xfId="0" applyNumberFormat="1" applyFont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2" fontId="2" fillId="0" borderId="1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1" fillId="0" borderId="0" xfId="0" applyFont="1"/>
    <xf numFmtId="169" fontId="0" fillId="0" borderId="1" xfId="3" applyNumberFormat="1" applyFont="1" applyBorder="1"/>
    <xf numFmtId="169" fontId="0" fillId="0" borderId="1" xfId="0" applyNumberFormat="1" applyBorder="1"/>
    <xf numFmtId="169" fontId="0" fillId="0" borderId="1" xfId="4" applyNumberFormat="1" applyFont="1" applyBorder="1"/>
    <xf numFmtId="1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2" fillId="0" borderId="0" xfId="2" applyFill="1"/>
    <xf numFmtId="0" fontId="1" fillId="0" borderId="37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3" fillId="1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3" fillId="13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1" fillId="8" borderId="16" xfId="0" applyFont="1" applyFill="1" applyBorder="1" applyAlignment="1">
      <alignment horizontal="center" wrapText="1"/>
    </xf>
    <xf numFmtId="14" fontId="8" fillId="0" borderId="17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170" fontId="0" fillId="10" borderId="23" xfId="0" applyNumberFormat="1" applyFill="1" applyBorder="1"/>
    <xf numFmtId="0" fontId="3" fillId="4" borderId="4" xfId="0" applyFont="1" applyFill="1" applyBorder="1"/>
    <xf numFmtId="0" fontId="3" fillId="4" borderId="1" xfId="0" applyFont="1" applyFill="1" applyBorder="1"/>
    <xf numFmtId="0" fontId="3" fillId="7" borderId="4" xfId="0" applyFont="1" applyFill="1" applyBorder="1"/>
    <xf numFmtId="0" fontId="3" fillId="7" borderId="1" xfId="0" applyFont="1" applyFill="1" applyBorder="1"/>
    <xf numFmtId="0" fontId="12" fillId="0" borderId="0" xfId="2"/>
    <xf numFmtId="0" fontId="0" fillId="15" borderId="42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 wrapText="1"/>
    </xf>
    <xf numFmtId="0" fontId="0" fillId="8" borderId="39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6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0" fillId="18" borderId="17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170" fontId="0" fillId="0" borderId="15" xfId="5" applyNumberFormat="1" applyFont="1" applyBorder="1" applyAlignment="1">
      <alignment horizontal="center" vertical="top"/>
    </xf>
    <xf numFmtId="3" fontId="0" fillId="0" borderId="15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3" fontId="0" fillId="0" borderId="20" xfId="0" applyNumberFormat="1" applyBorder="1" applyAlignment="1">
      <alignment horizontal="center"/>
    </xf>
    <xf numFmtId="170" fontId="0" fillId="0" borderId="0" xfId="5" applyNumberFormat="1" applyFont="1" applyBorder="1" applyAlignment="1">
      <alignment horizontal="center" vertical="top"/>
    </xf>
    <xf numFmtId="0" fontId="0" fillId="0" borderId="45" xfId="0" applyBorder="1" applyAlignment="1">
      <alignment horizontal="center" wrapText="1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170" fontId="0" fillId="0" borderId="46" xfId="5" applyNumberFormat="1" applyFont="1" applyBorder="1" applyAlignment="1">
      <alignment horizontal="center" vertical="top"/>
    </xf>
    <xf numFmtId="0" fontId="0" fillId="0" borderId="18" xfId="0" applyBorder="1" applyAlignment="1">
      <alignment horizontal="center" wrapText="1"/>
    </xf>
    <xf numFmtId="3" fontId="0" fillId="0" borderId="21" xfId="0" applyNumberFormat="1" applyBorder="1" applyAlignment="1">
      <alignment horizontal="center" wrapText="1"/>
    </xf>
    <xf numFmtId="3" fontId="0" fillId="0" borderId="19" xfId="0" applyNumberFormat="1" applyBorder="1" applyAlignment="1">
      <alignment horizontal="center" wrapText="1"/>
    </xf>
    <xf numFmtId="3" fontId="0" fillId="0" borderId="18" xfId="0" applyNumberFormat="1" applyBorder="1" applyAlignment="1">
      <alignment horizontal="center" wrapText="1"/>
    </xf>
    <xf numFmtId="170" fontId="0" fillId="0" borderId="21" xfId="0" applyNumberFormat="1" applyBorder="1" applyAlignment="1">
      <alignment horizontal="center" vertical="top" wrapText="1"/>
    </xf>
    <xf numFmtId="3" fontId="0" fillId="0" borderId="21" xfId="0" applyNumberFormat="1" applyBorder="1" applyAlignment="1">
      <alignment horizontal="center" vertical="top" wrapText="1"/>
    </xf>
    <xf numFmtId="3" fontId="0" fillId="0" borderId="19" xfId="0" applyNumberFormat="1" applyBorder="1" applyAlignment="1">
      <alignment horizontal="center" vertical="top" wrapText="1"/>
    </xf>
    <xf numFmtId="0" fontId="0" fillId="16" borderId="23" xfId="0" applyFill="1" applyBorder="1" applyAlignment="1">
      <alignment horizontal="center" vertical="center" wrapText="1"/>
    </xf>
    <xf numFmtId="9" fontId="0" fillId="0" borderId="16" xfId="5" applyFont="1" applyBorder="1" applyAlignment="1">
      <alignment horizontal="center" vertical="top"/>
    </xf>
    <xf numFmtId="9" fontId="0" fillId="0" borderId="20" xfId="5" applyFont="1" applyBorder="1" applyAlignment="1">
      <alignment horizontal="center" vertical="top"/>
    </xf>
    <xf numFmtId="9" fontId="0" fillId="0" borderId="45" xfId="5" applyFont="1" applyBorder="1" applyAlignment="1">
      <alignment horizontal="center" vertical="top"/>
    </xf>
    <xf numFmtId="9" fontId="0" fillId="0" borderId="18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wrapText="1"/>
    </xf>
    <xf numFmtId="0" fontId="0" fillId="14" borderId="30" xfId="0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1" fillId="0" borderId="49" xfId="0" applyFont="1" applyBorder="1" applyAlignment="1">
      <alignment horizontal="center" wrapText="1"/>
    </xf>
    <xf numFmtId="9" fontId="8" fillId="0" borderId="2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 wrapText="1"/>
    </xf>
    <xf numFmtId="9" fontId="0" fillId="14" borderId="29" xfId="0" applyNumberFormat="1" applyFill="1" applyBorder="1" applyAlignment="1">
      <alignment horizontal="center"/>
    </xf>
    <xf numFmtId="9" fontId="0" fillId="14" borderId="48" xfId="0" applyNumberFormat="1" applyFill="1" applyBorder="1" applyAlignment="1">
      <alignment horizontal="center"/>
    </xf>
    <xf numFmtId="0" fontId="8" fillId="0" borderId="28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14" borderId="32" xfId="0" applyFill="1" applyBorder="1" applyAlignment="1">
      <alignment horizontal="right"/>
    </xf>
    <xf numFmtId="0" fontId="0" fillId="14" borderId="51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34" xfId="0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9" fontId="0" fillId="14" borderId="34" xfId="0" applyNumberForma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0" fillId="0" borderId="1" xfId="0" quotePrefix="1" applyBorder="1"/>
    <xf numFmtId="14" fontId="0" fillId="0" borderId="1" xfId="0" applyNumberFormat="1" applyBorder="1"/>
    <xf numFmtId="0" fontId="1" fillId="0" borderId="27" xfId="0" applyFont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9" fontId="0" fillId="0" borderId="2" xfId="0" applyNumberFormat="1" applyBorder="1"/>
    <xf numFmtId="14" fontId="0" fillId="0" borderId="29" xfId="0" applyNumberFormat="1" applyBorder="1"/>
    <xf numFmtId="14" fontId="0" fillId="0" borderId="2" xfId="0" applyNumberFormat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2" fontId="2" fillId="9" borderId="35" xfId="0" applyNumberFormat="1" applyFont="1" applyFill="1" applyBorder="1" applyAlignment="1">
      <alignment horizontal="center" vertical="center"/>
    </xf>
    <xf numFmtId="2" fontId="2" fillId="9" borderId="36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0" fontId="15" fillId="0" borderId="55" xfId="0" applyFont="1" applyBorder="1" applyAlignment="1">
      <alignment vertical="center" wrapText="1"/>
    </xf>
    <xf numFmtId="0" fontId="15" fillId="0" borderId="52" xfId="0" applyFont="1" applyBorder="1" applyAlignment="1">
      <alignment horizontal="left" vertical="center" wrapText="1" indent="1"/>
    </xf>
    <xf numFmtId="3" fontId="15" fillId="0" borderId="53" xfId="0" applyNumberFormat="1" applyFont="1" applyBorder="1" applyAlignment="1">
      <alignment horizontal="left" vertical="center" wrapText="1" indent="1"/>
    </xf>
    <xf numFmtId="0" fontId="15" fillId="0" borderId="54" xfId="0" applyFont="1" applyBorder="1" applyAlignment="1">
      <alignment horizontal="left" vertical="center" wrapText="1" indent="1"/>
    </xf>
    <xf numFmtId="3" fontId="15" fillId="0" borderId="55" xfId="0" applyNumberFormat="1" applyFont="1" applyBorder="1" applyAlignment="1">
      <alignment horizontal="left" vertical="center" wrapText="1" indent="1"/>
    </xf>
    <xf numFmtId="3" fontId="15" fillId="0" borderId="54" xfId="0" applyNumberFormat="1" applyFont="1" applyBorder="1" applyAlignment="1">
      <alignment horizontal="left" vertical="center" wrapText="1" indent="1"/>
    </xf>
    <xf numFmtId="3" fontId="15" fillId="0" borderId="54" xfId="0" applyNumberFormat="1" applyFont="1" applyBorder="1" applyAlignment="1">
      <alignment vertical="center" wrapText="1"/>
    </xf>
  </cellXfs>
  <cellStyles count="6">
    <cellStyle name="Comma" xfId="3" builtinId="3"/>
    <cellStyle name="Comma 2 2" xfId="4" xr:uid="{E970D3D5-4493-4F22-BB25-3D8CBA73CBE9}"/>
    <cellStyle name="Hyperlink" xfId="2" builtinId="8"/>
    <cellStyle name="Normal" xfId="0" builtinId="0"/>
    <cellStyle name="Normal 2" xfId="1" xr:uid="{00000000-0005-0000-0000-000001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ural-water-supply.net/en/implementation/public-domain-handpumps/bush-pump" TargetMode="External"/><Relationship Id="rId1" Type="http://schemas.openxmlformats.org/officeDocument/2006/relationships/hyperlink" Target="https://www.rural-water-supply.net/en/implementation/public-domain-handpumps/bush-pum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0"/>
  <sheetViews>
    <sheetView topLeftCell="D1" zoomScaleNormal="100" workbookViewId="0">
      <selection activeCell="G3" sqref="G3"/>
    </sheetView>
  </sheetViews>
  <sheetFormatPr defaultRowHeight="14.5"/>
  <cols>
    <col min="2" max="2" width="8.26953125" bestFit="1" customWidth="1"/>
    <col min="3" max="3" width="9.54296875" bestFit="1" customWidth="1"/>
    <col min="4" max="4" width="19.26953125" bestFit="1" customWidth="1"/>
    <col min="5" max="5" width="10.7265625" customWidth="1"/>
    <col min="6" max="6" width="10.1796875" customWidth="1"/>
    <col min="7" max="7" width="11.453125" customWidth="1"/>
    <col min="8" max="8" width="10.453125" customWidth="1"/>
    <col min="10" max="10" width="10.453125" bestFit="1" customWidth="1"/>
    <col min="11" max="11" width="8.1796875" bestFit="1" customWidth="1"/>
    <col min="12" max="12" width="12.81640625" bestFit="1" customWidth="1"/>
    <col min="13" max="13" width="5.54296875" bestFit="1" customWidth="1"/>
    <col min="14" max="14" width="10.453125" bestFit="1" customWidth="1"/>
    <col min="15" max="15" width="10.7265625" customWidth="1"/>
    <col min="16" max="16" width="9.1796875" bestFit="1" customWidth="1"/>
  </cols>
  <sheetData>
    <row r="1" spans="2:16" ht="15" thickBot="1"/>
    <row r="2" spans="2:16" ht="15" thickBot="1">
      <c r="B2" s="205" t="s">
        <v>227</v>
      </c>
      <c r="C2" s="206"/>
      <c r="D2" s="206"/>
      <c r="E2" s="206"/>
      <c r="F2" s="206"/>
      <c r="G2" s="206"/>
      <c r="H2" s="207"/>
      <c r="I2" s="62"/>
      <c r="J2" s="208" t="s">
        <v>228</v>
      </c>
      <c r="K2" s="209"/>
      <c r="L2" s="209"/>
      <c r="M2" s="209"/>
      <c r="N2" s="209"/>
      <c r="O2" s="209"/>
      <c r="P2" s="210"/>
    </row>
    <row r="3" spans="2:16" ht="29.5" thickBot="1">
      <c r="B3" s="133" t="s">
        <v>57</v>
      </c>
      <c r="C3" s="134" t="s">
        <v>220</v>
      </c>
      <c r="D3" s="134" t="s">
        <v>244</v>
      </c>
      <c r="E3" s="169" t="s">
        <v>221</v>
      </c>
      <c r="F3" s="135" t="s">
        <v>222</v>
      </c>
      <c r="G3" s="136" t="s">
        <v>223</v>
      </c>
      <c r="H3" s="137" t="s">
        <v>224</v>
      </c>
      <c r="I3" s="138"/>
      <c r="J3" s="139" t="s">
        <v>233</v>
      </c>
      <c r="K3" s="140" t="s">
        <v>234</v>
      </c>
      <c r="L3" s="141" t="s">
        <v>229</v>
      </c>
      <c r="M3" s="141" t="s">
        <v>184</v>
      </c>
      <c r="N3" s="142" t="s">
        <v>225</v>
      </c>
      <c r="O3" s="143" t="s">
        <v>226</v>
      </c>
      <c r="P3" s="144" t="s">
        <v>58</v>
      </c>
    </row>
    <row r="4" spans="2:16">
      <c r="B4" s="145" t="s">
        <v>69</v>
      </c>
      <c r="C4" s="146">
        <f>'All VPAs'!P$32</f>
        <v>864</v>
      </c>
      <c r="D4" s="146">
        <f>'All VPAs'!Z$32</f>
        <v>1717</v>
      </c>
      <c r="E4" s="146">
        <f>'All VPAs'!E$32</f>
        <v>2581</v>
      </c>
      <c r="F4" s="148">
        <f>'Uncapped Emissions'!O$32</f>
        <v>1194</v>
      </c>
      <c r="G4" s="149">
        <f>'Uncapped Emissions'!Y$32</f>
        <v>2386</v>
      </c>
      <c r="H4" s="150">
        <f>'Uncapped Emissions'!E$32</f>
        <v>3580</v>
      </c>
      <c r="I4" s="62"/>
      <c r="J4" s="170">
        <f>'SDG Impacts'!D8</f>
        <v>1</v>
      </c>
      <c r="K4" s="151">
        <f>'SDG Impacts'!D13</f>
        <v>0.47500000000000003</v>
      </c>
      <c r="L4" s="152">
        <f>'SDG Impacts'!D19</f>
        <v>1217.1936000000001</v>
      </c>
      <c r="M4" s="152">
        <f>'Total PTDs'!M10</f>
        <v>1239</v>
      </c>
      <c r="N4" s="152">
        <f>'Total PTDs'!L10</f>
        <v>1414</v>
      </c>
      <c r="O4" s="152">
        <f>'Total PTDs'!W10</f>
        <v>515122</v>
      </c>
      <c r="P4" s="153">
        <f>'Total PTDs'!T10</f>
        <v>451422</v>
      </c>
    </row>
    <row r="5" spans="2:16">
      <c r="B5" s="154" t="s">
        <v>70</v>
      </c>
      <c r="C5" s="146">
        <f>'All VPAs'!Q$32</f>
        <v>900</v>
      </c>
      <c r="D5" s="146">
        <f>'All VPAs'!AA$32</f>
        <v>1786</v>
      </c>
      <c r="E5" s="146">
        <f>'All VPAs'!F$32</f>
        <v>2686</v>
      </c>
      <c r="F5" s="155">
        <f>'Uncapped Emissions'!P$32</f>
        <v>1243</v>
      </c>
      <c r="G5" s="146">
        <f>'Uncapped Emissions'!Z$32</f>
        <v>2481</v>
      </c>
      <c r="H5" s="147">
        <f>'Uncapped Emissions'!F$32</f>
        <v>3724</v>
      </c>
      <c r="I5" s="62"/>
      <c r="J5" s="171">
        <f>'SDG Impacts'!D30</f>
        <v>1</v>
      </c>
      <c r="K5" s="156">
        <f>'SDG Impacts'!D35</f>
        <v>0.47500000000000003</v>
      </c>
      <c r="L5" s="146">
        <f>'SDG Impacts'!D41</f>
        <v>1167.0912000000001</v>
      </c>
      <c r="M5" s="146">
        <f>'Total PTDs'!M17</f>
        <v>1188</v>
      </c>
      <c r="N5" s="146">
        <f>'Total PTDs'!L17</f>
        <v>1472</v>
      </c>
      <c r="O5" s="146">
        <f>'Total PTDs'!W17</f>
        <v>535808</v>
      </c>
      <c r="P5" s="147">
        <f>'Total PTDs'!T17</f>
        <v>432432</v>
      </c>
    </row>
    <row r="6" spans="2:16">
      <c r="B6" s="154" t="s">
        <v>78</v>
      </c>
      <c r="C6" s="146">
        <f>'All VPAs'!R$32</f>
        <v>940</v>
      </c>
      <c r="D6" s="146">
        <f>'All VPAs'!AB$32</f>
        <v>1865</v>
      </c>
      <c r="E6" s="146">
        <f>'All VPAs'!G$32</f>
        <v>2805</v>
      </c>
      <c r="F6" s="155">
        <f>'Uncapped Emissions'!Q$32</f>
        <v>1298</v>
      </c>
      <c r="G6" s="146">
        <f>'Uncapped Emissions'!AA$32</f>
        <v>2592</v>
      </c>
      <c r="H6" s="147">
        <f>'Uncapped Emissions'!G$32</f>
        <v>3890</v>
      </c>
      <c r="I6" s="62"/>
      <c r="J6" s="171">
        <f>'SDG Impacts'!D53</f>
        <v>1</v>
      </c>
      <c r="K6" s="156">
        <f>'SDG Impacts'!D58</f>
        <v>0.47500000000000003</v>
      </c>
      <c r="L6" s="146">
        <f>'SDG Impacts'!D64</f>
        <v>1202.4576</v>
      </c>
      <c r="M6" s="146">
        <f>'Total PTDs'!M24</f>
        <v>1224</v>
      </c>
      <c r="N6" s="146">
        <f>'Total PTDs'!L24</f>
        <v>1538</v>
      </c>
      <c r="O6" s="146">
        <f>'Total PTDs'!W24</f>
        <v>559787</v>
      </c>
      <c r="P6" s="147">
        <f>'Total PTDs'!T24</f>
        <v>445536</v>
      </c>
    </row>
    <row r="7" spans="2:16">
      <c r="B7" s="154" t="s">
        <v>85</v>
      </c>
      <c r="C7" s="146">
        <f>'All VPAs'!S$32</f>
        <v>1113</v>
      </c>
      <c r="D7" s="146">
        <f>'All VPAs'!AC$32</f>
        <v>2196</v>
      </c>
      <c r="E7" s="146">
        <f>'All VPAs'!H$32</f>
        <v>3309</v>
      </c>
      <c r="F7" s="155">
        <f>'Uncapped Emissions'!R$32</f>
        <v>1537</v>
      </c>
      <c r="G7" s="146">
        <f>'Uncapped Emissions'!AB$32</f>
        <v>3051</v>
      </c>
      <c r="H7" s="147">
        <f>'Uncapped Emissions'!H$32</f>
        <v>4588</v>
      </c>
      <c r="I7" s="62"/>
      <c r="J7" s="171">
        <f>'SDG Impacts'!D76</f>
        <v>1</v>
      </c>
      <c r="K7" s="156">
        <f>'SDG Impacts'!D81</f>
        <v>0.47500000000000003</v>
      </c>
      <c r="L7" s="146">
        <f>'SDG Impacts'!D87</f>
        <v>1250.5952</v>
      </c>
      <c r="M7" s="146">
        <f>'Total PTDs'!M31</f>
        <v>1273</v>
      </c>
      <c r="N7" s="146">
        <f>'Total PTDs'!L31</f>
        <v>1821</v>
      </c>
      <c r="O7" s="146">
        <f>'Total PTDs'!W31</f>
        <v>660181.80000000005</v>
      </c>
      <c r="P7" s="147">
        <f>'Total PTDs'!T31</f>
        <v>461842</v>
      </c>
    </row>
    <row r="8" spans="2:16">
      <c r="B8" s="154" t="s">
        <v>95</v>
      </c>
      <c r="C8" s="146">
        <f>'All VPAs'!T$32</f>
        <v>1824</v>
      </c>
      <c r="D8" s="146">
        <f>'All VPAs'!AD$32</f>
        <v>3585</v>
      </c>
      <c r="E8" s="146">
        <f>'All VPAs'!I$32</f>
        <v>5409</v>
      </c>
      <c r="F8" s="155">
        <f>'Uncapped Emissions'!S$32</f>
        <v>2519</v>
      </c>
      <c r="G8" s="146">
        <f>'Uncapped Emissions'!AC$32</f>
        <v>4981</v>
      </c>
      <c r="H8" s="147">
        <f>'Uncapped Emissions'!I$32</f>
        <v>7500</v>
      </c>
      <c r="I8" s="62"/>
      <c r="J8" s="171">
        <f>'SDG Impacts'!D99</f>
        <v>1</v>
      </c>
      <c r="K8" s="156">
        <f>'SDG Impacts'!D104</f>
        <v>0.47500000000000003</v>
      </c>
      <c r="L8" s="146">
        <f>'SDG Impacts'!D110</f>
        <v>1473.6000000000001</v>
      </c>
      <c r="M8" s="146">
        <f>'Total PTDs'!M38</f>
        <v>1500</v>
      </c>
      <c r="N8" s="146">
        <f>'Total PTDs'!L38</f>
        <v>2983</v>
      </c>
      <c r="O8" s="146">
        <f>'Total PTDs'!W38</f>
        <v>1079133</v>
      </c>
      <c r="P8" s="147">
        <f>'Total PTDs'!T38</f>
        <v>541500</v>
      </c>
    </row>
    <row r="9" spans="2:16" ht="15" thickBot="1">
      <c r="B9" s="157" t="s">
        <v>103</v>
      </c>
      <c r="C9" s="158">
        <f>'All VPAs'!U$32</f>
        <v>1234</v>
      </c>
      <c r="D9" s="158">
        <f>'All VPAs'!AE$32</f>
        <v>2447</v>
      </c>
      <c r="E9" s="158">
        <f>'All VPAs'!J$32</f>
        <v>3681</v>
      </c>
      <c r="F9" s="160">
        <f>'Uncapped Emissions'!T$32</f>
        <v>1704</v>
      </c>
      <c r="G9" s="158">
        <f>'Uncapped Emissions'!AD$32</f>
        <v>3400</v>
      </c>
      <c r="H9" s="159">
        <f>'Uncapped Emissions'!J$32</f>
        <v>5104</v>
      </c>
      <c r="I9" s="62"/>
      <c r="J9" s="172">
        <f>'SDG Impacts'!D122</f>
        <v>1</v>
      </c>
      <c r="K9" s="161">
        <f>'SDG Impacts'!D127</f>
        <v>0.47500000000000003</v>
      </c>
      <c r="L9" s="158">
        <f>'SDG Impacts'!D133</f>
        <v>1370.4480000000001</v>
      </c>
      <c r="M9" s="158">
        <f>'Total PTDs'!M45</f>
        <v>1395</v>
      </c>
      <c r="N9" s="158">
        <f>'Total PTDs'!L45</f>
        <v>2018</v>
      </c>
      <c r="O9" s="158">
        <f>'Total PTDs'!W45</f>
        <v>734357</v>
      </c>
      <c r="P9" s="159">
        <f>'Total PTDs'!T45</f>
        <v>507585</v>
      </c>
    </row>
    <row r="10" spans="2:16" ht="15.5" thickTop="1" thickBot="1">
      <c r="B10" s="162">
        <f>COUNTA(B4:B9)</f>
        <v>6</v>
      </c>
      <c r="C10" s="163">
        <f t="shared" ref="C10:H10" si="0">SUM(C4:C9)</f>
        <v>6875</v>
      </c>
      <c r="D10" s="163">
        <f t="shared" si="0"/>
        <v>13596</v>
      </c>
      <c r="E10" s="163">
        <f t="shared" si="0"/>
        <v>20471</v>
      </c>
      <c r="F10" s="165">
        <f t="shared" si="0"/>
        <v>9495</v>
      </c>
      <c r="G10" s="163">
        <f t="shared" si="0"/>
        <v>18891</v>
      </c>
      <c r="H10" s="164">
        <f t="shared" si="0"/>
        <v>28386</v>
      </c>
      <c r="I10" s="62"/>
      <c r="J10" s="173">
        <f>AVERAGE(J4:J9)</f>
        <v>1</v>
      </c>
      <c r="K10" s="166">
        <f>AVERAGE(K4:K9)</f>
        <v>0.47500000000000003</v>
      </c>
      <c r="L10" s="167">
        <f>SUM(L4:L9)</f>
        <v>7681.3856000000005</v>
      </c>
      <c r="M10" s="167">
        <f>SUM(M4:M9)</f>
        <v>7819</v>
      </c>
      <c r="N10" s="167">
        <f>SUM(N4:N9)</f>
        <v>11246</v>
      </c>
      <c r="O10" s="167">
        <f>SUM(O4:O9)</f>
        <v>4084388.8</v>
      </c>
      <c r="P10" s="168">
        <f>SUM(P4:P9)</f>
        <v>2840317</v>
      </c>
    </row>
    <row r="14" spans="2:16">
      <c r="B14" s="174"/>
      <c r="C14" s="4"/>
      <c r="D14" s="4"/>
      <c r="E14" s="175"/>
      <c r="F14" s="4"/>
      <c r="G14" s="4"/>
      <c r="H14" s="4"/>
    </row>
    <row r="15" spans="2:16">
      <c r="B15" s="176"/>
      <c r="C15" s="4"/>
      <c r="D15" s="4"/>
      <c r="E15" s="175"/>
      <c r="F15" s="4"/>
      <c r="G15" s="4"/>
      <c r="H15" s="4"/>
    </row>
    <row r="16" spans="2:16">
      <c r="B16" s="176"/>
      <c r="C16" s="4"/>
      <c r="D16" s="4"/>
      <c r="E16" s="175"/>
      <c r="F16" s="4"/>
      <c r="G16" s="4"/>
      <c r="H16" s="4"/>
    </row>
    <row r="17" spans="2:8">
      <c r="B17" s="176"/>
      <c r="C17" s="4"/>
      <c r="D17" s="4"/>
      <c r="E17" s="175"/>
      <c r="F17" s="4"/>
      <c r="G17" s="4"/>
      <c r="H17" s="4"/>
    </row>
    <row r="18" spans="2:8">
      <c r="B18" s="176"/>
      <c r="C18" s="4"/>
      <c r="D18" s="4"/>
      <c r="E18" s="175"/>
      <c r="F18" s="4"/>
      <c r="G18" s="4"/>
      <c r="H18" s="4"/>
    </row>
    <row r="19" spans="2:8">
      <c r="B19" s="176"/>
      <c r="C19" s="4"/>
      <c r="D19" s="4"/>
      <c r="E19" s="175"/>
      <c r="F19" s="4"/>
      <c r="G19" s="4"/>
      <c r="H19" s="4"/>
    </row>
    <row r="20" spans="2:8">
      <c r="C20" s="4"/>
      <c r="D20" s="4"/>
      <c r="E20" s="4"/>
      <c r="F20" s="4"/>
      <c r="G20" s="4"/>
      <c r="H20" s="4"/>
    </row>
  </sheetData>
  <mergeCells count="2">
    <mergeCell ref="B2:H2"/>
    <mergeCell ref="J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293"/>
  <sheetViews>
    <sheetView zoomScale="60" zoomScaleNormal="6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T5" sqref="T5"/>
    </sheetView>
  </sheetViews>
  <sheetFormatPr defaultColWidth="9.1796875" defaultRowHeight="14.5"/>
  <cols>
    <col min="1" max="1" width="2" style="67" customWidth="1"/>
    <col min="2" max="3" width="15.7265625" style="64" customWidth="1"/>
    <col min="4" max="6" width="11.7265625" style="64" customWidth="1"/>
    <col min="7" max="7" width="14" style="67" customWidth="1"/>
    <col min="8" max="8" width="18.7265625" style="67" bestFit="1" customWidth="1"/>
    <col min="9" max="9" width="10.1796875" style="67" customWidth="1"/>
    <col min="10" max="10" width="9.1796875" style="67" customWidth="1"/>
    <col min="11" max="11" width="9.26953125" style="64" customWidth="1"/>
    <col min="12" max="12" width="19.453125" style="64" customWidth="1"/>
    <col min="13" max="14" width="20.54296875" style="64" customWidth="1"/>
    <col min="15" max="15" width="18.26953125" style="64" bestFit="1" customWidth="1"/>
    <col min="16" max="16" width="18.26953125" style="64" customWidth="1"/>
    <col min="17" max="17" width="17.54296875" style="64" bestFit="1" customWidth="1"/>
    <col min="18" max="18" width="12" style="64" bestFit="1" customWidth="1"/>
    <col min="19" max="19" width="12.453125" style="64" bestFit="1" customWidth="1"/>
    <col min="20" max="20" width="12.26953125" style="64" customWidth="1"/>
    <col min="21" max="21" width="13.81640625" style="64" customWidth="1"/>
    <col min="22" max="22" width="13.453125" style="64" customWidth="1"/>
    <col min="23" max="25" width="14.453125" style="64" customWidth="1"/>
    <col min="26" max="26" width="3.26953125" style="67" customWidth="1"/>
    <col min="27" max="27" width="16.1796875" bestFit="1" customWidth="1"/>
    <col min="28" max="28" width="11.453125" bestFit="1" customWidth="1"/>
    <col min="30" max="16384" width="9.1796875" style="67"/>
  </cols>
  <sheetData>
    <row r="1" spans="2:29" ht="15" thickBot="1"/>
    <row r="2" spans="2:29" ht="15" customHeight="1" thickBot="1">
      <c r="B2" s="211" t="s">
        <v>203</v>
      </c>
      <c r="C2" s="212"/>
      <c r="D2" s="212"/>
      <c r="E2" s="212"/>
      <c r="F2" s="212"/>
      <c r="G2" s="212"/>
      <c r="H2" s="212"/>
      <c r="I2" s="212"/>
      <c r="J2" s="212"/>
      <c r="K2" s="212"/>
      <c r="L2" s="211" t="s">
        <v>204</v>
      </c>
      <c r="M2" s="213"/>
      <c r="N2" s="211" t="s">
        <v>205</v>
      </c>
      <c r="O2" s="212"/>
      <c r="P2" s="212"/>
      <c r="Q2" s="212"/>
      <c r="R2" s="212"/>
      <c r="S2" s="212"/>
      <c r="T2" s="212"/>
      <c r="U2" s="212"/>
      <c r="V2" s="212"/>
      <c r="W2" s="212"/>
      <c r="X2" s="211" t="s">
        <v>237</v>
      </c>
      <c r="Y2" s="213"/>
      <c r="AA2" s="67"/>
      <c r="AB2" s="67"/>
      <c r="AC2" s="67"/>
    </row>
    <row r="3" spans="2:29" ht="39.5">
      <c r="B3" s="77" t="s">
        <v>0</v>
      </c>
      <c r="C3" s="78" t="s">
        <v>143</v>
      </c>
      <c r="D3" s="78" t="s">
        <v>1</v>
      </c>
      <c r="E3" s="79" t="s">
        <v>180</v>
      </c>
      <c r="F3" s="78" t="s">
        <v>179</v>
      </c>
      <c r="G3" s="78" t="s">
        <v>2</v>
      </c>
      <c r="H3" s="78" t="s">
        <v>3</v>
      </c>
      <c r="I3" s="79" t="s">
        <v>4</v>
      </c>
      <c r="J3" s="79" t="s">
        <v>5</v>
      </c>
      <c r="K3" s="111" t="s">
        <v>6</v>
      </c>
      <c r="L3" s="112" t="s">
        <v>201</v>
      </c>
      <c r="M3" s="117" t="s">
        <v>183</v>
      </c>
      <c r="N3" s="112" t="s">
        <v>216</v>
      </c>
      <c r="O3" s="78" t="s">
        <v>246</v>
      </c>
      <c r="P3" s="80" t="s">
        <v>247</v>
      </c>
      <c r="Q3" s="78" t="s">
        <v>248</v>
      </c>
      <c r="R3" s="78" t="s">
        <v>206</v>
      </c>
      <c r="S3" s="78" t="s">
        <v>249</v>
      </c>
      <c r="T3" s="78" t="s">
        <v>7</v>
      </c>
      <c r="U3" s="78" t="s">
        <v>207</v>
      </c>
      <c r="V3" s="78" t="s">
        <v>208</v>
      </c>
      <c r="W3" s="111" t="s">
        <v>209</v>
      </c>
      <c r="X3" s="182" t="s">
        <v>235</v>
      </c>
      <c r="Y3" s="180" t="s">
        <v>236</v>
      </c>
      <c r="AC3" s="67"/>
    </row>
    <row r="4" spans="2:29" ht="15" thickBot="1">
      <c r="B4" s="89" t="s">
        <v>69</v>
      </c>
      <c r="C4" s="84"/>
      <c r="D4" s="84"/>
      <c r="E4" s="84"/>
      <c r="F4" s="84"/>
      <c r="G4" s="84"/>
      <c r="H4" s="84"/>
      <c r="I4" s="84"/>
      <c r="J4" s="84"/>
      <c r="K4" s="113"/>
      <c r="L4" s="118"/>
      <c r="M4" s="90"/>
      <c r="N4" s="118"/>
      <c r="O4" s="84"/>
      <c r="P4" s="84"/>
      <c r="Q4" s="84"/>
      <c r="R4" s="86"/>
      <c r="S4" s="86"/>
      <c r="T4" s="86"/>
      <c r="U4" s="86"/>
      <c r="V4" s="86"/>
      <c r="W4" s="113"/>
      <c r="X4" s="118"/>
      <c r="Y4" s="90"/>
      <c r="AC4" s="67"/>
    </row>
    <row r="5" spans="2:29" ht="13">
      <c r="B5" s="81" t="s">
        <v>165</v>
      </c>
      <c r="C5" s="63" t="s">
        <v>59</v>
      </c>
      <c r="D5" s="70">
        <v>43271</v>
      </c>
      <c r="E5" s="70">
        <v>43272</v>
      </c>
      <c r="F5" s="70">
        <f>$AB$5</f>
        <v>44440</v>
      </c>
      <c r="G5" s="63" t="s">
        <v>64</v>
      </c>
      <c r="H5" s="71" t="s">
        <v>202</v>
      </c>
      <c r="I5" s="72">
        <v>-20.4359</v>
      </c>
      <c r="J5" s="72">
        <v>32.294550000000001</v>
      </c>
      <c r="K5" s="114" t="s">
        <v>8</v>
      </c>
      <c r="L5" s="119">
        <v>475</v>
      </c>
      <c r="M5" s="82">
        <f>IF(L5&gt;300,300,L5)</f>
        <v>300</v>
      </c>
      <c r="N5" s="119">
        <v>0</v>
      </c>
      <c r="O5" s="71">
        <f>$AB$7-F5-N5+1</f>
        <v>122</v>
      </c>
      <c r="P5" s="71">
        <v>1</v>
      </c>
      <c r="Q5" s="71">
        <f>$AB$6-$AB$8-P5+1</f>
        <v>242</v>
      </c>
      <c r="R5" s="71">
        <f>M5*O5</f>
        <v>36600</v>
      </c>
      <c r="S5" s="71">
        <f>M5*Q5</f>
        <v>72600</v>
      </c>
      <c r="T5" s="71">
        <f>SUM(R5:S5)</f>
        <v>109200</v>
      </c>
      <c r="U5" s="71">
        <f>L5*O5</f>
        <v>57950</v>
      </c>
      <c r="V5" s="71">
        <f>L5*Q5</f>
        <v>114950</v>
      </c>
      <c r="W5" s="114">
        <f>SUM(U5:V5)</f>
        <v>172900</v>
      </c>
      <c r="X5" s="119">
        <f>N5+P5</f>
        <v>1</v>
      </c>
      <c r="Y5" s="181">
        <f>X5/($AB$6-$AB$5+1)</f>
        <v>2.7397260273972603E-3</v>
      </c>
      <c r="AA5" s="121" t="s">
        <v>179</v>
      </c>
      <c r="AB5" s="122">
        <v>44440</v>
      </c>
      <c r="AC5" s="67"/>
    </row>
    <row r="6" spans="2:29" ht="13">
      <c r="B6" s="81" t="s">
        <v>167</v>
      </c>
      <c r="C6" s="63" t="s">
        <v>60</v>
      </c>
      <c r="D6" s="70">
        <v>43288</v>
      </c>
      <c r="E6" s="70">
        <v>43289</v>
      </c>
      <c r="F6" s="70">
        <f>$AB$5</f>
        <v>44440</v>
      </c>
      <c r="G6" s="63" t="s">
        <v>65</v>
      </c>
      <c r="H6" s="71" t="s">
        <v>202</v>
      </c>
      <c r="I6" s="73">
        <v>-20.366900000000001</v>
      </c>
      <c r="J6" s="73">
        <v>32.763300000000001</v>
      </c>
      <c r="K6" s="114" t="s">
        <v>8</v>
      </c>
      <c r="L6" s="119">
        <v>297</v>
      </c>
      <c r="M6" s="82">
        <f t="shared" ref="M6:M9" si="0">IF(L6&gt;300,300,L6)</f>
        <v>297</v>
      </c>
      <c r="N6" s="119">
        <v>0</v>
      </c>
      <c r="O6" s="71">
        <f t="shared" ref="O6:O9" si="1">$AB$7-F6-N6+1</f>
        <v>122</v>
      </c>
      <c r="P6" s="71">
        <v>1</v>
      </c>
      <c r="Q6" s="71">
        <f t="shared" ref="Q6:Q9" si="2">$AB$6-$AB$8-P6+1</f>
        <v>242</v>
      </c>
      <c r="R6" s="71">
        <f>M6*O6</f>
        <v>36234</v>
      </c>
      <c r="S6" s="71">
        <f>M6*Q6</f>
        <v>71874</v>
      </c>
      <c r="T6" s="71">
        <f>SUM(R6:S6)</f>
        <v>108108</v>
      </c>
      <c r="U6" s="71">
        <f>L6*O6</f>
        <v>36234</v>
      </c>
      <c r="V6" s="71">
        <f>L6*Q6</f>
        <v>71874</v>
      </c>
      <c r="W6" s="114">
        <f>SUM(U6:V6)</f>
        <v>108108</v>
      </c>
      <c r="X6" s="119">
        <f>N6+P6</f>
        <v>1</v>
      </c>
      <c r="Y6" s="181">
        <f t="shared" ref="Y6:Y9" si="3">X6/($AB$6-$AB$5+1)</f>
        <v>2.7397260273972603E-3</v>
      </c>
      <c r="AA6" s="98" t="s">
        <v>9</v>
      </c>
      <c r="AB6" s="96">
        <v>44804</v>
      </c>
      <c r="AC6" s="67"/>
    </row>
    <row r="7" spans="2:29" ht="13">
      <c r="B7" s="81" t="s">
        <v>171</v>
      </c>
      <c r="C7" s="63" t="s">
        <v>61</v>
      </c>
      <c r="D7" s="70">
        <v>43300</v>
      </c>
      <c r="E7" s="70">
        <v>43301</v>
      </c>
      <c r="F7" s="70">
        <f>$AB$5</f>
        <v>44440</v>
      </c>
      <c r="G7" s="63" t="s">
        <v>66</v>
      </c>
      <c r="H7" s="71" t="s">
        <v>202</v>
      </c>
      <c r="I7" s="73">
        <v>-20.509429999999998</v>
      </c>
      <c r="J7" s="73">
        <v>32.245539999999998</v>
      </c>
      <c r="K7" s="114" t="s">
        <v>8</v>
      </c>
      <c r="L7" s="119">
        <v>216</v>
      </c>
      <c r="M7" s="82">
        <f t="shared" si="0"/>
        <v>216</v>
      </c>
      <c r="N7" s="119">
        <v>0</v>
      </c>
      <c r="O7" s="71">
        <f t="shared" si="1"/>
        <v>122</v>
      </c>
      <c r="P7" s="71">
        <v>1</v>
      </c>
      <c r="Q7" s="71">
        <f t="shared" si="2"/>
        <v>242</v>
      </c>
      <c r="R7" s="71">
        <f>M7*O7</f>
        <v>26352</v>
      </c>
      <c r="S7" s="71">
        <f>M7*Q7</f>
        <v>52272</v>
      </c>
      <c r="T7" s="71">
        <f>SUM(R7:S7)</f>
        <v>78624</v>
      </c>
      <c r="U7" s="71">
        <f>L7*O7</f>
        <v>26352</v>
      </c>
      <c r="V7" s="71">
        <f>L7*Q7</f>
        <v>52272</v>
      </c>
      <c r="W7" s="114">
        <f>SUM(U7:V7)</f>
        <v>78624</v>
      </c>
      <c r="X7" s="119">
        <f>N7+P7</f>
        <v>1</v>
      </c>
      <c r="Y7" s="181">
        <f t="shared" si="3"/>
        <v>2.7397260273972603E-3</v>
      </c>
      <c r="AA7" s="98" t="s">
        <v>242</v>
      </c>
      <c r="AB7" s="96">
        <v>44561</v>
      </c>
      <c r="AC7" s="67"/>
    </row>
    <row r="8" spans="2:29" ht="13.5" thickBot="1">
      <c r="B8" s="81" t="s">
        <v>168</v>
      </c>
      <c r="C8" s="63" t="s">
        <v>62</v>
      </c>
      <c r="D8" s="70">
        <v>43289</v>
      </c>
      <c r="E8" s="70">
        <v>43290</v>
      </c>
      <c r="F8" s="70">
        <f>$AB$5</f>
        <v>44440</v>
      </c>
      <c r="G8" s="63" t="s">
        <v>67</v>
      </c>
      <c r="H8" s="71" t="s">
        <v>202</v>
      </c>
      <c r="I8" s="73">
        <v>-20.34121</v>
      </c>
      <c r="J8" s="73">
        <v>32.27131</v>
      </c>
      <c r="K8" s="114" t="s">
        <v>8</v>
      </c>
      <c r="L8" s="119">
        <v>262</v>
      </c>
      <c r="M8" s="82">
        <f t="shared" si="0"/>
        <v>262</v>
      </c>
      <c r="N8" s="119">
        <v>0</v>
      </c>
      <c r="O8" s="71">
        <f t="shared" si="1"/>
        <v>122</v>
      </c>
      <c r="P8" s="71">
        <v>0</v>
      </c>
      <c r="Q8" s="71">
        <f t="shared" si="2"/>
        <v>243</v>
      </c>
      <c r="R8" s="71">
        <f>M8*O8</f>
        <v>31964</v>
      </c>
      <c r="S8" s="71">
        <f>M8*Q8</f>
        <v>63666</v>
      </c>
      <c r="T8" s="71">
        <f>SUM(R8:S8)</f>
        <v>95630</v>
      </c>
      <c r="U8" s="71">
        <f>L8*O8</f>
        <v>31964</v>
      </c>
      <c r="V8" s="71">
        <f>L8*Q8</f>
        <v>63666</v>
      </c>
      <c r="W8" s="114">
        <f>SUM(U8:V8)</f>
        <v>95630</v>
      </c>
      <c r="X8" s="119">
        <f>N8+P8</f>
        <v>0</v>
      </c>
      <c r="Y8" s="181">
        <f t="shared" si="3"/>
        <v>0</v>
      </c>
      <c r="AA8" s="99" t="s">
        <v>243</v>
      </c>
      <c r="AB8" s="97">
        <v>44562</v>
      </c>
      <c r="AC8" s="67"/>
    </row>
    <row r="9" spans="2:29" ht="13">
      <c r="B9" s="81" t="s">
        <v>149</v>
      </c>
      <c r="C9" s="63" t="s">
        <v>63</v>
      </c>
      <c r="D9" s="70">
        <v>43278</v>
      </c>
      <c r="E9" s="70">
        <v>43279</v>
      </c>
      <c r="F9" s="70">
        <f>$AB$5</f>
        <v>44440</v>
      </c>
      <c r="G9" s="63" t="s">
        <v>68</v>
      </c>
      <c r="H9" s="71" t="s">
        <v>202</v>
      </c>
      <c r="I9" s="73">
        <v>-19.26193</v>
      </c>
      <c r="J9" s="73">
        <v>32.100969999999997</v>
      </c>
      <c r="K9" s="114" t="s">
        <v>8</v>
      </c>
      <c r="L9" s="119">
        <v>164</v>
      </c>
      <c r="M9" s="82">
        <f t="shared" si="0"/>
        <v>164</v>
      </c>
      <c r="N9" s="119">
        <v>0</v>
      </c>
      <c r="O9" s="71">
        <f t="shared" si="1"/>
        <v>122</v>
      </c>
      <c r="P9" s="71">
        <v>0</v>
      </c>
      <c r="Q9" s="71">
        <f t="shared" si="2"/>
        <v>243</v>
      </c>
      <c r="R9" s="71">
        <f>M9*O9</f>
        <v>20008</v>
      </c>
      <c r="S9" s="71">
        <f>M9*Q9</f>
        <v>39852</v>
      </c>
      <c r="T9" s="71">
        <f>SUM(R9:S9)</f>
        <v>59860</v>
      </c>
      <c r="U9" s="71">
        <f>L9*O9</f>
        <v>20008</v>
      </c>
      <c r="V9" s="71">
        <f>L9*Q9</f>
        <v>39852</v>
      </c>
      <c r="W9" s="114">
        <f>SUM(U9:V9)</f>
        <v>59860</v>
      </c>
      <c r="X9" s="119">
        <f>N9+P9</f>
        <v>0</v>
      </c>
      <c r="Y9" s="181">
        <f t="shared" si="3"/>
        <v>0</v>
      </c>
      <c r="AA9" s="67"/>
      <c r="AB9" s="67"/>
      <c r="AC9" s="67"/>
    </row>
    <row r="10" spans="2:29">
      <c r="B10" s="91"/>
      <c r="C10" s="85"/>
      <c r="D10" s="85"/>
      <c r="E10" s="85"/>
      <c r="F10" s="85"/>
      <c r="G10" s="85"/>
      <c r="H10" s="85"/>
      <c r="I10" s="85"/>
      <c r="J10" s="88" t="s">
        <v>10</v>
      </c>
      <c r="K10" s="115"/>
      <c r="L10" s="120">
        <f t="shared" ref="L10:Q10" si="4">SUM(L5:L9)</f>
        <v>1414</v>
      </c>
      <c r="M10" s="92">
        <f t="shared" si="4"/>
        <v>1239</v>
      </c>
      <c r="N10" s="120">
        <f t="shared" si="4"/>
        <v>0</v>
      </c>
      <c r="O10" s="87">
        <f t="shared" si="4"/>
        <v>610</v>
      </c>
      <c r="P10" s="87">
        <f t="shared" si="4"/>
        <v>3</v>
      </c>
      <c r="Q10" s="87">
        <f t="shared" si="4"/>
        <v>1212</v>
      </c>
      <c r="R10" s="87">
        <f t="shared" ref="R10:W10" si="5">SUM(R5:R9)</f>
        <v>151158</v>
      </c>
      <c r="S10" s="87">
        <f t="shared" si="5"/>
        <v>300264</v>
      </c>
      <c r="T10" s="87">
        <f t="shared" si="5"/>
        <v>451422</v>
      </c>
      <c r="U10" s="87">
        <f t="shared" si="5"/>
        <v>172508</v>
      </c>
      <c r="V10" s="87">
        <f t="shared" si="5"/>
        <v>342614</v>
      </c>
      <c r="W10" s="115">
        <f t="shared" si="5"/>
        <v>515122</v>
      </c>
      <c r="X10" s="120">
        <f>SUM(X5:X9)</f>
        <v>3</v>
      </c>
      <c r="Y10" s="183">
        <f>AVERAGE(Y5:Y9)</f>
        <v>1.6438356164383563E-3</v>
      </c>
      <c r="AA10" s="67"/>
      <c r="AB10" s="67"/>
      <c r="AC10" s="67"/>
    </row>
    <row r="11" spans="2:29">
      <c r="B11" s="89" t="s">
        <v>70</v>
      </c>
      <c r="C11" s="84"/>
      <c r="D11" s="84"/>
      <c r="E11" s="84"/>
      <c r="F11" s="84"/>
      <c r="G11" s="84"/>
      <c r="H11" s="84"/>
      <c r="I11" s="84"/>
      <c r="J11" s="84"/>
      <c r="K11" s="113"/>
      <c r="L11" s="118"/>
      <c r="M11" s="90"/>
      <c r="N11" s="118"/>
      <c r="O11" s="84"/>
      <c r="P11" s="84"/>
      <c r="Q11" s="84"/>
      <c r="R11" s="86"/>
      <c r="S11" s="86"/>
      <c r="T11" s="86"/>
      <c r="U11" s="86"/>
      <c r="V11" s="86"/>
      <c r="W11" s="113"/>
      <c r="X11" s="118"/>
      <c r="Y11" s="90"/>
      <c r="AA11" s="67"/>
      <c r="AB11" s="67"/>
      <c r="AC11" s="67"/>
    </row>
    <row r="12" spans="2:29" ht="15" customHeight="1">
      <c r="B12" s="81" t="s">
        <v>163</v>
      </c>
      <c r="C12" s="63" t="s">
        <v>140</v>
      </c>
      <c r="D12" s="70">
        <v>43260</v>
      </c>
      <c r="E12" s="70">
        <v>43261</v>
      </c>
      <c r="F12" s="70">
        <f>$AB$5</f>
        <v>44440</v>
      </c>
      <c r="G12" s="63" t="s">
        <v>139</v>
      </c>
      <c r="H12" s="71" t="s">
        <v>202</v>
      </c>
      <c r="I12" s="72">
        <v>-20.055710000000001</v>
      </c>
      <c r="J12" s="72">
        <v>32.38597</v>
      </c>
      <c r="K12" s="114" t="s">
        <v>8</v>
      </c>
      <c r="L12" s="119">
        <v>117</v>
      </c>
      <c r="M12" s="82">
        <f>IF(L12&gt;300,300,L12)</f>
        <v>117</v>
      </c>
      <c r="N12" s="119">
        <v>0</v>
      </c>
      <c r="O12" s="71">
        <f>$AB$7-F12-N12+1</f>
        <v>122</v>
      </c>
      <c r="P12" s="71">
        <v>1</v>
      </c>
      <c r="Q12" s="71">
        <f>$AB$6-$AB$8-P12+1</f>
        <v>242</v>
      </c>
      <c r="R12" s="71">
        <f>M12*O12</f>
        <v>14274</v>
      </c>
      <c r="S12" s="71">
        <f>M12*Q12</f>
        <v>28314</v>
      </c>
      <c r="T12" s="71">
        <f>SUM(R12:S12)</f>
        <v>42588</v>
      </c>
      <c r="U12" s="71">
        <f>L12*O12</f>
        <v>14274</v>
      </c>
      <c r="V12" s="71">
        <f>L12*Q12</f>
        <v>28314</v>
      </c>
      <c r="W12" s="114">
        <f>SUM(U12:V12)</f>
        <v>42588</v>
      </c>
      <c r="X12" s="119">
        <f>N12+P12</f>
        <v>1</v>
      </c>
      <c r="Y12" s="181">
        <f>X12/($AB$6-$AB$5+1)</f>
        <v>2.7397260273972603E-3</v>
      </c>
      <c r="AA12" s="67"/>
      <c r="AB12" s="67"/>
      <c r="AC12" s="67"/>
    </row>
    <row r="13" spans="2:29" ht="13">
      <c r="B13" s="81" t="s">
        <v>162</v>
      </c>
      <c r="C13" s="63" t="s">
        <v>71</v>
      </c>
      <c r="D13" s="70">
        <v>43260</v>
      </c>
      <c r="E13" s="70">
        <v>43261</v>
      </c>
      <c r="F13" s="70">
        <f>$AB$5</f>
        <v>44440</v>
      </c>
      <c r="G13" s="63" t="s">
        <v>75</v>
      </c>
      <c r="H13" s="71" t="s">
        <v>202</v>
      </c>
      <c r="I13" s="73">
        <v>-20.080089999999998</v>
      </c>
      <c r="J13" s="73">
        <v>32.372250000000001</v>
      </c>
      <c r="K13" s="114" t="s">
        <v>8</v>
      </c>
      <c r="L13" s="119">
        <v>584</v>
      </c>
      <c r="M13" s="82">
        <f t="shared" ref="M13:M16" si="6">IF(L13&gt;300,300,L13)</f>
        <v>300</v>
      </c>
      <c r="N13" s="119">
        <v>0</v>
      </c>
      <c r="O13" s="71">
        <f t="shared" ref="O13:O16" si="7">$AB$7-F13-N13+1</f>
        <v>122</v>
      </c>
      <c r="P13" s="71">
        <v>1</v>
      </c>
      <c r="Q13" s="71">
        <f t="shared" ref="Q13:Q16" si="8">$AB$6-$AB$8-P13+1</f>
        <v>242</v>
      </c>
      <c r="R13" s="71">
        <f>M13*O13</f>
        <v>36600</v>
      </c>
      <c r="S13" s="71">
        <f>M13*Q13</f>
        <v>72600</v>
      </c>
      <c r="T13" s="71">
        <f>SUM(R13:S13)</f>
        <v>109200</v>
      </c>
      <c r="U13" s="71">
        <f>L13*O13</f>
        <v>71248</v>
      </c>
      <c r="V13" s="71">
        <f>L13*Q13</f>
        <v>141328</v>
      </c>
      <c r="W13" s="114">
        <f>SUM(U13:V13)</f>
        <v>212576</v>
      </c>
      <c r="X13" s="119">
        <f>N13+P13</f>
        <v>1</v>
      </c>
      <c r="Y13" s="181">
        <f t="shared" ref="Y13:Y16" si="9">X13/($AB$6-$AB$5+1)</f>
        <v>2.7397260273972603E-3</v>
      </c>
      <c r="AA13" s="67"/>
      <c r="AB13" s="67"/>
      <c r="AC13" s="67"/>
    </row>
    <row r="14" spans="2:29" ht="13">
      <c r="B14" s="81" t="s">
        <v>166</v>
      </c>
      <c r="C14" s="63" t="s">
        <v>72</v>
      </c>
      <c r="D14" s="70">
        <v>43271</v>
      </c>
      <c r="E14" s="70">
        <v>43272</v>
      </c>
      <c r="F14" s="70">
        <f>$AB$5</f>
        <v>44440</v>
      </c>
      <c r="G14" s="63" t="s">
        <v>76</v>
      </c>
      <c r="H14" s="71" t="s">
        <v>202</v>
      </c>
      <c r="I14" s="73">
        <v>-20.455660000000002</v>
      </c>
      <c r="J14" s="73">
        <v>32.253720000000001</v>
      </c>
      <c r="K14" s="114" t="s">
        <v>8</v>
      </c>
      <c r="L14" s="119">
        <v>256</v>
      </c>
      <c r="M14" s="82">
        <f t="shared" si="6"/>
        <v>256</v>
      </c>
      <c r="N14" s="119">
        <v>0</v>
      </c>
      <c r="O14" s="71">
        <f t="shared" si="7"/>
        <v>122</v>
      </c>
      <c r="P14" s="71">
        <v>1</v>
      </c>
      <c r="Q14" s="71">
        <f t="shared" si="8"/>
        <v>242</v>
      </c>
      <c r="R14" s="71">
        <f>M14*O14</f>
        <v>31232</v>
      </c>
      <c r="S14" s="71">
        <f>M14*Q14</f>
        <v>61952</v>
      </c>
      <c r="T14" s="71">
        <f>SUM(R14:S14)</f>
        <v>93184</v>
      </c>
      <c r="U14" s="71">
        <f>L14*O14</f>
        <v>31232</v>
      </c>
      <c r="V14" s="71">
        <f>L14*Q14</f>
        <v>61952</v>
      </c>
      <c r="W14" s="114">
        <f>SUM(U14:V14)</f>
        <v>93184</v>
      </c>
      <c r="X14" s="119">
        <f>N14+P14</f>
        <v>1</v>
      </c>
      <c r="Y14" s="181">
        <f t="shared" si="9"/>
        <v>2.7397260273972603E-3</v>
      </c>
      <c r="AA14" s="67"/>
      <c r="AB14" s="67"/>
      <c r="AC14" s="67"/>
    </row>
    <row r="15" spans="2:29" ht="13">
      <c r="B15" s="81" t="s">
        <v>148</v>
      </c>
      <c r="C15" s="63" t="s">
        <v>73</v>
      </c>
      <c r="D15" s="70">
        <v>43277</v>
      </c>
      <c r="E15" s="70">
        <v>43278</v>
      </c>
      <c r="F15" s="70">
        <f>$AB$5</f>
        <v>44440</v>
      </c>
      <c r="G15" s="63" t="s">
        <v>68</v>
      </c>
      <c r="H15" s="71" t="s">
        <v>202</v>
      </c>
      <c r="I15" s="73">
        <v>-19.329160000000002</v>
      </c>
      <c r="J15" s="73">
        <v>32.099620000000002</v>
      </c>
      <c r="K15" s="114" t="s">
        <v>8</v>
      </c>
      <c r="L15" s="119">
        <v>248</v>
      </c>
      <c r="M15" s="82">
        <f t="shared" si="6"/>
        <v>248</v>
      </c>
      <c r="N15" s="119">
        <v>0</v>
      </c>
      <c r="O15" s="71">
        <f t="shared" si="7"/>
        <v>122</v>
      </c>
      <c r="P15" s="71">
        <v>1</v>
      </c>
      <c r="Q15" s="71">
        <f t="shared" si="8"/>
        <v>242</v>
      </c>
      <c r="R15" s="71">
        <f>M15*O15</f>
        <v>30256</v>
      </c>
      <c r="S15" s="71">
        <f>M15*Q15</f>
        <v>60016</v>
      </c>
      <c r="T15" s="71">
        <f>SUM(R15:S15)</f>
        <v>90272</v>
      </c>
      <c r="U15" s="71">
        <f>L15*O15</f>
        <v>30256</v>
      </c>
      <c r="V15" s="71">
        <f>L15*Q15</f>
        <v>60016</v>
      </c>
      <c r="W15" s="114">
        <f>SUM(U15:V15)</f>
        <v>90272</v>
      </c>
      <c r="X15" s="119">
        <f>N15+P15</f>
        <v>1</v>
      </c>
      <c r="Y15" s="181">
        <f t="shared" si="9"/>
        <v>2.7397260273972603E-3</v>
      </c>
      <c r="AA15" s="67"/>
      <c r="AB15" s="67"/>
      <c r="AC15" s="67"/>
    </row>
    <row r="16" spans="2:29" ht="13">
      <c r="B16" s="81" t="s">
        <v>158</v>
      </c>
      <c r="C16" s="63" t="s">
        <v>74</v>
      </c>
      <c r="D16" s="70">
        <v>43290</v>
      </c>
      <c r="E16" s="70">
        <v>43291</v>
      </c>
      <c r="F16" s="70">
        <f>$AB$5</f>
        <v>44440</v>
      </c>
      <c r="G16" s="74" t="s">
        <v>77</v>
      </c>
      <c r="H16" s="71" t="s">
        <v>202</v>
      </c>
      <c r="I16" s="73">
        <v>-19.348929999999999</v>
      </c>
      <c r="J16" s="73">
        <v>32.206420000000001</v>
      </c>
      <c r="K16" s="114" t="s">
        <v>8</v>
      </c>
      <c r="L16" s="119">
        <v>267</v>
      </c>
      <c r="M16" s="82">
        <f t="shared" si="6"/>
        <v>267</v>
      </c>
      <c r="N16" s="119">
        <v>0</v>
      </c>
      <c r="O16" s="71">
        <f t="shared" si="7"/>
        <v>122</v>
      </c>
      <c r="P16" s="71">
        <v>1</v>
      </c>
      <c r="Q16" s="71">
        <f t="shared" si="8"/>
        <v>242</v>
      </c>
      <c r="R16" s="71">
        <f>M16*O16</f>
        <v>32574</v>
      </c>
      <c r="S16" s="71">
        <f>M16*Q16</f>
        <v>64614</v>
      </c>
      <c r="T16" s="71">
        <f>SUM(R16:S16)</f>
        <v>97188</v>
      </c>
      <c r="U16" s="71">
        <f>L16*O16</f>
        <v>32574</v>
      </c>
      <c r="V16" s="71">
        <f>L16*Q16</f>
        <v>64614</v>
      </c>
      <c r="W16" s="114">
        <f>SUM(U16:V16)</f>
        <v>97188</v>
      </c>
      <c r="X16" s="119">
        <f>N16+P16</f>
        <v>1</v>
      </c>
      <c r="Y16" s="181">
        <f t="shared" si="9"/>
        <v>2.7397260273972603E-3</v>
      </c>
      <c r="AA16" s="67"/>
      <c r="AB16" s="67"/>
      <c r="AC16" s="67"/>
    </row>
    <row r="17" spans="2:29">
      <c r="B17" s="91"/>
      <c r="C17" s="85"/>
      <c r="D17" s="85"/>
      <c r="E17" s="85"/>
      <c r="F17" s="85"/>
      <c r="G17" s="85"/>
      <c r="H17" s="85"/>
      <c r="I17" s="85"/>
      <c r="J17" s="88" t="s">
        <v>10</v>
      </c>
      <c r="K17" s="115"/>
      <c r="L17" s="120">
        <f t="shared" ref="L17:Q17" si="10">SUM(L12:L16)</f>
        <v>1472</v>
      </c>
      <c r="M17" s="92">
        <f t="shared" si="10"/>
        <v>1188</v>
      </c>
      <c r="N17" s="120">
        <f t="shared" si="10"/>
        <v>0</v>
      </c>
      <c r="O17" s="87">
        <f t="shared" si="10"/>
        <v>610</v>
      </c>
      <c r="P17" s="87">
        <f t="shared" si="10"/>
        <v>5</v>
      </c>
      <c r="Q17" s="87">
        <f t="shared" si="10"/>
        <v>1210</v>
      </c>
      <c r="R17" s="87">
        <f t="shared" ref="R17:W17" si="11">SUM(R12:R16)</f>
        <v>144936</v>
      </c>
      <c r="S17" s="87">
        <f t="shared" si="11"/>
        <v>287496</v>
      </c>
      <c r="T17" s="87">
        <f t="shared" si="11"/>
        <v>432432</v>
      </c>
      <c r="U17" s="87">
        <f t="shared" si="11"/>
        <v>179584</v>
      </c>
      <c r="V17" s="87">
        <f t="shared" si="11"/>
        <v>356224</v>
      </c>
      <c r="W17" s="115">
        <f t="shared" si="11"/>
        <v>535808</v>
      </c>
      <c r="X17" s="120">
        <f>SUM(X12:X16)</f>
        <v>5</v>
      </c>
      <c r="Y17" s="183">
        <f>AVERAGE(Y12:Y16)</f>
        <v>2.7397260273972603E-3</v>
      </c>
      <c r="AA17" s="67"/>
      <c r="AB17" s="67"/>
      <c r="AC17" s="67"/>
    </row>
    <row r="18" spans="2:29">
      <c r="B18" s="89" t="s">
        <v>78</v>
      </c>
      <c r="C18" s="84"/>
      <c r="D18" s="84"/>
      <c r="E18" s="84"/>
      <c r="F18" s="84"/>
      <c r="G18" s="84"/>
      <c r="H18" s="84"/>
      <c r="I18" s="84"/>
      <c r="J18" s="84"/>
      <c r="K18" s="113"/>
      <c r="L18" s="118"/>
      <c r="M18" s="90"/>
      <c r="N18" s="118"/>
      <c r="O18" s="84"/>
      <c r="P18" s="84"/>
      <c r="Q18" s="84"/>
      <c r="R18" s="86"/>
      <c r="S18" s="86"/>
      <c r="T18" s="86"/>
      <c r="U18" s="86"/>
      <c r="V18" s="86"/>
      <c r="W18" s="113"/>
      <c r="X18" s="118"/>
      <c r="Y18" s="90"/>
      <c r="AA18" s="67"/>
      <c r="AB18" s="67"/>
      <c r="AC18" s="67"/>
    </row>
    <row r="19" spans="2:29" ht="13">
      <c r="B19" s="81" t="s">
        <v>161</v>
      </c>
      <c r="C19" s="63" t="s">
        <v>79</v>
      </c>
      <c r="D19" s="70">
        <v>43259</v>
      </c>
      <c r="E19" s="70">
        <v>43260</v>
      </c>
      <c r="F19" s="70">
        <f>$AB$5</f>
        <v>44440</v>
      </c>
      <c r="G19" s="63" t="s">
        <v>79</v>
      </c>
      <c r="H19" s="71" t="s">
        <v>202</v>
      </c>
      <c r="I19" s="72">
        <v>-20.095050000000001</v>
      </c>
      <c r="J19" s="72">
        <v>32.403010000000002</v>
      </c>
      <c r="K19" s="114" t="s">
        <v>8</v>
      </c>
      <c r="L19" s="119">
        <v>437</v>
      </c>
      <c r="M19" s="82">
        <f>IF(L19&gt;300,300,L19)</f>
        <v>300</v>
      </c>
      <c r="N19" s="119">
        <v>0</v>
      </c>
      <c r="O19" s="71">
        <f>$AB$7-F19-N19+1</f>
        <v>122</v>
      </c>
      <c r="P19" s="71">
        <v>2</v>
      </c>
      <c r="Q19" s="71">
        <f>$AB$6-$AB$8-P19+1</f>
        <v>241</v>
      </c>
      <c r="R19" s="71">
        <f>M19*O19</f>
        <v>36600</v>
      </c>
      <c r="S19" s="71">
        <f>M19*Q19</f>
        <v>72300</v>
      </c>
      <c r="T19" s="71">
        <f>SUM(R19:S19)</f>
        <v>108900</v>
      </c>
      <c r="U19" s="71">
        <f>L19*O19</f>
        <v>53314</v>
      </c>
      <c r="V19" s="71">
        <f>L19*Q19</f>
        <v>105317</v>
      </c>
      <c r="W19" s="114">
        <f>SUM(U19:V19)</f>
        <v>158631</v>
      </c>
      <c r="X19" s="119">
        <f>N19+P19</f>
        <v>2</v>
      </c>
      <c r="Y19" s="181">
        <f>X19/($AB$6-$AB$5+1)</f>
        <v>5.4794520547945206E-3</v>
      </c>
      <c r="AA19" s="67"/>
      <c r="AB19" s="67"/>
      <c r="AC19" s="67"/>
    </row>
    <row r="20" spans="2:29" ht="13">
      <c r="B20" s="81" t="s">
        <v>164</v>
      </c>
      <c r="C20" s="63" t="s">
        <v>64</v>
      </c>
      <c r="D20" s="70">
        <v>43270</v>
      </c>
      <c r="E20" s="70">
        <v>43271</v>
      </c>
      <c r="F20" s="70">
        <f>$AB$5</f>
        <v>44440</v>
      </c>
      <c r="G20" s="63" t="s">
        <v>64</v>
      </c>
      <c r="H20" s="71" t="s">
        <v>202</v>
      </c>
      <c r="I20" s="73">
        <v>-20.420950000000001</v>
      </c>
      <c r="J20" s="73">
        <v>32.283459999999998</v>
      </c>
      <c r="K20" s="114" t="s">
        <v>8</v>
      </c>
      <c r="L20" s="119">
        <v>392</v>
      </c>
      <c r="M20" s="82">
        <f t="shared" ref="M20:M23" si="12">IF(L20&gt;300,300,L20)</f>
        <v>300</v>
      </c>
      <c r="N20" s="119">
        <v>0</v>
      </c>
      <c r="O20" s="71">
        <f t="shared" ref="O20:O23" si="13">$AB$7-F20-N20+1</f>
        <v>122</v>
      </c>
      <c r="P20" s="71">
        <v>0</v>
      </c>
      <c r="Q20" s="71">
        <f t="shared" ref="Q20:Q23" si="14">$AB$6-$AB$8-P20+1</f>
        <v>243</v>
      </c>
      <c r="R20" s="71">
        <f>M20*O20</f>
        <v>36600</v>
      </c>
      <c r="S20" s="71">
        <f>M20*Q20</f>
        <v>72900</v>
      </c>
      <c r="T20" s="71">
        <f>SUM(R20:S20)</f>
        <v>109500</v>
      </c>
      <c r="U20" s="71">
        <f>L20*O20</f>
        <v>47824</v>
      </c>
      <c r="V20" s="71">
        <f>L20*Q20</f>
        <v>95256</v>
      </c>
      <c r="W20" s="114">
        <f>SUM(U20:V20)</f>
        <v>143080</v>
      </c>
      <c r="X20" s="119">
        <f>N20+P20</f>
        <v>0</v>
      </c>
      <c r="Y20" s="181">
        <f t="shared" ref="Y20:Y23" si="15">X20/($AB$6-$AB$5+1)</f>
        <v>0</v>
      </c>
      <c r="AA20" s="67"/>
      <c r="AB20" s="67"/>
      <c r="AC20" s="67"/>
    </row>
    <row r="21" spans="2:29" ht="13">
      <c r="B21" s="81" t="s">
        <v>147</v>
      </c>
      <c r="C21" s="63" t="s">
        <v>80</v>
      </c>
      <c r="D21" s="70">
        <v>43273</v>
      </c>
      <c r="E21" s="70">
        <v>43274</v>
      </c>
      <c r="F21" s="70">
        <f>$AB$5</f>
        <v>44440</v>
      </c>
      <c r="G21" s="63" t="s">
        <v>84</v>
      </c>
      <c r="H21" s="71" t="s">
        <v>202</v>
      </c>
      <c r="I21" s="73">
        <v>-19.349869999999999</v>
      </c>
      <c r="J21" s="73">
        <v>32.131270000000001</v>
      </c>
      <c r="K21" s="114" t="s">
        <v>8</v>
      </c>
      <c r="L21" s="119">
        <v>385</v>
      </c>
      <c r="M21" s="82">
        <f t="shared" si="12"/>
        <v>300</v>
      </c>
      <c r="N21" s="119">
        <v>0</v>
      </c>
      <c r="O21" s="71">
        <f t="shared" si="13"/>
        <v>122</v>
      </c>
      <c r="P21" s="71">
        <v>1</v>
      </c>
      <c r="Q21" s="71">
        <f t="shared" si="14"/>
        <v>242</v>
      </c>
      <c r="R21" s="71">
        <f>M21*O21</f>
        <v>36600</v>
      </c>
      <c r="S21" s="71">
        <f>M21*Q21</f>
        <v>72600</v>
      </c>
      <c r="T21" s="71">
        <f>SUM(R21:S21)</f>
        <v>109200</v>
      </c>
      <c r="U21" s="71">
        <f>L21*O21</f>
        <v>46970</v>
      </c>
      <c r="V21" s="71">
        <f>L21*Q21</f>
        <v>93170</v>
      </c>
      <c r="W21" s="114">
        <f>SUM(U21:V21)</f>
        <v>140140</v>
      </c>
      <c r="X21" s="119">
        <f>N21+P21</f>
        <v>1</v>
      </c>
      <c r="Y21" s="181">
        <f t="shared" si="15"/>
        <v>2.7397260273972603E-3</v>
      </c>
      <c r="AA21" s="67"/>
      <c r="AB21" s="67"/>
      <c r="AC21" s="67"/>
    </row>
    <row r="22" spans="2:29" ht="13">
      <c r="B22" s="81" t="s">
        <v>151</v>
      </c>
      <c r="C22" s="63" t="s">
        <v>81</v>
      </c>
      <c r="D22" s="70">
        <v>43279</v>
      </c>
      <c r="E22" s="70">
        <v>43280</v>
      </c>
      <c r="F22" s="70">
        <f>$AB$5</f>
        <v>44440</v>
      </c>
      <c r="G22" s="63" t="s">
        <v>83</v>
      </c>
      <c r="H22" s="71" t="s">
        <v>202</v>
      </c>
      <c r="I22" s="73">
        <v>-19.261800000000001</v>
      </c>
      <c r="J22" s="73">
        <v>32.112630000000003</v>
      </c>
      <c r="K22" s="114" t="s">
        <v>8</v>
      </c>
      <c r="L22" s="119">
        <v>135</v>
      </c>
      <c r="M22" s="82">
        <f t="shared" si="12"/>
        <v>135</v>
      </c>
      <c r="N22" s="119">
        <v>0</v>
      </c>
      <c r="O22" s="71">
        <f t="shared" si="13"/>
        <v>122</v>
      </c>
      <c r="P22" s="71">
        <v>1</v>
      </c>
      <c r="Q22" s="71">
        <f t="shared" si="14"/>
        <v>242</v>
      </c>
      <c r="R22" s="71">
        <f>M22*O22</f>
        <v>16470</v>
      </c>
      <c r="S22" s="71">
        <f>M22*Q22</f>
        <v>32670</v>
      </c>
      <c r="T22" s="71">
        <f>SUM(R22:S22)</f>
        <v>49140</v>
      </c>
      <c r="U22" s="71">
        <f>L22*O22</f>
        <v>16470</v>
      </c>
      <c r="V22" s="71">
        <f>L22*Q22</f>
        <v>32670</v>
      </c>
      <c r="W22" s="114">
        <f>SUM(U22:V22)</f>
        <v>49140</v>
      </c>
      <c r="X22" s="119">
        <f>N22+P22</f>
        <v>1</v>
      </c>
      <c r="Y22" s="181">
        <f t="shared" si="15"/>
        <v>2.7397260273972603E-3</v>
      </c>
      <c r="AA22" s="67"/>
      <c r="AB22" s="67"/>
      <c r="AC22" s="67"/>
    </row>
    <row r="23" spans="2:29" ht="13">
      <c r="B23" s="81" t="s">
        <v>146</v>
      </c>
      <c r="C23" s="63" t="s">
        <v>82</v>
      </c>
      <c r="D23" s="70">
        <v>43272</v>
      </c>
      <c r="E23" s="70">
        <v>43273</v>
      </c>
      <c r="F23" s="70">
        <f>$AB$5</f>
        <v>44440</v>
      </c>
      <c r="G23" s="63" t="s">
        <v>68</v>
      </c>
      <c r="H23" s="71" t="s">
        <v>202</v>
      </c>
      <c r="I23" s="73">
        <v>-19.438700000000001</v>
      </c>
      <c r="J23" s="73">
        <v>32.1614</v>
      </c>
      <c r="K23" s="114" t="s">
        <v>8</v>
      </c>
      <c r="L23" s="119">
        <v>189</v>
      </c>
      <c r="M23" s="82">
        <f t="shared" si="12"/>
        <v>189</v>
      </c>
      <c r="N23" s="119">
        <v>0</v>
      </c>
      <c r="O23" s="71">
        <f t="shared" si="13"/>
        <v>122</v>
      </c>
      <c r="P23" s="71">
        <v>1</v>
      </c>
      <c r="Q23" s="71">
        <f t="shared" si="14"/>
        <v>242</v>
      </c>
      <c r="R23" s="71">
        <f>M23*O23</f>
        <v>23058</v>
      </c>
      <c r="S23" s="71">
        <f>M23*Q23</f>
        <v>45738</v>
      </c>
      <c r="T23" s="71">
        <f>SUM(R23:S23)</f>
        <v>68796</v>
      </c>
      <c r="U23" s="71">
        <f>L23*O23</f>
        <v>23058</v>
      </c>
      <c r="V23" s="71">
        <f>L23*Q23</f>
        <v>45738</v>
      </c>
      <c r="W23" s="114">
        <f>SUM(U23:V23)</f>
        <v>68796</v>
      </c>
      <c r="X23" s="119">
        <f>N23+P23</f>
        <v>1</v>
      </c>
      <c r="Y23" s="181">
        <f t="shared" si="15"/>
        <v>2.7397260273972603E-3</v>
      </c>
      <c r="AA23" s="67"/>
      <c r="AB23" s="67"/>
      <c r="AC23" s="67"/>
    </row>
    <row r="24" spans="2:29">
      <c r="B24" s="91"/>
      <c r="C24" s="85"/>
      <c r="D24" s="85"/>
      <c r="E24" s="85"/>
      <c r="F24" s="85"/>
      <c r="G24" s="85"/>
      <c r="H24" s="85"/>
      <c r="I24" s="85"/>
      <c r="J24" s="88" t="s">
        <v>10</v>
      </c>
      <c r="K24" s="115"/>
      <c r="L24" s="120">
        <f t="shared" ref="L24:Q24" si="16">SUM(L19:L23)</f>
        <v>1538</v>
      </c>
      <c r="M24" s="92">
        <f t="shared" si="16"/>
        <v>1224</v>
      </c>
      <c r="N24" s="120">
        <f t="shared" si="16"/>
        <v>0</v>
      </c>
      <c r="O24" s="87">
        <f t="shared" si="16"/>
        <v>610</v>
      </c>
      <c r="P24" s="87">
        <f t="shared" si="16"/>
        <v>5</v>
      </c>
      <c r="Q24" s="87">
        <f t="shared" si="16"/>
        <v>1210</v>
      </c>
      <c r="R24" s="87">
        <f t="shared" ref="R24:W24" si="17">SUM(R19:R23)</f>
        <v>149328</v>
      </c>
      <c r="S24" s="87">
        <f t="shared" si="17"/>
        <v>296208</v>
      </c>
      <c r="T24" s="87">
        <f t="shared" si="17"/>
        <v>445536</v>
      </c>
      <c r="U24" s="87">
        <f t="shared" si="17"/>
        <v>187636</v>
      </c>
      <c r="V24" s="87">
        <f t="shared" si="17"/>
        <v>372151</v>
      </c>
      <c r="W24" s="115">
        <f t="shared" si="17"/>
        <v>559787</v>
      </c>
      <c r="X24" s="120">
        <f>SUM(X19:X23)</f>
        <v>5</v>
      </c>
      <c r="Y24" s="183">
        <f>AVERAGE(Y19:Y23)</f>
        <v>2.7397260273972603E-3</v>
      </c>
      <c r="AA24" s="67"/>
      <c r="AB24" s="67"/>
      <c r="AC24" s="67"/>
    </row>
    <row r="25" spans="2:29" ht="15.75" customHeight="1">
      <c r="B25" s="89" t="s">
        <v>85</v>
      </c>
      <c r="C25" s="84"/>
      <c r="D25" s="84"/>
      <c r="E25" s="84"/>
      <c r="F25" s="84"/>
      <c r="G25" s="84"/>
      <c r="H25" s="84"/>
      <c r="I25" s="84"/>
      <c r="J25" s="84"/>
      <c r="K25" s="113"/>
      <c r="L25" s="118"/>
      <c r="M25" s="90"/>
      <c r="N25" s="118"/>
      <c r="O25" s="84"/>
      <c r="P25" s="84"/>
      <c r="Q25" s="84"/>
      <c r="R25" s="86"/>
      <c r="S25" s="86"/>
      <c r="T25" s="86"/>
      <c r="U25" s="86"/>
      <c r="V25" s="86"/>
      <c r="W25" s="113"/>
      <c r="X25" s="118"/>
      <c r="Y25" s="90"/>
      <c r="AA25" s="67"/>
      <c r="AB25" s="67"/>
      <c r="AC25" s="67"/>
    </row>
    <row r="26" spans="2:29" ht="13">
      <c r="B26" s="185" t="s">
        <v>169</v>
      </c>
      <c r="C26" s="76" t="s">
        <v>86</v>
      </c>
      <c r="D26" s="186">
        <v>43291</v>
      </c>
      <c r="E26" s="186">
        <v>43292</v>
      </c>
      <c r="F26" s="186">
        <f>$AB$5</f>
        <v>44440</v>
      </c>
      <c r="G26" s="76" t="s">
        <v>91</v>
      </c>
      <c r="H26" s="187" t="s">
        <v>202</v>
      </c>
      <c r="I26" s="188">
        <v>-20.394290000000002</v>
      </c>
      <c r="J26" s="188">
        <v>32.252290000000002</v>
      </c>
      <c r="K26" s="189" t="s">
        <v>8</v>
      </c>
      <c r="L26" s="119">
        <v>626</v>
      </c>
      <c r="M26" s="82">
        <f>IF(L26&gt;300,300,L26)</f>
        <v>300</v>
      </c>
      <c r="N26" s="119">
        <v>0</v>
      </c>
      <c r="O26" s="71">
        <f>$AB$7-F26-N26+1</f>
        <v>122</v>
      </c>
      <c r="P26" s="71">
        <v>1</v>
      </c>
      <c r="Q26" s="71">
        <f>$AB$6-$AB$8-P26+1</f>
        <v>242</v>
      </c>
      <c r="R26" s="71">
        <f>M26*O26</f>
        <v>36600</v>
      </c>
      <c r="S26" s="71">
        <f>M26*Q26</f>
        <v>72600</v>
      </c>
      <c r="T26" s="71">
        <f>SUM(R26:S26)</f>
        <v>109200</v>
      </c>
      <c r="U26" s="71">
        <f>L26*O26</f>
        <v>76372</v>
      </c>
      <c r="V26" s="71">
        <f>L26*Q26</f>
        <v>151492</v>
      </c>
      <c r="W26" s="114">
        <f>SUM(U26:V26)</f>
        <v>227864</v>
      </c>
      <c r="X26" s="119">
        <f>N26+P26</f>
        <v>1</v>
      </c>
      <c r="Y26" s="181">
        <f>X26/($AB$6-$AB$5+1)</f>
        <v>2.7397260273972603E-3</v>
      </c>
      <c r="AA26" s="67"/>
      <c r="AB26" s="67"/>
      <c r="AC26" s="67"/>
    </row>
    <row r="27" spans="2:29" ht="13">
      <c r="B27" s="81" t="s">
        <v>170</v>
      </c>
      <c r="C27" s="63" t="s">
        <v>87</v>
      </c>
      <c r="D27" s="70">
        <v>43298</v>
      </c>
      <c r="E27" s="70">
        <v>43299</v>
      </c>
      <c r="F27" s="70">
        <f>$AB$5</f>
        <v>44440</v>
      </c>
      <c r="G27" s="63" t="s">
        <v>94</v>
      </c>
      <c r="H27" s="71" t="s">
        <v>202</v>
      </c>
      <c r="I27" s="73">
        <v>-20.476459999999999</v>
      </c>
      <c r="J27" s="73">
        <v>32.254089999999998</v>
      </c>
      <c r="K27" s="114" t="s">
        <v>8</v>
      </c>
      <c r="L27" s="119">
        <v>145</v>
      </c>
      <c r="M27" s="82">
        <f t="shared" ref="M27:M30" si="18">IF(L27&gt;300,300,L27)</f>
        <v>145</v>
      </c>
      <c r="N27" s="119">
        <v>0</v>
      </c>
      <c r="O27" s="71">
        <f t="shared" ref="O27:O30" si="19">$AB$7-F27-N27+1</f>
        <v>122</v>
      </c>
      <c r="P27" s="71">
        <v>1</v>
      </c>
      <c r="Q27" s="71">
        <f t="shared" ref="Q27:Q30" si="20">$AB$6-$AB$8-P27+1</f>
        <v>242</v>
      </c>
      <c r="R27" s="71">
        <f>M27*O27</f>
        <v>17690</v>
      </c>
      <c r="S27" s="71">
        <f>M27*Q27</f>
        <v>35090</v>
      </c>
      <c r="T27" s="71">
        <f>SUM(R27:S27)</f>
        <v>52780</v>
      </c>
      <c r="U27" s="71">
        <f>L27*O27</f>
        <v>17690</v>
      </c>
      <c r="V27" s="71">
        <f>L27*Q27</f>
        <v>35090</v>
      </c>
      <c r="W27" s="114">
        <f>SUM(U27:V27)</f>
        <v>52780</v>
      </c>
      <c r="X27" s="119">
        <f>N27+P27</f>
        <v>1</v>
      </c>
      <c r="Y27" s="181">
        <f t="shared" ref="Y27:Y30" si="21">X27/($AB$6-$AB$5+1)</f>
        <v>2.7397260273972603E-3</v>
      </c>
      <c r="AA27" s="67"/>
      <c r="AB27" s="67"/>
      <c r="AC27" s="67"/>
    </row>
    <row r="28" spans="2:29" ht="13">
      <c r="B28" s="81" t="s">
        <v>155</v>
      </c>
      <c r="C28" s="63" t="s">
        <v>88</v>
      </c>
      <c r="D28" s="70">
        <v>43287</v>
      </c>
      <c r="E28" s="70">
        <v>43288</v>
      </c>
      <c r="F28" s="70">
        <f>$AB$5</f>
        <v>44440</v>
      </c>
      <c r="G28" s="63" t="s">
        <v>92</v>
      </c>
      <c r="H28" s="71" t="s">
        <v>202</v>
      </c>
      <c r="I28" s="73">
        <v>-19.40851</v>
      </c>
      <c r="J28" s="73">
        <v>32.140779999999999</v>
      </c>
      <c r="K28" s="114" t="s">
        <v>8</v>
      </c>
      <c r="L28" s="119">
        <v>522</v>
      </c>
      <c r="M28" s="82">
        <f t="shared" si="18"/>
        <v>300</v>
      </c>
      <c r="N28" s="119">
        <v>0</v>
      </c>
      <c r="O28" s="71">
        <f t="shared" si="19"/>
        <v>122</v>
      </c>
      <c r="P28" s="71">
        <v>6.1</v>
      </c>
      <c r="Q28" s="71">
        <f>$AB$6-$AB$8-P28+1</f>
        <v>236.9</v>
      </c>
      <c r="R28" s="71">
        <f>M28*O28</f>
        <v>36600</v>
      </c>
      <c r="S28" s="71">
        <f>M28*Q28</f>
        <v>71070</v>
      </c>
      <c r="T28" s="71">
        <f>SUM(R28:S28)</f>
        <v>107670</v>
      </c>
      <c r="U28" s="71">
        <f>L28*O28</f>
        <v>63684</v>
      </c>
      <c r="V28" s="71">
        <f>L28*Q28</f>
        <v>123661.8</v>
      </c>
      <c r="W28" s="114">
        <f>SUM(U28:V28)</f>
        <v>187345.8</v>
      </c>
      <c r="X28" s="119">
        <f>N28+P28</f>
        <v>6.1</v>
      </c>
      <c r="Y28" s="181">
        <f t="shared" si="21"/>
        <v>1.6712328767123287E-2</v>
      </c>
      <c r="AA28" s="67"/>
      <c r="AB28" s="67"/>
      <c r="AC28" s="67"/>
    </row>
    <row r="29" spans="2:29" ht="13">
      <c r="B29" s="81" t="s">
        <v>154</v>
      </c>
      <c r="C29" s="63" t="s">
        <v>89</v>
      </c>
      <c r="D29" s="70">
        <v>43286</v>
      </c>
      <c r="E29" s="70">
        <v>43287</v>
      </c>
      <c r="F29" s="70">
        <f>$AB$5</f>
        <v>44440</v>
      </c>
      <c r="G29" s="63" t="s">
        <v>93</v>
      </c>
      <c r="H29" s="71" t="s">
        <v>202</v>
      </c>
      <c r="I29" s="72">
        <v>-19.262129999999999</v>
      </c>
      <c r="J29" s="72">
        <v>32.109969999999997</v>
      </c>
      <c r="K29" s="114" t="s">
        <v>8</v>
      </c>
      <c r="L29" s="119">
        <v>230</v>
      </c>
      <c r="M29" s="82">
        <f t="shared" si="18"/>
        <v>230</v>
      </c>
      <c r="N29" s="119">
        <v>0</v>
      </c>
      <c r="O29" s="71">
        <f t="shared" si="19"/>
        <v>122</v>
      </c>
      <c r="P29" s="71">
        <v>1</v>
      </c>
      <c r="Q29" s="71">
        <f t="shared" si="20"/>
        <v>242</v>
      </c>
      <c r="R29" s="71">
        <f>M29*O29</f>
        <v>28060</v>
      </c>
      <c r="S29" s="71">
        <f>M29*Q29</f>
        <v>55660</v>
      </c>
      <c r="T29" s="71">
        <f>SUM(R29:S29)</f>
        <v>83720</v>
      </c>
      <c r="U29" s="71">
        <f>L29*O29</f>
        <v>28060</v>
      </c>
      <c r="V29" s="71">
        <f>L29*Q29</f>
        <v>55660</v>
      </c>
      <c r="W29" s="114">
        <f>SUM(U29:V29)</f>
        <v>83720</v>
      </c>
      <c r="X29" s="119">
        <f>N29+P29</f>
        <v>1</v>
      </c>
      <c r="Y29" s="181">
        <f t="shared" si="21"/>
        <v>2.7397260273972603E-3</v>
      </c>
      <c r="AA29" s="67"/>
      <c r="AB29" s="67"/>
      <c r="AC29" s="67"/>
    </row>
    <row r="30" spans="2:29" ht="13">
      <c r="B30" s="81" t="s">
        <v>152</v>
      </c>
      <c r="C30" s="63" t="s">
        <v>90</v>
      </c>
      <c r="D30" s="70">
        <v>43279</v>
      </c>
      <c r="E30" s="70">
        <v>43280</v>
      </c>
      <c r="F30" s="70">
        <f>$AB$5</f>
        <v>44440</v>
      </c>
      <c r="G30" s="63" t="s">
        <v>83</v>
      </c>
      <c r="H30" s="71" t="s">
        <v>202</v>
      </c>
      <c r="I30" s="72">
        <v>-19.26953</v>
      </c>
      <c r="J30" s="72">
        <v>32.054929999999999</v>
      </c>
      <c r="K30" s="114" t="s">
        <v>8</v>
      </c>
      <c r="L30" s="119">
        <v>298</v>
      </c>
      <c r="M30" s="82">
        <f t="shared" si="18"/>
        <v>298</v>
      </c>
      <c r="N30" s="119">
        <v>0</v>
      </c>
      <c r="O30" s="71">
        <f t="shared" si="19"/>
        <v>122</v>
      </c>
      <c r="P30" s="71">
        <v>1</v>
      </c>
      <c r="Q30" s="71">
        <f t="shared" si="20"/>
        <v>242</v>
      </c>
      <c r="R30" s="71">
        <f>M30*O30</f>
        <v>36356</v>
      </c>
      <c r="S30" s="71">
        <f>M30*Q30</f>
        <v>72116</v>
      </c>
      <c r="T30" s="71">
        <f>SUM(R30:S30)</f>
        <v>108472</v>
      </c>
      <c r="U30" s="71">
        <f>L30*O30</f>
        <v>36356</v>
      </c>
      <c r="V30" s="71">
        <f>L30*Q30</f>
        <v>72116</v>
      </c>
      <c r="W30" s="114">
        <f>SUM(U30:V30)</f>
        <v>108472</v>
      </c>
      <c r="X30" s="119">
        <f>N30+P30</f>
        <v>1</v>
      </c>
      <c r="Y30" s="181">
        <f t="shared" si="21"/>
        <v>2.7397260273972603E-3</v>
      </c>
      <c r="AA30" s="67"/>
      <c r="AB30" s="67"/>
      <c r="AC30" s="67"/>
    </row>
    <row r="31" spans="2:29" ht="15.75" customHeight="1">
      <c r="B31" s="91"/>
      <c r="C31" s="85"/>
      <c r="D31" s="85"/>
      <c r="E31" s="85"/>
      <c r="F31" s="85"/>
      <c r="G31" s="85"/>
      <c r="H31" s="85"/>
      <c r="I31" s="85"/>
      <c r="J31" s="88" t="s">
        <v>10</v>
      </c>
      <c r="K31" s="115"/>
      <c r="L31" s="120">
        <f t="shared" ref="L31:Q31" si="22">SUM(L26:L30)</f>
        <v>1821</v>
      </c>
      <c r="M31" s="92">
        <f t="shared" si="22"/>
        <v>1273</v>
      </c>
      <c r="N31" s="120">
        <f t="shared" si="22"/>
        <v>0</v>
      </c>
      <c r="O31" s="87">
        <f t="shared" si="22"/>
        <v>610</v>
      </c>
      <c r="P31" s="87">
        <f t="shared" si="22"/>
        <v>10.1</v>
      </c>
      <c r="Q31" s="87">
        <f t="shared" si="22"/>
        <v>1204.9000000000001</v>
      </c>
      <c r="R31" s="87">
        <f t="shared" ref="R31:W31" si="23">SUM(R26:R30)</f>
        <v>155306</v>
      </c>
      <c r="S31" s="87">
        <f t="shared" si="23"/>
        <v>306536</v>
      </c>
      <c r="T31" s="87">
        <f t="shared" si="23"/>
        <v>461842</v>
      </c>
      <c r="U31" s="87">
        <f t="shared" si="23"/>
        <v>222162</v>
      </c>
      <c r="V31" s="87">
        <f t="shared" si="23"/>
        <v>438019.8</v>
      </c>
      <c r="W31" s="115">
        <f t="shared" si="23"/>
        <v>660181.80000000005</v>
      </c>
      <c r="X31" s="120">
        <f>SUM(X26:X30)</f>
        <v>10.1</v>
      </c>
      <c r="Y31" s="183">
        <f>AVERAGE(Y26:Y30)</f>
        <v>5.5342465753424651E-3</v>
      </c>
      <c r="AA31" s="67"/>
      <c r="AB31" s="67"/>
      <c r="AC31" s="67"/>
    </row>
    <row r="32" spans="2:29">
      <c r="B32" s="89" t="s">
        <v>95</v>
      </c>
      <c r="C32" s="84"/>
      <c r="D32" s="84"/>
      <c r="E32" s="84"/>
      <c r="F32" s="84"/>
      <c r="G32" s="84"/>
      <c r="H32" s="84"/>
      <c r="I32" s="84"/>
      <c r="J32" s="84"/>
      <c r="K32" s="113"/>
      <c r="L32" s="118"/>
      <c r="M32" s="90"/>
      <c r="N32" s="118"/>
      <c r="O32" s="84"/>
      <c r="P32" s="84"/>
      <c r="Q32" s="84"/>
      <c r="R32" s="86"/>
      <c r="S32" s="86"/>
      <c r="T32" s="86"/>
      <c r="U32" s="86"/>
      <c r="V32" s="86"/>
      <c r="W32" s="113"/>
      <c r="X32" s="118"/>
      <c r="Y32" s="90"/>
      <c r="AA32" s="67"/>
      <c r="AB32" s="67"/>
      <c r="AC32" s="67"/>
    </row>
    <row r="33" spans="2:29" ht="15" customHeight="1">
      <c r="B33" s="81" t="s">
        <v>156</v>
      </c>
      <c r="C33" s="63" t="s">
        <v>96</v>
      </c>
      <c r="D33" s="70">
        <v>43287</v>
      </c>
      <c r="E33" s="70">
        <v>43288</v>
      </c>
      <c r="F33" s="70">
        <f>$AB$5</f>
        <v>44440</v>
      </c>
      <c r="G33" s="63" t="s">
        <v>92</v>
      </c>
      <c r="H33" s="71" t="s">
        <v>202</v>
      </c>
      <c r="I33" s="73">
        <v>-19.4117</v>
      </c>
      <c r="J33" s="73">
        <v>32.144300000000001</v>
      </c>
      <c r="K33" s="114" t="s">
        <v>8</v>
      </c>
      <c r="L33" s="119">
        <v>383</v>
      </c>
      <c r="M33" s="82">
        <f>IF(L33&gt;300,300,L33)</f>
        <v>300</v>
      </c>
      <c r="N33" s="119">
        <v>0</v>
      </c>
      <c r="O33" s="71">
        <f>$AB$7-F33-N33+1</f>
        <v>122</v>
      </c>
      <c r="P33" s="71">
        <v>11</v>
      </c>
      <c r="Q33" s="71">
        <f>$AB$6-$AB$8-P33+1</f>
        <v>232</v>
      </c>
      <c r="R33" s="71">
        <f>M33*O33</f>
        <v>36600</v>
      </c>
      <c r="S33" s="71">
        <f>M33*Q33</f>
        <v>69600</v>
      </c>
      <c r="T33" s="71">
        <f>SUM(R33:S33)</f>
        <v>106200</v>
      </c>
      <c r="U33" s="71">
        <f>L33*O33</f>
        <v>46726</v>
      </c>
      <c r="V33" s="71">
        <f>L33*Q33</f>
        <v>88856</v>
      </c>
      <c r="W33" s="114">
        <f>SUM(U33:V33)</f>
        <v>135582</v>
      </c>
      <c r="X33" s="119">
        <f>N33+P33</f>
        <v>11</v>
      </c>
      <c r="Y33" s="181">
        <f>X33/($AB$6-$AB$5+1)</f>
        <v>3.0136986301369864E-2</v>
      </c>
      <c r="AA33" s="67"/>
      <c r="AB33" s="67"/>
      <c r="AC33" s="67"/>
    </row>
    <row r="34" spans="2:29" ht="13">
      <c r="B34" s="81" t="s">
        <v>160</v>
      </c>
      <c r="C34" s="63" t="s">
        <v>97</v>
      </c>
      <c r="D34" s="70">
        <v>43258</v>
      </c>
      <c r="E34" s="70">
        <v>43259</v>
      </c>
      <c r="F34" s="70">
        <f>$AB$5</f>
        <v>44440</v>
      </c>
      <c r="G34" s="63" t="s">
        <v>101</v>
      </c>
      <c r="H34" s="71" t="s">
        <v>202</v>
      </c>
      <c r="I34" s="72">
        <v>-20.1113</v>
      </c>
      <c r="J34" s="72">
        <v>32.338200000000001</v>
      </c>
      <c r="K34" s="114" t="s">
        <v>8</v>
      </c>
      <c r="L34" s="119">
        <v>428</v>
      </c>
      <c r="M34" s="82">
        <f t="shared" ref="M34:M37" si="24">IF(L34&gt;300,300,L34)</f>
        <v>300</v>
      </c>
      <c r="N34" s="119">
        <v>0</v>
      </c>
      <c r="O34" s="71">
        <f t="shared" ref="O34:O37" si="25">$AB$7-F34-N34+1</f>
        <v>122</v>
      </c>
      <c r="P34" s="71">
        <v>1</v>
      </c>
      <c r="Q34" s="71">
        <f t="shared" ref="Q34:Q37" si="26">$AB$6-$AB$8-P34+1</f>
        <v>242</v>
      </c>
      <c r="R34" s="71">
        <f>M34*O34</f>
        <v>36600</v>
      </c>
      <c r="S34" s="71">
        <f>M34*Q34</f>
        <v>72600</v>
      </c>
      <c r="T34" s="71">
        <f>SUM(R34:S34)</f>
        <v>109200</v>
      </c>
      <c r="U34" s="71">
        <f>L34*O34</f>
        <v>52216</v>
      </c>
      <c r="V34" s="71">
        <f>L34*Q34</f>
        <v>103576</v>
      </c>
      <c r="W34" s="114">
        <f>SUM(U34:V34)</f>
        <v>155792</v>
      </c>
      <c r="X34" s="119">
        <f>N34+P34</f>
        <v>1</v>
      </c>
      <c r="Y34" s="181">
        <f t="shared" ref="Y34:Y37" si="27">X34/($AB$6-$AB$5+1)</f>
        <v>2.7397260273972603E-3</v>
      </c>
      <c r="AA34" s="67"/>
      <c r="AB34" s="67"/>
      <c r="AC34" s="67"/>
    </row>
    <row r="35" spans="2:29" ht="13">
      <c r="B35" s="83" t="s">
        <v>159</v>
      </c>
      <c r="C35" s="75" t="s">
        <v>98</v>
      </c>
      <c r="D35" s="70">
        <v>43299</v>
      </c>
      <c r="E35" s="70">
        <v>43300</v>
      </c>
      <c r="F35" s="70">
        <f>$AB$5</f>
        <v>44440</v>
      </c>
      <c r="G35" s="76" t="s">
        <v>102</v>
      </c>
      <c r="H35" s="71" t="s">
        <v>202</v>
      </c>
      <c r="I35" s="73">
        <v>-19.360479999999999</v>
      </c>
      <c r="J35" s="73">
        <v>32.214649999999999</v>
      </c>
      <c r="K35" s="114" t="s">
        <v>8</v>
      </c>
      <c r="L35" s="119">
        <v>526</v>
      </c>
      <c r="M35" s="82">
        <f t="shared" si="24"/>
        <v>300</v>
      </c>
      <c r="N35" s="119">
        <v>0</v>
      </c>
      <c r="O35" s="71">
        <f t="shared" si="25"/>
        <v>122</v>
      </c>
      <c r="P35" s="71">
        <v>7</v>
      </c>
      <c r="Q35" s="71">
        <f t="shared" si="26"/>
        <v>236</v>
      </c>
      <c r="R35" s="71">
        <f>M35*O35</f>
        <v>36600</v>
      </c>
      <c r="S35" s="71">
        <f>M35*Q35</f>
        <v>70800</v>
      </c>
      <c r="T35" s="71">
        <f>SUM(R35:S35)</f>
        <v>107400</v>
      </c>
      <c r="U35" s="71">
        <f>L35*O35</f>
        <v>64172</v>
      </c>
      <c r="V35" s="71">
        <f>L35*Q35</f>
        <v>124136</v>
      </c>
      <c r="W35" s="114">
        <f>SUM(U35:V35)</f>
        <v>188308</v>
      </c>
      <c r="X35" s="119">
        <f>N35+P35</f>
        <v>7</v>
      </c>
      <c r="Y35" s="181">
        <f t="shared" si="27"/>
        <v>1.9178082191780823E-2</v>
      </c>
      <c r="AA35" s="67"/>
      <c r="AB35" s="67"/>
      <c r="AC35" s="67"/>
    </row>
    <row r="36" spans="2:29" ht="15" customHeight="1">
      <c r="B36" s="81" t="s">
        <v>150</v>
      </c>
      <c r="C36" s="63" t="s">
        <v>99</v>
      </c>
      <c r="D36" s="70">
        <v>43278</v>
      </c>
      <c r="E36" s="70">
        <v>43279</v>
      </c>
      <c r="F36" s="70">
        <f>$AB$5</f>
        <v>44440</v>
      </c>
      <c r="G36" s="63" t="s">
        <v>68</v>
      </c>
      <c r="H36" s="71" t="s">
        <v>202</v>
      </c>
      <c r="I36" s="73">
        <v>-19.296659999999999</v>
      </c>
      <c r="J36" s="73">
        <v>32.108820000000001</v>
      </c>
      <c r="K36" s="114" t="s">
        <v>8</v>
      </c>
      <c r="L36" s="119">
        <v>307</v>
      </c>
      <c r="M36" s="82">
        <f t="shared" si="24"/>
        <v>300</v>
      </c>
      <c r="N36" s="119">
        <v>0</v>
      </c>
      <c r="O36" s="71">
        <f t="shared" si="25"/>
        <v>122</v>
      </c>
      <c r="P36" s="71">
        <v>0</v>
      </c>
      <c r="Q36" s="71">
        <f t="shared" si="26"/>
        <v>243</v>
      </c>
      <c r="R36" s="71">
        <f>M36*O36</f>
        <v>36600</v>
      </c>
      <c r="S36" s="71">
        <f>M36*Q36</f>
        <v>72900</v>
      </c>
      <c r="T36" s="71">
        <f>SUM(R36:S36)</f>
        <v>109500</v>
      </c>
      <c r="U36" s="71">
        <f>L36*O36</f>
        <v>37454</v>
      </c>
      <c r="V36" s="71">
        <f>L36*Q36</f>
        <v>74601</v>
      </c>
      <c r="W36" s="114">
        <f>SUM(U36:V36)</f>
        <v>112055</v>
      </c>
      <c r="X36" s="119">
        <f>N36+P36</f>
        <v>0</v>
      </c>
      <c r="Y36" s="181">
        <f t="shared" si="27"/>
        <v>0</v>
      </c>
      <c r="AA36" s="67"/>
      <c r="AB36" s="67"/>
      <c r="AC36" s="67"/>
    </row>
    <row r="37" spans="2:29" ht="15" customHeight="1">
      <c r="B37" s="81" t="s">
        <v>145</v>
      </c>
      <c r="C37" s="63" t="s">
        <v>100</v>
      </c>
      <c r="D37" s="70">
        <v>43272</v>
      </c>
      <c r="E37" s="70">
        <v>43273</v>
      </c>
      <c r="F37" s="70">
        <f>$AB$5</f>
        <v>44440</v>
      </c>
      <c r="G37" s="63" t="s">
        <v>84</v>
      </c>
      <c r="H37" s="71" t="s">
        <v>202</v>
      </c>
      <c r="I37" s="73">
        <v>-19.43871</v>
      </c>
      <c r="J37" s="73">
        <v>32.161430000000003</v>
      </c>
      <c r="K37" s="114" t="s">
        <v>8</v>
      </c>
      <c r="L37" s="119">
        <v>1339</v>
      </c>
      <c r="M37" s="82">
        <f t="shared" si="24"/>
        <v>300</v>
      </c>
      <c r="N37" s="119">
        <v>0</v>
      </c>
      <c r="O37" s="71">
        <f t="shared" si="25"/>
        <v>122</v>
      </c>
      <c r="P37" s="71">
        <v>1</v>
      </c>
      <c r="Q37" s="71">
        <f t="shared" si="26"/>
        <v>242</v>
      </c>
      <c r="R37" s="71">
        <f>M37*O37</f>
        <v>36600</v>
      </c>
      <c r="S37" s="71">
        <f>M37*Q37</f>
        <v>72600</v>
      </c>
      <c r="T37" s="71">
        <f>SUM(R37:S37)</f>
        <v>109200</v>
      </c>
      <c r="U37" s="71">
        <f>L37*O37</f>
        <v>163358</v>
      </c>
      <c r="V37" s="71">
        <f>L37*Q37</f>
        <v>324038</v>
      </c>
      <c r="W37" s="114">
        <f>SUM(U37:V37)</f>
        <v>487396</v>
      </c>
      <c r="X37" s="119">
        <f>N37+P37</f>
        <v>1</v>
      </c>
      <c r="Y37" s="181">
        <f t="shared" si="27"/>
        <v>2.7397260273972603E-3</v>
      </c>
      <c r="AA37" s="67"/>
      <c r="AB37" s="67"/>
      <c r="AC37" s="67"/>
    </row>
    <row r="38" spans="2:29">
      <c r="B38" s="91"/>
      <c r="C38" s="85"/>
      <c r="D38" s="85"/>
      <c r="E38" s="85"/>
      <c r="F38" s="85"/>
      <c r="G38" s="85"/>
      <c r="H38" s="85"/>
      <c r="I38" s="85"/>
      <c r="J38" s="88" t="s">
        <v>10</v>
      </c>
      <c r="K38" s="115"/>
      <c r="L38" s="120">
        <f t="shared" ref="L38:Q38" si="28">SUM(L33:L37)</f>
        <v>2983</v>
      </c>
      <c r="M38" s="92">
        <f t="shared" si="28"/>
        <v>1500</v>
      </c>
      <c r="N38" s="120">
        <f t="shared" si="28"/>
        <v>0</v>
      </c>
      <c r="O38" s="87">
        <f t="shared" si="28"/>
        <v>610</v>
      </c>
      <c r="P38" s="87">
        <f t="shared" si="28"/>
        <v>20</v>
      </c>
      <c r="Q38" s="87">
        <f t="shared" si="28"/>
        <v>1195</v>
      </c>
      <c r="R38" s="87">
        <f t="shared" ref="R38:W38" si="29">SUM(R33:R37)</f>
        <v>183000</v>
      </c>
      <c r="S38" s="87">
        <f t="shared" si="29"/>
        <v>358500</v>
      </c>
      <c r="T38" s="87">
        <f t="shared" si="29"/>
        <v>541500</v>
      </c>
      <c r="U38" s="87">
        <f t="shared" si="29"/>
        <v>363926</v>
      </c>
      <c r="V38" s="87">
        <f t="shared" si="29"/>
        <v>715207</v>
      </c>
      <c r="W38" s="115">
        <f t="shared" si="29"/>
        <v>1079133</v>
      </c>
      <c r="X38" s="120">
        <f>SUM(X33:X37)</f>
        <v>20</v>
      </c>
      <c r="Y38" s="183">
        <f>AVERAGE(Y33:Y37)</f>
        <v>1.0958904109589043E-2</v>
      </c>
      <c r="AA38" s="67"/>
      <c r="AB38" s="67"/>
      <c r="AC38" s="67"/>
    </row>
    <row r="39" spans="2:29">
      <c r="B39" s="89" t="s">
        <v>103</v>
      </c>
      <c r="C39" s="84"/>
      <c r="D39" s="84"/>
      <c r="E39" s="84"/>
      <c r="F39" s="84"/>
      <c r="G39" s="84"/>
      <c r="H39" s="84"/>
      <c r="I39" s="84"/>
      <c r="J39" s="84"/>
      <c r="K39" s="113"/>
      <c r="L39" s="118"/>
      <c r="M39" s="90"/>
      <c r="N39" s="118"/>
      <c r="O39" s="84"/>
      <c r="P39" s="84"/>
      <c r="Q39" s="84"/>
      <c r="R39" s="86"/>
      <c r="S39" s="86"/>
      <c r="T39" s="86"/>
      <c r="U39" s="86"/>
      <c r="V39" s="86"/>
      <c r="W39" s="113"/>
      <c r="X39" s="118"/>
      <c r="Y39" s="90"/>
      <c r="AA39" s="67"/>
      <c r="AB39" s="67"/>
      <c r="AC39" s="67"/>
    </row>
    <row r="40" spans="2:29" ht="13">
      <c r="B40" s="81" t="s">
        <v>153</v>
      </c>
      <c r="C40" s="63" t="s">
        <v>104</v>
      </c>
      <c r="D40" s="70">
        <v>43286</v>
      </c>
      <c r="E40" s="70">
        <v>43287</v>
      </c>
      <c r="F40" s="70">
        <f>$AB$5</f>
        <v>44440</v>
      </c>
      <c r="G40" s="63" t="s">
        <v>93</v>
      </c>
      <c r="H40" s="71" t="s">
        <v>202</v>
      </c>
      <c r="I40" s="73">
        <v>-19.2639</v>
      </c>
      <c r="J40" s="73">
        <v>32.073009999999996</v>
      </c>
      <c r="K40" s="114" t="s">
        <v>8</v>
      </c>
      <c r="L40" s="119">
        <v>667</v>
      </c>
      <c r="M40" s="82">
        <f>IF(L40&gt;300,300,L40)</f>
        <v>300</v>
      </c>
      <c r="N40" s="119">
        <v>0</v>
      </c>
      <c r="O40" s="71">
        <f>$AB$7-F40-N40+1</f>
        <v>122</v>
      </c>
      <c r="P40" s="71">
        <v>1</v>
      </c>
      <c r="Q40" s="71">
        <f>$AB$6-$AB$8-P40+1</f>
        <v>242</v>
      </c>
      <c r="R40" s="71">
        <f>M40*O40</f>
        <v>36600</v>
      </c>
      <c r="S40" s="71">
        <f>M40*Q40</f>
        <v>72600</v>
      </c>
      <c r="T40" s="71">
        <f>SUM(R40:S40)</f>
        <v>109200</v>
      </c>
      <c r="U40" s="71">
        <f>L40*O40</f>
        <v>81374</v>
      </c>
      <c r="V40" s="71">
        <f>L40*Q40</f>
        <v>161414</v>
      </c>
      <c r="W40" s="114">
        <f>SUM(U40:V40)</f>
        <v>242788</v>
      </c>
      <c r="X40" s="119">
        <f>N40+P40</f>
        <v>1</v>
      </c>
      <c r="Y40" s="181">
        <f>X40/($AB$6-$AB$5+1)</f>
        <v>2.7397260273972603E-3</v>
      </c>
      <c r="AA40" s="67"/>
      <c r="AB40" s="67"/>
      <c r="AC40" s="67"/>
    </row>
    <row r="41" spans="2:29" ht="13">
      <c r="B41" s="81" t="s">
        <v>173</v>
      </c>
      <c r="C41" s="63" t="s">
        <v>105</v>
      </c>
      <c r="D41" s="70">
        <v>43301</v>
      </c>
      <c r="E41" s="70">
        <v>43302</v>
      </c>
      <c r="F41" s="70">
        <f>$AB$5</f>
        <v>44440</v>
      </c>
      <c r="G41" s="63" t="s">
        <v>109</v>
      </c>
      <c r="H41" s="71" t="s">
        <v>202</v>
      </c>
      <c r="I41" s="73">
        <v>-20.471810000000001</v>
      </c>
      <c r="J41" s="73">
        <v>32.234459999999999</v>
      </c>
      <c r="K41" s="114" t="s">
        <v>8</v>
      </c>
      <c r="L41" s="119">
        <v>365</v>
      </c>
      <c r="M41" s="82">
        <f t="shared" ref="M41:M44" si="30">IF(L41&gt;300,300,L41)</f>
        <v>300</v>
      </c>
      <c r="N41" s="119">
        <v>0</v>
      </c>
      <c r="O41" s="71">
        <f t="shared" ref="O41:O44" si="31">$AB$7-F41-N41+1</f>
        <v>122</v>
      </c>
      <c r="P41" s="71">
        <v>1</v>
      </c>
      <c r="Q41" s="71">
        <f t="shared" ref="Q41:Q44" si="32">$AB$6-$AB$8-P41+1</f>
        <v>242</v>
      </c>
      <c r="R41" s="71">
        <f>M41*O41</f>
        <v>36600</v>
      </c>
      <c r="S41" s="71">
        <f>M41*Q41</f>
        <v>72600</v>
      </c>
      <c r="T41" s="71">
        <f>SUM(R41:S41)</f>
        <v>109200</v>
      </c>
      <c r="U41" s="71">
        <f>L41*O41</f>
        <v>44530</v>
      </c>
      <c r="V41" s="71">
        <f>L41*Q41</f>
        <v>88330</v>
      </c>
      <c r="W41" s="114">
        <f>SUM(U41:V41)</f>
        <v>132860</v>
      </c>
      <c r="X41" s="119">
        <f>N41+P41</f>
        <v>1</v>
      </c>
      <c r="Y41" s="181">
        <f t="shared" ref="Y41:Y44" si="33">X41/($AB$6-$AB$5+1)</f>
        <v>2.7397260273972603E-3</v>
      </c>
      <c r="AA41" s="67"/>
      <c r="AB41" s="67"/>
      <c r="AC41" s="67"/>
    </row>
    <row r="42" spans="2:29" ht="13">
      <c r="B42" s="81" t="s">
        <v>172</v>
      </c>
      <c r="C42" s="63" t="s">
        <v>106</v>
      </c>
      <c r="D42" s="70">
        <v>43300</v>
      </c>
      <c r="E42" s="70">
        <v>43301</v>
      </c>
      <c r="F42" s="70">
        <f>$AB$5</f>
        <v>44440</v>
      </c>
      <c r="G42" s="63" t="s">
        <v>110</v>
      </c>
      <c r="H42" s="71" t="s">
        <v>202</v>
      </c>
      <c r="I42" s="73">
        <v>-20.513490000000001</v>
      </c>
      <c r="J42" s="73">
        <v>32.258150000000001</v>
      </c>
      <c r="K42" s="114" t="s">
        <v>8</v>
      </c>
      <c r="L42" s="119">
        <v>465</v>
      </c>
      <c r="M42" s="82">
        <f t="shared" si="30"/>
        <v>300</v>
      </c>
      <c r="N42" s="119">
        <v>0</v>
      </c>
      <c r="O42" s="71">
        <f t="shared" si="31"/>
        <v>122</v>
      </c>
      <c r="P42" s="71">
        <v>1</v>
      </c>
      <c r="Q42" s="71">
        <f t="shared" si="32"/>
        <v>242</v>
      </c>
      <c r="R42" s="71">
        <f>M42*O42</f>
        <v>36600</v>
      </c>
      <c r="S42" s="71">
        <f>M42*Q42</f>
        <v>72600</v>
      </c>
      <c r="T42" s="71">
        <f>SUM(R42:S42)</f>
        <v>109200</v>
      </c>
      <c r="U42" s="71">
        <f>L42*O42</f>
        <v>56730</v>
      </c>
      <c r="V42" s="71">
        <f>L42*Q42</f>
        <v>112530</v>
      </c>
      <c r="W42" s="114">
        <f>SUM(U42:V42)</f>
        <v>169260</v>
      </c>
      <c r="X42" s="119">
        <f>N42+P42</f>
        <v>1</v>
      </c>
      <c r="Y42" s="181">
        <f t="shared" si="33"/>
        <v>2.7397260273972603E-3</v>
      </c>
      <c r="AA42" s="67"/>
      <c r="AB42" s="67"/>
      <c r="AC42" s="67"/>
    </row>
    <row r="43" spans="2:29" ht="13">
      <c r="B43" s="81" t="s">
        <v>157</v>
      </c>
      <c r="C43" s="63" t="s">
        <v>107</v>
      </c>
      <c r="D43" s="70">
        <v>43290</v>
      </c>
      <c r="E43" s="70">
        <v>43291</v>
      </c>
      <c r="F43" s="70">
        <f>$AB$5</f>
        <v>44440</v>
      </c>
      <c r="G43" s="74" t="s">
        <v>77</v>
      </c>
      <c r="H43" s="71" t="s">
        <v>202</v>
      </c>
      <c r="I43" s="73">
        <v>-19.403690000000001</v>
      </c>
      <c r="J43" s="73">
        <v>32.13617</v>
      </c>
      <c r="K43" s="114" t="s">
        <v>8</v>
      </c>
      <c r="L43" s="119">
        <v>326</v>
      </c>
      <c r="M43" s="82">
        <f t="shared" si="30"/>
        <v>300</v>
      </c>
      <c r="N43" s="119">
        <v>0</v>
      </c>
      <c r="O43" s="71">
        <f t="shared" si="31"/>
        <v>122</v>
      </c>
      <c r="P43" s="71">
        <v>1</v>
      </c>
      <c r="Q43" s="71">
        <f t="shared" si="32"/>
        <v>242</v>
      </c>
      <c r="R43" s="71">
        <f>M43*O43</f>
        <v>36600</v>
      </c>
      <c r="S43" s="71">
        <f>M43*Q43</f>
        <v>72600</v>
      </c>
      <c r="T43" s="71">
        <f>SUM(R43:S43)</f>
        <v>109200</v>
      </c>
      <c r="U43" s="71">
        <f>L43*O43</f>
        <v>39772</v>
      </c>
      <c r="V43" s="71">
        <f>L43*Q43</f>
        <v>78892</v>
      </c>
      <c r="W43" s="114">
        <f>SUM(U43:V43)</f>
        <v>118664</v>
      </c>
      <c r="X43" s="119">
        <f>N43+P43</f>
        <v>1</v>
      </c>
      <c r="Y43" s="181">
        <f t="shared" si="33"/>
        <v>2.7397260273972603E-3</v>
      </c>
      <c r="AA43" s="67"/>
      <c r="AB43" s="67"/>
      <c r="AC43" s="67"/>
    </row>
    <row r="44" spans="2:29" ht="13">
      <c r="B44" s="81" t="s">
        <v>144</v>
      </c>
      <c r="C44" s="63" t="s">
        <v>108</v>
      </c>
      <c r="D44" s="70">
        <v>43271</v>
      </c>
      <c r="E44" s="70">
        <v>43272</v>
      </c>
      <c r="F44" s="70">
        <f>$AB$5</f>
        <v>44440</v>
      </c>
      <c r="G44" s="63" t="s">
        <v>84</v>
      </c>
      <c r="H44" s="71" t="s">
        <v>202</v>
      </c>
      <c r="I44" s="72">
        <v>-19.449300000000001</v>
      </c>
      <c r="J44" s="72">
        <v>32.168849999999999</v>
      </c>
      <c r="K44" s="114" t="s">
        <v>8</v>
      </c>
      <c r="L44" s="119">
        <v>195</v>
      </c>
      <c r="M44" s="82">
        <f t="shared" si="30"/>
        <v>195</v>
      </c>
      <c r="N44" s="119">
        <v>0</v>
      </c>
      <c r="O44" s="71">
        <f t="shared" si="31"/>
        <v>122</v>
      </c>
      <c r="P44" s="71">
        <v>2</v>
      </c>
      <c r="Q44" s="71">
        <f t="shared" si="32"/>
        <v>241</v>
      </c>
      <c r="R44" s="71">
        <f>M44*O44</f>
        <v>23790</v>
      </c>
      <c r="S44" s="71">
        <f>M44*Q44</f>
        <v>46995</v>
      </c>
      <c r="T44" s="71">
        <f>SUM(R44:S44)</f>
        <v>70785</v>
      </c>
      <c r="U44" s="71">
        <f>L44*O44</f>
        <v>23790</v>
      </c>
      <c r="V44" s="71">
        <f>L44*Q44</f>
        <v>46995</v>
      </c>
      <c r="W44" s="114">
        <f>SUM(U44:V44)</f>
        <v>70785</v>
      </c>
      <c r="X44" s="119">
        <f>N44+P44</f>
        <v>2</v>
      </c>
      <c r="Y44" s="181">
        <f t="shared" si="33"/>
        <v>5.4794520547945206E-3</v>
      </c>
      <c r="AA44" s="67"/>
      <c r="AB44" s="67"/>
      <c r="AC44" s="67"/>
    </row>
    <row r="45" spans="2:29" ht="15" thickBot="1">
      <c r="B45" s="93"/>
      <c r="C45" s="94"/>
      <c r="D45" s="94"/>
      <c r="E45" s="94"/>
      <c r="F45" s="94"/>
      <c r="G45" s="94"/>
      <c r="H45" s="94"/>
      <c r="I45" s="94"/>
      <c r="J45" s="95" t="s">
        <v>10</v>
      </c>
      <c r="K45" s="116"/>
      <c r="L45" s="177">
        <f t="shared" ref="L45:Q45" si="34">SUM(L40:L44)</f>
        <v>2018</v>
      </c>
      <c r="M45" s="178">
        <f t="shared" si="34"/>
        <v>1395</v>
      </c>
      <c r="N45" s="177">
        <f t="shared" si="34"/>
        <v>0</v>
      </c>
      <c r="O45" s="179">
        <f t="shared" si="34"/>
        <v>610</v>
      </c>
      <c r="P45" s="179">
        <f t="shared" si="34"/>
        <v>6</v>
      </c>
      <c r="Q45" s="179">
        <f t="shared" si="34"/>
        <v>1209</v>
      </c>
      <c r="R45" s="179">
        <f t="shared" ref="R45:W45" si="35">SUM(R40:R44)</f>
        <v>170190</v>
      </c>
      <c r="S45" s="179">
        <f t="shared" si="35"/>
        <v>337395</v>
      </c>
      <c r="T45" s="179">
        <f t="shared" si="35"/>
        <v>507585</v>
      </c>
      <c r="U45" s="179">
        <f t="shared" si="35"/>
        <v>246196</v>
      </c>
      <c r="V45" s="179">
        <f t="shared" si="35"/>
        <v>488161</v>
      </c>
      <c r="W45" s="116">
        <f t="shared" si="35"/>
        <v>734357</v>
      </c>
      <c r="X45" s="177">
        <f>SUM(X40:X44)</f>
        <v>6</v>
      </c>
      <c r="Y45" s="184">
        <f>AVERAGE(Y40:Y44)</f>
        <v>3.2876712328767125E-3</v>
      </c>
      <c r="AA45" s="67"/>
      <c r="AB45" s="67"/>
      <c r="AC45" s="67"/>
    </row>
    <row r="46" spans="2:29" ht="13.5" thickBot="1">
      <c r="AA46" s="67"/>
      <c r="AB46" s="67"/>
      <c r="AC46" s="67"/>
    </row>
    <row r="47" spans="2:29" ht="15" thickBot="1">
      <c r="J47" s="190" t="s">
        <v>10</v>
      </c>
      <c r="K47" s="191"/>
      <c r="L47" s="192">
        <f>SUM(L45,L38,L31,L24,L17,L10)</f>
        <v>11246</v>
      </c>
      <c r="M47" s="193">
        <f>SUM(M45,M38,M31,M24,M17,M10)</f>
        <v>7819</v>
      </c>
      <c r="N47" s="192">
        <f>SUM(N45,N38,N31,N24,N17,N10)</f>
        <v>0</v>
      </c>
      <c r="O47" s="194">
        <f>SUM(O45,O38,O31,O24,O17,O10)</f>
        <v>3660</v>
      </c>
      <c r="P47" s="194">
        <f t="shared" ref="P47:V47" si="36">SUM(P45,P38,P31,P24,P17,P10)</f>
        <v>49.1</v>
      </c>
      <c r="Q47" s="194">
        <f t="shared" si="36"/>
        <v>7240.9</v>
      </c>
      <c r="R47" s="194">
        <f t="shared" si="36"/>
        <v>953918</v>
      </c>
      <c r="S47" s="194">
        <f t="shared" si="36"/>
        <v>1886399</v>
      </c>
      <c r="T47" s="194">
        <f t="shared" si="36"/>
        <v>2840317</v>
      </c>
      <c r="U47" s="194">
        <f t="shared" si="36"/>
        <v>1372012</v>
      </c>
      <c r="V47" s="194">
        <f t="shared" si="36"/>
        <v>2712376.8</v>
      </c>
      <c r="W47" s="191">
        <f>SUM(W45,W38,W31,W24,W17,W10)</f>
        <v>4084388.8</v>
      </c>
      <c r="X47" s="192">
        <f>SUM(X10,X17,X24,X31,X38,X45)</f>
        <v>49.1</v>
      </c>
      <c r="Y47" s="195">
        <f>AVERAGE(Y10,Y17,Y24,Y31,Y38,Y45)</f>
        <v>4.484018264840183E-3</v>
      </c>
      <c r="AA47" s="67"/>
      <c r="AB47" s="67"/>
      <c r="AC47" s="67"/>
    </row>
    <row r="48" spans="2:29" ht="13">
      <c r="D48" s="66"/>
      <c r="H48" s="64"/>
      <c r="O48" s="67"/>
      <c r="P48" s="67"/>
      <c r="Q48" s="67"/>
      <c r="AA48" s="67"/>
      <c r="AB48" s="67"/>
      <c r="AC48" s="67"/>
    </row>
    <row r="49" spans="4:29" ht="13">
      <c r="D49" s="66"/>
      <c r="H49" s="64"/>
      <c r="O49" s="67"/>
      <c r="P49" s="67"/>
      <c r="Q49" s="67"/>
      <c r="AA49" s="67"/>
      <c r="AB49" s="67"/>
      <c r="AC49" s="67"/>
    </row>
    <row r="50" spans="4:29" ht="13">
      <c r="H50" s="64"/>
      <c r="O50" s="67"/>
      <c r="P50" s="67"/>
      <c r="Q50" s="67"/>
      <c r="AA50" s="67"/>
      <c r="AB50" s="67"/>
      <c r="AC50" s="67"/>
    </row>
    <row r="51" spans="4:29" ht="13">
      <c r="H51" s="64"/>
      <c r="J51" s="69"/>
      <c r="L51" s="69"/>
      <c r="O51" s="67"/>
      <c r="P51" s="67"/>
      <c r="Q51" s="67"/>
      <c r="AA51" s="67"/>
      <c r="AB51" s="67"/>
      <c r="AC51" s="67"/>
    </row>
    <row r="52" spans="4:29" ht="13">
      <c r="J52" s="64"/>
      <c r="K52" s="65"/>
      <c r="M52" s="65"/>
      <c r="N52" s="65"/>
      <c r="AA52" s="67"/>
      <c r="AB52" s="67"/>
      <c r="AC52" s="67"/>
    </row>
    <row r="53" spans="4:29" ht="15.75" customHeight="1">
      <c r="I53" s="66"/>
      <c r="J53" s="64"/>
      <c r="AA53" s="67"/>
      <c r="AB53" s="67"/>
      <c r="AC53" s="67"/>
    </row>
    <row r="54" spans="4:29" ht="15.75" customHeight="1">
      <c r="I54" s="66"/>
      <c r="J54" s="64"/>
      <c r="AA54" s="67"/>
      <c r="AB54" s="67"/>
      <c r="AC54" s="67"/>
    </row>
    <row r="55" spans="4:29" ht="15.75" customHeight="1">
      <c r="I55" s="66"/>
      <c r="J55" s="64"/>
      <c r="AA55" s="67"/>
      <c r="AB55" s="67"/>
      <c r="AC55" s="67"/>
    </row>
    <row r="56" spans="4:29" ht="15.75" customHeight="1">
      <c r="I56" s="66"/>
      <c r="J56" s="64"/>
      <c r="AA56" s="67"/>
      <c r="AB56" s="67"/>
      <c r="AC56" s="67"/>
    </row>
    <row r="57" spans="4:29" ht="15.75" customHeight="1">
      <c r="I57" s="66"/>
      <c r="J57" s="64"/>
      <c r="AA57" s="67"/>
      <c r="AB57" s="67"/>
      <c r="AC57" s="67"/>
    </row>
    <row r="58" spans="4:29" ht="15.75" customHeight="1">
      <c r="I58" s="66"/>
      <c r="J58" s="64"/>
      <c r="AA58" s="67"/>
      <c r="AB58" s="67"/>
      <c r="AC58" s="67"/>
    </row>
    <row r="59" spans="4:29" ht="15.75" customHeight="1">
      <c r="J59" s="64"/>
      <c r="K59" s="65"/>
      <c r="M59" s="65"/>
      <c r="N59" s="65"/>
      <c r="AA59" s="67"/>
      <c r="AB59" s="67"/>
      <c r="AC59" s="67"/>
    </row>
    <row r="60" spans="4:29" ht="15.75" customHeight="1">
      <c r="I60" s="66"/>
      <c r="J60" s="64"/>
      <c r="AA60" s="67"/>
      <c r="AB60" s="67"/>
      <c r="AC60" s="67"/>
    </row>
    <row r="61" spans="4:29" ht="15.75" customHeight="1">
      <c r="I61" s="66"/>
      <c r="J61" s="64"/>
      <c r="AA61" s="67"/>
      <c r="AB61" s="67"/>
      <c r="AC61" s="67"/>
    </row>
    <row r="62" spans="4:29" ht="15.75" customHeight="1">
      <c r="I62" s="66"/>
      <c r="J62" s="64"/>
      <c r="AA62" s="67"/>
      <c r="AB62" s="67"/>
      <c r="AC62" s="67"/>
    </row>
    <row r="63" spans="4:29" ht="15.75" customHeight="1">
      <c r="I63" s="66"/>
      <c r="J63" s="64"/>
      <c r="AA63" s="67"/>
      <c r="AB63" s="67"/>
      <c r="AC63" s="67"/>
    </row>
    <row r="64" spans="4:29" ht="15.75" customHeight="1">
      <c r="S64" s="66"/>
      <c r="AA64" s="67"/>
      <c r="AB64" s="67"/>
      <c r="AC64" s="67"/>
    </row>
    <row r="65" spans="15:29" ht="15.75" customHeight="1">
      <c r="S65" s="66"/>
      <c r="AA65" s="67"/>
      <c r="AB65" s="67"/>
      <c r="AC65" s="67"/>
    </row>
    <row r="66" spans="15:29" ht="15.75" customHeight="1">
      <c r="AA66" s="67"/>
      <c r="AB66" s="67"/>
      <c r="AC66" s="67"/>
    </row>
    <row r="67" spans="15:29" ht="15.75" customHeight="1">
      <c r="Q67" s="65"/>
      <c r="R67" s="65"/>
      <c r="S67" s="65"/>
      <c r="T67" s="65"/>
      <c r="U67" s="65"/>
      <c r="V67" s="65"/>
      <c r="W67" s="65"/>
      <c r="X67" s="65"/>
      <c r="Y67" s="65"/>
      <c r="AA67" s="67"/>
      <c r="AB67" s="67"/>
      <c r="AC67" s="67"/>
    </row>
    <row r="68" spans="15:29" ht="15.75" customHeight="1">
      <c r="AA68" s="67"/>
      <c r="AB68" s="67"/>
      <c r="AC68" s="67"/>
    </row>
    <row r="69" spans="15:29" ht="15.75" customHeight="1">
      <c r="O69" s="68"/>
      <c r="P69" s="68"/>
      <c r="R69" s="68"/>
      <c r="T69" s="68"/>
      <c r="U69" s="68"/>
      <c r="V69" s="68"/>
      <c r="W69" s="68"/>
      <c r="X69" s="68"/>
      <c r="Y69" s="68"/>
      <c r="AA69" s="67"/>
      <c r="AB69" s="67"/>
      <c r="AC69" s="67"/>
    </row>
    <row r="70" spans="15:29" ht="15.75" customHeight="1">
      <c r="R70" s="68"/>
      <c r="T70" s="68"/>
      <c r="U70" s="68"/>
      <c r="V70" s="68"/>
      <c r="W70" s="68"/>
      <c r="X70" s="68"/>
      <c r="Y70" s="68"/>
      <c r="AA70" s="67"/>
      <c r="AB70" s="67"/>
      <c r="AC70" s="67"/>
    </row>
    <row r="71" spans="15:29" ht="15.75" customHeight="1">
      <c r="R71" s="68"/>
      <c r="T71" s="68"/>
      <c r="U71" s="68"/>
      <c r="V71" s="68"/>
      <c r="W71" s="68"/>
      <c r="X71" s="68"/>
      <c r="Y71" s="68"/>
      <c r="AA71" s="67"/>
      <c r="AB71" s="67"/>
      <c r="AC71" s="67"/>
    </row>
    <row r="72" spans="15:29" ht="15.75" customHeight="1">
      <c r="R72" s="68"/>
      <c r="T72" s="68"/>
      <c r="U72" s="68"/>
      <c r="V72" s="68"/>
      <c r="W72" s="68"/>
      <c r="X72" s="68"/>
      <c r="Y72" s="68"/>
      <c r="AA72" s="67"/>
      <c r="AB72" s="67"/>
      <c r="AC72" s="67"/>
    </row>
    <row r="73" spans="15:29" ht="15.75" customHeight="1">
      <c r="O73" s="68"/>
      <c r="P73" s="68"/>
      <c r="R73" s="68"/>
      <c r="T73" s="68"/>
      <c r="U73" s="68"/>
      <c r="V73" s="68"/>
      <c r="W73" s="68"/>
      <c r="X73" s="68"/>
      <c r="Y73" s="68"/>
      <c r="AA73" s="67"/>
      <c r="AB73" s="67"/>
      <c r="AC73" s="67"/>
    </row>
    <row r="74" spans="15:29" ht="15.75" customHeight="1">
      <c r="R74" s="68"/>
      <c r="T74" s="68"/>
      <c r="U74" s="68"/>
      <c r="V74" s="68"/>
      <c r="W74" s="68"/>
      <c r="X74" s="68"/>
      <c r="Y74" s="68"/>
      <c r="AA74" s="67"/>
      <c r="AB74" s="67"/>
      <c r="AC74" s="67"/>
    </row>
    <row r="75" spans="15:29" ht="15.75" customHeight="1">
      <c r="R75" s="68"/>
      <c r="T75" s="68"/>
      <c r="U75" s="68"/>
      <c r="V75" s="68"/>
      <c r="W75" s="68"/>
      <c r="X75" s="68"/>
      <c r="Y75" s="68"/>
      <c r="AA75" s="67"/>
      <c r="AB75" s="67"/>
      <c r="AC75" s="67"/>
    </row>
    <row r="76" spans="15:29" ht="15.75" customHeight="1">
      <c r="Q76" s="65"/>
      <c r="R76" s="65"/>
      <c r="S76" s="65"/>
      <c r="T76" s="65"/>
      <c r="U76" s="65"/>
      <c r="V76" s="65"/>
      <c r="W76" s="65"/>
      <c r="X76" s="65"/>
      <c r="Y76" s="65"/>
      <c r="AA76" s="67"/>
      <c r="AB76" s="67"/>
      <c r="AC76" s="67"/>
    </row>
    <row r="77" spans="15:29" ht="15.75" customHeight="1">
      <c r="AA77" s="67"/>
      <c r="AB77" s="67"/>
      <c r="AC77" s="67"/>
    </row>
    <row r="78" spans="15:29" ht="15.75" customHeight="1">
      <c r="AA78" s="67"/>
      <c r="AB78" s="67"/>
      <c r="AC78" s="67"/>
    </row>
    <row r="79" spans="15:29" ht="15.75" customHeight="1">
      <c r="AA79" s="67"/>
      <c r="AB79" s="67"/>
      <c r="AC79" s="67"/>
    </row>
    <row r="80" spans="15:29" ht="15.75" customHeight="1">
      <c r="AA80" s="67"/>
      <c r="AB80" s="67"/>
      <c r="AC80" s="67"/>
    </row>
    <row r="81" spans="17:29" ht="15.75" customHeight="1">
      <c r="AA81" s="67"/>
      <c r="AB81" s="67"/>
      <c r="AC81" s="67"/>
    </row>
    <row r="82" spans="17:29" ht="15.75" customHeight="1">
      <c r="AA82" s="67"/>
      <c r="AB82" s="67"/>
      <c r="AC82" s="67"/>
    </row>
    <row r="83" spans="17:29" ht="15.75" customHeight="1">
      <c r="AA83" s="67"/>
      <c r="AB83" s="67"/>
      <c r="AC83" s="67"/>
    </row>
    <row r="84" spans="17:29" ht="15.75" customHeight="1">
      <c r="Q84" s="65"/>
      <c r="R84" s="65"/>
      <c r="S84" s="65"/>
      <c r="T84" s="65"/>
      <c r="U84" s="65"/>
      <c r="V84" s="65"/>
      <c r="W84" s="65"/>
      <c r="X84" s="65"/>
      <c r="Y84" s="65"/>
      <c r="AA84" s="67"/>
      <c r="AB84" s="67"/>
      <c r="AC84" s="67"/>
    </row>
    <row r="85" spans="17:29" ht="15.75" customHeight="1">
      <c r="AA85" s="67"/>
      <c r="AB85" s="67"/>
      <c r="AC85" s="67"/>
    </row>
    <row r="86" spans="17:29" ht="15.75" customHeight="1">
      <c r="AA86" s="67"/>
      <c r="AB86" s="67"/>
      <c r="AC86" s="67"/>
    </row>
    <row r="87" spans="17:29" ht="15.75" customHeight="1">
      <c r="AA87" s="67"/>
      <c r="AB87" s="67"/>
      <c r="AC87" s="67"/>
    </row>
    <row r="88" spans="17:29" ht="15.75" customHeight="1">
      <c r="AA88" s="67"/>
      <c r="AB88" s="67"/>
      <c r="AC88" s="67"/>
    </row>
    <row r="89" spans="17:29" ht="15.75" customHeight="1">
      <c r="AA89" s="67"/>
      <c r="AB89" s="67"/>
      <c r="AC89" s="67"/>
    </row>
    <row r="90" spans="17:29" ht="15.75" customHeight="1">
      <c r="AA90" s="67"/>
      <c r="AB90" s="67"/>
      <c r="AC90" s="67"/>
    </row>
    <row r="91" spans="17:29" ht="15.75" customHeight="1">
      <c r="AA91" s="67"/>
      <c r="AB91" s="67"/>
      <c r="AC91" s="67"/>
    </row>
    <row r="92" spans="17:29" ht="15.75" customHeight="1">
      <c r="Q92" s="65"/>
      <c r="R92" s="65"/>
      <c r="S92" s="65"/>
      <c r="T92" s="65"/>
      <c r="U92" s="65"/>
      <c r="V92" s="65"/>
      <c r="W92" s="65"/>
      <c r="X92" s="65"/>
      <c r="Y92" s="65"/>
      <c r="AA92" s="67"/>
      <c r="AB92" s="67"/>
      <c r="AC92" s="67"/>
    </row>
    <row r="93" spans="17:29" ht="15.75" customHeight="1">
      <c r="AA93" s="67"/>
      <c r="AB93" s="67"/>
      <c r="AC93" s="67"/>
    </row>
    <row r="94" spans="17:29" ht="15.75" customHeight="1">
      <c r="AA94" s="67"/>
      <c r="AB94" s="67"/>
      <c r="AC94" s="67"/>
    </row>
    <row r="95" spans="17:29" ht="15.75" customHeight="1">
      <c r="AA95" s="67"/>
      <c r="AB95" s="67"/>
      <c r="AC95" s="67"/>
    </row>
    <row r="96" spans="17:29" ht="15.75" customHeight="1">
      <c r="AA96" s="67"/>
      <c r="AB96" s="67"/>
      <c r="AC96" s="67"/>
    </row>
    <row r="97" spans="17:29" ht="15.75" customHeight="1">
      <c r="AA97" s="67"/>
      <c r="AB97" s="67"/>
      <c r="AC97" s="67"/>
    </row>
    <row r="98" spans="17:29" ht="15.75" customHeight="1">
      <c r="Q98" s="65"/>
      <c r="R98" s="65"/>
      <c r="S98" s="65"/>
      <c r="T98" s="65"/>
      <c r="U98" s="65"/>
      <c r="V98" s="65"/>
      <c r="W98" s="65"/>
      <c r="X98" s="65"/>
      <c r="Y98" s="65"/>
      <c r="AA98" s="67"/>
      <c r="AB98" s="67"/>
      <c r="AC98" s="67"/>
    </row>
    <row r="99" spans="17:29" ht="13">
      <c r="AA99" s="67"/>
      <c r="AB99" s="67"/>
      <c r="AC99" s="67"/>
    </row>
    <row r="100" spans="17:29" ht="13">
      <c r="AA100" s="67"/>
      <c r="AB100" s="67"/>
      <c r="AC100" s="67"/>
    </row>
    <row r="101" spans="17:29" ht="13">
      <c r="AA101" s="67"/>
      <c r="AB101" s="67"/>
      <c r="AC101" s="67"/>
    </row>
    <row r="102" spans="17:29" ht="13">
      <c r="AA102" s="67"/>
      <c r="AB102" s="67"/>
      <c r="AC102" s="67"/>
    </row>
    <row r="103" spans="17:29" ht="13">
      <c r="AA103" s="67"/>
      <c r="AB103" s="67"/>
      <c r="AC103" s="67"/>
    </row>
    <row r="104" spans="17:29" ht="13">
      <c r="AA104" s="67"/>
      <c r="AB104" s="67"/>
      <c r="AC104" s="67"/>
    </row>
    <row r="105" spans="17:29" ht="13">
      <c r="AA105" s="67"/>
      <c r="AB105" s="67"/>
      <c r="AC105" s="67"/>
    </row>
    <row r="106" spans="17:29" ht="13">
      <c r="AA106" s="67"/>
      <c r="AB106" s="67"/>
      <c r="AC106" s="67"/>
    </row>
    <row r="107" spans="17:29" ht="13">
      <c r="AA107" s="67"/>
      <c r="AB107" s="67"/>
      <c r="AC107" s="67"/>
    </row>
    <row r="108" spans="17:29" ht="13">
      <c r="AA108" s="67"/>
      <c r="AB108" s="67"/>
      <c r="AC108" s="67"/>
    </row>
    <row r="109" spans="17:29" ht="13">
      <c r="AA109" s="67"/>
      <c r="AB109" s="67"/>
      <c r="AC109" s="67"/>
    </row>
    <row r="110" spans="17:29" ht="13">
      <c r="AA110" s="67"/>
      <c r="AB110" s="67"/>
      <c r="AC110" s="67"/>
    </row>
    <row r="111" spans="17:29" ht="13">
      <c r="AA111" s="67"/>
      <c r="AB111" s="67"/>
      <c r="AC111" s="67"/>
    </row>
    <row r="112" spans="17:29" ht="13">
      <c r="AA112" s="67"/>
      <c r="AB112" s="67"/>
      <c r="AC112" s="67"/>
    </row>
    <row r="113" spans="27:29" ht="13">
      <c r="AA113" s="67"/>
      <c r="AB113" s="67"/>
      <c r="AC113" s="67"/>
    </row>
    <row r="114" spans="27:29" ht="13">
      <c r="AA114" s="67"/>
      <c r="AB114" s="67"/>
      <c r="AC114" s="67"/>
    </row>
    <row r="115" spans="27:29" ht="13">
      <c r="AA115" s="67"/>
      <c r="AB115" s="67"/>
      <c r="AC115" s="67"/>
    </row>
    <row r="116" spans="27:29" ht="13">
      <c r="AA116" s="67"/>
      <c r="AB116" s="67"/>
      <c r="AC116" s="67"/>
    </row>
    <row r="117" spans="27:29" ht="13">
      <c r="AA117" s="67"/>
      <c r="AB117" s="67"/>
      <c r="AC117" s="67"/>
    </row>
    <row r="118" spans="27:29" ht="13">
      <c r="AA118" s="67"/>
      <c r="AB118" s="67"/>
      <c r="AC118" s="67"/>
    </row>
    <row r="119" spans="27:29" ht="13">
      <c r="AA119" s="67"/>
      <c r="AB119" s="67"/>
      <c r="AC119" s="67"/>
    </row>
    <row r="120" spans="27:29" ht="13">
      <c r="AA120" s="67"/>
      <c r="AB120" s="67"/>
      <c r="AC120" s="67"/>
    </row>
    <row r="121" spans="27:29" ht="13">
      <c r="AA121" s="67"/>
      <c r="AB121" s="67"/>
      <c r="AC121" s="67"/>
    </row>
    <row r="122" spans="27:29" ht="13">
      <c r="AA122" s="67"/>
      <c r="AB122" s="67"/>
      <c r="AC122" s="67"/>
    </row>
    <row r="123" spans="27:29" ht="13">
      <c r="AA123" s="67"/>
      <c r="AB123" s="67"/>
      <c r="AC123" s="67"/>
    </row>
    <row r="124" spans="27:29" ht="13">
      <c r="AA124" s="67"/>
      <c r="AB124" s="67"/>
      <c r="AC124" s="67"/>
    </row>
    <row r="125" spans="27:29" ht="13">
      <c r="AA125" s="67"/>
      <c r="AB125" s="67"/>
      <c r="AC125" s="67"/>
    </row>
    <row r="126" spans="27:29" ht="13">
      <c r="AA126" s="67"/>
      <c r="AB126" s="67"/>
      <c r="AC126" s="67"/>
    </row>
    <row r="127" spans="27:29" ht="13">
      <c r="AA127" s="67"/>
      <c r="AB127" s="67"/>
      <c r="AC127" s="67"/>
    </row>
    <row r="128" spans="27:29" ht="13">
      <c r="AA128" s="67"/>
      <c r="AB128" s="67"/>
      <c r="AC128" s="67"/>
    </row>
    <row r="129" spans="27:29" ht="13">
      <c r="AA129" s="67"/>
      <c r="AB129" s="67"/>
      <c r="AC129" s="67"/>
    </row>
    <row r="130" spans="27:29" ht="13">
      <c r="AA130" s="67"/>
      <c r="AB130" s="67"/>
      <c r="AC130" s="67"/>
    </row>
    <row r="131" spans="27:29" ht="13">
      <c r="AA131" s="67"/>
      <c r="AB131" s="67"/>
      <c r="AC131" s="67"/>
    </row>
    <row r="132" spans="27:29" ht="13">
      <c r="AA132" s="67"/>
      <c r="AB132" s="67"/>
      <c r="AC132" s="67"/>
    </row>
    <row r="133" spans="27:29" ht="13">
      <c r="AA133" s="67"/>
      <c r="AB133" s="67"/>
      <c r="AC133" s="67"/>
    </row>
    <row r="134" spans="27:29" ht="13">
      <c r="AA134" s="67"/>
      <c r="AB134" s="67"/>
      <c r="AC134" s="67"/>
    </row>
    <row r="135" spans="27:29" ht="13">
      <c r="AA135" s="67"/>
      <c r="AB135" s="67"/>
      <c r="AC135" s="67"/>
    </row>
    <row r="136" spans="27:29" ht="13">
      <c r="AA136" s="67"/>
      <c r="AB136" s="67"/>
      <c r="AC136" s="67"/>
    </row>
    <row r="137" spans="27:29" ht="13">
      <c r="AA137" s="67"/>
      <c r="AB137" s="67"/>
      <c r="AC137" s="67"/>
    </row>
    <row r="138" spans="27:29" ht="13">
      <c r="AA138" s="67"/>
      <c r="AB138" s="67"/>
      <c r="AC138" s="67"/>
    </row>
    <row r="139" spans="27:29" ht="13">
      <c r="AA139" s="67"/>
      <c r="AB139" s="67"/>
      <c r="AC139" s="67"/>
    </row>
    <row r="140" spans="27:29" ht="13">
      <c r="AA140" s="67"/>
      <c r="AB140" s="67"/>
      <c r="AC140" s="67"/>
    </row>
    <row r="141" spans="27:29" ht="13">
      <c r="AA141" s="67"/>
      <c r="AB141" s="67"/>
      <c r="AC141" s="67"/>
    </row>
    <row r="142" spans="27:29" ht="13">
      <c r="AA142" s="67"/>
      <c r="AB142" s="67"/>
      <c r="AC142" s="67"/>
    </row>
    <row r="143" spans="27:29" ht="13">
      <c r="AA143" s="67"/>
      <c r="AB143" s="67"/>
      <c r="AC143" s="67"/>
    </row>
    <row r="144" spans="27:29" ht="13">
      <c r="AA144" s="67"/>
      <c r="AB144" s="67"/>
      <c r="AC144" s="67"/>
    </row>
    <row r="145" spans="27:29" ht="13">
      <c r="AA145" s="67"/>
      <c r="AB145" s="67"/>
      <c r="AC145" s="67"/>
    </row>
    <row r="146" spans="27:29" ht="13">
      <c r="AA146" s="67"/>
      <c r="AB146" s="67"/>
      <c r="AC146" s="67"/>
    </row>
    <row r="147" spans="27:29" ht="13">
      <c r="AA147" s="67"/>
      <c r="AB147" s="67"/>
      <c r="AC147" s="67"/>
    </row>
    <row r="148" spans="27:29" ht="13">
      <c r="AA148" s="67"/>
      <c r="AB148" s="67"/>
      <c r="AC148" s="67"/>
    </row>
    <row r="149" spans="27:29" ht="13">
      <c r="AA149" s="67"/>
      <c r="AB149" s="67"/>
      <c r="AC149" s="67"/>
    </row>
    <row r="150" spans="27:29" ht="13">
      <c r="AA150" s="67"/>
      <c r="AB150" s="67"/>
      <c r="AC150" s="67"/>
    </row>
    <row r="151" spans="27:29" ht="13">
      <c r="AA151" s="67"/>
      <c r="AB151" s="67"/>
      <c r="AC151" s="67"/>
    </row>
    <row r="152" spans="27:29" ht="13">
      <c r="AA152" s="67"/>
      <c r="AB152" s="67"/>
      <c r="AC152" s="67"/>
    </row>
    <row r="153" spans="27:29" ht="13">
      <c r="AA153" s="67"/>
      <c r="AB153" s="67"/>
      <c r="AC153" s="67"/>
    </row>
    <row r="154" spans="27:29" ht="13">
      <c r="AA154" s="67"/>
      <c r="AB154" s="67"/>
      <c r="AC154" s="67"/>
    </row>
    <row r="155" spans="27:29" ht="13">
      <c r="AA155" s="67"/>
      <c r="AB155" s="67"/>
      <c r="AC155" s="67"/>
    </row>
    <row r="156" spans="27:29" ht="13">
      <c r="AA156" s="67"/>
      <c r="AB156" s="67"/>
      <c r="AC156" s="67"/>
    </row>
    <row r="157" spans="27:29" ht="13">
      <c r="AA157" s="67"/>
      <c r="AB157" s="67"/>
      <c r="AC157" s="67"/>
    </row>
    <row r="158" spans="27:29" ht="13">
      <c r="AA158" s="67"/>
      <c r="AB158" s="67"/>
      <c r="AC158" s="67"/>
    </row>
    <row r="159" spans="27:29" ht="13">
      <c r="AA159" s="67"/>
      <c r="AB159" s="67"/>
      <c r="AC159" s="67"/>
    </row>
    <row r="160" spans="27:29" ht="13">
      <c r="AA160" s="67"/>
      <c r="AB160" s="67"/>
      <c r="AC160" s="67"/>
    </row>
    <row r="161" spans="27:29" ht="13">
      <c r="AA161" s="67"/>
      <c r="AB161" s="67"/>
      <c r="AC161" s="67"/>
    </row>
    <row r="162" spans="27:29" ht="13">
      <c r="AA162" s="67"/>
      <c r="AB162" s="67"/>
      <c r="AC162" s="67"/>
    </row>
    <row r="163" spans="27:29" ht="13">
      <c r="AA163" s="67"/>
      <c r="AB163" s="67"/>
      <c r="AC163" s="67"/>
    </row>
    <row r="164" spans="27:29" ht="13">
      <c r="AA164" s="67"/>
      <c r="AB164" s="67"/>
      <c r="AC164" s="67"/>
    </row>
    <row r="165" spans="27:29" ht="13">
      <c r="AA165" s="67"/>
      <c r="AB165" s="67"/>
      <c r="AC165" s="67"/>
    </row>
    <row r="166" spans="27:29" ht="13">
      <c r="AA166" s="67"/>
      <c r="AB166" s="67"/>
      <c r="AC166" s="67"/>
    </row>
    <row r="167" spans="27:29" ht="13">
      <c r="AA167" s="67"/>
      <c r="AB167" s="67"/>
      <c r="AC167" s="67"/>
    </row>
    <row r="168" spans="27:29" ht="13">
      <c r="AA168" s="67"/>
      <c r="AB168" s="67"/>
      <c r="AC168" s="67"/>
    </row>
    <row r="169" spans="27:29" ht="13">
      <c r="AA169" s="67"/>
      <c r="AB169" s="67"/>
      <c r="AC169" s="67"/>
    </row>
    <row r="170" spans="27:29" ht="13">
      <c r="AA170" s="67"/>
      <c r="AB170" s="67"/>
      <c r="AC170" s="67"/>
    </row>
    <row r="171" spans="27:29" ht="13">
      <c r="AA171" s="67"/>
      <c r="AB171" s="67"/>
      <c r="AC171" s="67"/>
    </row>
    <row r="172" spans="27:29" ht="13">
      <c r="AA172" s="67"/>
      <c r="AB172" s="67"/>
      <c r="AC172" s="67"/>
    </row>
    <row r="173" spans="27:29" ht="13">
      <c r="AA173" s="67"/>
      <c r="AB173" s="67"/>
      <c r="AC173" s="67"/>
    </row>
    <row r="174" spans="27:29" ht="13">
      <c r="AA174" s="67"/>
      <c r="AB174" s="67"/>
      <c r="AC174" s="67"/>
    </row>
    <row r="175" spans="27:29" ht="13">
      <c r="AA175" s="67"/>
      <c r="AB175" s="67"/>
      <c r="AC175" s="67"/>
    </row>
    <row r="176" spans="27:29" ht="13">
      <c r="AA176" s="67"/>
      <c r="AB176" s="67"/>
      <c r="AC176" s="67"/>
    </row>
    <row r="177" spans="27:29" ht="13">
      <c r="AA177" s="67"/>
      <c r="AB177" s="67"/>
      <c r="AC177" s="67"/>
    </row>
    <row r="178" spans="27:29" ht="13">
      <c r="AA178" s="67"/>
      <c r="AB178" s="67"/>
      <c r="AC178" s="67"/>
    </row>
    <row r="179" spans="27:29" ht="13">
      <c r="AA179" s="67"/>
      <c r="AB179" s="67"/>
      <c r="AC179" s="67"/>
    </row>
    <row r="180" spans="27:29" ht="13">
      <c r="AA180" s="67"/>
      <c r="AB180" s="67"/>
      <c r="AC180" s="67"/>
    </row>
    <row r="181" spans="27:29" ht="13">
      <c r="AA181" s="67"/>
      <c r="AB181" s="67"/>
      <c r="AC181" s="67"/>
    </row>
    <row r="182" spans="27:29" ht="13">
      <c r="AA182" s="67"/>
      <c r="AB182" s="67"/>
      <c r="AC182" s="67"/>
    </row>
    <row r="183" spans="27:29" ht="13">
      <c r="AA183" s="67"/>
      <c r="AB183" s="67"/>
      <c r="AC183" s="67"/>
    </row>
    <row r="184" spans="27:29" ht="13">
      <c r="AA184" s="67"/>
      <c r="AB184" s="67"/>
      <c r="AC184" s="67"/>
    </row>
    <row r="185" spans="27:29" ht="13">
      <c r="AA185" s="67"/>
      <c r="AB185" s="67"/>
      <c r="AC185" s="67"/>
    </row>
    <row r="186" spans="27:29" ht="13">
      <c r="AA186" s="67"/>
      <c r="AB186" s="67"/>
      <c r="AC186" s="67"/>
    </row>
    <row r="187" spans="27:29" ht="13">
      <c r="AA187" s="67"/>
      <c r="AB187" s="67"/>
      <c r="AC187" s="67"/>
    </row>
    <row r="188" spans="27:29" ht="13">
      <c r="AA188" s="67"/>
      <c r="AB188" s="67"/>
      <c r="AC188" s="67"/>
    </row>
    <row r="189" spans="27:29" ht="13">
      <c r="AA189" s="67"/>
      <c r="AB189" s="67"/>
      <c r="AC189" s="67"/>
    </row>
    <row r="190" spans="27:29" ht="13">
      <c r="AA190" s="67"/>
      <c r="AB190" s="67"/>
      <c r="AC190" s="67"/>
    </row>
    <row r="191" spans="27:29" ht="13">
      <c r="AA191" s="67"/>
      <c r="AB191" s="67"/>
      <c r="AC191" s="67"/>
    </row>
    <row r="192" spans="27:29" ht="13">
      <c r="AA192" s="67"/>
      <c r="AB192" s="67"/>
      <c r="AC192" s="67"/>
    </row>
    <row r="193" spans="27:29" ht="13">
      <c r="AA193" s="67"/>
      <c r="AB193" s="67"/>
      <c r="AC193" s="67"/>
    </row>
    <row r="194" spans="27:29" ht="13">
      <c r="AA194" s="67"/>
      <c r="AB194" s="67"/>
      <c r="AC194" s="67"/>
    </row>
    <row r="195" spans="27:29" ht="13">
      <c r="AA195" s="67"/>
      <c r="AB195" s="67"/>
      <c r="AC195" s="67"/>
    </row>
    <row r="196" spans="27:29" ht="13">
      <c r="AA196" s="67"/>
      <c r="AB196" s="67"/>
      <c r="AC196" s="67"/>
    </row>
    <row r="197" spans="27:29" ht="13">
      <c r="AA197" s="67"/>
      <c r="AB197" s="67"/>
      <c r="AC197" s="67"/>
    </row>
    <row r="198" spans="27:29" ht="13">
      <c r="AA198" s="67"/>
      <c r="AB198" s="67"/>
      <c r="AC198" s="67"/>
    </row>
    <row r="199" spans="27:29" ht="13">
      <c r="AA199" s="67"/>
      <c r="AB199" s="67"/>
      <c r="AC199" s="67"/>
    </row>
    <row r="200" spans="27:29" ht="13">
      <c r="AA200" s="67"/>
      <c r="AB200" s="67"/>
      <c r="AC200" s="67"/>
    </row>
    <row r="201" spans="27:29" ht="13">
      <c r="AA201" s="67"/>
      <c r="AB201" s="67"/>
      <c r="AC201" s="67"/>
    </row>
    <row r="202" spans="27:29" ht="13">
      <c r="AA202" s="67"/>
      <c r="AB202" s="67"/>
      <c r="AC202" s="67"/>
    </row>
    <row r="203" spans="27:29" ht="13">
      <c r="AA203" s="67"/>
      <c r="AB203" s="67"/>
      <c r="AC203" s="67"/>
    </row>
    <row r="204" spans="27:29" ht="13">
      <c r="AA204" s="67"/>
      <c r="AB204" s="67"/>
      <c r="AC204" s="67"/>
    </row>
    <row r="205" spans="27:29" ht="13">
      <c r="AA205" s="67"/>
      <c r="AB205" s="67"/>
      <c r="AC205" s="67"/>
    </row>
    <row r="206" spans="27:29" ht="13">
      <c r="AA206" s="67"/>
      <c r="AB206" s="67"/>
      <c r="AC206" s="67"/>
    </row>
    <row r="207" spans="27:29" ht="13">
      <c r="AA207" s="67"/>
      <c r="AB207" s="67"/>
      <c r="AC207" s="67"/>
    </row>
    <row r="208" spans="27:29" ht="13">
      <c r="AA208" s="67"/>
      <c r="AB208" s="67"/>
      <c r="AC208" s="67"/>
    </row>
    <row r="209" spans="27:29" ht="13">
      <c r="AA209" s="67"/>
      <c r="AB209" s="67"/>
      <c r="AC209" s="67"/>
    </row>
    <row r="210" spans="27:29" ht="13">
      <c r="AA210" s="67"/>
      <c r="AB210" s="67"/>
      <c r="AC210" s="67"/>
    </row>
    <row r="211" spans="27:29" ht="13">
      <c r="AA211" s="67"/>
      <c r="AB211" s="67"/>
      <c r="AC211" s="67"/>
    </row>
    <row r="212" spans="27:29" ht="13">
      <c r="AA212" s="67"/>
      <c r="AB212" s="67"/>
      <c r="AC212" s="67"/>
    </row>
    <row r="213" spans="27:29" ht="13">
      <c r="AA213" s="67"/>
      <c r="AB213" s="67"/>
      <c r="AC213" s="67"/>
    </row>
    <row r="214" spans="27:29" ht="13">
      <c r="AA214" s="67"/>
      <c r="AB214" s="67"/>
      <c r="AC214" s="67"/>
    </row>
    <row r="215" spans="27:29" ht="13">
      <c r="AA215" s="67"/>
      <c r="AB215" s="67"/>
      <c r="AC215" s="67"/>
    </row>
    <row r="216" spans="27:29" ht="13">
      <c r="AA216" s="67"/>
      <c r="AB216" s="67"/>
      <c r="AC216" s="67"/>
    </row>
    <row r="217" spans="27:29" ht="13">
      <c r="AA217" s="67"/>
      <c r="AB217" s="67"/>
      <c r="AC217" s="67"/>
    </row>
    <row r="218" spans="27:29" ht="13">
      <c r="AA218" s="67"/>
      <c r="AB218" s="67"/>
      <c r="AC218" s="67"/>
    </row>
    <row r="219" spans="27:29" ht="13">
      <c r="AA219" s="67"/>
      <c r="AB219" s="67"/>
      <c r="AC219" s="67"/>
    </row>
    <row r="220" spans="27:29" ht="13">
      <c r="AA220" s="67"/>
      <c r="AB220" s="67"/>
      <c r="AC220" s="67"/>
    </row>
    <row r="221" spans="27:29" ht="13">
      <c r="AA221" s="67"/>
      <c r="AB221" s="67"/>
      <c r="AC221" s="67"/>
    </row>
    <row r="222" spans="27:29" ht="13">
      <c r="AA222" s="67"/>
      <c r="AB222" s="67"/>
      <c r="AC222" s="67"/>
    </row>
    <row r="223" spans="27:29" ht="13">
      <c r="AA223" s="67"/>
      <c r="AB223" s="67"/>
      <c r="AC223" s="67"/>
    </row>
    <row r="224" spans="27:29" ht="13">
      <c r="AA224" s="67"/>
      <c r="AB224" s="67"/>
      <c r="AC224" s="67"/>
    </row>
    <row r="225" spans="27:29" ht="13">
      <c r="AA225" s="67"/>
      <c r="AB225" s="67"/>
      <c r="AC225" s="67"/>
    </row>
    <row r="226" spans="27:29" ht="13">
      <c r="AA226" s="67"/>
      <c r="AB226" s="67"/>
      <c r="AC226" s="67"/>
    </row>
    <row r="227" spans="27:29" ht="13">
      <c r="AA227" s="67"/>
      <c r="AB227" s="67"/>
      <c r="AC227" s="67"/>
    </row>
    <row r="228" spans="27:29" ht="13">
      <c r="AA228" s="67"/>
      <c r="AB228" s="67"/>
      <c r="AC228" s="67"/>
    </row>
    <row r="229" spans="27:29" ht="13">
      <c r="AA229" s="67"/>
      <c r="AB229" s="67"/>
      <c r="AC229" s="67"/>
    </row>
    <row r="230" spans="27:29" ht="13">
      <c r="AA230" s="67"/>
      <c r="AB230" s="67"/>
      <c r="AC230" s="67"/>
    </row>
    <row r="231" spans="27:29" ht="13">
      <c r="AA231" s="67"/>
      <c r="AB231" s="67"/>
      <c r="AC231" s="67"/>
    </row>
    <row r="232" spans="27:29" ht="13">
      <c r="AA232" s="67"/>
      <c r="AB232" s="67"/>
      <c r="AC232" s="67"/>
    </row>
    <row r="233" spans="27:29" ht="13">
      <c r="AA233" s="67"/>
      <c r="AB233" s="67"/>
      <c r="AC233" s="67"/>
    </row>
    <row r="234" spans="27:29" ht="13">
      <c r="AA234" s="67"/>
      <c r="AB234" s="67"/>
      <c r="AC234" s="67"/>
    </row>
    <row r="235" spans="27:29" ht="13">
      <c r="AA235" s="67"/>
      <c r="AB235" s="67"/>
      <c r="AC235" s="67"/>
    </row>
    <row r="236" spans="27:29" ht="13">
      <c r="AA236" s="67"/>
      <c r="AB236" s="67"/>
      <c r="AC236" s="67"/>
    </row>
    <row r="237" spans="27:29" ht="13">
      <c r="AA237" s="67"/>
      <c r="AB237" s="67"/>
      <c r="AC237" s="67"/>
    </row>
    <row r="238" spans="27:29" ht="13">
      <c r="AA238" s="67"/>
      <c r="AB238" s="67"/>
      <c r="AC238" s="67"/>
    </row>
    <row r="239" spans="27:29" ht="13">
      <c r="AA239" s="67"/>
      <c r="AB239" s="67"/>
      <c r="AC239" s="67"/>
    </row>
    <row r="240" spans="27:29" ht="13">
      <c r="AA240" s="67"/>
      <c r="AB240" s="67"/>
      <c r="AC240" s="67"/>
    </row>
    <row r="241" spans="27:29" ht="13">
      <c r="AA241" s="67"/>
      <c r="AB241" s="67"/>
      <c r="AC241" s="67"/>
    </row>
    <row r="242" spans="27:29" ht="13">
      <c r="AA242" s="67"/>
      <c r="AB242" s="67"/>
      <c r="AC242" s="67"/>
    </row>
    <row r="243" spans="27:29" ht="13">
      <c r="AA243" s="67"/>
      <c r="AB243" s="67"/>
      <c r="AC243" s="67"/>
    </row>
    <row r="244" spans="27:29" ht="13">
      <c r="AA244" s="67"/>
      <c r="AB244" s="67"/>
      <c r="AC244" s="67"/>
    </row>
    <row r="245" spans="27:29" ht="13">
      <c r="AA245" s="67"/>
      <c r="AB245" s="67"/>
      <c r="AC245" s="67"/>
    </row>
    <row r="246" spans="27:29" ht="13">
      <c r="AA246" s="67"/>
      <c r="AB246" s="67"/>
      <c r="AC246" s="67"/>
    </row>
    <row r="247" spans="27:29" ht="13">
      <c r="AA247" s="67"/>
      <c r="AB247" s="67"/>
      <c r="AC247" s="67"/>
    </row>
    <row r="248" spans="27:29" ht="13">
      <c r="AA248" s="67"/>
      <c r="AB248" s="67"/>
      <c r="AC248" s="67"/>
    </row>
    <row r="249" spans="27:29" ht="13">
      <c r="AA249" s="67"/>
      <c r="AB249" s="67"/>
      <c r="AC249" s="67"/>
    </row>
    <row r="250" spans="27:29" ht="13">
      <c r="AA250" s="67"/>
      <c r="AB250" s="67"/>
      <c r="AC250" s="67"/>
    </row>
    <row r="251" spans="27:29" ht="13">
      <c r="AA251" s="67"/>
      <c r="AB251" s="67"/>
      <c r="AC251" s="67"/>
    </row>
    <row r="252" spans="27:29" ht="13">
      <c r="AA252" s="67"/>
      <c r="AB252" s="67"/>
      <c r="AC252" s="67"/>
    </row>
    <row r="253" spans="27:29" ht="13">
      <c r="AA253" s="67"/>
      <c r="AB253" s="67"/>
      <c r="AC253" s="67"/>
    </row>
    <row r="254" spans="27:29" ht="13">
      <c r="AA254" s="67"/>
      <c r="AB254" s="67"/>
      <c r="AC254" s="67"/>
    </row>
    <row r="255" spans="27:29" ht="13">
      <c r="AA255" s="67"/>
      <c r="AB255" s="67"/>
      <c r="AC255" s="67"/>
    </row>
    <row r="256" spans="27:29" ht="13">
      <c r="AA256" s="67"/>
      <c r="AB256" s="67"/>
      <c r="AC256" s="67"/>
    </row>
    <row r="257" spans="27:29" ht="13">
      <c r="AA257" s="67"/>
      <c r="AB257" s="67"/>
      <c r="AC257" s="67"/>
    </row>
    <row r="258" spans="27:29" ht="13">
      <c r="AA258" s="67"/>
      <c r="AB258" s="67"/>
      <c r="AC258" s="67"/>
    </row>
    <row r="259" spans="27:29" ht="13">
      <c r="AA259" s="67"/>
      <c r="AB259" s="67"/>
      <c r="AC259" s="67"/>
    </row>
    <row r="260" spans="27:29" ht="13">
      <c r="AA260" s="67"/>
      <c r="AB260" s="67"/>
      <c r="AC260" s="67"/>
    </row>
    <row r="261" spans="27:29" ht="13">
      <c r="AA261" s="67"/>
      <c r="AB261" s="67"/>
      <c r="AC261" s="67"/>
    </row>
    <row r="262" spans="27:29" ht="13">
      <c r="AA262" s="67"/>
      <c r="AB262" s="67"/>
      <c r="AC262" s="67"/>
    </row>
    <row r="263" spans="27:29" ht="13">
      <c r="AA263" s="67"/>
      <c r="AB263" s="67"/>
      <c r="AC263" s="67"/>
    </row>
    <row r="264" spans="27:29" ht="13">
      <c r="AA264" s="67"/>
      <c r="AB264" s="67"/>
      <c r="AC264" s="67"/>
    </row>
    <row r="265" spans="27:29" ht="13">
      <c r="AA265" s="67"/>
      <c r="AB265" s="67"/>
      <c r="AC265" s="67"/>
    </row>
    <row r="266" spans="27:29" ht="13">
      <c r="AA266" s="67"/>
      <c r="AB266" s="67"/>
      <c r="AC266" s="67"/>
    </row>
    <row r="267" spans="27:29" ht="13">
      <c r="AA267" s="67"/>
      <c r="AB267" s="67"/>
      <c r="AC267" s="67"/>
    </row>
    <row r="268" spans="27:29" ht="13">
      <c r="AA268" s="67"/>
      <c r="AB268" s="67"/>
      <c r="AC268" s="67"/>
    </row>
    <row r="269" spans="27:29" ht="13">
      <c r="AA269" s="67"/>
      <c r="AB269" s="67"/>
      <c r="AC269" s="67"/>
    </row>
    <row r="270" spans="27:29" ht="13">
      <c r="AA270" s="67"/>
      <c r="AB270" s="67"/>
      <c r="AC270" s="67"/>
    </row>
    <row r="271" spans="27:29" ht="13">
      <c r="AA271" s="67"/>
      <c r="AB271" s="67"/>
      <c r="AC271" s="67"/>
    </row>
    <row r="272" spans="27:29" ht="13">
      <c r="AA272" s="67"/>
      <c r="AB272" s="67"/>
      <c r="AC272" s="67"/>
    </row>
    <row r="273" spans="27:29" ht="13">
      <c r="AA273" s="67"/>
      <c r="AB273" s="67"/>
      <c r="AC273" s="67"/>
    </row>
    <row r="274" spans="27:29" ht="13">
      <c r="AA274" s="67"/>
      <c r="AB274" s="67"/>
      <c r="AC274" s="67"/>
    </row>
    <row r="275" spans="27:29" ht="13">
      <c r="AA275" s="67"/>
      <c r="AB275" s="67"/>
      <c r="AC275" s="67"/>
    </row>
    <row r="276" spans="27:29" ht="13">
      <c r="AA276" s="67"/>
      <c r="AB276" s="67"/>
      <c r="AC276" s="67"/>
    </row>
    <row r="277" spans="27:29" ht="13">
      <c r="AA277" s="67"/>
      <c r="AB277" s="67"/>
      <c r="AC277" s="67"/>
    </row>
    <row r="278" spans="27:29" ht="13">
      <c r="AA278" s="67"/>
      <c r="AB278" s="67"/>
      <c r="AC278" s="67"/>
    </row>
    <row r="279" spans="27:29" ht="13">
      <c r="AA279" s="67"/>
      <c r="AB279" s="67"/>
      <c r="AC279" s="67"/>
    </row>
    <row r="280" spans="27:29" ht="13">
      <c r="AA280" s="67"/>
      <c r="AB280" s="67"/>
      <c r="AC280" s="67"/>
    </row>
    <row r="281" spans="27:29" ht="13">
      <c r="AA281" s="67"/>
      <c r="AB281" s="67"/>
      <c r="AC281" s="67"/>
    </row>
    <row r="282" spans="27:29" ht="13">
      <c r="AA282" s="67"/>
      <c r="AB282" s="67"/>
      <c r="AC282" s="67"/>
    </row>
    <row r="283" spans="27:29" ht="13">
      <c r="AA283" s="67"/>
      <c r="AB283" s="67"/>
      <c r="AC283" s="67"/>
    </row>
    <row r="284" spans="27:29" ht="13">
      <c r="AA284" s="67"/>
      <c r="AB284" s="67"/>
      <c r="AC284" s="67"/>
    </row>
    <row r="285" spans="27:29" ht="13">
      <c r="AA285" s="67"/>
      <c r="AB285" s="67"/>
      <c r="AC285" s="67"/>
    </row>
    <row r="286" spans="27:29" ht="13">
      <c r="AA286" s="67"/>
      <c r="AB286" s="67"/>
      <c r="AC286" s="67"/>
    </row>
    <row r="287" spans="27:29" ht="13">
      <c r="AA287" s="67"/>
      <c r="AB287" s="67"/>
      <c r="AC287" s="67"/>
    </row>
    <row r="288" spans="27:29" ht="13">
      <c r="AA288" s="67"/>
      <c r="AB288" s="67"/>
      <c r="AC288" s="67"/>
    </row>
    <row r="289" spans="27:29" ht="13">
      <c r="AA289" s="67"/>
      <c r="AB289" s="67"/>
      <c r="AC289" s="67"/>
    </row>
    <row r="290" spans="27:29" ht="13">
      <c r="AA290" s="67"/>
      <c r="AB290" s="67"/>
      <c r="AC290" s="67"/>
    </row>
    <row r="291" spans="27:29" ht="13">
      <c r="AA291" s="67"/>
      <c r="AB291" s="67"/>
      <c r="AC291" s="67"/>
    </row>
    <row r="292" spans="27:29" ht="13">
      <c r="AA292" s="67"/>
      <c r="AB292" s="67"/>
      <c r="AC292" s="67"/>
    </row>
    <row r="293" spans="27:29" ht="13">
      <c r="AA293" s="67"/>
      <c r="AB293" s="67"/>
      <c r="AC293" s="67"/>
    </row>
  </sheetData>
  <mergeCells count="4">
    <mergeCell ref="B2:K2"/>
    <mergeCell ref="L2:M2"/>
    <mergeCell ref="N2:W2"/>
    <mergeCell ref="X2:Y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5564-7535-4AA3-B06B-9910EA064A43}">
  <dimension ref="B1:P41"/>
  <sheetViews>
    <sheetView topLeftCell="A12" zoomScale="73" zoomScaleNormal="50" workbookViewId="0">
      <selection activeCell="L3" sqref="L3"/>
    </sheetView>
  </sheetViews>
  <sheetFormatPr defaultRowHeight="14.5"/>
  <cols>
    <col min="3" max="3" width="19.90625" customWidth="1"/>
    <col min="4" max="8" width="8.7265625" customWidth="1"/>
    <col min="9" max="9" width="17.1796875" bestFit="1" customWidth="1"/>
    <col min="10" max="10" width="11.453125" bestFit="1" customWidth="1"/>
    <col min="11" max="11" width="11.90625" bestFit="1" customWidth="1"/>
    <col min="12" max="12" width="12.36328125" bestFit="1" customWidth="1"/>
    <col min="13" max="13" width="21.1796875" customWidth="1"/>
    <col min="14" max="14" width="12.36328125" customWidth="1"/>
    <col min="16" max="16" width="11.453125" bestFit="1" customWidth="1"/>
  </cols>
  <sheetData>
    <row r="1" spans="2:16" ht="15" thickBot="1"/>
    <row r="2" spans="2:16" ht="15" thickBot="1">
      <c r="B2" s="211" t="s">
        <v>203</v>
      </c>
      <c r="C2" s="212"/>
      <c r="D2" s="212"/>
      <c r="E2" s="212"/>
      <c r="F2" s="212"/>
      <c r="G2" s="212"/>
      <c r="H2" s="213"/>
      <c r="I2" s="214" t="s">
        <v>259</v>
      </c>
      <c r="J2" s="215"/>
      <c r="K2" s="215"/>
      <c r="L2" s="215"/>
      <c r="M2" s="215"/>
      <c r="N2" s="215"/>
      <c r="O2" s="215"/>
      <c r="P2" s="216"/>
    </row>
    <row r="3" spans="2:16" ht="65.5">
      <c r="B3" s="77" t="s">
        <v>0</v>
      </c>
      <c r="C3" s="78" t="s">
        <v>143</v>
      </c>
      <c r="D3" s="78" t="s">
        <v>2</v>
      </c>
      <c r="E3" s="78" t="s">
        <v>3</v>
      </c>
      <c r="F3" s="79" t="s">
        <v>4</v>
      </c>
      <c r="G3" s="79" t="s">
        <v>5</v>
      </c>
      <c r="H3" s="111" t="s">
        <v>6</v>
      </c>
      <c r="I3" s="77" t="s">
        <v>260</v>
      </c>
      <c r="J3" s="78" t="s">
        <v>261</v>
      </c>
      <c r="K3" s="78" t="s">
        <v>262</v>
      </c>
      <c r="L3" s="111" t="s">
        <v>266</v>
      </c>
      <c r="M3" s="77" t="s">
        <v>264</v>
      </c>
      <c r="N3" s="111" t="s">
        <v>263</v>
      </c>
      <c r="O3" s="77" t="s">
        <v>264</v>
      </c>
      <c r="P3" s="199" t="s">
        <v>263</v>
      </c>
    </row>
    <row r="4" spans="2:16">
      <c r="B4" s="89" t="s">
        <v>69</v>
      </c>
      <c r="C4" s="84"/>
      <c r="D4" s="84"/>
      <c r="E4" s="84"/>
      <c r="F4" s="84"/>
      <c r="G4" s="84"/>
      <c r="H4" s="113"/>
      <c r="I4" s="118"/>
      <c r="J4" s="86"/>
      <c r="K4" s="86"/>
      <c r="L4" s="113"/>
      <c r="M4" s="118"/>
      <c r="N4" s="113"/>
      <c r="O4" s="118"/>
      <c r="P4" s="90"/>
    </row>
    <row r="5" spans="2:16">
      <c r="B5" s="81" t="s">
        <v>165</v>
      </c>
      <c r="C5" s="63" t="s">
        <v>59</v>
      </c>
      <c r="D5" s="63" t="s">
        <v>64</v>
      </c>
      <c r="E5" s="71" t="s">
        <v>202</v>
      </c>
      <c r="F5" s="72">
        <v>-20.4359</v>
      </c>
      <c r="G5" s="72">
        <v>32.294550000000001</v>
      </c>
      <c r="H5" s="114" t="s">
        <v>8</v>
      </c>
      <c r="I5" s="200" t="s">
        <v>276</v>
      </c>
      <c r="J5" s="3" t="s">
        <v>276</v>
      </c>
      <c r="K5" s="3" t="s">
        <v>276</v>
      </c>
      <c r="L5" s="13" t="s">
        <v>276</v>
      </c>
      <c r="M5" s="200" t="s">
        <v>271</v>
      </c>
      <c r="N5" s="204">
        <v>44750</v>
      </c>
      <c r="O5" s="200" t="s">
        <v>276</v>
      </c>
      <c r="P5" s="201" t="s">
        <v>276</v>
      </c>
    </row>
    <row r="6" spans="2:16">
      <c r="B6" s="81" t="s">
        <v>167</v>
      </c>
      <c r="C6" s="63" t="s">
        <v>60</v>
      </c>
      <c r="D6" s="63" t="s">
        <v>65</v>
      </c>
      <c r="E6" s="71" t="s">
        <v>202</v>
      </c>
      <c r="F6" s="73">
        <v>-20.366900000000001</v>
      </c>
      <c r="G6" s="73">
        <v>32.763300000000001</v>
      </c>
      <c r="H6" s="114" t="s">
        <v>8</v>
      </c>
      <c r="I6" s="200" t="s">
        <v>276</v>
      </c>
      <c r="J6" s="3" t="s">
        <v>276</v>
      </c>
      <c r="K6" s="3" t="s">
        <v>276</v>
      </c>
      <c r="L6" s="13" t="s">
        <v>276</v>
      </c>
      <c r="M6" s="200" t="s">
        <v>271</v>
      </c>
      <c r="N6" s="204">
        <v>44751</v>
      </c>
      <c r="O6" s="200" t="s">
        <v>276</v>
      </c>
      <c r="P6" s="201" t="s">
        <v>276</v>
      </c>
    </row>
    <row r="7" spans="2:16">
      <c r="B7" s="81" t="s">
        <v>171</v>
      </c>
      <c r="C7" s="63" t="s">
        <v>61</v>
      </c>
      <c r="D7" s="63" t="s">
        <v>66</v>
      </c>
      <c r="E7" s="71" t="s">
        <v>202</v>
      </c>
      <c r="F7" s="73">
        <v>-20.509429999999998</v>
      </c>
      <c r="G7" s="73">
        <v>32.245539999999998</v>
      </c>
      <c r="H7" s="114" t="s">
        <v>8</v>
      </c>
      <c r="I7" s="200" t="s">
        <v>276</v>
      </c>
      <c r="J7" s="3" t="s">
        <v>276</v>
      </c>
      <c r="K7" s="3" t="s">
        <v>276</v>
      </c>
      <c r="L7" s="13" t="s">
        <v>276</v>
      </c>
      <c r="M7" s="200" t="s">
        <v>271</v>
      </c>
      <c r="N7" s="204">
        <v>44750</v>
      </c>
      <c r="O7" s="200" t="s">
        <v>276</v>
      </c>
      <c r="P7" s="201" t="s">
        <v>276</v>
      </c>
    </row>
    <row r="8" spans="2:16">
      <c r="B8" s="91"/>
      <c r="C8" s="85"/>
      <c r="D8" s="85"/>
      <c r="E8" s="85"/>
      <c r="F8" s="85"/>
      <c r="G8" s="88"/>
      <c r="H8" s="115"/>
      <c r="I8" s="120"/>
      <c r="J8" s="87"/>
      <c r="K8" s="87"/>
      <c r="L8" s="115"/>
      <c r="M8" s="120"/>
      <c r="N8" s="115"/>
      <c r="O8" s="120"/>
      <c r="P8" s="92"/>
    </row>
    <row r="9" spans="2:16">
      <c r="B9" s="89" t="s">
        <v>70</v>
      </c>
      <c r="C9" s="84"/>
      <c r="D9" s="84"/>
      <c r="E9" s="84"/>
      <c r="F9" s="84"/>
      <c r="G9" s="84"/>
      <c r="H9" s="113"/>
      <c r="I9" s="118"/>
      <c r="J9" s="86"/>
      <c r="K9" s="86"/>
      <c r="L9" s="113"/>
      <c r="M9" s="118"/>
      <c r="N9" s="113"/>
      <c r="O9" s="118"/>
      <c r="P9" s="90"/>
    </row>
    <row r="10" spans="2:16">
      <c r="B10" s="81" t="s">
        <v>163</v>
      </c>
      <c r="C10" s="63" t="s">
        <v>140</v>
      </c>
      <c r="D10" s="63" t="s">
        <v>139</v>
      </c>
      <c r="E10" s="71" t="s">
        <v>202</v>
      </c>
      <c r="F10" s="72">
        <v>-20.055710000000001</v>
      </c>
      <c r="G10" s="72">
        <v>32.38597</v>
      </c>
      <c r="H10" s="114" t="s">
        <v>8</v>
      </c>
      <c r="I10" s="200" t="s">
        <v>276</v>
      </c>
      <c r="J10" s="3" t="s">
        <v>276</v>
      </c>
      <c r="K10" s="3" t="s">
        <v>276</v>
      </c>
      <c r="L10" s="13" t="s">
        <v>276</v>
      </c>
      <c r="M10" s="200" t="s">
        <v>271</v>
      </c>
      <c r="N10" s="204">
        <v>44749</v>
      </c>
      <c r="O10" s="200" t="s">
        <v>276</v>
      </c>
      <c r="P10" s="201" t="s">
        <v>276</v>
      </c>
    </row>
    <row r="11" spans="2:16">
      <c r="B11" s="81" t="s">
        <v>162</v>
      </c>
      <c r="C11" s="63" t="s">
        <v>71</v>
      </c>
      <c r="D11" s="63" t="s">
        <v>75</v>
      </c>
      <c r="E11" s="71" t="s">
        <v>202</v>
      </c>
      <c r="F11" s="73">
        <v>-20.080089999999998</v>
      </c>
      <c r="G11" s="73">
        <v>32.372250000000001</v>
      </c>
      <c r="H11" s="114" t="s">
        <v>8</v>
      </c>
      <c r="I11" s="200" t="s">
        <v>276</v>
      </c>
      <c r="J11" s="3" t="s">
        <v>276</v>
      </c>
      <c r="K11" s="3" t="s">
        <v>276</v>
      </c>
      <c r="L11" s="13" t="s">
        <v>276</v>
      </c>
      <c r="M11" s="200" t="s">
        <v>271</v>
      </c>
      <c r="N11" s="204">
        <v>44749</v>
      </c>
      <c r="O11" s="200" t="s">
        <v>276</v>
      </c>
      <c r="P11" s="201" t="s">
        <v>276</v>
      </c>
    </row>
    <row r="12" spans="2:16">
      <c r="B12" s="81" t="s">
        <v>166</v>
      </c>
      <c r="C12" s="63" t="s">
        <v>72</v>
      </c>
      <c r="D12" s="63" t="s">
        <v>76</v>
      </c>
      <c r="E12" s="71" t="s">
        <v>202</v>
      </c>
      <c r="F12" s="73">
        <v>-20.455660000000002</v>
      </c>
      <c r="G12" s="73">
        <v>32.253720000000001</v>
      </c>
      <c r="H12" s="114" t="s">
        <v>8</v>
      </c>
      <c r="I12" s="200" t="s">
        <v>276</v>
      </c>
      <c r="J12" s="3" t="s">
        <v>276</v>
      </c>
      <c r="K12" s="3" t="s">
        <v>276</v>
      </c>
      <c r="L12" s="13" t="s">
        <v>276</v>
      </c>
      <c r="M12" s="200" t="s">
        <v>277</v>
      </c>
      <c r="N12" s="204">
        <v>44751</v>
      </c>
      <c r="O12" s="200" t="s">
        <v>276</v>
      </c>
      <c r="P12" s="201" t="s">
        <v>276</v>
      </c>
    </row>
    <row r="13" spans="2:16">
      <c r="B13" s="81" t="s">
        <v>148</v>
      </c>
      <c r="C13" s="63" t="s">
        <v>73</v>
      </c>
      <c r="D13" s="63" t="s">
        <v>68</v>
      </c>
      <c r="E13" s="71" t="s">
        <v>202</v>
      </c>
      <c r="F13" s="73">
        <v>-19.329160000000002</v>
      </c>
      <c r="G13" s="73">
        <v>32.099620000000002</v>
      </c>
      <c r="H13" s="114" t="s">
        <v>8</v>
      </c>
      <c r="I13" s="200" t="s">
        <v>276</v>
      </c>
      <c r="J13" s="3" t="s">
        <v>276</v>
      </c>
      <c r="K13" s="3" t="s">
        <v>276</v>
      </c>
      <c r="L13" s="13" t="s">
        <v>276</v>
      </c>
      <c r="M13" s="200" t="s">
        <v>271</v>
      </c>
      <c r="N13" s="204">
        <v>44791</v>
      </c>
      <c r="O13" s="200" t="s">
        <v>276</v>
      </c>
      <c r="P13" s="201" t="s">
        <v>276</v>
      </c>
    </row>
    <row r="14" spans="2:16">
      <c r="B14" s="81" t="s">
        <v>158</v>
      </c>
      <c r="C14" s="63" t="s">
        <v>74</v>
      </c>
      <c r="D14" s="74" t="s">
        <v>77</v>
      </c>
      <c r="E14" s="71" t="s">
        <v>202</v>
      </c>
      <c r="F14" s="73">
        <v>-19.348929999999999</v>
      </c>
      <c r="G14" s="73">
        <v>32.206420000000001</v>
      </c>
      <c r="H14" s="114" t="s">
        <v>8</v>
      </c>
      <c r="I14" s="200" t="s">
        <v>276</v>
      </c>
      <c r="J14" s="3" t="s">
        <v>276</v>
      </c>
      <c r="K14" s="3" t="s">
        <v>276</v>
      </c>
      <c r="L14" s="13" t="s">
        <v>276</v>
      </c>
      <c r="M14" s="200" t="s">
        <v>271</v>
      </c>
      <c r="N14" s="204">
        <v>44790</v>
      </c>
      <c r="O14" s="200" t="s">
        <v>276</v>
      </c>
      <c r="P14" s="201" t="s">
        <v>276</v>
      </c>
    </row>
    <row r="15" spans="2:16">
      <c r="B15" s="91"/>
      <c r="C15" s="85"/>
      <c r="D15" s="85"/>
      <c r="E15" s="85"/>
      <c r="F15" s="85"/>
      <c r="G15" s="88"/>
      <c r="H15" s="115"/>
      <c r="I15" s="120"/>
      <c r="J15" s="87"/>
      <c r="K15" s="87"/>
      <c r="L15" s="115"/>
      <c r="M15" s="120"/>
      <c r="N15" s="115"/>
      <c r="O15" s="120"/>
      <c r="P15" s="92"/>
    </row>
    <row r="16" spans="2:16">
      <c r="B16" s="89" t="s">
        <v>78</v>
      </c>
      <c r="C16" s="84"/>
      <c r="D16" s="84"/>
      <c r="E16" s="84"/>
      <c r="F16" s="84"/>
      <c r="G16" s="84"/>
      <c r="H16" s="113"/>
      <c r="I16" s="118"/>
      <c r="J16" s="86"/>
      <c r="K16" s="86"/>
      <c r="L16" s="113"/>
      <c r="M16" s="118"/>
      <c r="N16" s="113"/>
      <c r="O16" s="118"/>
      <c r="P16" s="90"/>
    </row>
    <row r="17" spans="2:16">
      <c r="B17" s="81" t="s">
        <v>161</v>
      </c>
      <c r="C17" s="63" t="s">
        <v>79</v>
      </c>
      <c r="D17" s="63" t="s">
        <v>79</v>
      </c>
      <c r="E17" s="71" t="s">
        <v>202</v>
      </c>
      <c r="F17" s="72">
        <v>-20.095050000000001</v>
      </c>
      <c r="G17" s="72">
        <v>32.403010000000002</v>
      </c>
      <c r="H17" s="114" t="s">
        <v>8</v>
      </c>
      <c r="I17" s="200" t="s">
        <v>276</v>
      </c>
      <c r="J17" s="3" t="s">
        <v>276</v>
      </c>
      <c r="K17" s="3" t="s">
        <v>276</v>
      </c>
      <c r="L17" s="13" t="s">
        <v>276</v>
      </c>
      <c r="M17" s="200" t="s">
        <v>272</v>
      </c>
      <c r="N17" s="204">
        <v>44798</v>
      </c>
      <c r="O17" s="200" t="s">
        <v>276</v>
      </c>
      <c r="P17" s="201" t="s">
        <v>276</v>
      </c>
    </row>
    <row r="18" spans="2:16">
      <c r="B18" s="81" t="s">
        <v>147</v>
      </c>
      <c r="C18" s="63" t="s">
        <v>80</v>
      </c>
      <c r="D18" s="63" t="s">
        <v>84</v>
      </c>
      <c r="E18" s="71" t="s">
        <v>202</v>
      </c>
      <c r="F18" s="73">
        <v>-19.349869999999999</v>
      </c>
      <c r="G18" s="73">
        <v>32.131270000000001</v>
      </c>
      <c r="H18" s="114" t="s">
        <v>8</v>
      </c>
      <c r="I18" s="200" t="s">
        <v>276</v>
      </c>
      <c r="J18" s="3" t="s">
        <v>276</v>
      </c>
      <c r="K18" s="3" t="s">
        <v>276</v>
      </c>
      <c r="L18" s="13" t="s">
        <v>276</v>
      </c>
      <c r="M18" s="200" t="s">
        <v>271</v>
      </c>
      <c r="N18" s="204">
        <v>44792</v>
      </c>
      <c r="O18" s="200" t="s">
        <v>276</v>
      </c>
      <c r="P18" s="201" t="s">
        <v>276</v>
      </c>
    </row>
    <row r="19" spans="2:16">
      <c r="B19" s="81" t="s">
        <v>151</v>
      </c>
      <c r="C19" s="63" t="s">
        <v>81</v>
      </c>
      <c r="D19" s="63" t="s">
        <v>83</v>
      </c>
      <c r="E19" s="71" t="s">
        <v>202</v>
      </c>
      <c r="F19" s="73">
        <v>-19.261800000000001</v>
      </c>
      <c r="G19" s="73">
        <v>32.112630000000003</v>
      </c>
      <c r="H19" s="114" t="s">
        <v>8</v>
      </c>
      <c r="I19" s="200" t="s">
        <v>276</v>
      </c>
      <c r="J19" s="3" t="s">
        <v>276</v>
      </c>
      <c r="K19" s="3" t="s">
        <v>276</v>
      </c>
      <c r="L19" s="13" t="s">
        <v>276</v>
      </c>
      <c r="M19" s="200" t="s">
        <v>271</v>
      </c>
      <c r="N19" s="204">
        <v>44792</v>
      </c>
      <c r="O19" s="200" t="s">
        <v>276</v>
      </c>
      <c r="P19" s="201" t="s">
        <v>276</v>
      </c>
    </row>
    <row r="20" spans="2:16">
      <c r="B20" s="81" t="s">
        <v>146</v>
      </c>
      <c r="C20" s="63" t="s">
        <v>82</v>
      </c>
      <c r="D20" s="63" t="s">
        <v>68</v>
      </c>
      <c r="E20" s="71" t="s">
        <v>202</v>
      </c>
      <c r="F20" s="73">
        <v>-19.438700000000001</v>
      </c>
      <c r="G20" s="73">
        <v>32.1614</v>
      </c>
      <c r="H20" s="114" t="s">
        <v>8</v>
      </c>
      <c r="I20" s="200" t="s">
        <v>276</v>
      </c>
      <c r="J20" s="3" t="s">
        <v>276</v>
      </c>
      <c r="K20" s="3" t="s">
        <v>276</v>
      </c>
      <c r="L20" s="13" t="s">
        <v>276</v>
      </c>
      <c r="M20" s="200" t="s">
        <v>271</v>
      </c>
      <c r="N20" s="204">
        <v>44792</v>
      </c>
      <c r="O20" s="200" t="s">
        <v>276</v>
      </c>
      <c r="P20" s="201" t="s">
        <v>276</v>
      </c>
    </row>
    <row r="21" spans="2:16">
      <c r="B21" s="91"/>
      <c r="C21" s="85"/>
      <c r="D21" s="85"/>
      <c r="E21" s="85"/>
      <c r="F21" s="85"/>
      <c r="G21" s="88"/>
      <c r="H21" s="115"/>
      <c r="I21" s="120"/>
      <c r="J21" s="87"/>
      <c r="K21" s="87"/>
      <c r="L21" s="115"/>
      <c r="M21" s="120"/>
      <c r="N21" s="115"/>
      <c r="O21" s="120"/>
      <c r="P21" s="92"/>
    </row>
    <row r="22" spans="2:16">
      <c r="B22" s="89" t="s">
        <v>85</v>
      </c>
      <c r="C22" s="84"/>
      <c r="D22" s="84"/>
      <c r="E22" s="84"/>
      <c r="F22" s="84"/>
      <c r="G22" s="84"/>
      <c r="H22" s="113"/>
      <c r="I22" s="118"/>
      <c r="J22" s="86"/>
      <c r="K22" s="86"/>
      <c r="L22" s="113"/>
      <c r="M22" s="118"/>
      <c r="N22" s="113"/>
      <c r="O22" s="118"/>
      <c r="P22" s="90"/>
    </row>
    <row r="23" spans="2:16">
      <c r="B23" s="185" t="s">
        <v>169</v>
      </c>
      <c r="C23" s="76" t="s">
        <v>86</v>
      </c>
      <c r="D23" s="76" t="s">
        <v>91</v>
      </c>
      <c r="E23" s="187" t="s">
        <v>202</v>
      </c>
      <c r="F23" s="188">
        <v>-20.394290000000002</v>
      </c>
      <c r="G23" s="188">
        <v>32.252290000000002</v>
      </c>
      <c r="H23" s="189" t="s">
        <v>8</v>
      </c>
      <c r="I23" s="200" t="s">
        <v>276</v>
      </c>
      <c r="J23" s="3" t="s">
        <v>276</v>
      </c>
      <c r="K23" s="3" t="s">
        <v>276</v>
      </c>
      <c r="L23" s="13" t="s">
        <v>276</v>
      </c>
      <c r="M23" s="200" t="s">
        <v>271</v>
      </c>
      <c r="N23" s="204">
        <v>44751</v>
      </c>
      <c r="O23" s="200" t="s">
        <v>276</v>
      </c>
      <c r="P23" s="201" t="s">
        <v>276</v>
      </c>
    </row>
    <row r="24" spans="2:16">
      <c r="B24" s="81" t="s">
        <v>170</v>
      </c>
      <c r="C24" s="63" t="s">
        <v>87</v>
      </c>
      <c r="D24" s="63" t="s">
        <v>94</v>
      </c>
      <c r="E24" s="71" t="s">
        <v>202</v>
      </c>
      <c r="F24" s="73">
        <v>-20.476459999999999</v>
      </c>
      <c r="G24" s="73">
        <v>32.254089999999998</v>
      </c>
      <c r="H24" s="114" t="s">
        <v>8</v>
      </c>
      <c r="I24" s="200" t="s">
        <v>276</v>
      </c>
      <c r="J24" s="3" t="s">
        <v>276</v>
      </c>
      <c r="K24" s="3" t="s">
        <v>276</v>
      </c>
      <c r="L24" s="13" t="s">
        <v>276</v>
      </c>
      <c r="M24" s="200" t="s">
        <v>271</v>
      </c>
      <c r="N24" s="204">
        <v>44751</v>
      </c>
      <c r="O24" s="200" t="s">
        <v>276</v>
      </c>
      <c r="P24" s="201" t="s">
        <v>276</v>
      </c>
    </row>
    <row r="25" spans="2:16">
      <c r="B25" s="81" t="s">
        <v>155</v>
      </c>
      <c r="C25" s="63" t="s">
        <v>88</v>
      </c>
      <c r="D25" s="63" t="s">
        <v>92</v>
      </c>
      <c r="E25" s="71" t="s">
        <v>202</v>
      </c>
      <c r="F25" s="73">
        <v>-19.40851</v>
      </c>
      <c r="G25" s="73">
        <v>32.140779999999999</v>
      </c>
      <c r="H25" s="114" t="s">
        <v>8</v>
      </c>
      <c r="I25" s="200" t="s">
        <v>265</v>
      </c>
      <c r="J25" s="198">
        <v>44774</v>
      </c>
      <c r="K25" s="198">
        <v>44791</v>
      </c>
      <c r="L25" s="202">
        <v>0.3</v>
      </c>
      <c r="M25" s="200" t="s">
        <v>269</v>
      </c>
      <c r="N25" s="204">
        <v>44791</v>
      </c>
      <c r="O25" s="200" t="s">
        <v>276</v>
      </c>
      <c r="P25" s="201" t="s">
        <v>276</v>
      </c>
    </row>
    <row r="26" spans="2:16">
      <c r="B26" s="81" t="s">
        <v>154</v>
      </c>
      <c r="C26" s="63" t="s">
        <v>89</v>
      </c>
      <c r="D26" s="63" t="s">
        <v>93</v>
      </c>
      <c r="E26" s="71" t="s">
        <v>202</v>
      </c>
      <c r="F26" s="72">
        <v>-19.262129999999999</v>
      </c>
      <c r="G26" s="72">
        <v>32.109969999999997</v>
      </c>
      <c r="H26" s="114" t="s">
        <v>8</v>
      </c>
      <c r="I26" s="200" t="s">
        <v>276</v>
      </c>
      <c r="J26" s="3" t="s">
        <v>276</v>
      </c>
      <c r="K26" s="3" t="s">
        <v>276</v>
      </c>
      <c r="L26" s="13" t="s">
        <v>276</v>
      </c>
      <c r="M26" s="200" t="s">
        <v>271</v>
      </c>
      <c r="N26" s="204">
        <v>44790</v>
      </c>
      <c r="O26" s="200" t="s">
        <v>276</v>
      </c>
      <c r="P26" s="201" t="s">
        <v>276</v>
      </c>
    </row>
    <row r="27" spans="2:16">
      <c r="B27" s="81" t="s">
        <v>152</v>
      </c>
      <c r="C27" s="63" t="s">
        <v>90</v>
      </c>
      <c r="D27" s="63" t="s">
        <v>83</v>
      </c>
      <c r="E27" s="71" t="s">
        <v>202</v>
      </c>
      <c r="F27" s="72">
        <v>-19.26953</v>
      </c>
      <c r="G27" s="72">
        <v>32.054929999999999</v>
      </c>
      <c r="H27" s="114" t="s">
        <v>8</v>
      </c>
      <c r="I27" s="200" t="s">
        <v>276</v>
      </c>
      <c r="J27" s="3" t="s">
        <v>276</v>
      </c>
      <c r="K27" s="3" t="s">
        <v>276</v>
      </c>
      <c r="L27" s="13" t="s">
        <v>276</v>
      </c>
      <c r="M27" s="200" t="s">
        <v>271</v>
      </c>
      <c r="N27" s="204">
        <v>44792</v>
      </c>
      <c r="O27" s="200" t="s">
        <v>276</v>
      </c>
      <c r="P27" s="201" t="s">
        <v>276</v>
      </c>
    </row>
    <row r="28" spans="2:16">
      <c r="B28" s="91"/>
      <c r="C28" s="85"/>
      <c r="D28" s="85"/>
      <c r="E28" s="85"/>
      <c r="F28" s="85"/>
      <c r="G28" s="88"/>
      <c r="H28" s="115"/>
      <c r="I28" s="120"/>
      <c r="J28" s="87"/>
      <c r="K28" s="87"/>
      <c r="L28" s="115"/>
      <c r="M28" s="120"/>
      <c r="N28" s="115"/>
      <c r="O28" s="120"/>
      <c r="P28" s="92"/>
    </row>
    <row r="29" spans="2:16">
      <c r="B29" s="89" t="s">
        <v>95</v>
      </c>
      <c r="C29" s="84"/>
      <c r="D29" s="84"/>
      <c r="E29" s="84"/>
      <c r="F29" s="84"/>
      <c r="G29" s="84"/>
      <c r="H29" s="113"/>
      <c r="I29" s="118"/>
      <c r="J29" s="86"/>
      <c r="K29" s="86"/>
      <c r="L29" s="113"/>
      <c r="M29" s="118"/>
      <c r="N29" s="113"/>
      <c r="O29" s="118"/>
      <c r="P29" s="90"/>
    </row>
    <row r="30" spans="2:16">
      <c r="B30" s="81" t="s">
        <v>156</v>
      </c>
      <c r="C30" s="63" t="s">
        <v>96</v>
      </c>
      <c r="D30" s="63" t="s">
        <v>92</v>
      </c>
      <c r="E30" s="71" t="s">
        <v>202</v>
      </c>
      <c r="F30" s="73">
        <v>-19.4117</v>
      </c>
      <c r="G30" s="73">
        <v>32.144300000000001</v>
      </c>
      <c r="H30" s="114" t="s">
        <v>8</v>
      </c>
      <c r="I30" s="200" t="s">
        <v>268</v>
      </c>
      <c r="J30" s="198">
        <v>44638</v>
      </c>
      <c r="K30" s="198">
        <v>44647</v>
      </c>
      <c r="L30" s="202">
        <v>1</v>
      </c>
      <c r="M30" s="200" t="s">
        <v>274</v>
      </c>
      <c r="N30" s="204">
        <v>44647</v>
      </c>
      <c r="O30" s="200" t="s">
        <v>273</v>
      </c>
      <c r="P30" s="203">
        <v>44791</v>
      </c>
    </row>
    <row r="31" spans="2:16">
      <c r="B31" s="81" t="s">
        <v>160</v>
      </c>
      <c r="C31" s="63" t="s">
        <v>97</v>
      </c>
      <c r="D31" s="63" t="s">
        <v>101</v>
      </c>
      <c r="E31" s="71" t="s">
        <v>202</v>
      </c>
      <c r="F31" s="72">
        <v>-20.1113</v>
      </c>
      <c r="G31" s="72">
        <v>32.338200000000001</v>
      </c>
      <c r="H31" s="114" t="s">
        <v>8</v>
      </c>
      <c r="I31" s="200" t="s">
        <v>276</v>
      </c>
      <c r="J31" s="3" t="s">
        <v>276</v>
      </c>
      <c r="K31" s="3" t="s">
        <v>276</v>
      </c>
      <c r="L31" s="13" t="s">
        <v>276</v>
      </c>
      <c r="M31" s="200" t="s">
        <v>271</v>
      </c>
      <c r="N31" s="204">
        <v>44749</v>
      </c>
      <c r="O31" s="200" t="s">
        <v>276</v>
      </c>
      <c r="P31" s="201" t="s">
        <v>276</v>
      </c>
    </row>
    <row r="32" spans="2:16">
      <c r="B32" s="83" t="s">
        <v>159</v>
      </c>
      <c r="C32" s="75" t="s">
        <v>98</v>
      </c>
      <c r="D32" s="76" t="s">
        <v>102</v>
      </c>
      <c r="E32" s="71" t="s">
        <v>202</v>
      </c>
      <c r="F32" s="73">
        <v>-19.360479999999999</v>
      </c>
      <c r="G32" s="73">
        <v>32.214649999999999</v>
      </c>
      <c r="H32" s="114" t="s">
        <v>8</v>
      </c>
      <c r="I32" s="200" t="s">
        <v>267</v>
      </c>
      <c r="J32" s="198">
        <v>44785</v>
      </c>
      <c r="K32" s="198">
        <v>44791</v>
      </c>
      <c r="L32" s="202">
        <v>1</v>
      </c>
      <c r="M32" s="200" t="s">
        <v>270</v>
      </c>
      <c r="N32" s="204">
        <v>44791</v>
      </c>
      <c r="O32" s="200" t="s">
        <v>276</v>
      </c>
      <c r="P32" s="201" t="s">
        <v>276</v>
      </c>
    </row>
    <row r="33" spans="2:16">
      <c r="B33" s="81" t="s">
        <v>145</v>
      </c>
      <c r="C33" s="63" t="s">
        <v>100</v>
      </c>
      <c r="D33" s="63" t="s">
        <v>84</v>
      </c>
      <c r="E33" s="71" t="s">
        <v>202</v>
      </c>
      <c r="F33" s="73">
        <v>-19.43871</v>
      </c>
      <c r="G33" s="73">
        <v>32.161430000000003</v>
      </c>
      <c r="H33" s="114" t="s">
        <v>8</v>
      </c>
      <c r="I33" s="200" t="s">
        <v>276</v>
      </c>
      <c r="J33" s="3" t="s">
        <v>276</v>
      </c>
      <c r="K33" s="3" t="s">
        <v>276</v>
      </c>
      <c r="L33" s="13" t="s">
        <v>276</v>
      </c>
      <c r="M33" s="200" t="s">
        <v>271</v>
      </c>
      <c r="N33" s="204">
        <v>44792</v>
      </c>
      <c r="O33" s="200" t="s">
        <v>276</v>
      </c>
      <c r="P33" s="201" t="s">
        <v>276</v>
      </c>
    </row>
    <row r="34" spans="2:16">
      <c r="B34" s="91"/>
      <c r="C34" s="85"/>
      <c r="D34" s="85"/>
      <c r="E34" s="85"/>
      <c r="F34" s="85"/>
      <c r="G34" s="88"/>
      <c r="H34" s="115"/>
      <c r="I34" s="120"/>
      <c r="J34" s="87"/>
      <c r="K34" s="87"/>
      <c r="L34" s="115"/>
      <c r="M34" s="120"/>
      <c r="N34" s="115"/>
      <c r="O34" s="120"/>
      <c r="P34" s="92"/>
    </row>
    <row r="35" spans="2:16">
      <c r="B35" s="89" t="s">
        <v>103</v>
      </c>
      <c r="C35" s="84"/>
      <c r="D35" s="84"/>
      <c r="E35" s="84"/>
      <c r="F35" s="84"/>
      <c r="G35" s="84"/>
      <c r="H35" s="113"/>
      <c r="I35" s="118"/>
      <c r="J35" s="86"/>
      <c r="K35" s="86"/>
      <c r="L35" s="113"/>
      <c r="M35" s="118"/>
      <c r="N35" s="113"/>
      <c r="O35" s="118"/>
      <c r="P35" s="90"/>
    </row>
    <row r="36" spans="2:16">
      <c r="B36" s="81" t="s">
        <v>153</v>
      </c>
      <c r="C36" s="63" t="s">
        <v>104</v>
      </c>
      <c r="D36" s="63" t="s">
        <v>93</v>
      </c>
      <c r="E36" s="71" t="s">
        <v>202</v>
      </c>
      <c r="F36" s="73">
        <v>-19.2639</v>
      </c>
      <c r="G36" s="73">
        <v>32.073009999999996</v>
      </c>
      <c r="H36" s="114" t="s">
        <v>8</v>
      </c>
      <c r="I36" s="200" t="s">
        <v>276</v>
      </c>
      <c r="J36" s="3" t="s">
        <v>276</v>
      </c>
      <c r="K36" s="3" t="s">
        <v>276</v>
      </c>
      <c r="L36" s="13" t="s">
        <v>276</v>
      </c>
      <c r="M36" s="200" t="s">
        <v>271</v>
      </c>
      <c r="N36" s="204">
        <v>44790</v>
      </c>
      <c r="O36" s="200" t="s">
        <v>276</v>
      </c>
      <c r="P36" s="201" t="s">
        <v>276</v>
      </c>
    </row>
    <row r="37" spans="2:16">
      <c r="B37" s="81" t="s">
        <v>173</v>
      </c>
      <c r="C37" s="63" t="s">
        <v>105</v>
      </c>
      <c r="D37" s="63" t="s">
        <v>109</v>
      </c>
      <c r="E37" s="71" t="s">
        <v>202</v>
      </c>
      <c r="F37" s="73">
        <v>-20.471810000000001</v>
      </c>
      <c r="G37" s="73">
        <v>32.234459999999999</v>
      </c>
      <c r="H37" s="114" t="s">
        <v>8</v>
      </c>
      <c r="I37" s="200" t="s">
        <v>276</v>
      </c>
      <c r="J37" s="3" t="s">
        <v>276</v>
      </c>
      <c r="K37" s="3" t="s">
        <v>276</v>
      </c>
      <c r="L37" s="13" t="s">
        <v>276</v>
      </c>
      <c r="M37" s="200" t="s">
        <v>271</v>
      </c>
      <c r="N37" s="204">
        <v>44751</v>
      </c>
      <c r="O37" s="200" t="s">
        <v>276</v>
      </c>
      <c r="P37" s="201" t="s">
        <v>276</v>
      </c>
    </row>
    <row r="38" spans="2:16">
      <c r="B38" s="81" t="s">
        <v>172</v>
      </c>
      <c r="C38" s="63" t="s">
        <v>106</v>
      </c>
      <c r="D38" s="63" t="s">
        <v>110</v>
      </c>
      <c r="E38" s="71" t="s">
        <v>202</v>
      </c>
      <c r="F38" s="73">
        <v>-20.513490000000001</v>
      </c>
      <c r="G38" s="73">
        <v>32.258150000000001</v>
      </c>
      <c r="H38" s="114" t="s">
        <v>8</v>
      </c>
      <c r="I38" s="200" t="s">
        <v>276</v>
      </c>
      <c r="J38" s="3" t="s">
        <v>276</v>
      </c>
      <c r="K38" s="3" t="s">
        <v>276</v>
      </c>
      <c r="L38" s="13" t="s">
        <v>276</v>
      </c>
      <c r="M38" s="200" t="s">
        <v>271</v>
      </c>
      <c r="N38" s="204">
        <v>44751</v>
      </c>
      <c r="O38" s="200" t="s">
        <v>276</v>
      </c>
      <c r="P38" s="201" t="s">
        <v>276</v>
      </c>
    </row>
    <row r="39" spans="2:16">
      <c r="B39" s="81" t="s">
        <v>157</v>
      </c>
      <c r="C39" s="63" t="s">
        <v>107</v>
      </c>
      <c r="D39" s="74" t="s">
        <v>77</v>
      </c>
      <c r="E39" s="71" t="s">
        <v>202</v>
      </c>
      <c r="F39" s="73">
        <v>-19.403690000000001</v>
      </c>
      <c r="G39" s="73">
        <v>32.13617</v>
      </c>
      <c r="H39" s="114" t="s">
        <v>8</v>
      </c>
      <c r="I39" s="200" t="s">
        <v>276</v>
      </c>
      <c r="J39" s="3" t="s">
        <v>276</v>
      </c>
      <c r="K39" s="3" t="s">
        <v>276</v>
      </c>
      <c r="L39" s="13" t="s">
        <v>276</v>
      </c>
      <c r="M39" s="200" t="s">
        <v>271</v>
      </c>
      <c r="N39" s="204">
        <v>44790</v>
      </c>
      <c r="O39" s="200" t="s">
        <v>276</v>
      </c>
      <c r="P39" s="201" t="s">
        <v>276</v>
      </c>
    </row>
    <row r="40" spans="2:16">
      <c r="B40" s="81" t="s">
        <v>144</v>
      </c>
      <c r="C40" s="63" t="s">
        <v>108</v>
      </c>
      <c r="D40" s="63" t="s">
        <v>84</v>
      </c>
      <c r="E40" s="71" t="s">
        <v>202</v>
      </c>
      <c r="F40" s="72">
        <v>-19.449300000000001</v>
      </c>
      <c r="G40" s="72">
        <v>32.168849999999999</v>
      </c>
      <c r="H40" s="114" t="s">
        <v>8</v>
      </c>
      <c r="I40" s="200" t="s">
        <v>276</v>
      </c>
      <c r="J40" s="3" t="s">
        <v>276</v>
      </c>
      <c r="K40" s="3" t="s">
        <v>276</v>
      </c>
      <c r="L40" s="13" t="s">
        <v>276</v>
      </c>
      <c r="M40" s="200" t="s">
        <v>275</v>
      </c>
      <c r="N40" s="204">
        <v>44654</v>
      </c>
      <c r="O40" s="200" t="s">
        <v>271</v>
      </c>
      <c r="P40" s="203">
        <v>44792</v>
      </c>
    </row>
    <row r="41" spans="2:16" ht="15" thickBot="1">
      <c r="B41" s="93"/>
      <c r="C41" s="94"/>
      <c r="D41" s="94"/>
      <c r="E41" s="94"/>
      <c r="F41" s="94"/>
      <c r="G41" s="95"/>
      <c r="H41" s="116"/>
      <c r="I41" s="177"/>
      <c r="J41" s="179"/>
      <c r="K41" s="179"/>
      <c r="L41" s="116"/>
      <c r="M41" s="177"/>
      <c r="N41" s="116"/>
      <c r="O41" s="177"/>
      <c r="P41" s="178"/>
    </row>
  </sheetData>
  <mergeCells count="2">
    <mergeCell ref="B2:H2"/>
    <mergeCell ref="I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2A38-1E1D-46FA-AD2A-ED2B8AFBC516}">
  <dimension ref="A1:E16"/>
  <sheetViews>
    <sheetView topLeftCell="A8" zoomScale="90" workbookViewId="0">
      <selection activeCell="B12" sqref="B12"/>
    </sheetView>
  </sheetViews>
  <sheetFormatPr defaultRowHeight="14.5"/>
  <cols>
    <col min="1" max="1" width="36.81640625" customWidth="1"/>
    <col min="2" max="2" width="52.1796875" customWidth="1"/>
    <col min="3" max="3" width="28.1796875" customWidth="1"/>
    <col min="4" max="4" width="7.54296875" bestFit="1" customWidth="1"/>
  </cols>
  <sheetData>
    <row r="1" spans="1:5" ht="18.5">
      <c r="A1" s="217" t="s">
        <v>200</v>
      </c>
      <c r="B1" s="217"/>
      <c r="C1" s="217"/>
    </row>
    <row r="2" spans="1:5" ht="18.5">
      <c r="A2" s="102"/>
    </row>
    <row r="3" spans="1:5">
      <c r="A3" s="110" t="s">
        <v>199</v>
      </c>
      <c r="B3" s="132" t="s">
        <v>199</v>
      </c>
    </row>
    <row r="6" spans="1:5">
      <c r="A6" s="218" t="s">
        <v>185</v>
      </c>
      <c r="B6" s="219"/>
      <c r="C6" s="219"/>
      <c r="D6" s="220"/>
    </row>
    <row r="7" spans="1:5">
      <c r="A7" s="3" t="s">
        <v>196</v>
      </c>
      <c r="B7" s="3" t="s">
        <v>197</v>
      </c>
      <c r="C7" s="3" t="s">
        <v>198</v>
      </c>
      <c r="D7" s="3" t="s">
        <v>115</v>
      </c>
    </row>
    <row r="8" spans="1:5">
      <c r="A8" s="3">
        <v>1100</v>
      </c>
      <c r="B8" s="3">
        <v>12</v>
      </c>
      <c r="C8" s="103">
        <f>A8*B8</f>
        <v>13200</v>
      </c>
      <c r="D8" s="3" t="s">
        <v>186</v>
      </c>
    </row>
    <row r="10" spans="1:5">
      <c r="A10" s="218" t="s">
        <v>187</v>
      </c>
      <c r="B10" s="219"/>
      <c r="C10" s="219"/>
      <c r="D10" s="220"/>
    </row>
    <row r="11" spans="1:5">
      <c r="A11" s="3" t="s">
        <v>198</v>
      </c>
      <c r="B11" s="3" t="s">
        <v>188</v>
      </c>
      <c r="C11" s="3" t="s">
        <v>189</v>
      </c>
      <c r="D11" s="3" t="s">
        <v>115</v>
      </c>
    </row>
    <row r="12" spans="1:5">
      <c r="A12" s="104">
        <f>C8</f>
        <v>13200</v>
      </c>
      <c r="B12" s="3">
        <v>7.5</v>
      </c>
      <c r="C12" s="103">
        <f>A12/B12</f>
        <v>1760</v>
      </c>
      <c r="D12" s="3" t="s">
        <v>190</v>
      </c>
    </row>
    <row r="14" spans="1:5">
      <c r="A14" s="107" t="s">
        <v>191</v>
      </c>
      <c r="B14" s="108"/>
      <c r="C14" s="108"/>
      <c r="D14" s="108"/>
      <c r="E14" s="109"/>
    </row>
    <row r="15" spans="1:5">
      <c r="A15" s="3" t="s">
        <v>192</v>
      </c>
      <c r="B15" s="3" t="s">
        <v>193</v>
      </c>
      <c r="C15" s="3" t="s">
        <v>189</v>
      </c>
      <c r="D15" s="3" t="s">
        <v>194</v>
      </c>
      <c r="E15" s="11" t="s">
        <v>195</v>
      </c>
    </row>
    <row r="16" spans="1:5">
      <c r="A16" s="6">
        <f>C12</f>
        <v>1760</v>
      </c>
      <c r="B16" s="3">
        <v>5</v>
      </c>
      <c r="C16" s="105">
        <f>A16*B16</f>
        <v>8800</v>
      </c>
      <c r="D16" s="105">
        <f>'Total PTDs'!M47</f>
        <v>7819</v>
      </c>
      <c r="E16" s="106" t="str">
        <f>IF(C16&gt;D16,"TRUE","FALSE")</f>
        <v>TRUE</v>
      </c>
    </row>
  </sheetData>
  <mergeCells count="3">
    <mergeCell ref="A1:C1"/>
    <mergeCell ref="A6:D6"/>
    <mergeCell ref="A10:D10"/>
  </mergeCells>
  <hyperlinks>
    <hyperlink ref="A3" r:id="rId1" xr:uid="{A5403F43-C865-4D99-AB3B-0EF465E85B52}"/>
    <hyperlink ref="B3" r:id="rId2" xr:uid="{755B9991-1AD9-4623-8641-60611223573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56E0-3A82-42BD-9340-E49A9937D53B}">
  <dimension ref="B3:F136"/>
  <sheetViews>
    <sheetView topLeftCell="A9" zoomScale="90" zoomScaleNormal="90" workbookViewId="0">
      <selection activeCell="B28" sqref="B28"/>
    </sheetView>
  </sheetViews>
  <sheetFormatPr defaultColWidth="9.1796875" defaultRowHeight="12"/>
  <cols>
    <col min="1" max="1" width="9.1796875" style="17"/>
    <col min="2" max="2" width="13.26953125" style="17" customWidth="1"/>
    <col min="3" max="3" width="66.7265625" style="17" customWidth="1"/>
    <col min="4" max="4" width="9.26953125" style="17" bestFit="1" customWidth="1"/>
    <col min="5" max="5" width="9.1796875" style="17"/>
    <col min="6" max="6" width="27.453125" style="17" customWidth="1"/>
    <col min="7" max="16384" width="9.1796875" style="17"/>
  </cols>
  <sheetData>
    <row r="3" spans="2:6" ht="15.5">
      <c r="B3" s="16" t="s">
        <v>69</v>
      </c>
    </row>
    <row r="4" spans="2:6" ht="26.25" customHeight="1">
      <c r="B4" s="18" t="s">
        <v>111</v>
      </c>
      <c r="C4" s="19"/>
      <c r="D4" s="20"/>
      <c r="E4" s="20"/>
      <c r="F4" s="21"/>
    </row>
    <row r="5" spans="2:6" ht="14.5">
      <c r="B5" s="13" t="s">
        <v>112</v>
      </c>
      <c r="C5" s="14" t="s">
        <v>113</v>
      </c>
      <c r="D5" s="14" t="s">
        <v>114</v>
      </c>
      <c r="E5" s="14" t="s">
        <v>115</v>
      </c>
      <c r="F5" s="22" t="s">
        <v>174</v>
      </c>
    </row>
    <row r="6" spans="2:6" ht="16">
      <c r="B6" s="23" t="s">
        <v>137</v>
      </c>
      <c r="C6" s="17" t="s">
        <v>141</v>
      </c>
      <c r="D6" s="51">
        <v>0.88</v>
      </c>
      <c r="E6" s="54" t="s">
        <v>116</v>
      </c>
      <c r="F6" s="56" t="s">
        <v>175</v>
      </c>
    </row>
    <row r="7" spans="2:6" ht="16">
      <c r="B7" s="24" t="s">
        <v>138</v>
      </c>
      <c r="C7" s="17" t="s">
        <v>142</v>
      </c>
      <c r="D7" s="51">
        <v>0</v>
      </c>
      <c r="E7" t="s">
        <v>116</v>
      </c>
      <c r="F7" s="56" t="s">
        <v>217</v>
      </c>
    </row>
    <row r="8" spans="2:6" ht="16.5">
      <c r="B8" s="27" t="s">
        <v>232</v>
      </c>
      <c r="C8" s="19" t="s">
        <v>136</v>
      </c>
      <c r="D8" s="52">
        <f>(D6-D7)/D6</f>
        <v>1</v>
      </c>
      <c r="E8" s="20" t="s">
        <v>116</v>
      </c>
      <c r="F8" s="57"/>
    </row>
    <row r="9" spans="2:6" ht="14.5">
      <c r="B9" s="28" t="s">
        <v>117</v>
      </c>
      <c r="C9" s="29"/>
      <c r="D9" s="30"/>
      <c r="E9" s="30"/>
      <c r="F9" s="58"/>
    </row>
    <row r="10" spans="2:6" ht="14.5">
      <c r="B10" s="31" t="s">
        <v>112</v>
      </c>
      <c r="C10" s="26" t="s">
        <v>113</v>
      </c>
      <c r="D10" s="26" t="s">
        <v>114</v>
      </c>
      <c r="E10" s="26" t="s">
        <v>115</v>
      </c>
      <c r="F10" s="22" t="s">
        <v>174</v>
      </c>
    </row>
    <row r="11" spans="2:6" ht="16.5">
      <c r="B11" s="24" t="s">
        <v>118</v>
      </c>
      <c r="C11" t="s">
        <v>230</v>
      </c>
      <c r="D11" s="125">
        <v>72</v>
      </c>
      <c r="E11" t="s">
        <v>119</v>
      </c>
      <c r="F11" s="56" t="s">
        <v>213</v>
      </c>
    </row>
    <row r="12" spans="2:6" ht="16.5">
      <c r="B12" s="24" t="s">
        <v>121</v>
      </c>
      <c r="C12" t="s">
        <v>231</v>
      </c>
      <c r="D12" s="126">
        <f>60*0.63</f>
        <v>37.799999999999997</v>
      </c>
      <c r="E12" s="55" t="s">
        <v>119</v>
      </c>
      <c r="F12" s="59" t="s">
        <v>214</v>
      </c>
    </row>
    <row r="13" spans="2:6" ht="16.5">
      <c r="B13" s="32" t="s">
        <v>122</v>
      </c>
      <c r="C13" s="33" t="s">
        <v>215</v>
      </c>
      <c r="D13" s="127">
        <f>(D11-D12)/D11</f>
        <v>0.47500000000000003</v>
      </c>
      <c r="E13" s="33" t="s">
        <v>116</v>
      </c>
      <c r="F13" s="60"/>
    </row>
    <row r="14" spans="2:6" ht="14.5">
      <c r="B14" s="34" t="s">
        <v>123</v>
      </c>
      <c r="C14" s="35"/>
      <c r="D14" s="36"/>
      <c r="E14" s="36"/>
      <c r="F14" s="61"/>
    </row>
    <row r="15" spans="2:6" ht="14.5">
      <c r="B15" s="31" t="s">
        <v>112</v>
      </c>
      <c r="C15" s="26" t="s">
        <v>113</v>
      </c>
      <c r="D15" s="26" t="s">
        <v>114</v>
      </c>
      <c r="E15" s="26" t="s">
        <v>115</v>
      </c>
      <c r="F15" s="22" t="s">
        <v>174</v>
      </c>
    </row>
    <row r="16" spans="2:6" ht="16">
      <c r="B16" s="23" t="s">
        <v>124</v>
      </c>
      <c r="C16" t="s">
        <v>125</v>
      </c>
      <c r="D16" s="25">
        <f>'Total PTDs'!M10</f>
        <v>1239</v>
      </c>
      <c r="E16" t="s">
        <v>120</v>
      </c>
      <c r="F16" s="56" t="s">
        <v>176</v>
      </c>
    </row>
    <row r="17" spans="2:6" ht="18.75" customHeight="1">
      <c r="B17" s="24" t="s">
        <v>126</v>
      </c>
      <c r="C17" t="s">
        <v>127</v>
      </c>
      <c r="D17" s="53">
        <v>1.7600000000000001E-2</v>
      </c>
      <c r="E17" t="s">
        <v>116</v>
      </c>
      <c r="F17" s="56" t="s">
        <v>177</v>
      </c>
    </row>
    <row r="18" spans="2:6" ht="16">
      <c r="B18" s="24" t="s">
        <v>135</v>
      </c>
      <c r="C18" t="s">
        <v>134</v>
      </c>
      <c r="D18" s="25">
        <v>0</v>
      </c>
      <c r="E18" t="s">
        <v>116</v>
      </c>
      <c r="F18" s="56" t="s">
        <v>178</v>
      </c>
    </row>
    <row r="19" spans="2:6" ht="16">
      <c r="B19" s="38" t="s">
        <v>128</v>
      </c>
      <c r="C19" s="39" t="s">
        <v>129</v>
      </c>
      <c r="D19" s="40">
        <f>D16*(1-D17)*(1-D18)</f>
        <v>1217.1936000000001</v>
      </c>
      <c r="E19" s="36"/>
      <c r="F19" s="37"/>
    </row>
    <row r="20" spans="2:6" ht="14.5">
      <c r="B20" s="41" t="s">
        <v>130</v>
      </c>
      <c r="C20" s="42"/>
      <c r="D20" s="43"/>
      <c r="E20" s="43"/>
      <c r="F20" s="44"/>
    </row>
    <row r="21" spans="2:6" ht="14.5">
      <c r="B21" s="13" t="s">
        <v>112</v>
      </c>
      <c r="C21" s="14" t="s">
        <v>113</v>
      </c>
      <c r="D21" s="14" t="s">
        <v>114</v>
      </c>
      <c r="E21" s="14" t="s">
        <v>115</v>
      </c>
      <c r="F21" s="22"/>
    </row>
    <row r="22" spans="2:6" ht="14.5">
      <c r="B22" s="45" t="s">
        <v>131</v>
      </c>
      <c r="C22" s="46" t="s">
        <v>132</v>
      </c>
      <c r="D22" s="50">
        <f>'All VPAs'!$E$32</f>
        <v>2581</v>
      </c>
      <c r="E22" s="46" t="s">
        <v>133</v>
      </c>
      <c r="F22" s="47"/>
    </row>
    <row r="24" spans="2:6" ht="15" customHeight="1"/>
    <row r="25" spans="2:6" ht="15.5">
      <c r="B25" s="16" t="s">
        <v>70</v>
      </c>
    </row>
    <row r="26" spans="2:6" ht="14.5">
      <c r="B26" s="18" t="s">
        <v>111</v>
      </c>
      <c r="C26" s="19"/>
      <c r="D26" s="20"/>
      <c r="E26" s="20"/>
      <c r="F26" s="21"/>
    </row>
    <row r="27" spans="2:6" ht="14.5">
      <c r="B27" s="13" t="s">
        <v>112</v>
      </c>
      <c r="C27" s="14" t="s">
        <v>113</v>
      </c>
      <c r="D27" s="14" t="s">
        <v>114</v>
      </c>
      <c r="E27" s="14" t="s">
        <v>115</v>
      </c>
      <c r="F27" s="22" t="s">
        <v>174</v>
      </c>
    </row>
    <row r="28" spans="2:6" ht="16">
      <c r="B28" s="23" t="s">
        <v>137</v>
      </c>
      <c r="C28" s="17" t="s">
        <v>141</v>
      </c>
      <c r="D28" s="51">
        <v>0.88</v>
      </c>
      <c r="E28" s="54" t="s">
        <v>116</v>
      </c>
      <c r="F28" s="56" t="s">
        <v>175</v>
      </c>
    </row>
    <row r="29" spans="2:6" ht="16">
      <c r="B29" s="24" t="s">
        <v>138</v>
      </c>
      <c r="C29" s="17" t="s">
        <v>142</v>
      </c>
      <c r="D29" s="51">
        <v>0</v>
      </c>
      <c r="E29" t="s">
        <v>116</v>
      </c>
      <c r="F29" s="56" t="s">
        <v>217</v>
      </c>
    </row>
    <row r="30" spans="2:6" ht="16.5">
      <c r="B30" s="27" t="s">
        <v>232</v>
      </c>
      <c r="C30" s="19" t="s">
        <v>136</v>
      </c>
      <c r="D30" s="52">
        <f>(D28-D29)/D28</f>
        <v>1</v>
      </c>
      <c r="E30" s="20" t="s">
        <v>116</v>
      </c>
      <c r="F30" s="57"/>
    </row>
    <row r="31" spans="2:6" ht="14.5">
      <c r="B31" s="28" t="s">
        <v>117</v>
      </c>
      <c r="C31" s="29"/>
      <c r="D31" s="30"/>
      <c r="E31" s="30"/>
      <c r="F31" s="58"/>
    </row>
    <row r="32" spans="2:6" ht="14.5">
      <c r="B32" s="31" t="s">
        <v>112</v>
      </c>
      <c r="C32" s="26" t="s">
        <v>113</v>
      </c>
      <c r="D32" s="26" t="s">
        <v>114</v>
      </c>
      <c r="E32" s="26" t="s">
        <v>115</v>
      </c>
      <c r="F32" s="22" t="s">
        <v>174</v>
      </c>
    </row>
    <row r="33" spans="2:6" ht="16.5">
      <c r="B33" s="24" t="s">
        <v>118</v>
      </c>
      <c r="C33" t="s">
        <v>230</v>
      </c>
      <c r="D33" s="125">
        <v>72</v>
      </c>
      <c r="E33" t="s">
        <v>119</v>
      </c>
      <c r="F33" s="56" t="s">
        <v>213</v>
      </c>
    </row>
    <row r="34" spans="2:6" ht="16.5">
      <c r="B34" s="24" t="s">
        <v>121</v>
      </c>
      <c r="C34" t="s">
        <v>231</v>
      </c>
      <c r="D34" s="126">
        <f>60*0.63</f>
        <v>37.799999999999997</v>
      </c>
      <c r="E34" s="55" t="s">
        <v>119</v>
      </c>
      <c r="F34" s="59" t="s">
        <v>214</v>
      </c>
    </row>
    <row r="35" spans="2:6" ht="16.5">
      <c r="B35" s="32" t="s">
        <v>122</v>
      </c>
      <c r="C35" s="33" t="s">
        <v>215</v>
      </c>
      <c r="D35" s="127">
        <f>(D33-D34)/D33</f>
        <v>0.47500000000000003</v>
      </c>
      <c r="E35" s="33" t="s">
        <v>116</v>
      </c>
      <c r="F35" s="60"/>
    </row>
    <row r="36" spans="2:6" ht="14.5">
      <c r="B36" s="34" t="s">
        <v>123</v>
      </c>
      <c r="C36" s="35"/>
      <c r="D36" s="36"/>
      <c r="E36" s="36"/>
      <c r="F36" s="61"/>
    </row>
    <row r="37" spans="2:6" ht="14.5">
      <c r="B37" s="31" t="s">
        <v>112</v>
      </c>
      <c r="C37" s="26" t="s">
        <v>113</v>
      </c>
      <c r="D37" s="26" t="s">
        <v>114</v>
      </c>
      <c r="E37" s="26" t="s">
        <v>115</v>
      </c>
      <c r="F37" s="22" t="s">
        <v>174</v>
      </c>
    </row>
    <row r="38" spans="2:6" ht="16">
      <c r="B38" s="23" t="s">
        <v>124</v>
      </c>
      <c r="C38" t="s">
        <v>125</v>
      </c>
      <c r="D38" s="25">
        <f>'Total PTDs'!M17</f>
        <v>1188</v>
      </c>
      <c r="E38" t="s">
        <v>120</v>
      </c>
      <c r="F38" s="56" t="s">
        <v>176</v>
      </c>
    </row>
    <row r="39" spans="2:6" ht="16">
      <c r="B39" s="24" t="s">
        <v>126</v>
      </c>
      <c r="C39" t="s">
        <v>127</v>
      </c>
      <c r="D39" s="53">
        <v>1.7600000000000001E-2</v>
      </c>
      <c r="E39" t="s">
        <v>116</v>
      </c>
      <c r="F39" s="56" t="s">
        <v>177</v>
      </c>
    </row>
    <row r="40" spans="2:6" ht="16">
      <c r="B40" s="24" t="s">
        <v>135</v>
      </c>
      <c r="C40" t="s">
        <v>134</v>
      </c>
      <c r="D40" s="25">
        <v>0</v>
      </c>
      <c r="E40" t="s">
        <v>116</v>
      </c>
      <c r="F40" s="56" t="s">
        <v>178</v>
      </c>
    </row>
    <row r="41" spans="2:6" ht="16">
      <c r="B41" s="38" t="s">
        <v>128</v>
      </c>
      <c r="C41" s="39" t="s">
        <v>129</v>
      </c>
      <c r="D41" s="40">
        <f>D38*(1-D39)*(1-D40)</f>
        <v>1167.0912000000001</v>
      </c>
      <c r="E41" s="36"/>
      <c r="F41" s="37"/>
    </row>
    <row r="42" spans="2:6" ht="14.5">
      <c r="B42" s="41" t="s">
        <v>130</v>
      </c>
      <c r="C42" s="42"/>
      <c r="D42" s="43"/>
      <c r="E42" s="46"/>
      <c r="F42" s="44"/>
    </row>
    <row r="43" spans="2:6" ht="14.5">
      <c r="B43" s="13" t="s">
        <v>112</v>
      </c>
      <c r="C43" s="14" t="s">
        <v>113</v>
      </c>
      <c r="D43" s="14" t="s">
        <v>114</v>
      </c>
      <c r="E43" s="14" t="s">
        <v>115</v>
      </c>
      <c r="F43" s="22"/>
    </row>
    <row r="44" spans="2:6" ht="14.5">
      <c r="B44" s="45" t="s">
        <v>131</v>
      </c>
      <c r="C44" s="46" t="s">
        <v>132</v>
      </c>
      <c r="D44" s="50">
        <f>'All VPAs'!$F$32</f>
        <v>2686</v>
      </c>
      <c r="E44" s="46" t="s">
        <v>133</v>
      </c>
      <c r="F44" s="47"/>
    </row>
    <row r="48" spans="2:6" ht="15.5">
      <c r="B48" s="16" t="s">
        <v>78</v>
      </c>
    </row>
    <row r="49" spans="2:6" ht="14.5">
      <c r="B49" s="18" t="s">
        <v>111</v>
      </c>
      <c r="C49" s="19"/>
      <c r="D49" s="20"/>
      <c r="E49" s="20"/>
      <c r="F49" s="21"/>
    </row>
    <row r="50" spans="2:6" ht="14.5">
      <c r="B50" s="13" t="s">
        <v>112</v>
      </c>
      <c r="C50" s="14" t="s">
        <v>113</v>
      </c>
      <c r="D50" s="14" t="s">
        <v>114</v>
      </c>
      <c r="E50" s="14" t="s">
        <v>115</v>
      </c>
      <c r="F50" s="22" t="s">
        <v>174</v>
      </c>
    </row>
    <row r="51" spans="2:6" ht="16">
      <c r="B51" s="23" t="s">
        <v>137</v>
      </c>
      <c r="C51" s="17" t="s">
        <v>141</v>
      </c>
      <c r="D51" s="51">
        <v>0.88</v>
      </c>
      <c r="E51" s="54" t="s">
        <v>116</v>
      </c>
      <c r="F51" s="56" t="s">
        <v>175</v>
      </c>
    </row>
    <row r="52" spans="2:6" ht="16">
      <c r="B52" s="24" t="s">
        <v>138</v>
      </c>
      <c r="C52" s="17" t="s">
        <v>142</v>
      </c>
      <c r="D52" s="51">
        <v>0</v>
      </c>
      <c r="E52" t="s">
        <v>116</v>
      </c>
      <c r="F52" s="56" t="s">
        <v>217</v>
      </c>
    </row>
    <row r="53" spans="2:6" ht="16.5">
      <c r="B53" s="27" t="s">
        <v>232</v>
      </c>
      <c r="C53" s="19" t="s">
        <v>136</v>
      </c>
      <c r="D53" s="52">
        <f>(D51-D52)/D51</f>
        <v>1</v>
      </c>
      <c r="E53" s="20" t="s">
        <v>116</v>
      </c>
      <c r="F53" s="57"/>
    </row>
    <row r="54" spans="2:6" ht="14.5">
      <c r="B54" s="28" t="s">
        <v>117</v>
      </c>
      <c r="C54" s="29"/>
      <c r="D54" s="30"/>
      <c r="E54" s="30"/>
      <c r="F54" s="58"/>
    </row>
    <row r="55" spans="2:6" ht="14.5">
      <c r="B55" s="31" t="s">
        <v>112</v>
      </c>
      <c r="C55" s="26" t="s">
        <v>113</v>
      </c>
      <c r="D55" s="26" t="s">
        <v>114</v>
      </c>
      <c r="E55" s="26" t="s">
        <v>115</v>
      </c>
      <c r="F55" s="22" t="s">
        <v>174</v>
      </c>
    </row>
    <row r="56" spans="2:6" ht="16.5">
      <c r="B56" s="24" t="s">
        <v>118</v>
      </c>
      <c r="C56" t="s">
        <v>230</v>
      </c>
      <c r="D56" s="125">
        <v>72</v>
      </c>
      <c r="E56" t="s">
        <v>119</v>
      </c>
      <c r="F56" s="56" t="s">
        <v>213</v>
      </c>
    </row>
    <row r="57" spans="2:6" ht="16.5">
      <c r="B57" s="24" t="s">
        <v>121</v>
      </c>
      <c r="C57" t="s">
        <v>231</v>
      </c>
      <c r="D57" s="126">
        <f>60*0.63</f>
        <v>37.799999999999997</v>
      </c>
      <c r="E57" s="55" t="s">
        <v>119</v>
      </c>
      <c r="F57" s="59" t="s">
        <v>214</v>
      </c>
    </row>
    <row r="58" spans="2:6" ht="16.5">
      <c r="B58" s="32" t="s">
        <v>122</v>
      </c>
      <c r="C58" s="33" t="s">
        <v>215</v>
      </c>
      <c r="D58" s="127">
        <f>(D56-D57)/D56</f>
        <v>0.47500000000000003</v>
      </c>
      <c r="E58" s="33" t="s">
        <v>116</v>
      </c>
      <c r="F58" s="60"/>
    </row>
    <row r="59" spans="2:6" ht="14.5">
      <c r="B59" s="34" t="s">
        <v>123</v>
      </c>
      <c r="C59" s="35"/>
      <c r="D59" s="36"/>
      <c r="E59" s="36"/>
      <c r="F59" s="61"/>
    </row>
    <row r="60" spans="2:6" ht="14.5">
      <c r="B60" s="31" t="s">
        <v>112</v>
      </c>
      <c r="C60" s="26" t="s">
        <v>113</v>
      </c>
      <c r="D60" s="26" t="s">
        <v>114</v>
      </c>
      <c r="E60" s="26" t="s">
        <v>115</v>
      </c>
      <c r="F60" s="22" t="s">
        <v>174</v>
      </c>
    </row>
    <row r="61" spans="2:6" ht="16">
      <c r="B61" s="23" t="s">
        <v>124</v>
      </c>
      <c r="C61" t="s">
        <v>125</v>
      </c>
      <c r="D61" s="25">
        <f>'Total PTDs'!M24</f>
        <v>1224</v>
      </c>
      <c r="E61" t="s">
        <v>120</v>
      </c>
      <c r="F61" s="56" t="s">
        <v>176</v>
      </c>
    </row>
    <row r="62" spans="2:6" ht="16">
      <c r="B62" s="24" t="s">
        <v>126</v>
      </c>
      <c r="C62" t="s">
        <v>127</v>
      </c>
      <c r="D62" s="53">
        <v>1.7600000000000001E-2</v>
      </c>
      <c r="E62" t="s">
        <v>116</v>
      </c>
      <c r="F62" s="56" t="s">
        <v>177</v>
      </c>
    </row>
    <row r="63" spans="2:6" ht="16">
      <c r="B63" s="24" t="s">
        <v>135</v>
      </c>
      <c r="C63" t="s">
        <v>134</v>
      </c>
      <c r="D63" s="25">
        <v>0</v>
      </c>
      <c r="E63" t="s">
        <v>116</v>
      </c>
      <c r="F63" s="56" t="s">
        <v>178</v>
      </c>
    </row>
    <row r="64" spans="2:6" ht="16">
      <c r="B64" s="38" t="s">
        <v>128</v>
      </c>
      <c r="C64" s="39" t="s">
        <v>129</v>
      </c>
      <c r="D64" s="40">
        <f>D61*(1-D62)*(1-D63)</f>
        <v>1202.4576</v>
      </c>
      <c r="E64" s="36"/>
      <c r="F64" s="37"/>
    </row>
    <row r="65" spans="2:6" ht="14.5">
      <c r="B65" s="41" t="s">
        <v>130</v>
      </c>
      <c r="C65" s="42"/>
      <c r="D65" s="43"/>
      <c r="E65" s="43"/>
      <c r="F65" s="44"/>
    </row>
    <row r="66" spans="2:6" ht="14.5">
      <c r="B66" s="13" t="s">
        <v>112</v>
      </c>
      <c r="C66" s="14" t="s">
        <v>113</v>
      </c>
      <c r="D66" s="14" t="s">
        <v>114</v>
      </c>
      <c r="E66" s="14" t="s">
        <v>115</v>
      </c>
      <c r="F66" s="22"/>
    </row>
    <row r="67" spans="2:6" ht="14.5">
      <c r="B67" s="45" t="s">
        <v>131</v>
      </c>
      <c r="C67" s="46" t="s">
        <v>132</v>
      </c>
      <c r="D67" s="50">
        <f>'All VPAs'!$G$32</f>
        <v>2805</v>
      </c>
      <c r="E67" s="46" t="s">
        <v>133</v>
      </c>
      <c r="F67" s="47"/>
    </row>
    <row r="71" spans="2:6" ht="15.5">
      <c r="B71" s="16" t="s">
        <v>85</v>
      </c>
    </row>
    <row r="72" spans="2:6" ht="14.5">
      <c r="B72" s="18" t="s">
        <v>111</v>
      </c>
      <c r="C72" s="19"/>
      <c r="D72" s="20"/>
      <c r="E72" s="20"/>
      <c r="F72" s="21"/>
    </row>
    <row r="73" spans="2:6" ht="14.5">
      <c r="B73" s="13" t="s">
        <v>112</v>
      </c>
      <c r="C73" s="14" t="s">
        <v>113</v>
      </c>
      <c r="D73" s="14" t="s">
        <v>114</v>
      </c>
      <c r="E73" s="14" t="s">
        <v>115</v>
      </c>
      <c r="F73" s="22" t="s">
        <v>174</v>
      </c>
    </row>
    <row r="74" spans="2:6" ht="16">
      <c r="B74" s="23" t="s">
        <v>137</v>
      </c>
      <c r="C74" s="17" t="s">
        <v>141</v>
      </c>
      <c r="D74" s="51">
        <v>0.88</v>
      </c>
      <c r="E74" s="54" t="s">
        <v>116</v>
      </c>
      <c r="F74" s="56" t="s">
        <v>175</v>
      </c>
    </row>
    <row r="75" spans="2:6" ht="16">
      <c r="B75" s="24" t="s">
        <v>138</v>
      </c>
      <c r="C75" s="17" t="s">
        <v>142</v>
      </c>
      <c r="D75" s="51">
        <v>0</v>
      </c>
      <c r="E75" t="s">
        <v>116</v>
      </c>
      <c r="F75" s="56" t="s">
        <v>217</v>
      </c>
    </row>
    <row r="76" spans="2:6" ht="16.5">
      <c r="B76" s="27" t="s">
        <v>232</v>
      </c>
      <c r="C76" s="19" t="s">
        <v>136</v>
      </c>
      <c r="D76" s="52">
        <f>(D74-D75)/D74</f>
        <v>1</v>
      </c>
      <c r="E76" s="20" t="s">
        <v>116</v>
      </c>
      <c r="F76" s="57"/>
    </row>
    <row r="77" spans="2:6" ht="14.5">
      <c r="B77" s="28" t="s">
        <v>117</v>
      </c>
      <c r="C77" s="29"/>
      <c r="D77" s="30"/>
      <c r="E77" s="30"/>
      <c r="F77" s="58"/>
    </row>
    <row r="78" spans="2:6" ht="14.5">
      <c r="B78" s="31" t="s">
        <v>112</v>
      </c>
      <c r="C78" s="26" t="s">
        <v>113</v>
      </c>
      <c r="D78" s="26" t="s">
        <v>114</v>
      </c>
      <c r="E78" s="26" t="s">
        <v>115</v>
      </c>
      <c r="F78" s="22" t="s">
        <v>174</v>
      </c>
    </row>
    <row r="79" spans="2:6" ht="16.5">
      <c r="B79" s="24" t="s">
        <v>118</v>
      </c>
      <c r="C79" t="s">
        <v>230</v>
      </c>
      <c r="D79" s="125">
        <v>72</v>
      </c>
      <c r="E79" t="s">
        <v>119</v>
      </c>
      <c r="F79" s="56" t="s">
        <v>213</v>
      </c>
    </row>
    <row r="80" spans="2:6" ht="16.5">
      <c r="B80" s="24" t="s">
        <v>121</v>
      </c>
      <c r="C80" t="s">
        <v>231</v>
      </c>
      <c r="D80" s="126">
        <f>60*0.63</f>
        <v>37.799999999999997</v>
      </c>
      <c r="E80" s="55" t="s">
        <v>119</v>
      </c>
      <c r="F80" s="59" t="s">
        <v>214</v>
      </c>
    </row>
    <row r="81" spans="2:6" ht="16.5">
      <c r="B81" s="32" t="s">
        <v>122</v>
      </c>
      <c r="C81" s="33" t="s">
        <v>215</v>
      </c>
      <c r="D81" s="127">
        <f>(D79-D80)/D79</f>
        <v>0.47500000000000003</v>
      </c>
      <c r="E81" s="33" t="s">
        <v>116</v>
      </c>
      <c r="F81" s="60"/>
    </row>
    <row r="82" spans="2:6" ht="14.5">
      <c r="B82" s="34" t="s">
        <v>123</v>
      </c>
      <c r="C82" s="35"/>
      <c r="D82" s="36"/>
      <c r="E82" s="36"/>
      <c r="F82" s="61"/>
    </row>
    <row r="83" spans="2:6" ht="14.5">
      <c r="B83" s="31" t="s">
        <v>112</v>
      </c>
      <c r="C83" s="26" t="s">
        <v>113</v>
      </c>
      <c r="D83" s="26" t="s">
        <v>114</v>
      </c>
      <c r="E83" s="26" t="s">
        <v>115</v>
      </c>
      <c r="F83" s="22" t="s">
        <v>174</v>
      </c>
    </row>
    <row r="84" spans="2:6" ht="16">
      <c r="B84" s="23" t="s">
        <v>124</v>
      </c>
      <c r="C84" t="s">
        <v>125</v>
      </c>
      <c r="D84" s="25">
        <f>'Total PTDs'!M31</f>
        <v>1273</v>
      </c>
      <c r="E84" t="s">
        <v>120</v>
      </c>
      <c r="F84" s="56" t="s">
        <v>176</v>
      </c>
    </row>
    <row r="85" spans="2:6" ht="16">
      <c r="B85" s="24" t="s">
        <v>126</v>
      </c>
      <c r="C85" t="s">
        <v>127</v>
      </c>
      <c r="D85" s="53">
        <v>1.7600000000000001E-2</v>
      </c>
      <c r="E85" t="s">
        <v>116</v>
      </c>
      <c r="F85" s="56" t="s">
        <v>177</v>
      </c>
    </row>
    <row r="86" spans="2:6" ht="16">
      <c r="B86" s="24" t="s">
        <v>135</v>
      </c>
      <c r="C86" t="s">
        <v>134</v>
      </c>
      <c r="D86" s="25">
        <v>0</v>
      </c>
      <c r="E86" t="s">
        <v>116</v>
      </c>
      <c r="F86" s="56" t="s">
        <v>178</v>
      </c>
    </row>
    <row r="87" spans="2:6" ht="16">
      <c r="B87" s="38" t="s">
        <v>128</v>
      </c>
      <c r="C87" s="39" t="s">
        <v>129</v>
      </c>
      <c r="D87" s="40">
        <f>D84*(1-D85)*(1-D86)</f>
        <v>1250.5952</v>
      </c>
      <c r="E87" s="36"/>
      <c r="F87" s="37"/>
    </row>
    <row r="88" spans="2:6" ht="14.5">
      <c r="B88" s="41" t="s">
        <v>130</v>
      </c>
      <c r="C88" s="42"/>
      <c r="D88" s="43"/>
      <c r="E88" s="43"/>
      <c r="F88" s="44"/>
    </row>
    <row r="89" spans="2:6" ht="14.5">
      <c r="B89" s="13" t="s">
        <v>112</v>
      </c>
      <c r="C89" s="14" t="s">
        <v>113</v>
      </c>
      <c r="D89" s="14" t="s">
        <v>114</v>
      </c>
      <c r="E89" s="14" t="s">
        <v>115</v>
      </c>
      <c r="F89" s="22"/>
    </row>
    <row r="90" spans="2:6" ht="14.5">
      <c r="B90" s="45" t="s">
        <v>131</v>
      </c>
      <c r="C90" s="46" t="s">
        <v>132</v>
      </c>
      <c r="D90" s="50">
        <f>'All VPAs'!$H$32</f>
        <v>3309</v>
      </c>
      <c r="E90" s="46" t="s">
        <v>133</v>
      </c>
      <c r="F90" s="47"/>
    </row>
    <row r="94" spans="2:6" ht="15.5">
      <c r="B94" s="16" t="s">
        <v>95</v>
      </c>
    </row>
    <row r="95" spans="2:6" ht="14.5">
      <c r="B95" s="18" t="s">
        <v>111</v>
      </c>
      <c r="C95" s="19"/>
      <c r="D95" s="20"/>
      <c r="E95" s="20"/>
      <c r="F95" s="21"/>
    </row>
    <row r="96" spans="2:6" ht="14.5">
      <c r="B96" s="13" t="s">
        <v>112</v>
      </c>
      <c r="C96" s="14" t="s">
        <v>113</v>
      </c>
      <c r="D96" s="14" t="s">
        <v>114</v>
      </c>
      <c r="E96" s="14" t="s">
        <v>115</v>
      </c>
      <c r="F96" s="22" t="s">
        <v>174</v>
      </c>
    </row>
    <row r="97" spans="2:6" ht="16">
      <c r="B97" s="23" t="s">
        <v>137</v>
      </c>
      <c r="C97" s="17" t="s">
        <v>141</v>
      </c>
      <c r="D97" s="51">
        <v>0.88</v>
      </c>
      <c r="E97" s="54" t="s">
        <v>116</v>
      </c>
      <c r="F97" s="56" t="s">
        <v>175</v>
      </c>
    </row>
    <row r="98" spans="2:6" ht="16">
      <c r="B98" s="24" t="s">
        <v>138</v>
      </c>
      <c r="C98" s="17" t="s">
        <v>142</v>
      </c>
      <c r="D98" s="51">
        <v>0</v>
      </c>
      <c r="E98" t="s">
        <v>116</v>
      </c>
      <c r="F98" s="56" t="s">
        <v>217</v>
      </c>
    </row>
    <row r="99" spans="2:6" ht="16.5">
      <c r="B99" s="27" t="s">
        <v>232</v>
      </c>
      <c r="C99" s="19" t="s">
        <v>136</v>
      </c>
      <c r="D99" s="52">
        <f>(D97-D98)/D97</f>
        <v>1</v>
      </c>
      <c r="E99" s="20" t="s">
        <v>116</v>
      </c>
      <c r="F99" s="57"/>
    </row>
    <row r="100" spans="2:6" ht="14.5">
      <c r="B100" s="28" t="s">
        <v>117</v>
      </c>
      <c r="C100" s="29"/>
      <c r="D100" s="30"/>
      <c r="E100" s="30"/>
      <c r="F100" s="58"/>
    </row>
    <row r="101" spans="2:6" ht="14.5">
      <c r="B101" s="31" t="s">
        <v>112</v>
      </c>
      <c r="C101" s="26" t="s">
        <v>113</v>
      </c>
      <c r="D101" s="26" t="s">
        <v>114</v>
      </c>
      <c r="E101" s="26" t="s">
        <v>115</v>
      </c>
      <c r="F101" s="22" t="s">
        <v>174</v>
      </c>
    </row>
    <row r="102" spans="2:6" ht="16.5">
      <c r="B102" s="24" t="s">
        <v>118</v>
      </c>
      <c r="C102" t="s">
        <v>230</v>
      </c>
      <c r="D102" s="125">
        <v>72</v>
      </c>
      <c r="E102" t="s">
        <v>119</v>
      </c>
      <c r="F102" s="56" t="s">
        <v>213</v>
      </c>
    </row>
    <row r="103" spans="2:6" ht="16.5">
      <c r="B103" s="24" t="s">
        <v>121</v>
      </c>
      <c r="C103" t="s">
        <v>231</v>
      </c>
      <c r="D103" s="126">
        <f>60*0.63</f>
        <v>37.799999999999997</v>
      </c>
      <c r="E103" s="55" t="s">
        <v>119</v>
      </c>
      <c r="F103" s="59" t="s">
        <v>214</v>
      </c>
    </row>
    <row r="104" spans="2:6" ht="16.5">
      <c r="B104" s="32" t="s">
        <v>122</v>
      </c>
      <c r="C104" s="33" t="s">
        <v>215</v>
      </c>
      <c r="D104" s="127">
        <f>(D102-D103)/D102</f>
        <v>0.47500000000000003</v>
      </c>
      <c r="E104" s="33" t="s">
        <v>116</v>
      </c>
      <c r="F104" s="60"/>
    </row>
    <row r="105" spans="2:6" ht="14.5">
      <c r="B105" s="34" t="s">
        <v>123</v>
      </c>
      <c r="C105" s="35"/>
      <c r="D105" s="36"/>
      <c r="E105" s="36"/>
      <c r="F105" s="61"/>
    </row>
    <row r="106" spans="2:6" ht="14.5">
      <c r="B106" s="31" t="s">
        <v>112</v>
      </c>
      <c r="C106" s="26" t="s">
        <v>113</v>
      </c>
      <c r="D106" s="26" t="s">
        <v>114</v>
      </c>
      <c r="E106" s="26" t="s">
        <v>115</v>
      </c>
      <c r="F106" s="22" t="s">
        <v>174</v>
      </c>
    </row>
    <row r="107" spans="2:6" ht="16">
      <c r="B107" s="23" t="s">
        <v>124</v>
      </c>
      <c r="C107" t="s">
        <v>125</v>
      </c>
      <c r="D107" s="25">
        <f>'Total PTDs'!M38</f>
        <v>1500</v>
      </c>
      <c r="E107" t="s">
        <v>120</v>
      </c>
      <c r="F107" s="56" t="s">
        <v>176</v>
      </c>
    </row>
    <row r="108" spans="2:6" ht="16">
      <c r="B108" s="24" t="s">
        <v>126</v>
      </c>
      <c r="C108" t="s">
        <v>127</v>
      </c>
      <c r="D108" s="53">
        <v>1.7600000000000001E-2</v>
      </c>
      <c r="E108" t="s">
        <v>116</v>
      </c>
      <c r="F108" s="56" t="s">
        <v>177</v>
      </c>
    </row>
    <row r="109" spans="2:6" ht="16">
      <c r="B109" s="24" t="s">
        <v>135</v>
      </c>
      <c r="C109" t="s">
        <v>134</v>
      </c>
      <c r="D109" s="25">
        <v>0</v>
      </c>
      <c r="E109" t="s">
        <v>116</v>
      </c>
      <c r="F109" s="56" t="s">
        <v>178</v>
      </c>
    </row>
    <row r="110" spans="2:6" ht="16">
      <c r="B110" s="38" t="s">
        <v>128</v>
      </c>
      <c r="C110" s="39" t="s">
        <v>129</v>
      </c>
      <c r="D110" s="40">
        <f>D107*(1-D108)*(1-D109)</f>
        <v>1473.6000000000001</v>
      </c>
      <c r="E110" s="36"/>
      <c r="F110" s="37"/>
    </row>
    <row r="111" spans="2:6" ht="14.5">
      <c r="B111" s="41" t="s">
        <v>130</v>
      </c>
      <c r="C111" s="42"/>
      <c r="D111" s="43"/>
      <c r="E111" s="43"/>
      <c r="F111" s="44"/>
    </row>
    <row r="112" spans="2:6" ht="14.5">
      <c r="B112" s="13" t="s">
        <v>112</v>
      </c>
      <c r="C112" s="14" t="s">
        <v>113</v>
      </c>
      <c r="D112" s="14" t="s">
        <v>114</v>
      </c>
      <c r="E112" s="14" t="s">
        <v>115</v>
      </c>
      <c r="F112" s="22"/>
    </row>
    <row r="113" spans="2:6" ht="14.5">
      <c r="B113" s="45" t="s">
        <v>131</v>
      </c>
      <c r="C113" s="46" t="s">
        <v>132</v>
      </c>
      <c r="D113" s="50">
        <f>'All VPAs'!$I$32</f>
        <v>5409</v>
      </c>
      <c r="E113" s="46" t="s">
        <v>133</v>
      </c>
      <c r="F113" s="47"/>
    </row>
    <row r="117" spans="2:6" ht="15.5">
      <c r="B117" s="16" t="s">
        <v>103</v>
      </c>
    </row>
    <row r="118" spans="2:6" ht="14.5">
      <c r="B118" s="18" t="s">
        <v>111</v>
      </c>
      <c r="C118" s="19"/>
      <c r="D118" s="20"/>
      <c r="E118" s="20"/>
      <c r="F118" s="21"/>
    </row>
    <row r="119" spans="2:6" ht="14.5">
      <c r="B119" s="13" t="s">
        <v>112</v>
      </c>
      <c r="C119" s="14" t="s">
        <v>113</v>
      </c>
      <c r="D119" s="14" t="s">
        <v>114</v>
      </c>
      <c r="E119" s="14" t="s">
        <v>115</v>
      </c>
      <c r="F119" s="22" t="s">
        <v>174</v>
      </c>
    </row>
    <row r="120" spans="2:6" ht="16">
      <c r="B120" s="23" t="s">
        <v>137</v>
      </c>
      <c r="C120" s="17" t="s">
        <v>141</v>
      </c>
      <c r="D120" s="51">
        <v>0.88</v>
      </c>
      <c r="E120" s="54" t="s">
        <v>116</v>
      </c>
      <c r="F120" s="56" t="s">
        <v>175</v>
      </c>
    </row>
    <row r="121" spans="2:6" ht="16">
      <c r="B121" s="24" t="s">
        <v>138</v>
      </c>
      <c r="C121" s="17" t="s">
        <v>142</v>
      </c>
      <c r="D121" s="51">
        <v>0</v>
      </c>
      <c r="E121" t="s">
        <v>116</v>
      </c>
      <c r="F121" s="56" t="s">
        <v>217</v>
      </c>
    </row>
    <row r="122" spans="2:6" ht="16.5">
      <c r="B122" s="27" t="s">
        <v>232</v>
      </c>
      <c r="C122" s="19" t="s">
        <v>136</v>
      </c>
      <c r="D122" s="52">
        <f>(D120-D121)/D120</f>
        <v>1</v>
      </c>
      <c r="E122" s="20" t="s">
        <v>116</v>
      </c>
      <c r="F122" s="57"/>
    </row>
    <row r="123" spans="2:6" ht="14.5">
      <c r="B123" s="28" t="s">
        <v>117</v>
      </c>
      <c r="C123" s="29"/>
      <c r="D123" s="30"/>
      <c r="E123" s="30"/>
      <c r="F123" s="58"/>
    </row>
    <row r="124" spans="2:6" ht="14.5">
      <c r="B124" s="31" t="s">
        <v>112</v>
      </c>
      <c r="C124" s="26" t="s">
        <v>113</v>
      </c>
      <c r="D124" s="26" t="s">
        <v>114</v>
      </c>
      <c r="E124" s="26" t="s">
        <v>115</v>
      </c>
      <c r="F124" s="22" t="s">
        <v>174</v>
      </c>
    </row>
    <row r="125" spans="2:6" ht="16.5">
      <c r="B125" s="24" t="s">
        <v>118</v>
      </c>
      <c r="C125" t="s">
        <v>230</v>
      </c>
      <c r="D125" s="125">
        <v>72</v>
      </c>
      <c r="E125" t="s">
        <v>119</v>
      </c>
      <c r="F125" s="56" t="s">
        <v>213</v>
      </c>
    </row>
    <row r="126" spans="2:6" ht="16.5">
      <c r="B126" s="24" t="s">
        <v>121</v>
      </c>
      <c r="C126" t="s">
        <v>231</v>
      </c>
      <c r="D126" s="126">
        <f>60*0.63</f>
        <v>37.799999999999997</v>
      </c>
      <c r="E126" s="55" t="s">
        <v>119</v>
      </c>
      <c r="F126" s="59" t="s">
        <v>214</v>
      </c>
    </row>
    <row r="127" spans="2:6" ht="16.5">
      <c r="B127" s="32" t="s">
        <v>122</v>
      </c>
      <c r="C127" s="33" t="s">
        <v>215</v>
      </c>
      <c r="D127" s="127">
        <f>(D125-D126)/D125</f>
        <v>0.47500000000000003</v>
      </c>
      <c r="E127" s="33" t="s">
        <v>116</v>
      </c>
      <c r="F127" s="60"/>
    </row>
    <row r="128" spans="2:6" ht="14.5">
      <c r="B128" s="34" t="s">
        <v>123</v>
      </c>
      <c r="C128" s="35"/>
      <c r="D128" s="36"/>
      <c r="E128" s="36"/>
      <c r="F128" s="61"/>
    </row>
    <row r="129" spans="2:6" ht="14.5">
      <c r="B129" s="31" t="s">
        <v>112</v>
      </c>
      <c r="C129" s="26" t="s">
        <v>113</v>
      </c>
      <c r="D129" s="26" t="s">
        <v>114</v>
      </c>
      <c r="E129" s="26" t="s">
        <v>115</v>
      </c>
      <c r="F129" s="22" t="s">
        <v>174</v>
      </c>
    </row>
    <row r="130" spans="2:6" ht="16">
      <c r="B130" s="23" t="s">
        <v>124</v>
      </c>
      <c r="C130" t="s">
        <v>125</v>
      </c>
      <c r="D130" s="25">
        <f>'Total PTDs'!M45</f>
        <v>1395</v>
      </c>
      <c r="E130" t="s">
        <v>120</v>
      </c>
      <c r="F130" s="56" t="s">
        <v>176</v>
      </c>
    </row>
    <row r="131" spans="2:6" ht="16">
      <c r="B131" s="24" t="s">
        <v>126</v>
      </c>
      <c r="C131" t="s">
        <v>127</v>
      </c>
      <c r="D131" s="53">
        <v>1.7600000000000001E-2</v>
      </c>
      <c r="E131" t="s">
        <v>116</v>
      </c>
      <c r="F131" s="56" t="s">
        <v>177</v>
      </c>
    </row>
    <row r="132" spans="2:6" ht="16">
      <c r="B132" s="24" t="s">
        <v>135</v>
      </c>
      <c r="C132" t="s">
        <v>134</v>
      </c>
      <c r="D132" s="25">
        <v>0</v>
      </c>
      <c r="E132" t="s">
        <v>116</v>
      </c>
      <c r="F132" s="56" t="s">
        <v>178</v>
      </c>
    </row>
    <row r="133" spans="2:6" ht="16">
      <c r="B133" s="38" t="s">
        <v>128</v>
      </c>
      <c r="C133" s="39" t="s">
        <v>129</v>
      </c>
      <c r="D133" s="40">
        <f>D130*(1-D131)*(1-D132)</f>
        <v>1370.4480000000001</v>
      </c>
      <c r="E133" s="36"/>
      <c r="F133" s="37"/>
    </row>
    <row r="134" spans="2:6" ht="14.5">
      <c r="B134" s="41" t="s">
        <v>130</v>
      </c>
      <c r="C134" s="42"/>
      <c r="D134" s="43"/>
      <c r="E134" s="43"/>
      <c r="F134" s="44"/>
    </row>
    <row r="135" spans="2:6" ht="14.5">
      <c r="B135" s="13" t="s">
        <v>112</v>
      </c>
      <c r="C135" s="14" t="s">
        <v>113</v>
      </c>
      <c r="D135" s="14" t="s">
        <v>114</v>
      </c>
      <c r="E135" s="14" t="s">
        <v>115</v>
      </c>
      <c r="F135" s="22"/>
    </row>
    <row r="136" spans="2:6" ht="14.5">
      <c r="B136" s="45" t="s">
        <v>131</v>
      </c>
      <c r="C136" s="46" t="s">
        <v>132</v>
      </c>
      <c r="D136" s="50">
        <f>'All VPAs'!$F$32</f>
        <v>2686</v>
      </c>
      <c r="E136" s="46" t="s">
        <v>133</v>
      </c>
      <c r="F136" s="4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7529-FB59-4E31-A1AB-DE574AFA36E9}">
  <dimension ref="B2:AF34"/>
  <sheetViews>
    <sheetView showGridLines="0" zoomScale="70" zoomScaleNormal="70" workbookViewId="0">
      <selection activeCell="K18" sqref="K18"/>
    </sheetView>
  </sheetViews>
  <sheetFormatPr defaultRowHeight="14.5"/>
  <cols>
    <col min="1" max="1" width="14.81640625" customWidth="1"/>
    <col min="2" max="2" width="70.453125" bestFit="1" customWidth="1"/>
    <col min="3" max="3" width="18.1796875" customWidth="1"/>
    <col min="4" max="4" width="12.453125" customWidth="1"/>
    <col min="5" max="10" width="13.1796875" customWidth="1"/>
    <col min="11" max="11" width="17.90625" bestFit="1" customWidth="1"/>
    <col min="12" max="12" width="8.81640625" bestFit="1" customWidth="1"/>
    <col min="13" max="13" width="54.81640625" customWidth="1"/>
    <col min="14" max="14" width="12.26953125" customWidth="1"/>
    <col min="15" max="15" width="22" customWidth="1"/>
    <col min="16" max="21" width="12" customWidth="1"/>
    <col min="22" max="22" width="6.26953125" customWidth="1"/>
    <col min="23" max="23" width="59.7265625" customWidth="1"/>
    <col min="24" max="24" width="17" customWidth="1"/>
    <col min="25" max="25" width="13" customWidth="1"/>
    <col min="26" max="31" width="11" customWidth="1"/>
    <col min="32" max="32" width="5" customWidth="1"/>
    <col min="33" max="33" width="57.7265625" customWidth="1"/>
    <col min="34" max="34" width="15" customWidth="1"/>
    <col min="35" max="35" width="14.453125" customWidth="1"/>
    <col min="36" max="36" width="18.26953125" customWidth="1"/>
  </cols>
  <sheetData>
    <row r="2" spans="2:32" ht="15" customHeight="1">
      <c r="B2" s="221" t="s">
        <v>245</v>
      </c>
      <c r="C2" s="221"/>
      <c r="D2" s="221"/>
      <c r="E2" s="221"/>
      <c r="F2" s="123"/>
      <c r="G2" s="123"/>
      <c r="H2" s="123"/>
      <c r="I2" s="123"/>
      <c r="J2" s="123"/>
      <c r="K2" s="123"/>
      <c r="M2" s="222" t="s">
        <v>211</v>
      </c>
      <c r="N2" s="222"/>
      <c r="O2" s="222"/>
      <c r="P2" s="222"/>
      <c r="Q2" s="124"/>
      <c r="R2" s="124"/>
      <c r="S2" s="124"/>
      <c r="T2" s="124"/>
      <c r="U2" s="124"/>
      <c r="W2" s="222" t="s">
        <v>238</v>
      </c>
      <c r="X2" s="222"/>
      <c r="Y2" s="222"/>
      <c r="Z2" s="222"/>
      <c r="AA2" s="124"/>
      <c r="AB2" s="124"/>
      <c r="AC2" s="124"/>
      <c r="AD2" s="124"/>
      <c r="AE2" s="124"/>
    </row>
    <row r="3" spans="2:32" hidden="1"/>
    <row r="4" spans="2:32" s="1" customFormat="1">
      <c r="B4" s="223" t="s">
        <v>11</v>
      </c>
      <c r="C4" s="224"/>
      <c r="D4" s="224"/>
      <c r="E4" s="129" t="s">
        <v>69</v>
      </c>
      <c r="F4" s="128" t="s">
        <v>70</v>
      </c>
      <c r="G4" s="128" t="s">
        <v>78</v>
      </c>
      <c r="H4" s="128" t="s">
        <v>85</v>
      </c>
      <c r="I4" s="128" t="s">
        <v>95</v>
      </c>
      <c r="J4" s="128" t="s">
        <v>103</v>
      </c>
      <c r="K4" s="128" t="s">
        <v>174</v>
      </c>
      <c r="M4" s="225" t="s">
        <v>11</v>
      </c>
      <c r="N4" s="226"/>
      <c r="O4" s="226"/>
      <c r="P4" s="131" t="s">
        <v>69</v>
      </c>
      <c r="Q4" s="131" t="s">
        <v>70</v>
      </c>
      <c r="R4" s="131" t="s">
        <v>78</v>
      </c>
      <c r="S4" s="131" t="s">
        <v>85</v>
      </c>
      <c r="T4" s="131" t="s">
        <v>95</v>
      </c>
      <c r="U4" s="131" t="s">
        <v>103</v>
      </c>
      <c r="W4" s="225" t="s">
        <v>11</v>
      </c>
      <c r="X4" s="226"/>
      <c r="Y4" s="226"/>
      <c r="Z4" s="131" t="s">
        <v>69</v>
      </c>
      <c r="AA4" s="130" t="s">
        <v>70</v>
      </c>
      <c r="AB4" s="130" t="s">
        <v>78</v>
      </c>
      <c r="AC4" s="130" t="s">
        <v>85</v>
      </c>
      <c r="AD4" s="130" t="s">
        <v>95</v>
      </c>
      <c r="AE4" s="130" t="s">
        <v>103</v>
      </c>
      <c r="AF4" s="2"/>
    </row>
    <row r="5" spans="2:32">
      <c r="B5" s="3" t="s">
        <v>12</v>
      </c>
      <c r="C5" s="3" t="s">
        <v>13</v>
      </c>
      <c r="D5" s="3" t="s">
        <v>14</v>
      </c>
      <c r="E5" s="7">
        <v>1.7600000000000001E-2</v>
      </c>
      <c r="F5" s="7">
        <v>1.7600000000000001E-2</v>
      </c>
      <c r="G5" s="7">
        <v>1.7600000000000001E-2</v>
      </c>
      <c r="H5" s="7">
        <v>1.7600000000000001E-2</v>
      </c>
      <c r="I5" s="7">
        <v>1.7600000000000001E-2</v>
      </c>
      <c r="J5" s="7">
        <v>1.7600000000000001E-2</v>
      </c>
      <c r="K5" s="7" t="s">
        <v>251</v>
      </c>
      <c r="M5" s="3" t="s">
        <v>12</v>
      </c>
      <c r="N5" s="3" t="s">
        <v>13</v>
      </c>
      <c r="O5" s="3" t="s">
        <v>14</v>
      </c>
      <c r="P5" s="7">
        <f t="shared" ref="P5:U5" si="0">E5</f>
        <v>1.7600000000000001E-2</v>
      </c>
      <c r="Q5" s="7">
        <f t="shared" si="0"/>
        <v>1.7600000000000001E-2</v>
      </c>
      <c r="R5" s="7">
        <f t="shared" si="0"/>
        <v>1.7600000000000001E-2</v>
      </c>
      <c r="S5" s="7">
        <f t="shared" si="0"/>
        <v>1.7600000000000001E-2</v>
      </c>
      <c r="T5" s="7">
        <f t="shared" si="0"/>
        <v>1.7600000000000001E-2</v>
      </c>
      <c r="U5" s="7">
        <f t="shared" si="0"/>
        <v>1.7600000000000001E-2</v>
      </c>
      <c r="W5" s="3" t="s">
        <v>12</v>
      </c>
      <c r="X5" s="3" t="s">
        <v>13</v>
      </c>
      <c r="Y5" s="3" t="s">
        <v>14</v>
      </c>
      <c r="Z5" s="7">
        <f t="shared" ref="Z5:AE5" si="1">P5</f>
        <v>1.7600000000000001E-2</v>
      </c>
      <c r="AA5" s="7">
        <f t="shared" si="1"/>
        <v>1.7600000000000001E-2</v>
      </c>
      <c r="AB5" s="7">
        <f t="shared" si="1"/>
        <v>1.7600000000000001E-2</v>
      </c>
      <c r="AC5" s="7">
        <f t="shared" si="1"/>
        <v>1.7600000000000001E-2</v>
      </c>
      <c r="AD5" s="7">
        <f t="shared" si="1"/>
        <v>1.7600000000000001E-2</v>
      </c>
      <c r="AE5" s="7">
        <f t="shared" si="1"/>
        <v>1.7600000000000001E-2</v>
      </c>
      <c r="AF5" s="4"/>
    </row>
    <row r="6" spans="2:32">
      <c r="B6" s="3" t="s">
        <v>218</v>
      </c>
      <c r="C6" s="3" t="s">
        <v>15</v>
      </c>
      <c r="D6" s="3"/>
      <c r="E6" s="3">
        <f>P6+Z6</f>
        <v>515122</v>
      </c>
      <c r="F6" s="3">
        <f>Q6+AA6</f>
        <v>535808</v>
      </c>
      <c r="G6" s="3">
        <f t="shared" ref="G6:J6" si="2">R6+AB6</f>
        <v>559787</v>
      </c>
      <c r="H6" s="3">
        <f t="shared" si="2"/>
        <v>660181.80000000005</v>
      </c>
      <c r="I6" s="3">
        <f t="shared" si="2"/>
        <v>1079133</v>
      </c>
      <c r="J6" s="3">
        <f t="shared" si="2"/>
        <v>734357</v>
      </c>
      <c r="K6" s="197" t="s">
        <v>252</v>
      </c>
      <c r="M6" s="3" t="s">
        <v>218</v>
      </c>
      <c r="N6" s="3" t="s">
        <v>15</v>
      </c>
      <c r="O6" s="3"/>
      <c r="P6" s="3">
        <f>'Total PTDs'!$U10</f>
        <v>172508</v>
      </c>
      <c r="Q6" s="3">
        <f>'Total PTDs'!$U17</f>
        <v>179584</v>
      </c>
      <c r="R6" s="3">
        <f>'Total PTDs'!$U24</f>
        <v>187636</v>
      </c>
      <c r="S6" s="3">
        <f>'Total PTDs'!$U31</f>
        <v>222162</v>
      </c>
      <c r="T6" s="3">
        <f>'Total PTDs'!$U38</f>
        <v>363926</v>
      </c>
      <c r="U6" s="3">
        <f>'Total PTDs'!$U45</f>
        <v>246196</v>
      </c>
      <c r="W6" s="3" t="s">
        <v>218</v>
      </c>
      <c r="X6" s="3" t="s">
        <v>15</v>
      </c>
      <c r="Y6" s="3"/>
      <c r="Z6" s="3">
        <f>'Total PTDs'!$V10</f>
        <v>342614</v>
      </c>
      <c r="AA6" s="3">
        <f>'Total PTDs'!$V17</f>
        <v>356224</v>
      </c>
      <c r="AB6" s="3">
        <f>'Total PTDs'!$V24</f>
        <v>372151</v>
      </c>
      <c r="AC6" s="3">
        <f>'Total PTDs'!$V31</f>
        <v>438019.8</v>
      </c>
      <c r="AD6" s="3">
        <f>'Total PTDs'!$V38</f>
        <v>715207</v>
      </c>
      <c r="AE6" s="3">
        <f>'Total PTDs'!$V45</f>
        <v>488161</v>
      </c>
    </row>
    <row r="7" spans="2:32">
      <c r="B7" s="3" t="s">
        <v>181</v>
      </c>
      <c r="C7" s="3" t="s">
        <v>16</v>
      </c>
      <c r="D7" s="3" t="s">
        <v>17</v>
      </c>
      <c r="E7" s="48">
        <v>4.0000000000000002E-4</v>
      </c>
      <c r="F7" s="48">
        <v>4.0000000000000002E-4</v>
      </c>
      <c r="G7" s="48">
        <v>4.0000000000000002E-4</v>
      </c>
      <c r="H7" s="48">
        <v>4.0000000000000002E-4</v>
      </c>
      <c r="I7" s="48">
        <v>4.0000000000000002E-4</v>
      </c>
      <c r="J7" s="48">
        <v>4.0000000000000002E-4</v>
      </c>
      <c r="K7" s="48" t="s">
        <v>253</v>
      </c>
      <c r="M7" s="3" t="s">
        <v>181</v>
      </c>
      <c r="N7" s="3" t="s">
        <v>16</v>
      </c>
      <c r="O7" s="3" t="s">
        <v>17</v>
      </c>
      <c r="P7" s="48">
        <v>4.0000000000000002E-4</v>
      </c>
      <c r="Q7" s="48">
        <v>4.0000000000000002E-4</v>
      </c>
      <c r="R7" s="48">
        <v>4.0000000000000002E-4</v>
      </c>
      <c r="S7" s="48">
        <v>4.0000000000000002E-4</v>
      </c>
      <c r="T7" s="48">
        <v>4.0000000000000002E-4</v>
      </c>
      <c r="U7" s="48">
        <v>4.0000000000000002E-4</v>
      </c>
      <c r="W7" s="3" t="s">
        <v>181</v>
      </c>
      <c r="X7" s="3" t="s">
        <v>16</v>
      </c>
      <c r="Y7" s="3" t="s">
        <v>17</v>
      </c>
      <c r="Z7" s="48">
        <v>4.0000000000000002E-4</v>
      </c>
      <c r="AA7" s="48">
        <v>4.0000000000000002E-4</v>
      </c>
      <c r="AB7" s="48">
        <v>4.0000000000000002E-4</v>
      </c>
      <c r="AC7" s="48">
        <v>4.0000000000000002E-4</v>
      </c>
      <c r="AD7" s="48">
        <v>4.0000000000000002E-4</v>
      </c>
      <c r="AE7" s="48">
        <v>4.0000000000000002E-4</v>
      </c>
    </row>
    <row r="8" spans="2:32" ht="30.65" customHeight="1">
      <c r="B8" s="5" t="s">
        <v>219</v>
      </c>
      <c r="C8" s="3" t="s">
        <v>18</v>
      </c>
      <c r="D8" s="3" t="s">
        <v>19</v>
      </c>
      <c r="E8" s="3">
        <v>7.5</v>
      </c>
      <c r="F8" s="3">
        <v>7.5</v>
      </c>
      <c r="G8" s="3">
        <v>7.5</v>
      </c>
      <c r="H8" s="3">
        <v>7.5</v>
      </c>
      <c r="I8" s="3">
        <v>7.5</v>
      </c>
      <c r="J8" s="3">
        <v>7.5</v>
      </c>
      <c r="K8" s="3" t="s">
        <v>253</v>
      </c>
      <c r="M8" s="5" t="s">
        <v>219</v>
      </c>
      <c r="N8" s="3" t="s">
        <v>18</v>
      </c>
      <c r="O8" s="3" t="s">
        <v>19</v>
      </c>
      <c r="P8" s="3">
        <v>7.5</v>
      </c>
      <c r="Q8" s="3">
        <v>7.5</v>
      </c>
      <c r="R8" s="3">
        <v>7.5</v>
      </c>
      <c r="S8" s="3">
        <v>7.5</v>
      </c>
      <c r="T8" s="3">
        <v>7.5</v>
      </c>
      <c r="U8" s="3">
        <v>7.5</v>
      </c>
      <c r="W8" s="5" t="s">
        <v>219</v>
      </c>
      <c r="X8" s="3" t="s">
        <v>18</v>
      </c>
      <c r="Y8" s="3" t="s">
        <v>19</v>
      </c>
      <c r="Z8" s="3">
        <v>7.5</v>
      </c>
      <c r="AA8" s="3">
        <v>7.5</v>
      </c>
      <c r="AB8" s="3">
        <v>7.5</v>
      </c>
      <c r="AC8" s="3">
        <v>7.5</v>
      </c>
      <c r="AD8" s="3">
        <v>7.5</v>
      </c>
      <c r="AE8" s="3">
        <v>7.5</v>
      </c>
    </row>
    <row r="9" spans="2:32" ht="29">
      <c r="B9" s="5" t="s">
        <v>20</v>
      </c>
      <c r="C9" s="3" t="s">
        <v>21</v>
      </c>
      <c r="D9" s="3" t="s">
        <v>19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 t="s">
        <v>258</v>
      </c>
      <c r="M9" s="5" t="s">
        <v>20</v>
      </c>
      <c r="N9" s="3" t="s">
        <v>21</v>
      </c>
      <c r="O9" s="3" t="s">
        <v>19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W9" s="5" t="s">
        <v>20</v>
      </c>
      <c r="X9" s="3" t="s">
        <v>21</v>
      </c>
      <c r="Y9" s="3" t="s">
        <v>19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2:32">
      <c r="B10" s="3" t="s">
        <v>22</v>
      </c>
      <c r="C10" s="3" t="s">
        <v>23</v>
      </c>
      <c r="D10" s="3" t="s">
        <v>24</v>
      </c>
      <c r="E10" s="6">
        <f>(1-E5)*E6*E7*(E8+E9)</f>
        <v>1518.1675584000002</v>
      </c>
      <c r="F10" s="6">
        <f t="shared" ref="F10:J10" si="3">(1-F5)*F6*F7*(F8+F9)</f>
        <v>1579.1333376000002</v>
      </c>
      <c r="G10" s="6">
        <f t="shared" si="3"/>
        <v>1649.8042464000002</v>
      </c>
      <c r="H10" s="6">
        <f t="shared" si="3"/>
        <v>1945.6878009600002</v>
      </c>
      <c r="I10" s="6">
        <f t="shared" si="3"/>
        <v>3180.4207776000003</v>
      </c>
      <c r="J10" s="6">
        <f t="shared" si="3"/>
        <v>2164.2969503999998</v>
      </c>
      <c r="K10" s="6" t="s">
        <v>254</v>
      </c>
      <c r="M10" s="3" t="s">
        <v>22</v>
      </c>
      <c r="N10" s="3" t="s">
        <v>23</v>
      </c>
      <c r="O10" s="3" t="s">
        <v>24</v>
      </c>
      <c r="P10" s="6">
        <f t="shared" ref="P10:U10" si="4">(1-P5)*P6*P7*(P8+P9)</f>
        <v>508.41557760000006</v>
      </c>
      <c r="Q10" s="6">
        <f t="shared" si="4"/>
        <v>529.26996479999991</v>
      </c>
      <c r="R10" s="6">
        <f t="shared" si="4"/>
        <v>553.00081920000014</v>
      </c>
      <c r="S10" s="6">
        <f t="shared" si="4"/>
        <v>654.7558464</v>
      </c>
      <c r="T10" s="6">
        <f t="shared" si="4"/>
        <v>1072.5627072</v>
      </c>
      <c r="U10" s="6">
        <f t="shared" si="4"/>
        <v>725.58885120000002</v>
      </c>
      <c r="W10" s="3" t="s">
        <v>22</v>
      </c>
      <c r="X10" s="3" t="s">
        <v>23</v>
      </c>
      <c r="Y10" s="3" t="s">
        <v>24</v>
      </c>
      <c r="Z10" s="6">
        <f t="shared" ref="Z10:AE10" si="5">(1-Z5)*Z6*Z7*(Z8+Z9)</f>
        <v>1009.7519808000002</v>
      </c>
      <c r="AA10" s="6">
        <f t="shared" si="5"/>
        <v>1049.8633728</v>
      </c>
      <c r="AB10" s="6">
        <f t="shared" si="5"/>
        <v>1096.8034272000002</v>
      </c>
      <c r="AC10" s="6">
        <f t="shared" si="5"/>
        <v>1290.9319545600001</v>
      </c>
      <c r="AD10" s="6">
        <f t="shared" si="5"/>
        <v>2107.8580704000001</v>
      </c>
      <c r="AE10" s="6">
        <f t="shared" si="5"/>
        <v>1438.7080992000001</v>
      </c>
    </row>
    <row r="11" spans="2:32">
      <c r="M11" s="13"/>
      <c r="N11" s="14"/>
      <c r="O11" s="14"/>
      <c r="P11" s="15"/>
      <c r="Q11" s="15"/>
      <c r="R11" s="15"/>
      <c r="S11" s="15"/>
      <c r="T11" s="15"/>
      <c r="U11" s="15"/>
    </row>
    <row r="12" spans="2:32">
      <c r="B12" s="223" t="s">
        <v>25</v>
      </c>
      <c r="C12" s="224"/>
      <c r="D12" s="224"/>
      <c r="E12" s="129" t="s">
        <v>69</v>
      </c>
      <c r="F12" s="128" t="s">
        <v>70</v>
      </c>
      <c r="G12" s="128" t="s">
        <v>78</v>
      </c>
      <c r="H12" s="128" t="s">
        <v>85</v>
      </c>
      <c r="I12" s="128" t="s">
        <v>95</v>
      </c>
      <c r="J12" s="128" t="s">
        <v>103</v>
      </c>
      <c r="K12" s="128" t="s">
        <v>174</v>
      </c>
      <c r="M12" s="225" t="s">
        <v>25</v>
      </c>
      <c r="N12" s="226"/>
      <c r="O12" s="226"/>
      <c r="P12" s="131" t="s">
        <v>69</v>
      </c>
      <c r="Q12" s="130" t="s">
        <v>70</v>
      </c>
      <c r="R12" s="130" t="s">
        <v>78</v>
      </c>
      <c r="S12" s="130" t="s">
        <v>85</v>
      </c>
      <c r="T12" s="130" t="s">
        <v>95</v>
      </c>
      <c r="U12" s="130" t="s">
        <v>103</v>
      </c>
      <c r="W12" s="225" t="s">
        <v>25</v>
      </c>
      <c r="X12" s="226"/>
      <c r="Y12" s="226"/>
      <c r="Z12" s="131" t="s">
        <v>69</v>
      </c>
      <c r="AA12" s="130" t="s">
        <v>70</v>
      </c>
      <c r="AB12" s="130" t="s">
        <v>78</v>
      </c>
      <c r="AC12" s="130" t="s">
        <v>85</v>
      </c>
      <c r="AD12" s="130" t="s">
        <v>95</v>
      </c>
      <c r="AE12" s="130" t="s">
        <v>103</v>
      </c>
    </row>
    <row r="13" spans="2:32">
      <c r="B13" s="3" t="s">
        <v>26</v>
      </c>
      <c r="C13" s="3" t="s">
        <v>13</v>
      </c>
      <c r="D13" s="3" t="s">
        <v>14</v>
      </c>
      <c r="E13" s="7">
        <f t="shared" ref="E13:J15" si="6">E5</f>
        <v>1.7600000000000001E-2</v>
      </c>
      <c r="F13" s="7">
        <f t="shared" si="6"/>
        <v>1.7600000000000001E-2</v>
      </c>
      <c r="G13" s="7">
        <f t="shared" si="6"/>
        <v>1.7600000000000001E-2</v>
      </c>
      <c r="H13" s="7">
        <f t="shared" si="6"/>
        <v>1.7600000000000001E-2</v>
      </c>
      <c r="I13" s="7">
        <f t="shared" si="6"/>
        <v>1.7600000000000001E-2</v>
      </c>
      <c r="J13" s="7">
        <f t="shared" si="6"/>
        <v>1.7600000000000001E-2</v>
      </c>
      <c r="K13" s="7" t="s">
        <v>251</v>
      </c>
      <c r="M13" s="3" t="s">
        <v>26</v>
      </c>
      <c r="N13" s="3" t="s">
        <v>13</v>
      </c>
      <c r="O13" s="3" t="s">
        <v>14</v>
      </c>
      <c r="P13" s="7">
        <f t="shared" ref="P13:U15" si="7">P5</f>
        <v>1.7600000000000001E-2</v>
      </c>
      <c r="Q13" s="7">
        <f t="shared" si="7"/>
        <v>1.7600000000000001E-2</v>
      </c>
      <c r="R13" s="7">
        <f t="shared" si="7"/>
        <v>1.7600000000000001E-2</v>
      </c>
      <c r="S13" s="7">
        <f t="shared" si="7"/>
        <v>1.7600000000000001E-2</v>
      </c>
      <c r="T13" s="7">
        <f t="shared" si="7"/>
        <v>1.7600000000000001E-2</v>
      </c>
      <c r="U13" s="7">
        <f t="shared" si="7"/>
        <v>1.7600000000000001E-2</v>
      </c>
      <c r="W13" s="3" t="s">
        <v>26</v>
      </c>
      <c r="X13" s="3" t="s">
        <v>13</v>
      </c>
      <c r="Y13" s="3" t="s">
        <v>14</v>
      </c>
      <c r="Z13" s="7">
        <f t="shared" ref="Z13:AE15" si="8">Z5</f>
        <v>1.7600000000000001E-2</v>
      </c>
      <c r="AA13" s="7">
        <f t="shared" si="8"/>
        <v>1.7600000000000001E-2</v>
      </c>
      <c r="AB13" s="7">
        <f t="shared" si="8"/>
        <v>1.7600000000000001E-2</v>
      </c>
      <c r="AC13" s="7">
        <f t="shared" si="8"/>
        <v>1.7600000000000001E-2</v>
      </c>
      <c r="AD13" s="7">
        <f t="shared" si="8"/>
        <v>1.7600000000000001E-2</v>
      </c>
      <c r="AE13" s="7">
        <f t="shared" si="8"/>
        <v>1.7600000000000001E-2</v>
      </c>
    </row>
    <row r="14" spans="2:32">
      <c r="B14" s="3" t="s">
        <v>218</v>
      </c>
      <c r="C14" s="3" t="s">
        <v>15</v>
      </c>
      <c r="D14" s="3"/>
      <c r="E14" s="3">
        <f t="shared" si="6"/>
        <v>515122</v>
      </c>
      <c r="F14" s="3">
        <f t="shared" si="6"/>
        <v>535808</v>
      </c>
      <c r="G14" s="3">
        <f t="shared" si="6"/>
        <v>559787</v>
      </c>
      <c r="H14" s="3">
        <f t="shared" si="6"/>
        <v>660181.80000000005</v>
      </c>
      <c r="I14" s="3">
        <f t="shared" si="6"/>
        <v>1079133</v>
      </c>
      <c r="J14" s="3">
        <f t="shared" si="6"/>
        <v>734357</v>
      </c>
      <c r="K14" s="197" t="s">
        <v>252</v>
      </c>
      <c r="M14" s="3" t="s">
        <v>218</v>
      </c>
      <c r="N14" s="3" t="s">
        <v>15</v>
      </c>
      <c r="O14" s="3"/>
      <c r="P14" s="3">
        <f t="shared" si="7"/>
        <v>172508</v>
      </c>
      <c r="Q14" s="3">
        <f t="shared" si="7"/>
        <v>179584</v>
      </c>
      <c r="R14" s="3">
        <f t="shared" si="7"/>
        <v>187636</v>
      </c>
      <c r="S14" s="3">
        <f t="shared" si="7"/>
        <v>222162</v>
      </c>
      <c r="T14" s="3">
        <f t="shared" si="7"/>
        <v>363926</v>
      </c>
      <c r="U14" s="3">
        <f t="shared" si="7"/>
        <v>246196</v>
      </c>
      <c r="W14" s="3" t="s">
        <v>218</v>
      </c>
      <c r="X14" s="3" t="s">
        <v>15</v>
      </c>
      <c r="Y14" s="3"/>
      <c r="Z14" s="3">
        <f t="shared" si="8"/>
        <v>342614</v>
      </c>
      <c r="AA14" s="3">
        <f t="shared" si="8"/>
        <v>356224</v>
      </c>
      <c r="AB14" s="3">
        <f t="shared" si="8"/>
        <v>372151</v>
      </c>
      <c r="AC14" s="3">
        <f t="shared" si="8"/>
        <v>438019.8</v>
      </c>
      <c r="AD14" s="3">
        <f t="shared" si="8"/>
        <v>715207</v>
      </c>
      <c r="AE14" s="3">
        <f t="shared" si="8"/>
        <v>488161</v>
      </c>
    </row>
    <row r="15" spans="2:32">
      <c r="B15" s="3" t="s">
        <v>182</v>
      </c>
      <c r="C15" s="3" t="s">
        <v>27</v>
      </c>
      <c r="D15" s="3" t="s">
        <v>17</v>
      </c>
      <c r="E15" s="49">
        <f t="shared" si="6"/>
        <v>4.0000000000000002E-4</v>
      </c>
      <c r="F15" s="49">
        <f t="shared" si="6"/>
        <v>4.0000000000000002E-4</v>
      </c>
      <c r="G15" s="49">
        <f t="shared" si="6"/>
        <v>4.0000000000000002E-4</v>
      </c>
      <c r="H15" s="49">
        <f t="shared" si="6"/>
        <v>4.0000000000000002E-4</v>
      </c>
      <c r="I15" s="49">
        <f t="shared" si="6"/>
        <v>4.0000000000000002E-4</v>
      </c>
      <c r="J15" s="49">
        <f t="shared" si="6"/>
        <v>4.0000000000000002E-4</v>
      </c>
      <c r="K15" s="48" t="s">
        <v>253</v>
      </c>
      <c r="M15" s="3" t="s">
        <v>182</v>
      </c>
      <c r="N15" s="3" t="s">
        <v>27</v>
      </c>
      <c r="O15" s="3" t="s">
        <v>17</v>
      </c>
      <c r="P15" s="8">
        <f t="shared" si="7"/>
        <v>4.0000000000000002E-4</v>
      </c>
      <c r="Q15" s="8">
        <f t="shared" si="7"/>
        <v>4.0000000000000002E-4</v>
      </c>
      <c r="R15" s="8">
        <f t="shared" si="7"/>
        <v>4.0000000000000002E-4</v>
      </c>
      <c r="S15" s="8">
        <f t="shared" si="7"/>
        <v>4.0000000000000002E-4</v>
      </c>
      <c r="T15" s="8">
        <f t="shared" si="7"/>
        <v>4.0000000000000002E-4</v>
      </c>
      <c r="U15" s="8">
        <f t="shared" si="7"/>
        <v>4.0000000000000002E-4</v>
      </c>
      <c r="W15" s="3" t="s">
        <v>182</v>
      </c>
      <c r="X15" s="3" t="s">
        <v>27</v>
      </c>
      <c r="Y15" s="3" t="s">
        <v>17</v>
      </c>
      <c r="Z15" s="8">
        <f t="shared" si="8"/>
        <v>4.0000000000000002E-4</v>
      </c>
      <c r="AA15" s="8">
        <f t="shared" si="8"/>
        <v>4.0000000000000002E-4</v>
      </c>
      <c r="AB15" s="8">
        <f t="shared" si="8"/>
        <v>4.0000000000000002E-4</v>
      </c>
      <c r="AC15" s="8">
        <f t="shared" si="8"/>
        <v>4.0000000000000002E-4</v>
      </c>
      <c r="AD15" s="8">
        <f t="shared" si="8"/>
        <v>4.0000000000000002E-4</v>
      </c>
      <c r="AE15" s="8">
        <f t="shared" si="8"/>
        <v>4.0000000000000002E-4</v>
      </c>
    </row>
    <row r="16" spans="2:32">
      <c r="B16" s="3" t="s">
        <v>28</v>
      </c>
      <c r="C16" s="3" t="s">
        <v>21</v>
      </c>
      <c r="D16" s="3" t="s">
        <v>19</v>
      </c>
      <c r="E16" s="3">
        <f t="shared" ref="E16:J16" si="9">E9</f>
        <v>0</v>
      </c>
      <c r="F16" s="3">
        <f t="shared" si="9"/>
        <v>0</v>
      </c>
      <c r="G16" s="3">
        <f t="shared" si="9"/>
        <v>0</v>
      </c>
      <c r="H16" s="3">
        <f t="shared" si="9"/>
        <v>0</v>
      </c>
      <c r="I16" s="3">
        <f t="shared" si="9"/>
        <v>0</v>
      </c>
      <c r="J16" s="3">
        <f t="shared" si="9"/>
        <v>0</v>
      </c>
      <c r="K16" s="3" t="s">
        <v>258</v>
      </c>
      <c r="M16" s="3" t="s">
        <v>28</v>
      </c>
      <c r="N16" s="3" t="s">
        <v>21</v>
      </c>
      <c r="O16" s="3" t="s">
        <v>19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W16" s="3" t="s">
        <v>28</v>
      </c>
      <c r="X16" s="3" t="s">
        <v>21</v>
      </c>
      <c r="Y16" s="3" t="s">
        <v>19</v>
      </c>
      <c r="Z16" s="3">
        <f>0</f>
        <v>0</v>
      </c>
      <c r="AA16" s="3">
        <f>0</f>
        <v>0</v>
      </c>
      <c r="AB16" s="3">
        <f>0</f>
        <v>0</v>
      </c>
      <c r="AC16" s="3">
        <f>0</f>
        <v>0</v>
      </c>
      <c r="AD16" s="3">
        <f>0</f>
        <v>0</v>
      </c>
      <c r="AE16" s="3">
        <f>0</f>
        <v>0</v>
      </c>
    </row>
    <row r="17" spans="2:31">
      <c r="B17" s="3" t="s">
        <v>29</v>
      </c>
      <c r="C17" s="3" t="s">
        <v>30</v>
      </c>
      <c r="D17" s="3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 t="s">
        <v>258</v>
      </c>
      <c r="M17" s="3" t="s">
        <v>29</v>
      </c>
      <c r="N17" s="3" t="s">
        <v>30</v>
      </c>
      <c r="O17" s="3" t="s">
        <v>19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W17" s="3" t="s">
        <v>29</v>
      </c>
      <c r="X17" s="3" t="s">
        <v>30</v>
      </c>
      <c r="Y17" s="3" t="s">
        <v>19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</row>
    <row r="18" spans="2:31">
      <c r="B18" s="3" t="s">
        <v>31</v>
      </c>
      <c r="C18" s="3" t="s">
        <v>32</v>
      </c>
      <c r="D18" s="3" t="s">
        <v>24</v>
      </c>
      <c r="E18" s="6">
        <f t="shared" ref="E18:J18" si="10">(1-E13)*E14*E15*(E16+E17)</f>
        <v>0</v>
      </c>
      <c r="F18" s="6">
        <f t="shared" si="10"/>
        <v>0</v>
      </c>
      <c r="G18" s="6">
        <f t="shared" si="10"/>
        <v>0</v>
      </c>
      <c r="H18" s="6">
        <f t="shared" si="10"/>
        <v>0</v>
      </c>
      <c r="I18" s="6">
        <f t="shared" si="10"/>
        <v>0</v>
      </c>
      <c r="J18" s="6">
        <f t="shared" si="10"/>
        <v>0</v>
      </c>
      <c r="K18" s="6" t="s">
        <v>254</v>
      </c>
      <c r="M18" s="3" t="s">
        <v>31</v>
      </c>
      <c r="N18" s="3" t="s">
        <v>32</v>
      </c>
      <c r="O18" s="3" t="s">
        <v>24</v>
      </c>
      <c r="P18" s="6">
        <f t="shared" ref="P18:U18" si="11">(1-P13)*P14*P15*(P16+P17)</f>
        <v>0</v>
      </c>
      <c r="Q18" s="6">
        <f t="shared" si="11"/>
        <v>0</v>
      </c>
      <c r="R18" s="6">
        <f t="shared" si="11"/>
        <v>0</v>
      </c>
      <c r="S18" s="6">
        <f t="shared" si="11"/>
        <v>0</v>
      </c>
      <c r="T18" s="6">
        <f t="shared" si="11"/>
        <v>0</v>
      </c>
      <c r="U18" s="6">
        <f t="shared" si="11"/>
        <v>0</v>
      </c>
      <c r="W18" s="3" t="s">
        <v>31</v>
      </c>
      <c r="X18" s="3" t="s">
        <v>32</v>
      </c>
      <c r="Y18" s="3" t="s">
        <v>24</v>
      </c>
      <c r="Z18" s="6">
        <f t="shared" ref="Z18:AE18" si="12">(1-Z13)*Z14*Z15*(Z16+Z17)</f>
        <v>0</v>
      </c>
      <c r="AA18" s="6">
        <f t="shared" si="12"/>
        <v>0</v>
      </c>
      <c r="AB18" s="6">
        <f t="shared" si="12"/>
        <v>0</v>
      </c>
      <c r="AC18" s="6">
        <f t="shared" si="12"/>
        <v>0</v>
      </c>
      <c r="AD18" s="6">
        <f t="shared" si="12"/>
        <v>0</v>
      </c>
      <c r="AE18" s="6">
        <f t="shared" si="12"/>
        <v>0</v>
      </c>
    </row>
    <row r="20" spans="2:31">
      <c r="B20" s="223" t="s">
        <v>33</v>
      </c>
      <c r="C20" s="224"/>
      <c r="D20" s="224"/>
      <c r="E20" s="129" t="s">
        <v>69</v>
      </c>
      <c r="F20" s="128" t="s">
        <v>70</v>
      </c>
      <c r="G20" s="128" t="s">
        <v>78</v>
      </c>
      <c r="H20" s="128" t="s">
        <v>85</v>
      </c>
      <c r="I20" s="128" t="s">
        <v>95</v>
      </c>
      <c r="J20" s="128" t="s">
        <v>103</v>
      </c>
      <c r="K20" s="128" t="s">
        <v>174</v>
      </c>
      <c r="M20" s="225" t="s">
        <v>33</v>
      </c>
      <c r="N20" s="226"/>
      <c r="O20" s="226"/>
      <c r="P20" s="131" t="s">
        <v>69</v>
      </c>
      <c r="Q20" s="130" t="s">
        <v>70</v>
      </c>
      <c r="R20" s="130" t="s">
        <v>78</v>
      </c>
      <c r="S20" s="130" t="s">
        <v>85</v>
      </c>
      <c r="T20" s="130" t="s">
        <v>95</v>
      </c>
      <c r="U20" s="130" t="s">
        <v>103</v>
      </c>
      <c r="W20" s="225" t="s">
        <v>33</v>
      </c>
      <c r="X20" s="226"/>
      <c r="Y20" s="226"/>
      <c r="Z20" s="131" t="s">
        <v>69</v>
      </c>
      <c r="AA20" s="130" t="s">
        <v>70</v>
      </c>
      <c r="AB20" s="130" t="s">
        <v>78</v>
      </c>
      <c r="AC20" s="130" t="s">
        <v>85</v>
      </c>
      <c r="AD20" s="130" t="s">
        <v>95</v>
      </c>
      <c r="AE20" s="130" t="s">
        <v>103</v>
      </c>
    </row>
    <row r="21" spans="2:31">
      <c r="B21" s="5" t="s">
        <v>34</v>
      </c>
      <c r="C21" s="3" t="s">
        <v>34</v>
      </c>
      <c r="D21" s="3" t="s">
        <v>35</v>
      </c>
      <c r="E21" s="9">
        <v>0.97</v>
      </c>
      <c r="F21" s="9">
        <v>0.97</v>
      </c>
      <c r="G21" s="9">
        <v>0.97</v>
      </c>
      <c r="H21" s="9">
        <v>0.97</v>
      </c>
      <c r="I21" s="9">
        <v>0.97</v>
      </c>
      <c r="J21" s="9">
        <v>0.97</v>
      </c>
      <c r="K21" s="7" t="s">
        <v>255</v>
      </c>
      <c r="M21" s="5" t="s">
        <v>34</v>
      </c>
      <c r="N21" s="3" t="s">
        <v>34</v>
      </c>
      <c r="O21" s="3" t="s">
        <v>35</v>
      </c>
      <c r="P21" s="9">
        <v>0.97</v>
      </c>
      <c r="Q21" s="9">
        <v>0.97</v>
      </c>
      <c r="R21" s="9">
        <v>0.97</v>
      </c>
      <c r="S21" s="9">
        <v>0.97</v>
      </c>
      <c r="T21" s="9">
        <v>0.97</v>
      </c>
      <c r="U21" s="9">
        <v>0.97</v>
      </c>
      <c r="W21" s="5" t="s">
        <v>34</v>
      </c>
      <c r="X21" s="3" t="s">
        <v>34</v>
      </c>
      <c r="Y21" s="3" t="s">
        <v>35</v>
      </c>
      <c r="Z21" s="9">
        <v>0.97</v>
      </c>
      <c r="AA21" s="9">
        <v>0.97</v>
      </c>
      <c r="AB21" s="9">
        <v>0.97</v>
      </c>
      <c r="AC21" s="9">
        <v>0.97</v>
      </c>
      <c r="AD21" s="9">
        <v>0.97</v>
      </c>
      <c r="AE21" s="9">
        <v>0.97</v>
      </c>
    </row>
    <row r="22" spans="2:31">
      <c r="B22" s="3" t="s">
        <v>36</v>
      </c>
      <c r="C22" s="3" t="s">
        <v>37</v>
      </c>
      <c r="D22" s="3" t="s">
        <v>38</v>
      </c>
      <c r="E22" s="3">
        <v>112</v>
      </c>
      <c r="F22" s="3">
        <v>112</v>
      </c>
      <c r="G22" s="3">
        <v>112</v>
      </c>
      <c r="H22" s="3">
        <v>112</v>
      </c>
      <c r="I22" s="3">
        <v>112</v>
      </c>
      <c r="J22" s="3">
        <v>112</v>
      </c>
      <c r="K22" s="3" t="s">
        <v>256</v>
      </c>
      <c r="M22" s="3" t="s">
        <v>36</v>
      </c>
      <c r="N22" s="3" t="s">
        <v>37</v>
      </c>
      <c r="O22" s="3" t="s">
        <v>38</v>
      </c>
      <c r="P22" s="3">
        <v>112</v>
      </c>
      <c r="Q22" s="3">
        <v>112</v>
      </c>
      <c r="R22" s="3">
        <v>112</v>
      </c>
      <c r="S22" s="3">
        <v>112</v>
      </c>
      <c r="T22" s="3">
        <v>112</v>
      </c>
      <c r="U22" s="3">
        <v>112</v>
      </c>
      <c r="W22" s="3" t="s">
        <v>36</v>
      </c>
      <c r="X22" s="3" t="s">
        <v>37</v>
      </c>
      <c r="Y22" s="3" t="s">
        <v>38</v>
      </c>
      <c r="Z22" s="3">
        <v>112</v>
      </c>
      <c r="AA22" s="3">
        <v>112</v>
      </c>
      <c r="AB22" s="3">
        <v>112</v>
      </c>
      <c r="AC22" s="3">
        <v>112</v>
      </c>
      <c r="AD22" s="3">
        <v>112</v>
      </c>
      <c r="AE22" s="3">
        <v>112</v>
      </c>
    </row>
    <row r="23" spans="2:31">
      <c r="B23" s="3" t="s">
        <v>212</v>
      </c>
      <c r="C23" s="3" t="s">
        <v>40</v>
      </c>
      <c r="D23" s="3" t="s">
        <v>41</v>
      </c>
      <c r="E23" s="3">
        <f t="shared" ref="E23:J23" si="13">(P23*P6+Z23*Z6)/E6</f>
        <v>9.42</v>
      </c>
      <c r="F23" s="3">
        <f t="shared" si="13"/>
        <v>9.42</v>
      </c>
      <c r="G23" s="3">
        <f t="shared" si="13"/>
        <v>9.42</v>
      </c>
      <c r="H23" s="3">
        <f t="shared" si="13"/>
        <v>9.42</v>
      </c>
      <c r="I23" s="3">
        <f t="shared" si="13"/>
        <v>9.42</v>
      </c>
      <c r="J23" s="3">
        <f t="shared" si="13"/>
        <v>9.42</v>
      </c>
      <c r="K23" s="3" t="s">
        <v>256</v>
      </c>
      <c r="M23" s="3" t="s">
        <v>39</v>
      </c>
      <c r="N23" s="3" t="s">
        <v>40</v>
      </c>
      <c r="O23" s="3" t="s">
        <v>41</v>
      </c>
      <c r="P23" s="3">
        <v>9.42</v>
      </c>
      <c r="Q23" s="3">
        <v>9.42</v>
      </c>
      <c r="R23" s="3">
        <v>9.42</v>
      </c>
      <c r="S23" s="3">
        <v>9.42</v>
      </c>
      <c r="T23" s="3">
        <v>9.42</v>
      </c>
      <c r="U23" s="3">
        <v>9.42</v>
      </c>
      <c r="W23" s="3" t="s">
        <v>39</v>
      </c>
      <c r="X23" s="3" t="s">
        <v>40</v>
      </c>
      <c r="Y23" s="3" t="s">
        <v>41</v>
      </c>
      <c r="Z23" s="3">
        <v>9.42</v>
      </c>
      <c r="AA23" s="3">
        <v>9.42</v>
      </c>
      <c r="AB23" s="3">
        <v>9.42</v>
      </c>
      <c r="AC23" s="3">
        <v>9.42</v>
      </c>
      <c r="AD23" s="3">
        <v>9.42</v>
      </c>
      <c r="AE23" s="3">
        <v>9.42</v>
      </c>
    </row>
    <row r="24" spans="2:31">
      <c r="B24" s="3" t="s">
        <v>42</v>
      </c>
      <c r="C24" s="3" t="s">
        <v>43</v>
      </c>
      <c r="D24" s="3" t="s">
        <v>44</v>
      </c>
      <c r="E24" s="3">
        <v>1.5599999999999999E-2</v>
      </c>
      <c r="F24" s="3">
        <v>1.5599999999999999E-2</v>
      </c>
      <c r="G24" s="3">
        <v>1.5599999999999999E-2</v>
      </c>
      <c r="H24" s="3">
        <v>1.5599999999999999E-2</v>
      </c>
      <c r="I24" s="3">
        <v>1.5599999999999999E-2</v>
      </c>
      <c r="J24" s="3">
        <v>1.5599999999999999E-2</v>
      </c>
      <c r="K24" s="3" t="s">
        <v>257</v>
      </c>
      <c r="M24" s="3" t="s">
        <v>42</v>
      </c>
      <c r="N24" s="3" t="s">
        <v>43</v>
      </c>
      <c r="O24" s="3" t="s">
        <v>44</v>
      </c>
      <c r="P24" s="3">
        <v>1.5599999999999999E-2</v>
      </c>
      <c r="Q24" s="3">
        <v>1.5599999999999999E-2</v>
      </c>
      <c r="R24" s="3">
        <v>1.5599999999999999E-2</v>
      </c>
      <c r="S24" s="3">
        <v>1.5599999999999999E-2</v>
      </c>
      <c r="T24" s="3">
        <v>1.5599999999999999E-2</v>
      </c>
      <c r="U24" s="3">
        <v>1.5599999999999999E-2</v>
      </c>
      <c r="W24" s="3" t="s">
        <v>42</v>
      </c>
      <c r="X24" s="3" t="s">
        <v>43</v>
      </c>
      <c r="Y24" s="3" t="s">
        <v>44</v>
      </c>
      <c r="Z24" s="3">
        <v>1.5599999999999999E-2</v>
      </c>
      <c r="AA24" s="3">
        <v>1.5599999999999999E-2</v>
      </c>
      <c r="AB24" s="3">
        <v>1.5599999999999999E-2</v>
      </c>
      <c r="AC24" s="3">
        <v>1.5599999999999999E-2</v>
      </c>
      <c r="AD24" s="3">
        <v>1.5599999999999999E-2</v>
      </c>
      <c r="AE24" s="3">
        <v>1.5599999999999999E-2</v>
      </c>
    </row>
    <row r="26" spans="2:31">
      <c r="B26" s="223" t="s">
        <v>45</v>
      </c>
      <c r="C26" s="224"/>
      <c r="D26" s="224"/>
      <c r="E26" s="129" t="s">
        <v>69</v>
      </c>
      <c r="F26" s="128" t="s">
        <v>70</v>
      </c>
      <c r="G26" s="128" t="s">
        <v>78</v>
      </c>
      <c r="H26" s="128" t="s">
        <v>85</v>
      </c>
      <c r="I26" s="128" t="s">
        <v>95</v>
      </c>
      <c r="J26" s="128" t="s">
        <v>103</v>
      </c>
      <c r="K26" s="128" t="s">
        <v>174</v>
      </c>
      <c r="M26" s="225" t="s">
        <v>45</v>
      </c>
      <c r="N26" s="226"/>
      <c r="O26" s="226"/>
      <c r="P26" s="131" t="s">
        <v>69</v>
      </c>
      <c r="Q26" s="130" t="s">
        <v>70</v>
      </c>
      <c r="R26" s="130" t="s">
        <v>78</v>
      </c>
      <c r="S26" s="130" t="s">
        <v>85</v>
      </c>
      <c r="T26" s="130" t="s">
        <v>95</v>
      </c>
      <c r="U26" s="130" t="s">
        <v>103</v>
      </c>
      <c r="W26" s="225" t="s">
        <v>45</v>
      </c>
      <c r="X26" s="226"/>
      <c r="Y26" s="226"/>
      <c r="Z26" s="131" t="s">
        <v>69</v>
      </c>
      <c r="AA26" s="130" t="s">
        <v>70</v>
      </c>
      <c r="AB26" s="130" t="s">
        <v>78</v>
      </c>
      <c r="AC26" s="130" t="s">
        <v>85</v>
      </c>
      <c r="AD26" s="130" t="s">
        <v>95</v>
      </c>
      <c r="AE26" s="130" t="s">
        <v>103</v>
      </c>
    </row>
    <row r="27" spans="2:31">
      <c r="B27" s="3" t="s">
        <v>46</v>
      </c>
      <c r="C27" s="3" t="s">
        <v>47</v>
      </c>
      <c r="D27" s="3" t="s">
        <v>48</v>
      </c>
      <c r="E27" s="10">
        <f>E10*((E22*E21)+E23)*E24</f>
        <v>2796.0638463373825</v>
      </c>
      <c r="F27" s="10">
        <f t="shared" ref="F27:J27" si="14">F10*((F22*F21)+F23)*F24</f>
        <v>2908.346716658074</v>
      </c>
      <c r="G27" s="10">
        <f t="shared" si="14"/>
        <v>3038.5038735477506</v>
      </c>
      <c r="H27" s="10">
        <f t="shared" si="14"/>
        <v>3583.4432677888667</v>
      </c>
      <c r="I27" s="10">
        <f t="shared" si="14"/>
        <v>5857.4954412539137</v>
      </c>
      <c r="J27" s="10">
        <f t="shared" si="14"/>
        <v>3986.0636082418941</v>
      </c>
      <c r="K27" s="7" t="s">
        <v>254</v>
      </c>
      <c r="L27" s="4"/>
      <c r="M27" s="3" t="s">
        <v>46</v>
      </c>
      <c r="N27" s="3" t="s">
        <v>47</v>
      </c>
      <c r="O27" s="3" t="s">
        <v>48</v>
      </c>
      <c r="P27" s="10">
        <f t="shared" ref="P27:U27" si="15">P10*((P22*P21)+P23)*P24</f>
        <v>936.36727222671368</v>
      </c>
      <c r="Q27" s="10">
        <f t="shared" si="15"/>
        <v>974.77554789089265</v>
      </c>
      <c r="R27" s="10">
        <f t="shared" si="15"/>
        <v>1018.4815167501315</v>
      </c>
      <c r="S27" s="10">
        <f t="shared" si="15"/>
        <v>1205.8874135253504</v>
      </c>
      <c r="T27" s="10">
        <f t="shared" si="15"/>
        <v>1975.3773501076989</v>
      </c>
      <c r="U27" s="10">
        <f t="shared" si="15"/>
        <v>1336.3431084536833</v>
      </c>
      <c r="W27" s="3" t="s">
        <v>46</v>
      </c>
      <c r="X27" s="3" t="s">
        <v>47</v>
      </c>
      <c r="Y27" s="3" t="s">
        <v>48</v>
      </c>
      <c r="Z27" s="10">
        <f t="shared" ref="Z27:AE27" si="16">Z10*((Z22*Z21)+Z23)*Z24</f>
        <v>1859.6965741106692</v>
      </c>
      <c r="AA27" s="10">
        <f t="shared" si="16"/>
        <v>1933.5711687671808</v>
      </c>
      <c r="AB27" s="10">
        <f t="shared" si="16"/>
        <v>2020.0223567976195</v>
      </c>
      <c r="AC27" s="10">
        <f t="shared" si="16"/>
        <v>2377.5558542635163</v>
      </c>
      <c r="AD27" s="10">
        <f t="shared" si="16"/>
        <v>3882.1180911462143</v>
      </c>
      <c r="AE27" s="10">
        <f t="shared" si="16"/>
        <v>2649.7204997882113</v>
      </c>
    </row>
    <row r="28" spans="2:31">
      <c r="B28" s="3" t="s">
        <v>49</v>
      </c>
      <c r="C28" s="3" t="s">
        <v>50</v>
      </c>
      <c r="D28" s="3" t="s">
        <v>48</v>
      </c>
      <c r="E28" s="10">
        <f t="shared" ref="E28:J28" si="17">E18*((E22*E21)+E23)*E24</f>
        <v>0</v>
      </c>
      <c r="F28" s="10">
        <f t="shared" si="17"/>
        <v>0</v>
      </c>
      <c r="G28" s="10">
        <f t="shared" si="17"/>
        <v>0</v>
      </c>
      <c r="H28" s="10">
        <f t="shared" si="17"/>
        <v>0</v>
      </c>
      <c r="I28" s="10">
        <f t="shared" si="17"/>
        <v>0</v>
      </c>
      <c r="J28" s="10">
        <f t="shared" si="17"/>
        <v>0</v>
      </c>
      <c r="K28" s="7" t="s">
        <v>254</v>
      </c>
      <c r="M28" s="3" t="s">
        <v>49</v>
      </c>
      <c r="N28" s="3" t="s">
        <v>50</v>
      </c>
      <c r="O28" s="3" t="s">
        <v>48</v>
      </c>
      <c r="P28" s="10">
        <f t="shared" ref="P28:U28" si="18">P18*((P22*P21)+P23)*P24</f>
        <v>0</v>
      </c>
      <c r="Q28" s="10">
        <f t="shared" si="18"/>
        <v>0</v>
      </c>
      <c r="R28" s="10">
        <f t="shared" si="18"/>
        <v>0</v>
      </c>
      <c r="S28" s="10">
        <f t="shared" si="18"/>
        <v>0</v>
      </c>
      <c r="T28" s="10">
        <f t="shared" si="18"/>
        <v>0</v>
      </c>
      <c r="U28" s="10">
        <f t="shared" si="18"/>
        <v>0</v>
      </c>
      <c r="W28" s="3" t="s">
        <v>49</v>
      </c>
      <c r="X28" s="3" t="s">
        <v>50</v>
      </c>
      <c r="Y28" s="3" t="s">
        <v>48</v>
      </c>
      <c r="Z28" s="10">
        <f t="shared" ref="Z28:AE28" si="19">Z18*((Z22*Z21)+Z23)*Z24</f>
        <v>0</v>
      </c>
      <c r="AA28" s="10">
        <f t="shared" si="19"/>
        <v>0</v>
      </c>
      <c r="AB28" s="10">
        <f t="shared" si="19"/>
        <v>0</v>
      </c>
      <c r="AC28" s="10">
        <f t="shared" si="19"/>
        <v>0</v>
      </c>
      <c r="AD28" s="10">
        <f t="shared" si="19"/>
        <v>0</v>
      </c>
      <c r="AE28" s="10">
        <f t="shared" si="19"/>
        <v>0</v>
      </c>
    </row>
    <row r="29" spans="2:31">
      <c r="B29" s="3" t="s">
        <v>51</v>
      </c>
      <c r="C29" s="3" t="s">
        <v>52</v>
      </c>
      <c r="D29" s="3" t="s">
        <v>14</v>
      </c>
      <c r="E29" s="9">
        <v>0.92369999999999997</v>
      </c>
      <c r="F29" s="9">
        <v>0.92369999999999997</v>
      </c>
      <c r="G29" s="9">
        <v>0.92369999999999997</v>
      </c>
      <c r="H29" s="9">
        <v>0.92369999999999997</v>
      </c>
      <c r="I29" s="9">
        <v>0.92369999999999997</v>
      </c>
      <c r="J29" s="9">
        <v>0.92369999999999997</v>
      </c>
      <c r="K29" s="7" t="s">
        <v>254</v>
      </c>
      <c r="M29" s="3" t="s">
        <v>51</v>
      </c>
      <c r="N29" s="3" t="s">
        <v>52</v>
      </c>
      <c r="O29" s="3" t="s">
        <v>14</v>
      </c>
      <c r="P29" s="9">
        <v>0.92369999999999997</v>
      </c>
      <c r="Q29" s="9">
        <v>0.92369999999999997</v>
      </c>
      <c r="R29" s="9">
        <v>0.92369999999999997</v>
      </c>
      <c r="S29" s="9">
        <v>0.92369999999999997</v>
      </c>
      <c r="T29" s="9">
        <v>0.92369999999999997</v>
      </c>
      <c r="U29" s="9">
        <v>0.92369999999999997</v>
      </c>
      <c r="W29" s="3" t="s">
        <v>51</v>
      </c>
      <c r="X29" s="3" t="s">
        <v>52</v>
      </c>
      <c r="Y29" s="3" t="s">
        <v>14</v>
      </c>
      <c r="Z29" s="9">
        <v>0.92369999999999997</v>
      </c>
      <c r="AA29" s="9">
        <v>0.92369999999999997</v>
      </c>
      <c r="AB29" s="9">
        <v>0.92369999999999997</v>
      </c>
      <c r="AC29" s="9">
        <v>0.92369999999999997</v>
      </c>
      <c r="AD29" s="9">
        <v>0.92369999999999997</v>
      </c>
      <c r="AE29" s="9">
        <v>0.92369999999999997</v>
      </c>
    </row>
    <row r="30" spans="2:31">
      <c r="B30" s="3" t="s">
        <v>53</v>
      </c>
      <c r="C30" s="3" t="s">
        <v>54</v>
      </c>
      <c r="D30" s="3" t="s">
        <v>48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7" t="s">
        <v>254</v>
      </c>
      <c r="M30" s="3" t="s">
        <v>53</v>
      </c>
      <c r="N30" s="3" t="s">
        <v>54</v>
      </c>
      <c r="O30" s="3" t="s">
        <v>48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W30" s="3" t="s">
        <v>53</v>
      </c>
      <c r="X30" s="3" t="s">
        <v>54</v>
      </c>
      <c r="Y30" s="3" t="s">
        <v>48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</row>
    <row r="31" spans="2:31" ht="15" thickBot="1">
      <c r="B31" s="11" t="s">
        <v>55</v>
      </c>
      <c r="C31" s="12" t="s">
        <v>56</v>
      </c>
      <c r="D31" s="12" t="s">
        <v>48</v>
      </c>
      <c r="E31" s="100">
        <f>((E27-E28)*E29)-E30</f>
        <v>2582.7241748618403</v>
      </c>
      <c r="F31" s="100">
        <f t="shared" ref="F31:J31" si="20">((F27-F28)*F29)-F30</f>
        <v>2686.4398621770629</v>
      </c>
      <c r="G31" s="100">
        <f t="shared" si="20"/>
        <v>2806.666027996057</v>
      </c>
      <c r="H31" s="100">
        <f t="shared" si="20"/>
        <v>3310.0265464565759</v>
      </c>
      <c r="I31" s="100">
        <f t="shared" si="20"/>
        <v>5410.56853908624</v>
      </c>
      <c r="J31" s="100">
        <f t="shared" si="20"/>
        <v>3681.9269549330375</v>
      </c>
      <c r="K31" s="7" t="s">
        <v>254</v>
      </c>
      <c r="M31" s="11" t="s">
        <v>55</v>
      </c>
      <c r="N31" s="11" t="s">
        <v>56</v>
      </c>
      <c r="O31" s="11" t="s">
        <v>48</v>
      </c>
      <c r="P31" s="101">
        <f t="shared" ref="P31:U31" si="21">((P27-P28)*P29)-P30</f>
        <v>864.92244935581539</v>
      </c>
      <c r="Q31" s="101">
        <f t="shared" si="21"/>
        <v>900.40017358681746</v>
      </c>
      <c r="R31" s="101">
        <f t="shared" si="21"/>
        <v>940.77137702209643</v>
      </c>
      <c r="S31" s="101">
        <f t="shared" si="21"/>
        <v>1113.8782038733661</v>
      </c>
      <c r="T31" s="101">
        <f t="shared" si="21"/>
        <v>1824.6560582944815</v>
      </c>
      <c r="U31" s="101">
        <f t="shared" si="21"/>
        <v>1234.3801292786673</v>
      </c>
      <c r="W31" s="11" t="s">
        <v>55</v>
      </c>
      <c r="X31" s="11" t="s">
        <v>56</v>
      </c>
      <c r="Y31" s="11" t="s">
        <v>48</v>
      </c>
      <c r="Z31" s="101">
        <f t="shared" ref="Z31:AE31" si="22">((Z27-Z28)*Z29)-Z30</f>
        <v>1717.8017255060252</v>
      </c>
      <c r="AA31" s="101">
        <f t="shared" si="22"/>
        <v>1786.0396885902449</v>
      </c>
      <c r="AB31" s="101">
        <f t="shared" si="22"/>
        <v>1865.894650973961</v>
      </c>
      <c r="AC31" s="101">
        <f t="shared" si="22"/>
        <v>2196.1483425832098</v>
      </c>
      <c r="AD31" s="101">
        <f t="shared" si="22"/>
        <v>3585.9124807917578</v>
      </c>
      <c r="AE31" s="101">
        <f t="shared" si="22"/>
        <v>2447.5468256543709</v>
      </c>
    </row>
    <row r="32" spans="2:31">
      <c r="C32" s="229" t="s">
        <v>239</v>
      </c>
      <c r="D32" s="230"/>
      <c r="E32" s="227">
        <f>SUM(P32,Z32)</f>
        <v>2581</v>
      </c>
      <c r="F32" s="227">
        <f t="shared" ref="F32:J32" si="23">SUM(Q32,AA32)</f>
        <v>2686</v>
      </c>
      <c r="G32" s="227">
        <f t="shared" si="23"/>
        <v>2805</v>
      </c>
      <c r="H32" s="227">
        <f t="shared" si="23"/>
        <v>3309</v>
      </c>
      <c r="I32" s="227">
        <f t="shared" si="23"/>
        <v>5409</v>
      </c>
      <c r="J32" s="227">
        <f t="shared" si="23"/>
        <v>3681</v>
      </c>
      <c r="K32" s="196"/>
      <c r="L32" s="175">
        <f>SUM(E32:J33)</f>
        <v>20471</v>
      </c>
      <c r="N32" s="229" t="s">
        <v>241</v>
      </c>
      <c r="O32" s="230"/>
      <c r="P32" s="227">
        <f t="shared" ref="P32:U32" si="24">ROUNDDOWN(P31,0)</f>
        <v>864</v>
      </c>
      <c r="Q32" s="227">
        <f t="shared" si="24"/>
        <v>900</v>
      </c>
      <c r="R32" s="227">
        <f t="shared" si="24"/>
        <v>940</v>
      </c>
      <c r="S32" s="227">
        <f t="shared" si="24"/>
        <v>1113</v>
      </c>
      <c r="T32" s="227">
        <f t="shared" si="24"/>
        <v>1824</v>
      </c>
      <c r="U32" s="227">
        <f t="shared" si="24"/>
        <v>1234</v>
      </c>
      <c r="X32" s="229" t="s">
        <v>250</v>
      </c>
      <c r="Y32" s="230"/>
      <c r="Z32" s="227">
        <f t="shared" ref="Z32:AE32" si="25">ROUNDDOWN(Z31,0)</f>
        <v>1717</v>
      </c>
      <c r="AA32" s="227">
        <f t="shared" si="25"/>
        <v>1786</v>
      </c>
      <c r="AB32" s="227">
        <f t="shared" si="25"/>
        <v>1865</v>
      </c>
      <c r="AC32" s="227">
        <f t="shared" si="25"/>
        <v>2196</v>
      </c>
      <c r="AD32" s="227">
        <f t="shared" si="25"/>
        <v>3585</v>
      </c>
      <c r="AE32" s="227">
        <f t="shared" si="25"/>
        <v>2447</v>
      </c>
    </row>
    <row r="33" spans="3:31" ht="15" thickBot="1">
      <c r="C33" s="231"/>
      <c r="D33" s="232"/>
      <c r="E33" s="228"/>
      <c r="F33" s="228"/>
      <c r="G33" s="228"/>
      <c r="H33" s="228"/>
      <c r="I33" s="228"/>
      <c r="J33" s="228"/>
      <c r="K33" s="196"/>
      <c r="N33" s="231"/>
      <c r="O33" s="232"/>
      <c r="P33" s="228"/>
      <c r="Q33" s="228"/>
      <c r="R33" s="228"/>
      <c r="S33" s="228"/>
      <c r="T33" s="228"/>
      <c r="U33" s="228"/>
      <c r="X33" s="231"/>
      <c r="Y33" s="232"/>
      <c r="Z33" s="228"/>
      <c r="AA33" s="228"/>
      <c r="AB33" s="228"/>
      <c r="AC33" s="228"/>
      <c r="AD33" s="228"/>
      <c r="AE33" s="228"/>
    </row>
    <row r="34" spans="3:31">
      <c r="E34" s="53"/>
      <c r="F34" s="53"/>
      <c r="G34" s="53"/>
      <c r="H34" s="53"/>
      <c r="I34" s="53"/>
      <c r="J34" s="53"/>
      <c r="K34" s="53"/>
      <c r="P34" s="53"/>
      <c r="Q34" s="53"/>
      <c r="R34" s="53"/>
      <c r="S34" s="53"/>
      <c r="T34" s="53"/>
      <c r="U34" s="53"/>
      <c r="X34" s="62"/>
      <c r="Y34" s="62"/>
      <c r="Z34" s="53"/>
      <c r="AA34" s="53"/>
      <c r="AB34" s="53"/>
      <c r="AC34" s="53"/>
      <c r="AD34" s="53"/>
      <c r="AE34" s="53"/>
    </row>
  </sheetData>
  <mergeCells count="36">
    <mergeCell ref="AD32:AD33"/>
    <mergeCell ref="AE32:AE33"/>
    <mergeCell ref="U32:U33"/>
    <mergeCell ref="X32:Y33"/>
    <mergeCell ref="Z32:Z33"/>
    <mergeCell ref="AA32:AA33"/>
    <mergeCell ref="AB32:AB33"/>
    <mergeCell ref="AC32:AC33"/>
    <mergeCell ref="T32:T33"/>
    <mergeCell ref="B26:D26"/>
    <mergeCell ref="M26:O26"/>
    <mergeCell ref="W26:Y26"/>
    <mergeCell ref="C32:D33"/>
    <mergeCell ref="E32:E33"/>
    <mergeCell ref="F32:F33"/>
    <mergeCell ref="G32:G33"/>
    <mergeCell ref="H32:H33"/>
    <mergeCell ref="I32:I33"/>
    <mergeCell ref="J32:J33"/>
    <mergeCell ref="N32:O33"/>
    <mergeCell ref="P32:P33"/>
    <mergeCell ref="Q32:Q33"/>
    <mergeCell ref="R32:R33"/>
    <mergeCell ref="S32:S33"/>
    <mergeCell ref="B12:D12"/>
    <mergeCell ref="M12:O12"/>
    <mergeCell ref="W12:Y12"/>
    <mergeCell ref="B20:D20"/>
    <mergeCell ref="M20:O20"/>
    <mergeCell ref="W20:Y20"/>
    <mergeCell ref="B2:E2"/>
    <mergeCell ref="M2:P2"/>
    <mergeCell ref="W2:Z2"/>
    <mergeCell ref="B4:D4"/>
    <mergeCell ref="M4:O4"/>
    <mergeCell ref="W4:Y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F0B7-D254-4E35-971B-6C8FE9970CDA}">
  <dimension ref="B2:AE34"/>
  <sheetViews>
    <sheetView showGridLines="0" topLeftCell="AF10" zoomScale="80" zoomScaleNormal="80" workbookViewId="0">
      <selection activeCell="J44" sqref="J44"/>
    </sheetView>
  </sheetViews>
  <sheetFormatPr defaultRowHeight="14.5"/>
  <cols>
    <col min="1" max="1" width="14.81640625" customWidth="1"/>
    <col min="2" max="2" width="70.453125" bestFit="1" customWidth="1"/>
    <col min="3" max="3" width="18.1796875" customWidth="1"/>
    <col min="4" max="4" width="12.453125" customWidth="1"/>
    <col min="5" max="10" width="13.1796875" customWidth="1"/>
    <col min="11" max="11" width="7.1796875" customWidth="1"/>
    <col min="12" max="12" width="54.81640625" customWidth="1"/>
    <col min="13" max="13" width="12.26953125" customWidth="1"/>
    <col min="14" max="14" width="22" customWidth="1"/>
    <col min="15" max="20" width="12" customWidth="1"/>
    <col min="21" max="21" width="6.26953125" customWidth="1"/>
    <col min="22" max="22" width="59.7265625" customWidth="1"/>
    <col min="23" max="23" width="17" customWidth="1"/>
    <col min="24" max="24" width="13" customWidth="1"/>
    <col min="25" max="30" width="11" customWidth="1"/>
    <col min="31" max="31" width="5" customWidth="1"/>
    <col min="32" max="32" width="57.7265625" customWidth="1"/>
    <col min="33" max="33" width="15" customWidth="1"/>
    <col min="34" max="34" width="14.453125" customWidth="1"/>
    <col min="35" max="35" width="18.26953125" customWidth="1"/>
  </cols>
  <sheetData>
    <row r="2" spans="2:31" ht="15" customHeight="1">
      <c r="B2" s="221" t="s">
        <v>210</v>
      </c>
      <c r="C2" s="221"/>
      <c r="D2" s="221"/>
      <c r="E2" s="221"/>
      <c r="F2" s="123"/>
      <c r="G2" s="123"/>
      <c r="H2" s="123"/>
      <c r="I2" s="123"/>
      <c r="J2" s="123"/>
      <c r="L2" s="222" t="s">
        <v>211</v>
      </c>
      <c r="M2" s="222"/>
      <c r="N2" s="222"/>
      <c r="O2" s="222"/>
      <c r="P2" s="124"/>
      <c r="Q2" s="124"/>
      <c r="R2" s="124"/>
      <c r="S2" s="124"/>
      <c r="T2" s="124"/>
      <c r="V2" s="222" t="s">
        <v>238</v>
      </c>
      <c r="W2" s="222"/>
      <c r="X2" s="222"/>
      <c r="Y2" s="222"/>
      <c r="Z2" s="124"/>
      <c r="AA2" s="124"/>
      <c r="AB2" s="124"/>
      <c r="AC2" s="124"/>
      <c r="AD2" s="124"/>
    </row>
    <row r="3" spans="2:31" hidden="1"/>
    <row r="4" spans="2:31" s="1" customFormat="1">
      <c r="B4" s="223" t="s">
        <v>11</v>
      </c>
      <c r="C4" s="224"/>
      <c r="D4" s="224"/>
      <c r="E4" s="129" t="s">
        <v>69</v>
      </c>
      <c r="F4" s="128" t="s">
        <v>70</v>
      </c>
      <c r="G4" s="128" t="s">
        <v>78</v>
      </c>
      <c r="H4" s="128" t="s">
        <v>85</v>
      </c>
      <c r="I4" s="128" t="s">
        <v>95</v>
      </c>
      <c r="J4" s="128" t="s">
        <v>103</v>
      </c>
      <c r="L4" s="225" t="s">
        <v>11</v>
      </c>
      <c r="M4" s="226"/>
      <c r="N4" s="226"/>
      <c r="O4" s="131" t="s">
        <v>69</v>
      </c>
      <c r="P4" s="131" t="s">
        <v>70</v>
      </c>
      <c r="Q4" s="131" t="s">
        <v>78</v>
      </c>
      <c r="R4" s="131" t="s">
        <v>85</v>
      </c>
      <c r="S4" s="131" t="s">
        <v>95</v>
      </c>
      <c r="T4" s="131" t="s">
        <v>103</v>
      </c>
      <c r="V4" s="225" t="s">
        <v>11</v>
      </c>
      <c r="W4" s="226"/>
      <c r="X4" s="226"/>
      <c r="Y4" s="131" t="s">
        <v>69</v>
      </c>
      <c r="Z4" s="130" t="s">
        <v>70</v>
      </c>
      <c r="AA4" s="130" t="s">
        <v>78</v>
      </c>
      <c r="AB4" s="130" t="s">
        <v>85</v>
      </c>
      <c r="AC4" s="130" t="s">
        <v>95</v>
      </c>
      <c r="AD4" s="130" t="s">
        <v>103</v>
      </c>
      <c r="AE4" s="2"/>
    </row>
    <row r="5" spans="2:31">
      <c r="B5" s="3" t="s">
        <v>12</v>
      </c>
      <c r="C5" s="3" t="s">
        <v>13</v>
      </c>
      <c r="D5" s="3" t="s">
        <v>14</v>
      </c>
      <c r="E5" s="7">
        <v>1.7600000000000001E-2</v>
      </c>
      <c r="F5" s="7">
        <v>1.7600000000000001E-2</v>
      </c>
      <c r="G5" s="7">
        <v>1.7600000000000001E-2</v>
      </c>
      <c r="H5" s="7">
        <v>1.7600000000000001E-2</v>
      </c>
      <c r="I5" s="7">
        <v>1.7600000000000001E-2</v>
      </c>
      <c r="J5" s="7">
        <v>1.7600000000000001E-2</v>
      </c>
      <c r="L5" s="3" t="s">
        <v>12</v>
      </c>
      <c r="M5" s="3" t="s">
        <v>13</v>
      </c>
      <c r="N5" s="3" t="s">
        <v>14</v>
      </c>
      <c r="O5" s="7">
        <f t="shared" ref="O5:T5" si="0">E5</f>
        <v>1.7600000000000001E-2</v>
      </c>
      <c r="P5" s="7">
        <f t="shared" si="0"/>
        <v>1.7600000000000001E-2</v>
      </c>
      <c r="Q5" s="7">
        <f t="shared" si="0"/>
        <v>1.7600000000000001E-2</v>
      </c>
      <c r="R5" s="7">
        <f t="shared" si="0"/>
        <v>1.7600000000000001E-2</v>
      </c>
      <c r="S5" s="7">
        <f t="shared" si="0"/>
        <v>1.7600000000000001E-2</v>
      </c>
      <c r="T5" s="7">
        <f t="shared" si="0"/>
        <v>1.7600000000000001E-2</v>
      </c>
      <c r="V5" s="3" t="s">
        <v>12</v>
      </c>
      <c r="W5" s="3" t="s">
        <v>13</v>
      </c>
      <c r="X5" s="3" t="s">
        <v>14</v>
      </c>
      <c r="Y5" s="7">
        <f t="shared" ref="Y5:AD5" si="1">O5</f>
        <v>1.7600000000000001E-2</v>
      </c>
      <c r="Z5" s="7">
        <f t="shared" si="1"/>
        <v>1.7600000000000001E-2</v>
      </c>
      <c r="AA5" s="7">
        <f t="shared" si="1"/>
        <v>1.7600000000000001E-2</v>
      </c>
      <c r="AB5" s="7">
        <f t="shared" si="1"/>
        <v>1.7600000000000001E-2</v>
      </c>
      <c r="AC5" s="7">
        <f t="shared" si="1"/>
        <v>1.7600000000000001E-2</v>
      </c>
      <c r="AD5" s="7">
        <f t="shared" si="1"/>
        <v>1.7600000000000001E-2</v>
      </c>
      <c r="AE5" s="4"/>
    </row>
    <row r="6" spans="2:31">
      <c r="B6" s="3" t="s">
        <v>218</v>
      </c>
      <c r="C6" s="3" t="s">
        <v>15</v>
      </c>
      <c r="D6" s="3"/>
      <c r="E6" s="3">
        <f>O6+Y6</f>
        <v>515122</v>
      </c>
      <c r="F6" s="3">
        <f>P6+Z6</f>
        <v>535808</v>
      </c>
      <c r="G6" s="3">
        <f t="shared" ref="G6:J6" si="2">Q6+AA6</f>
        <v>559787</v>
      </c>
      <c r="H6" s="3">
        <f t="shared" si="2"/>
        <v>660181.80000000005</v>
      </c>
      <c r="I6" s="3">
        <f t="shared" si="2"/>
        <v>1079133</v>
      </c>
      <c r="J6" s="3">
        <f t="shared" si="2"/>
        <v>734357</v>
      </c>
      <c r="L6" s="3" t="s">
        <v>218</v>
      </c>
      <c r="M6" s="3" t="s">
        <v>15</v>
      </c>
      <c r="N6" s="3"/>
      <c r="O6" s="3">
        <f>'Total PTDs'!$U10</f>
        <v>172508</v>
      </c>
      <c r="P6" s="3">
        <f>'Total PTDs'!$U17</f>
        <v>179584</v>
      </c>
      <c r="Q6" s="3">
        <f>'Total PTDs'!$U24</f>
        <v>187636</v>
      </c>
      <c r="R6" s="3">
        <f>'Total PTDs'!$U31</f>
        <v>222162</v>
      </c>
      <c r="S6" s="3">
        <f>'Total PTDs'!$U38</f>
        <v>363926</v>
      </c>
      <c r="T6" s="3">
        <f>'Total PTDs'!$U45</f>
        <v>246196</v>
      </c>
      <c r="V6" s="3" t="s">
        <v>218</v>
      </c>
      <c r="W6" s="3" t="s">
        <v>15</v>
      </c>
      <c r="X6" s="3"/>
      <c r="Y6" s="3">
        <f>'Total PTDs'!$V10</f>
        <v>342614</v>
      </c>
      <c r="Z6" s="3">
        <f>'Total PTDs'!$V17</f>
        <v>356224</v>
      </c>
      <c r="AA6" s="3">
        <f>'Total PTDs'!$V24</f>
        <v>372151</v>
      </c>
      <c r="AB6" s="3">
        <f>'Total PTDs'!$V31</f>
        <v>438019.8</v>
      </c>
      <c r="AC6" s="3">
        <f>'Total PTDs'!$V38</f>
        <v>715207</v>
      </c>
      <c r="AD6" s="3">
        <f>'Total PTDs'!$V45</f>
        <v>488161</v>
      </c>
    </row>
    <row r="7" spans="2:31">
      <c r="B7" s="3" t="s">
        <v>181</v>
      </c>
      <c r="C7" s="3" t="s">
        <v>16</v>
      </c>
      <c r="D7" s="3" t="s">
        <v>17</v>
      </c>
      <c r="E7" s="48">
        <v>4.0000000000000002E-4</v>
      </c>
      <c r="F7" s="48">
        <v>4.0000000000000002E-4</v>
      </c>
      <c r="G7" s="48">
        <v>4.0000000000000002E-4</v>
      </c>
      <c r="H7" s="48">
        <v>4.0000000000000002E-4</v>
      </c>
      <c r="I7" s="48">
        <v>4.0000000000000002E-4</v>
      </c>
      <c r="J7" s="48">
        <v>4.0000000000000002E-4</v>
      </c>
      <c r="L7" s="3" t="s">
        <v>181</v>
      </c>
      <c r="M7" s="3" t="s">
        <v>16</v>
      </c>
      <c r="N7" s="3" t="s">
        <v>17</v>
      </c>
      <c r="O7" s="48">
        <v>4.0000000000000002E-4</v>
      </c>
      <c r="P7" s="48">
        <v>4.0000000000000002E-4</v>
      </c>
      <c r="Q7" s="48">
        <v>4.0000000000000002E-4</v>
      </c>
      <c r="R7" s="48">
        <v>4.0000000000000002E-4</v>
      </c>
      <c r="S7" s="48">
        <v>4.0000000000000002E-4</v>
      </c>
      <c r="T7" s="48">
        <v>4.0000000000000002E-4</v>
      </c>
      <c r="V7" s="3" t="s">
        <v>181</v>
      </c>
      <c r="W7" s="3" t="s">
        <v>16</v>
      </c>
      <c r="X7" s="3" t="s">
        <v>17</v>
      </c>
      <c r="Y7" s="48">
        <v>4.0000000000000002E-4</v>
      </c>
      <c r="Z7" s="48">
        <v>4.0000000000000002E-4</v>
      </c>
      <c r="AA7" s="48">
        <v>4.0000000000000002E-4</v>
      </c>
      <c r="AB7" s="48">
        <v>4.0000000000000002E-4</v>
      </c>
      <c r="AC7" s="48">
        <v>4.0000000000000002E-4</v>
      </c>
      <c r="AD7" s="48">
        <v>4.0000000000000002E-4</v>
      </c>
    </row>
    <row r="8" spans="2:31" ht="30.65" customHeight="1">
      <c r="B8" s="5" t="s">
        <v>219</v>
      </c>
      <c r="C8" s="3" t="s">
        <v>18</v>
      </c>
      <c r="D8" s="3" t="s">
        <v>19</v>
      </c>
      <c r="E8" s="3">
        <v>11.37</v>
      </c>
      <c r="F8" s="3">
        <v>11.37</v>
      </c>
      <c r="G8" s="3">
        <v>11.37</v>
      </c>
      <c r="H8" s="3">
        <v>11.37</v>
      </c>
      <c r="I8" s="3">
        <v>11.37</v>
      </c>
      <c r="J8" s="3">
        <v>11.37</v>
      </c>
      <c r="L8" s="5" t="s">
        <v>219</v>
      </c>
      <c r="M8" s="3" t="s">
        <v>18</v>
      </c>
      <c r="N8" s="3" t="s">
        <v>19</v>
      </c>
      <c r="O8" s="3">
        <v>11.37</v>
      </c>
      <c r="P8" s="3">
        <v>11.37</v>
      </c>
      <c r="Q8" s="3">
        <v>11.37</v>
      </c>
      <c r="R8" s="3">
        <v>11.37</v>
      </c>
      <c r="S8" s="3">
        <v>11.37</v>
      </c>
      <c r="T8" s="3">
        <v>11.37</v>
      </c>
      <c r="V8" s="5" t="s">
        <v>219</v>
      </c>
      <c r="W8" s="3" t="s">
        <v>18</v>
      </c>
      <c r="X8" s="3" t="s">
        <v>19</v>
      </c>
      <c r="Y8" s="3">
        <v>11.37</v>
      </c>
      <c r="Z8" s="3">
        <v>11.37</v>
      </c>
      <c r="AA8" s="3">
        <v>11.37</v>
      </c>
      <c r="AB8" s="3">
        <v>11.37</v>
      </c>
      <c r="AC8" s="3">
        <v>11.37</v>
      </c>
      <c r="AD8" s="3">
        <v>11.37</v>
      </c>
    </row>
    <row r="9" spans="2:31" ht="29">
      <c r="B9" s="5" t="s">
        <v>20</v>
      </c>
      <c r="C9" s="3" t="s">
        <v>21</v>
      </c>
      <c r="D9" s="3" t="s">
        <v>19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L9" s="5" t="s">
        <v>20</v>
      </c>
      <c r="M9" s="3" t="s">
        <v>21</v>
      </c>
      <c r="N9" s="3" t="s">
        <v>19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V9" s="5" t="s">
        <v>20</v>
      </c>
      <c r="W9" s="3" t="s">
        <v>21</v>
      </c>
      <c r="X9" s="3" t="s">
        <v>19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</row>
    <row r="10" spans="2:31">
      <c r="B10" s="3" t="s">
        <v>22</v>
      </c>
      <c r="C10" s="3" t="s">
        <v>23</v>
      </c>
      <c r="D10" s="3" t="s">
        <v>24</v>
      </c>
      <c r="E10" s="6">
        <f t="shared" ref="E10:J10" si="3">(1-E5)*E6*E7*(E8+E9)</f>
        <v>2301.5420185344001</v>
      </c>
      <c r="F10" s="6">
        <f t="shared" si="3"/>
        <v>2393.9661398016001</v>
      </c>
      <c r="G10" s="6">
        <f t="shared" si="3"/>
        <v>2501.1032375424002</v>
      </c>
      <c r="H10" s="6">
        <f t="shared" si="3"/>
        <v>2949.6627062553603</v>
      </c>
      <c r="I10" s="6">
        <f t="shared" si="3"/>
        <v>4821.5178988416001</v>
      </c>
      <c r="J10" s="6">
        <f t="shared" si="3"/>
        <v>3281.0741768063999</v>
      </c>
      <c r="L10" s="3" t="s">
        <v>22</v>
      </c>
      <c r="M10" s="3" t="s">
        <v>23</v>
      </c>
      <c r="N10" s="3" t="s">
        <v>24</v>
      </c>
      <c r="O10" s="6">
        <f t="shared" ref="O10:T10" si="4">(1-O5)*O6*O7*(O8+O9)</f>
        <v>770.75801564160008</v>
      </c>
      <c r="P10" s="6">
        <f t="shared" si="4"/>
        <v>802.37326663679994</v>
      </c>
      <c r="Q10" s="6">
        <f t="shared" si="4"/>
        <v>838.34924190720005</v>
      </c>
      <c r="R10" s="6">
        <f t="shared" si="4"/>
        <v>992.60986314239994</v>
      </c>
      <c r="S10" s="6">
        <f t="shared" si="4"/>
        <v>1626.0050641152</v>
      </c>
      <c r="T10" s="6">
        <f t="shared" si="4"/>
        <v>1099.9926984192</v>
      </c>
      <c r="V10" s="3" t="s">
        <v>22</v>
      </c>
      <c r="W10" s="3" t="s">
        <v>23</v>
      </c>
      <c r="X10" s="3" t="s">
        <v>24</v>
      </c>
      <c r="Y10" s="6">
        <f t="shared" ref="Y10:AD10" si="5">(1-Y5)*Y6*Y7*(Y8+Y9)</f>
        <v>1530.7840028928001</v>
      </c>
      <c r="Z10" s="6">
        <f t="shared" si="5"/>
        <v>1591.5928731648</v>
      </c>
      <c r="AA10" s="6">
        <f t="shared" si="5"/>
        <v>1662.7539956352</v>
      </c>
      <c r="AB10" s="6">
        <f t="shared" si="5"/>
        <v>1957.0528431129601</v>
      </c>
      <c r="AC10" s="6">
        <f t="shared" si="5"/>
        <v>3195.5128347264003</v>
      </c>
      <c r="AD10" s="6">
        <f t="shared" si="5"/>
        <v>2181.0814783872001</v>
      </c>
    </row>
    <row r="11" spans="2:31">
      <c r="L11" s="13"/>
      <c r="M11" s="14"/>
      <c r="N11" s="14"/>
      <c r="O11" s="15"/>
      <c r="P11" s="15"/>
      <c r="Q11" s="15"/>
      <c r="R11" s="15"/>
      <c r="S11" s="15"/>
      <c r="T11" s="15"/>
    </row>
    <row r="12" spans="2:31">
      <c r="B12" s="223" t="s">
        <v>25</v>
      </c>
      <c r="C12" s="224"/>
      <c r="D12" s="224"/>
      <c r="E12" s="129" t="s">
        <v>69</v>
      </c>
      <c r="F12" s="128" t="s">
        <v>70</v>
      </c>
      <c r="G12" s="128" t="s">
        <v>78</v>
      </c>
      <c r="H12" s="128" t="s">
        <v>85</v>
      </c>
      <c r="I12" s="128" t="s">
        <v>95</v>
      </c>
      <c r="J12" s="128" t="s">
        <v>103</v>
      </c>
      <c r="L12" s="225" t="s">
        <v>25</v>
      </c>
      <c r="M12" s="226"/>
      <c r="N12" s="226"/>
      <c r="O12" s="131" t="s">
        <v>69</v>
      </c>
      <c r="P12" s="130" t="s">
        <v>70</v>
      </c>
      <c r="Q12" s="130" t="s">
        <v>78</v>
      </c>
      <c r="R12" s="130" t="s">
        <v>85</v>
      </c>
      <c r="S12" s="130" t="s">
        <v>95</v>
      </c>
      <c r="T12" s="130" t="s">
        <v>103</v>
      </c>
      <c r="V12" s="225" t="s">
        <v>25</v>
      </c>
      <c r="W12" s="226"/>
      <c r="X12" s="226"/>
      <c r="Y12" s="131" t="s">
        <v>69</v>
      </c>
      <c r="Z12" s="130" t="s">
        <v>70</v>
      </c>
      <c r="AA12" s="130" t="s">
        <v>78</v>
      </c>
      <c r="AB12" s="130" t="s">
        <v>85</v>
      </c>
      <c r="AC12" s="130" t="s">
        <v>95</v>
      </c>
      <c r="AD12" s="130" t="s">
        <v>103</v>
      </c>
    </row>
    <row r="13" spans="2:31">
      <c r="B13" s="3" t="s">
        <v>26</v>
      </c>
      <c r="C13" s="3" t="s">
        <v>13</v>
      </c>
      <c r="D13" s="3" t="s">
        <v>14</v>
      </c>
      <c r="E13" s="7">
        <f t="shared" ref="E13:J15" si="6">E5</f>
        <v>1.7600000000000001E-2</v>
      </c>
      <c r="F13" s="7">
        <f t="shared" si="6"/>
        <v>1.7600000000000001E-2</v>
      </c>
      <c r="G13" s="7">
        <f t="shared" si="6"/>
        <v>1.7600000000000001E-2</v>
      </c>
      <c r="H13" s="7">
        <f t="shared" si="6"/>
        <v>1.7600000000000001E-2</v>
      </c>
      <c r="I13" s="7">
        <f t="shared" si="6"/>
        <v>1.7600000000000001E-2</v>
      </c>
      <c r="J13" s="7">
        <f t="shared" si="6"/>
        <v>1.7600000000000001E-2</v>
      </c>
      <c r="L13" s="3" t="s">
        <v>26</v>
      </c>
      <c r="M13" s="3" t="s">
        <v>13</v>
      </c>
      <c r="N13" s="3" t="s">
        <v>14</v>
      </c>
      <c r="O13" s="7">
        <f t="shared" ref="O13:T15" si="7">O5</f>
        <v>1.7600000000000001E-2</v>
      </c>
      <c r="P13" s="7">
        <f t="shared" si="7"/>
        <v>1.7600000000000001E-2</v>
      </c>
      <c r="Q13" s="7">
        <f t="shared" si="7"/>
        <v>1.7600000000000001E-2</v>
      </c>
      <c r="R13" s="7">
        <f t="shared" si="7"/>
        <v>1.7600000000000001E-2</v>
      </c>
      <c r="S13" s="7">
        <f t="shared" si="7"/>
        <v>1.7600000000000001E-2</v>
      </c>
      <c r="T13" s="7">
        <f t="shared" si="7"/>
        <v>1.7600000000000001E-2</v>
      </c>
      <c r="V13" s="3" t="s">
        <v>26</v>
      </c>
      <c r="W13" s="3" t="s">
        <v>13</v>
      </c>
      <c r="X13" s="3" t="s">
        <v>14</v>
      </c>
      <c r="Y13" s="7">
        <f t="shared" ref="Y13:AD15" si="8">Y5</f>
        <v>1.7600000000000001E-2</v>
      </c>
      <c r="Z13" s="7">
        <f t="shared" si="8"/>
        <v>1.7600000000000001E-2</v>
      </c>
      <c r="AA13" s="7">
        <f t="shared" si="8"/>
        <v>1.7600000000000001E-2</v>
      </c>
      <c r="AB13" s="7">
        <f t="shared" si="8"/>
        <v>1.7600000000000001E-2</v>
      </c>
      <c r="AC13" s="7">
        <f t="shared" si="8"/>
        <v>1.7600000000000001E-2</v>
      </c>
      <c r="AD13" s="7">
        <f t="shared" si="8"/>
        <v>1.7600000000000001E-2</v>
      </c>
    </row>
    <row r="14" spans="2:31">
      <c r="B14" s="3" t="s">
        <v>218</v>
      </c>
      <c r="C14" s="3" t="s">
        <v>15</v>
      </c>
      <c r="D14" s="3"/>
      <c r="E14" s="3">
        <f t="shared" si="6"/>
        <v>515122</v>
      </c>
      <c r="F14" s="3">
        <f t="shared" si="6"/>
        <v>535808</v>
      </c>
      <c r="G14" s="3">
        <f t="shared" si="6"/>
        <v>559787</v>
      </c>
      <c r="H14" s="3">
        <f t="shared" si="6"/>
        <v>660181.80000000005</v>
      </c>
      <c r="I14" s="3">
        <f t="shared" si="6"/>
        <v>1079133</v>
      </c>
      <c r="J14" s="3">
        <f t="shared" si="6"/>
        <v>734357</v>
      </c>
      <c r="L14" s="3" t="s">
        <v>218</v>
      </c>
      <c r="M14" s="3" t="s">
        <v>15</v>
      </c>
      <c r="N14" s="3"/>
      <c r="O14" s="3">
        <f t="shared" si="7"/>
        <v>172508</v>
      </c>
      <c r="P14" s="3">
        <f t="shared" si="7"/>
        <v>179584</v>
      </c>
      <c r="Q14" s="3">
        <f t="shared" si="7"/>
        <v>187636</v>
      </c>
      <c r="R14" s="3">
        <f t="shared" si="7"/>
        <v>222162</v>
      </c>
      <c r="S14" s="3">
        <f t="shared" si="7"/>
        <v>363926</v>
      </c>
      <c r="T14" s="3">
        <f t="shared" si="7"/>
        <v>246196</v>
      </c>
      <c r="V14" s="3" t="s">
        <v>218</v>
      </c>
      <c r="W14" s="3" t="s">
        <v>15</v>
      </c>
      <c r="X14" s="3"/>
      <c r="Y14" s="3">
        <f t="shared" si="8"/>
        <v>342614</v>
      </c>
      <c r="Z14" s="3">
        <f t="shared" si="8"/>
        <v>356224</v>
      </c>
      <c r="AA14" s="3">
        <f t="shared" si="8"/>
        <v>372151</v>
      </c>
      <c r="AB14" s="3">
        <f t="shared" si="8"/>
        <v>438019.8</v>
      </c>
      <c r="AC14" s="3">
        <f t="shared" si="8"/>
        <v>715207</v>
      </c>
      <c r="AD14" s="3">
        <f t="shared" si="8"/>
        <v>488161</v>
      </c>
    </row>
    <row r="15" spans="2:31">
      <c r="B15" s="3" t="s">
        <v>182</v>
      </c>
      <c r="C15" s="3" t="s">
        <v>27</v>
      </c>
      <c r="D15" s="3" t="s">
        <v>17</v>
      </c>
      <c r="E15" s="49">
        <f t="shared" si="6"/>
        <v>4.0000000000000002E-4</v>
      </c>
      <c r="F15" s="49">
        <f t="shared" si="6"/>
        <v>4.0000000000000002E-4</v>
      </c>
      <c r="G15" s="49">
        <f t="shared" si="6"/>
        <v>4.0000000000000002E-4</v>
      </c>
      <c r="H15" s="49">
        <f t="shared" si="6"/>
        <v>4.0000000000000002E-4</v>
      </c>
      <c r="I15" s="49">
        <f t="shared" si="6"/>
        <v>4.0000000000000002E-4</v>
      </c>
      <c r="J15" s="49">
        <f t="shared" si="6"/>
        <v>4.0000000000000002E-4</v>
      </c>
      <c r="L15" s="3" t="s">
        <v>182</v>
      </c>
      <c r="M15" s="3" t="s">
        <v>27</v>
      </c>
      <c r="N15" s="3" t="s">
        <v>17</v>
      </c>
      <c r="O15" s="8">
        <f t="shared" si="7"/>
        <v>4.0000000000000002E-4</v>
      </c>
      <c r="P15" s="8">
        <f t="shared" si="7"/>
        <v>4.0000000000000002E-4</v>
      </c>
      <c r="Q15" s="8">
        <f t="shared" si="7"/>
        <v>4.0000000000000002E-4</v>
      </c>
      <c r="R15" s="8">
        <f t="shared" si="7"/>
        <v>4.0000000000000002E-4</v>
      </c>
      <c r="S15" s="8">
        <f t="shared" si="7"/>
        <v>4.0000000000000002E-4</v>
      </c>
      <c r="T15" s="8">
        <f t="shared" si="7"/>
        <v>4.0000000000000002E-4</v>
      </c>
      <c r="V15" s="3" t="s">
        <v>182</v>
      </c>
      <c r="W15" s="3" t="s">
        <v>27</v>
      </c>
      <c r="X15" s="3" t="s">
        <v>17</v>
      </c>
      <c r="Y15" s="8">
        <f t="shared" si="8"/>
        <v>4.0000000000000002E-4</v>
      </c>
      <c r="Z15" s="8">
        <f t="shared" si="8"/>
        <v>4.0000000000000002E-4</v>
      </c>
      <c r="AA15" s="8">
        <f t="shared" si="8"/>
        <v>4.0000000000000002E-4</v>
      </c>
      <c r="AB15" s="8">
        <f t="shared" si="8"/>
        <v>4.0000000000000002E-4</v>
      </c>
      <c r="AC15" s="8">
        <f t="shared" si="8"/>
        <v>4.0000000000000002E-4</v>
      </c>
      <c r="AD15" s="8">
        <f t="shared" si="8"/>
        <v>4.0000000000000002E-4</v>
      </c>
    </row>
    <row r="16" spans="2:31">
      <c r="B16" s="3" t="s">
        <v>28</v>
      </c>
      <c r="C16" s="3" t="s">
        <v>21</v>
      </c>
      <c r="D16" s="3" t="s">
        <v>19</v>
      </c>
      <c r="E16" s="3">
        <f t="shared" ref="E16:J16" si="9">E9</f>
        <v>0</v>
      </c>
      <c r="F16" s="3">
        <f t="shared" si="9"/>
        <v>0</v>
      </c>
      <c r="G16" s="3">
        <f t="shared" si="9"/>
        <v>0</v>
      </c>
      <c r="H16" s="3">
        <f t="shared" si="9"/>
        <v>0</v>
      </c>
      <c r="I16" s="3">
        <f t="shared" si="9"/>
        <v>0</v>
      </c>
      <c r="J16" s="3">
        <f t="shared" si="9"/>
        <v>0</v>
      </c>
      <c r="L16" s="3" t="s">
        <v>28</v>
      </c>
      <c r="M16" s="3" t="s">
        <v>21</v>
      </c>
      <c r="N16" s="3" t="s">
        <v>19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V16" s="3" t="s">
        <v>28</v>
      </c>
      <c r="W16" s="3" t="s">
        <v>21</v>
      </c>
      <c r="X16" s="3" t="s">
        <v>19</v>
      </c>
      <c r="Y16" s="3">
        <f>0</f>
        <v>0</v>
      </c>
      <c r="Z16" s="3">
        <f>0</f>
        <v>0</v>
      </c>
      <c r="AA16" s="3">
        <f>0</f>
        <v>0</v>
      </c>
      <c r="AB16" s="3">
        <f>0</f>
        <v>0</v>
      </c>
      <c r="AC16" s="3">
        <f>0</f>
        <v>0</v>
      </c>
      <c r="AD16" s="3">
        <f>0</f>
        <v>0</v>
      </c>
    </row>
    <row r="17" spans="2:30">
      <c r="B17" s="3" t="s">
        <v>29</v>
      </c>
      <c r="C17" s="3" t="s">
        <v>30</v>
      </c>
      <c r="D17" s="3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L17" s="3" t="s">
        <v>29</v>
      </c>
      <c r="M17" s="3" t="s">
        <v>30</v>
      </c>
      <c r="N17" s="3" t="s">
        <v>19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V17" s="3" t="s">
        <v>29</v>
      </c>
      <c r="W17" s="3" t="s">
        <v>30</v>
      </c>
      <c r="X17" s="3" t="s">
        <v>19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</row>
    <row r="18" spans="2:30">
      <c r="B18" s="3" t="s">
        <v>31</v>
      </c>
      <c r="C18" s="3" t="s">
        <v>32</v>
      </c>
      <c r="D18" s="3" t="s">
        <v>24</v>
      </c>
      <c r="E18" s="6">
        <f t="shared" ref="E18:J18" si="10">(1-E13)*E14*E15*(E16+E17)</f>
        <v>0</v>
      </c>
      <c r="F18" s="6">
        <f t="shared" si="10"/>
        <v>0</v>
      </c>
      <c r="G18" s="6">
        <f t="shared" si="10"/>
        <v>0</v>
      </c>
      <c r="H18" s="6">
        <f t="shared" si="10"/>
        <v>0</v>
      </c>
      <c r="I18" s="6">
        <f t="shared" si="10"/>
        <v>0</v>
      </c>
      <c r="J18" s="6">
        <f t="shared" si="10"/>
        <v>0</v>
      </c>
      <c r="L18" s="3" t="s">
        <v>31</v>
      </c>
      <c r="M18" s="3" t="s">
        <v>32</v>
      </c>
      <c r="N18" s="3" t="s">
        <v>24</v>
      </c>
      <c r="O18" s="6">
        <f t="shared" ref="O18:T18" si="11">(1-O13)*O14*O15*(O16+O17)</f>
        <v>0</v>
      </c>
      <c r="P18" s="6">
        <f t="shared" si="11"/>
        <v>0</v>
      </c>
      <c r="Q18" s="6">
        <f t="shared" si="11"/>
        <v>0</v>
      </c>
      <c r="R18" s="6">
        <f t="shared" si="11"/>
        <v>0</v>
      </c>
      <c r="S18" s="6">
        <f t="shared" si="11"/>
        <v>0</v>
      </c>
      <c r="T18" s="6">
        <f t="shared" si="11"/>
        <v>0</v>
      </c>
      <c r="V18" s="3" t="s">
        <v>31</v>
      </c>
      <c r="W18" s="3" t="s">
        <v>32</v>
      </c>
      <c r="X18" s="3" t="s">
        <v>24</v>
      </c>
      <c r="Y18" s="6">
        <f t="shared" ref="Y18:AD18" si="12">(1-Y13)*Y14*Y15*(Y16+Y17)</f>
        <v>0</v>
      </c>
      <c r="Z18" s="6">
        <f t="shared" si="12"/>
        <v>0</v>
      </c>
      <c r="AA18" s="6">
        <f t="shared" si="12"/>
        <v>0</v>
      </c>
      <c r="AB18" s="6">
        <f t="shared" si="12"/>
        <v>0</v>
      </c>
      <c r="AC18" s="6">
        <f t="shared" si="12"/>
        <v>0</v>
      </c>
      <c r="AD18" s="6">
        <f t="shared" si="12"/>
        <v>0</v>
      </c>
    </row>
    <row r="20" spans="2:30">
      <c r="B20" s="223" t="s">
        <v>33</v>
      </c>
      <c r="C20" s="224"/>
      <c r="D20" s="224"/>
      <c r="E20" s="129" t="s">
        <v>69</v>
      </c>
      <c r="F20" s="128" t="s">
        <v>70</v>
      </c>
      <c r="G20" s="128" t="s">
        <v>78</v>
      </c>
      <c r="H20" s="128" t="s">
        <v>85</v>
      </c>
      <c r="I20" s="128" t="s">
        <v>95</v>
      </c>
      <c r="J20" s="128" t="s">
        <v>103</v>
      </c>
      <c r="L20" s="225" t="s">
        <v>33</v>
      </c>
      <c r="M20" s="226"/>
      <c r="N20" s="226"/>
      <c r="O20" s="131" t="s">
        <v>69</v>
      </c>
      <c r="P20" s="130" t="s">
        <v>70</v>
      </c>
      <c r="Q20" s="130" t="s">
        <v>78</v>
      </c>
      <c r="R20" s="130" t="s">
        <v>85</v>
      </c>
      <c r="S20" s="130" t="s">
        <v>95</v>
      </c>
      <c r="T20" s="130" t="s">
        <v>103</v>
      </c>
      <c r="V20" s="225" t="s">
        <v>33</v>
      </c>
      <c r="W20" s="226"/>
      <c r="X20" s="226"/>
      <c r="Y20" s="131" t="s">
        <v>69</v>
      </c>
      <c r="Z20" s="130" t="s">
        <v>70</v>
      </c>
      <c r="AA20" s="130" t="s">
        <v>78</v>
      </c>
      <c r="AB20" s="130" t="s">
        <v>85</v>
      </c>
      <c r="AC20" s="130" t="s">
        <v>95</v>
      </c>
      <c r="AD20" s="130" t="s">
        <v>103</v>
      </c>
    </row>
    <row r="21" spans="2:30">
      <c r="B21" s="5" t="s">
        <v>34</v>
      </c>
      <c r="C21" s="3" t="s">
        <v>34</v>
      </c>
      <c r="D21" s="3" t="s">
        <v>35</v>
      </c>
      <c r="E21" s="9">
        <v>0.97</v>
      </c>
      <c r="F21" s="9">
        <v>0.97</v>
      </c>
      <c r="G21" s="9">
        <v>0.97</v>
      </c>
      <c r="H21" s="9">
        <v>0.97</v>
      </c>
      <c r="I21" s="9">
        <v>0.97</v>
      </c>
      <c r="J21" s="9">
        <v>0.97</v>
      </c>
      <c r="L21" s="5" t="s">
        <v>34</v>
      </c>
      <c r="M21" s="3" t="s">
        <v>34</v>
      </c>
      <c r="N21" s="3" t="s">
        <v>35</v>
      </c>
      <c r="O21" s="9">
        <v>0.97</v>
      </c>
      <c r="P21" s="9">
        <v>0.97</v>
      </c>
      <c r="Q21" s="9">
        <v>0.97</v>
      </c>
      <c r="R21" s="9">
        <v>0.97</v>
      </c>
      <c r="S21" s="9">
        <v>0.97</v>
      </c>
      <c r="T21" s="9">
        <v>0.97</v>
      </c>
      <c r="V21" s="5" t="s">
        <v>34</v>
      </c>
      <c r="W21" s="3" t="s">
        <v>34</v>
      </c>
      <c r="X21" s="3" t="s">
        <v>35</v>
      </c>
      <c r="Y21" s="9">
        <v>0.97</v>
      </c>
      <c r="Z21" s="9">
        <v>0.97</v>
      </c>
      <c r="AA21" s="9">
        <v>0.97</v>
      </c>
      <c r="AB21" s="9">
        <v>0.97</v>
      </c>
      <c r="AC21" s="9">
        <v>0.97</v>
      </c>
      <c r="AD21" s="9">
        <v>0.97</v>
      </c>
    </row>
    <row r="22" spans="2:30">
      <c r="B22" s="3" t="s">
        <v>36</v>
      </c>
      <c r="C22" s="3" t="s">
        <v>37</v>
      </c>
      <c r="D22" s="3" t="s">
        <v>38</v>
      </c>
      <c r="E22" s="3">
        <v>112</v>
      </c>
      <c r="F22" s="3">
        <v>112</v>
      </c>
      <c r="G22" s="3">
        <v>112</v>
      </c>
      <c r="H22" s="3">
        <v>112</v>
      </c>
      <c r="I22" s="3">
        <v>112</v>
      </c>
      <c r="J22" s="3">
        <v>112</v>
      </c>
      <c r="L22" s="3" t="s">
        <v>36</v>
      </c>
      <c r="M22" s="3" t="s">
        <v>37</v>
      </c>
      <c r="N22" s="3" t="s">
        <v>38</v>
      </c>
      <c r="O22" s="3">
        <v>112</v>
      </c>
      <c r="P22" s="3">
        <v>112</v>
      </c>
      <c r="Q22" s="3">
        <v>112</v>
      </c>
      <c r="R22" s="3">
        <v>112</v>
      </c>
      <c r="S22" s="3">
        <v>112</v>
      </c>
      <c r="T22" s="3">
        <v>112</v>
      </c>
      <c r="V22" s="3" t="s">
        <v>36</v>
      </c>
      <c r="W22" s="3" t="s">
        <v>37</v>
      </c>
      <c r="X22" s="3" t="s">
        <v>38</v>
      </c>
      <c r="Y22" s="3">
        <v>112</v>
      </c>
      <c r="Z22" s="3">
        <v>112</v>
      </c>
      <c r="AA22" s="3">
        <v>112</v>
      </c>
      <c r="AB22" s="3">
        <v>112</v>
      </c>
      <c r="AC22" s="3">
        <v>112</v>
      </c>
      <c r="AD22" s="3">
        <v>112</v>
      </c>
    </row>
    <row r="23" spans="2:30">
      <c r="B23" s="3" t="s">
        <v>212</v>
      </c>
      <c r="C23" s="3" t="s">
        <v>40</v>
      </c>
      <c r="D23" s="3" t="s">
        <v>41</v>
      </c>
      <c r="E23" s="3">
        <f>(O23*O6+Y23*Y6)/E6</f>
        <v>9.1762017852081641</v>
      </c>
      <c r="F23" s="3">
        <f t="shared" ref="F23:J23" si="13">(P23*P6+Z23*Z6)/F6</f>
        <v>9.1760000000000019</v>
      </c>
      <c r="G23" s="3">
        <f t="shared" si="13"/>
        <v>9.1759803853965884</v>
      </c>
      <c r="H23" s="3">
        <f t="shared" si="13"/>
        <v>9.1750160637569831</v>
      </c>
      <c r="I23" s="3">
        <f t="shared" si="13"/>
        <v>9.1744898284085465</v>
      </c>
      <c r="J23" s="3">
        <f t="shared" si="13"/>
        <v>9.1759352086246881</v>
      </c>
      <c r="L23" s="3" t="s">
        <v>39</v>
      </c>
      <c r="M23" s="3" t="s">
        <v>40</v>
      </c>
      <c r="N23" s="3" t="s">
        <v>41</v>
      </c>
      <c r="O23" s="3">
        <f t="shared" ref="O23:T23" si="14">7.5+1.192</f>
        <v>8.6920000000000002</v>
      </c>
      <c r="P23" s="3">
        <f t="shared" si="14"/>
        <v>8.6920000000000002</v>
      </c>
      <c r="Q23" s="3">
        <f t="shared" si="14"/>
        <v>8.6920000000000002</v>
      </c>
      <c r="R23" s="3">
        <f t="shared" si="14"/>
        <v>8.6920000000000002</v>
      </c>
      <c r="S23" s="3">
        <f t="shared" si="14"/>
        <v>8.6920000000000002</v>
      </c>
      <c r="T23" s="3">
        <f t="shared" si="14"/>
        <v>8.6920000000000002</v>
      </c>
      <c r="V23" s="3" t="s">
        <v>39</v>
      </c>
      <c r="W23" s="3" t="s">
        <v>40</v>
      </c>
      <c r="X23" s="3" t="s">
        <v>41</v>
      </c>
      <c r="Y23" s="3">
        <v>9.42</v>
      </c>
      <c r="Z23" s="3">
        <v>9.42</v>
      </c>
      <c r="AA23" s="3">
        <v>9.42</v>
      </c>
      <c r="AB23" s="3">
        <v>9.42</v>
      </c>
      <c r="AC23" s="3">
        <v>9.42</v>
      </c>
      <c r="AD23" s="3">
        <v>9.42</v>
      </c>
    </row>
    <row r="24" spans="2:30">
      <c r="B24" s="3" t="s">
        <v>42</v>
      </c>
      <c r="C24" s="3" t="s">
        <v>43</v>
      </c>
      <c r="D24" s="3" t="s">
        <v>44</v>
      </c>
      <c r="E24" s="3">
        <v>1.5599999999999999E-2</v>
      </c>
      <c r="F24" s="3">
        <v>1.5599999999999999E-2</v>
      </c>
      <c r="G24" s="3">
        <v>1.5599999999999999E-2</v>
      </c>
      <c r="H24" s="3">
        <v>1.5599999999999999E-2</v>
      </c>
      <c r="I24" s="3">
        <v>1.5599999999999999E-2</v>
      </c>
      <c r="J24" s="3">
        <v>1.5599999999999999E-2</v>
      </c>
      <c r="L24" s="3" t="s">
        <v>42</v>
      </c>
      <c r="M24" s="3" t="s">
        <v>43</v>
      </c>
      <c r="N24" s="3" t="s">
        <v>44</v>
      </c>
      <c r="O24" s="3">
        <v>1.5599999999999999E-2</v>
      </c>
      <c r="P24" s="3">
        <v>1.5599999999999999E-2</v>
      </c>
      <c r="Q24" s="3">
        <v>1.5599999999999999E-2</v>
      </c>
      <c r="R24" s="3">
        <v>1.5599999999999999E-2</v>
      </c>
      <c r="S24" s="3">
        <v>1.5599999999999999E-2</v>
      </c>
      <c r="T24" s="3">
        <v>1.5599999999999999E-2</v>
      </c>
      <c r="V24" s="3" t="s">
        <v>42</v>
      </c>
      <c r="W24" s="3" t="s">
        <v>43</v>
      </c>
      <c r="X24" s="3" t="s">
        <v>44</v>
      </c>
      <c r="Y24" s="3">
        <v>1.5599999999999999E-2</v>
      </c>
      <c r="Z24" s="3">
        <v>1.5599999999999999E-2</v>
      </c>
      <c r="AA24" s="3">
        <v>1.5599999999999999E-2</v>
      </c>
      <c r="AB24" s="3">
        <v>1.5599999999999999E-2</v>
      </c>
      <c r="AC24" s="3">
        <v>1.5599999999999999E-2</v>
      </c>
      <c r="AD24" s="3">
        <v>1.5599999999999999E-2</v>
      </c>
    </row>
    <row r="26" spans="2:30">
      <c r="B26" s="223" t="s">
        <v>45</v>
      </c>
      <c r="C26" s="224"/>
      <c r="D26" s="224"/>
      <c r="E26" s="129" t="s">
        <v>69</v>
      </c>
      <c r="F26" s="128" t="s">
        <v>70</v>
      </c>
      <c r="G26" s="128" t="s">
        <v>78</v>
      </c>
      <c r="H26" s="128" t="s">
        <v>85</v>
      </c>
      <c r="I26" s="128" t="s">
        <v>95</v>
      </c>
      <c r="J26" s="128" t="s">
        <v>103</v>
      </c>
      <c r="L26" s="225" t="s">
        <v>45</v>
      </c>
      <c r="M26" s="226"/>
      <c r="N26" s="226"/>
      <c r="O26" s="131" t="s">
        <v>69</v>
      </c>
      <c r="P26" s="130" t="s">
        <v>70</v>
      </c>
      <c r="Q26" s="130" t="s">
        <v>78</v>
      </c>
      <c r="R26" s="130" t="s">
        <v>85</v>
      </c>
      <c r="S26" s="130" t="s">
        <v>95</v>
      </c>
      <c r="T26" s="130" t="s">
        <v>103</v>
      </c>
      <c r="V26" s="225" t="s">
        <v>45</v>
      </c>
      <c r="W26" s="226"/>
      <c r="X26" s="226"/>
      <c r="Y26" s="131" t="s">
        <v>69</v>
      </c>
      <c r="Z26" s="130" t="s">
        <v>70</v>
      </c>
      <c r="AA26" s="130" t="s">
        <v>78</v>
      </c>
      <c r="AB26" s="130" t="s">
        <v>85</v>
      </c>
      <c r="AC26" s="130" t="s">
        <v>95</v>
      </c>
      <c r="AD26" s="130" t="s">
        <v>103</v>
      </c>
    </row>
    <row r="27" spans="2:30">
      <c r="B27" s="3" t="s">
        <v>46</v>
      </c>
      <c r="C27" s="3" t="s">
        <v>47</v>
      </c>
      <c r="D27" s="3" t="s">
        <v>48</v>
      </c>
      <c r="E27" s="10">
        <f t="shared" ref="E27:J27" si="15">E10*((E22*E21)+E23)*E24</f>
        <v>4230.0794464154333</v>
      </c>
      <c r="F27" s="10">
        <f t="shared" si="15"/>
        <v>4399.9412297390991</v>
      </c>
      <c r="G27" s="10">
        <f t="shared" si="15"/>
        <v>4596.8509076278979</v>
      </c>
      <c r="H27" s="10">
        <f t="shared" si="15"/>
        <v>5421.2271222741865</v>
      </c>
      <c r="I27" s="10">
        <f t="shared" si="15"/>
        <v>8861.4968746287886</v>
      </c>
      <c r="J27" s="10">
        <f t="shared" si="15"/>
        <v>6030.3800330173053</v>
      </c>
      <c r="L27" s="3" t="s">
        <v>46</v>
      </c>
      <c r="M27" s="3" t="s">
        <v>47</v>
      </c>
      <c r="N27" s="3" t="s">
        <v>48</v>
      </c>
      <c r="O27" s="10">
        <f t="shared" ref="O27:T27" si="16">O10*((O22*O21)+O23)*O24</f>
        <v>1410.7794400636592</v>
      </c>
      <c r="P27" s="10">
        <f t="shared" si="16"/>
        <v>1468.6473378880523</v>
      </c>
      <c r="Q27" s="10">
        <f t="shared" si="16"/>
        <v>1534.4970147227073</v>
      </c>
      <c r="R27" s="10">
        <f t="shared" si="16"/>
        <v>1816.8524472106953</v>
      </c>
      <c r="S27" s="10">
        <f t="shared" si="16"/>
        <v>2976.2058484511281</v>
      </c>
      <c r="T27" s="10">
        <f t="shared" si="16"/>
        <v>2013.4037553383762</v>
      </c>
      <c r="V27" s="3" t="s">
        <v>46</v>
      </c>
      <c r="W27" s="3" t="s">
        <v>47</v>
      </c>
      <c r="X27" s="3" t="s">
        <v>48</v>
      </c>
      <c r="Y27" s="10">
        <f t="shared" ref="Y27:AD27" si="17">Y10*((Y22*Y21)+Y23)*Y24</f>
        <v>2819.3000063517738</v>
      </c>
      <c r="Z27" s="10">
        <f t="shared" si="17"/>
        <v>2931.2938918510463</v>
      </c>
      <c r="AA27" s="10">
        <f t="shared" si="17"/>
        <v>3062.3538929051906</v>
      </c>
      <c r="AB27" s="10">
        <f t="shared" si="17"/>
        <v>3604.3746750634905</v>
      </c>
      <c r="AC27" s="10">
        <f t="shared" si="17"/>
        <v>5885.2910261776615</v>
      </c>
      <c r="AD27" s="10">
        <f t="shared" si="17"/>
        <v>4016.9762776789285</v>
      </c>
    </row>
    <row r="28" spans="2:30">
      <c r="B28" s="3" t="s">
        <v>49</v>
      </c>
      <c r="C28" s="3" t="s">
        <v>50</v>
      </c>
      <c r="D28" s="3" t="s">
        <v>48</v>
      </c>
      <c r="E28" s="10">
        <f t="shared" ref="E28:J28" si="18">E18*((E22*E21)+E23)*E24</f>
        <v>0</v>
      </c>
      <c r="F28" s="10">
        <f t="shared" si="18"/>
        <v>0</v>
      </c>
      <c r="G28" s="10">
        <f t="shared" si="18"/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L28" s="3" t="s">
        <v>49</v>
      </c>
      <c r="M28" s="3" t="s">
        <v>50</v>
      </c>
      <c r="N28" s="3" t="s">
        <v>48</v>
      </c>
      <c r="O28" s="10">
        <f t="shared" ref="O28:T28" si="19">O18*((O22*O21)+O23)*O24</f>
        <v>0</v>
      </c>
      <c r="P28" s="10">
        <f t="shared" si="19"/>
        <v>0</v>
      </c>
      <c r="Q28" s="10">
        <f t="shared" si="19"/>
        <v>0</v>
      </c>
      <c r="R28" s="10">
        <f t="shared" si="19"/>
        <v>0</v>
      </c>
      <c r="S28" s="10">
        <f t="shared" si="19"/>
        <v>0</v>
      </c>
      <c r="T28" s="10">
        <f t="shared" si="19"/>
        <v>0</v>
      </c>
      <c r="V28" s="3" t="s">
        <v>49</v>
      </c>
      <c r="W28" s="3" t="s">
        <v>50</v>
      </c>
      <c r="X28" s="3" t="s">
        <v>48</v>
      </c>
      <c r="Y28" s="10">
        <f t="shared" ref="Y28:AD28" si="20">Y18*((Y22*Y21)+Y23)*Y24</f>
        <v>0</v>
      </c>
      <c r="Z28" s="10">
        <f t="shared" si="20"/>
        <v>0</v>
      </c>
      <c r="AA28" s="10">
        <f t="shared" si="20"/>
        <v>0</v>
      </c>
      <c r="AB28" s="10">
        <f t="shared" si="20"/>
        <v>0</v>
      </c>
      <c r="AC28" s="10">
        <f t="shared" si="20"/>
        <v>0</v>
      </c>
      <c r="AD28" s="10">
        <f t="shared" si="20"/>
        <v>0</v>
      </c>
    </row>
    <row r="29" spans="2:30">
      <c r="B29" s="3" t="s">
        <v>51</v>
      </c>
      <c r="C29" s="3" t="s">
        <v>52</v>
      </c>
      <c r="D29" s="3" t="s">
        <v>14</v>
      </c>
      <c r="E29" s="9">
        <v>0.84650000000000003</v>
      </c>
      <c r="F29" s="9">
        <v>0.84650000000000003</v>
      </c>
      <c r="G29" s="9">
        <v>0.84650000000000003</v>
      </c>
      <c r="H29" s="9">
        <v>0.84650000000000003</v>
      </c>
      <c r="I29" s="9">
        <v>0.84650000000000003</v>
      </c>
      <c r="J29" s="9">
        <v>0.84650000000000003</v>
      </c>
      <c r="L29" s="3" t="s">
        <v>51</v>
      </c>
      <c r="M29" s="3" t="s">
        <v>52</v>
      </c>
      <c r="N29" s="3" t="s">
        <v>14</v>
      </c>
      <c r="O29" s="9">
        <v>0.84650000000000003</v>
      </c>
      <c r="P29" s="9">
        <v>0.84650000000000003</v>
      </c>
      <c r="Q29" s="9">
        <v>0.84650000000000003</v>
      </c>
      <c r="R29" s="9">
        <v>0.84650000000000003</v>
      </c>
      <c r="S29" s="9">
        <v>0.84650000000000003</v>
      </c>
      <c r="T29" s="9">
        <v>0.84650000000000003</v>
      </c>
      <c r="V29" s="3" t="s">
        <v>51</v>
      </c>
      <c r="W29" s="3" t="s">
        <v>52</v>
      </c>
      <c r="X29" s="3" t="s">
        <v>14</v>
      </c>
      <c r="Y29" s="9">
        <v>0.84650000000000003</v>
      </c>
      <c r="Z29" s="9">
        <v>0.84650000000000003</v>
      </c>
      <c r="AA29" s="9">
        <v>0.84650000000000003</v>
      </c>
      <c r="AB29" s="9">
        <v>0.84650000000000003</v>
      </c>
      <c r="AC29" s="9">
        <v>0.84650000000000003</v>
      </c>
      <c r="AD29" s="9">
        <v>0.84650000000000003</v>
      </c>
    </row>
    <row r="30" spans="2:30">
      <c r="B30" s="3" t="s">
        <v>53</v>
      </c>
      <c r="C30" s="3" t="s">
        <v>54</v>
      </c>
      <c r="D30" s="3" t="s">
        <v>48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L30" s="3" t="s">
        <v>53</v>
      </c>
      <c r="M30" s="3" t="s">
        <v>54</v>
      </c>
      <c r="N30" s="3" t="s">
        <v>48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V30" s="3" t="s">
        <v>53</v>
      </c>
      <c r="W30" s="3" t="s">
        <v>54</v>
      </c>
      <c r="X30" s="3" t="s">
        <v>48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</row>
    <row r="31" spans="2:30" ht="15" thickBot="1">
      <c r="B31" s="11" t="s">
        <v>55</v>
      </c>
      <c r="C31" s="12" t="s">
        <v>56</v>
      </c>
      <c r="D31" s="12" t="s">
        <v>48</v>
      </c>
      <c r="E31" s="100">
        <f t="shared" ref="E31:J31" si="21">((E27-E28)*E29)-E30</f>
        <v>3580.7622513906645</v>
      </c>
      <c r="F31" s="100">
        <f t="shared" si="21"/>
        <v>3724.5502509741473</v>
      </c>
      <c r="G31" s="100">
        <f t="shared" si="21"/>
        <v>3891.2342933070158</v>
      </c>
      <c r="H31" s="100">
        <f t="shared" si="21"/>
        <v>4589.0687590050993</v>
      </c>
      <c r="I31" s="100">
        <f t="shared" si="21"/>
        <v>7501.2571043732696</v>
      </c>
      <c r="J31" s="100">
        <f t="shared" si="21"/>
        <v>5104.7166979491494</v>
      </c>
      <c r="L31" s="11" t="s">
        <v>55</v>
      </c>
      <c r="M31" s="11" t="s">
        <v>56</v>
      </c>
      <c r="N31" s="11" t="s">
        <v>48</v>
      </c>
      <c r="O31" s="101">
        <f t="shared" ref="O31:T31" si="22">((O27-O28)*O29)-O30</f>
        <v>1194.2247960138875</v>
      </c>
      <c r="P31" s="101">
        <f t="shared" si="22"/>
        <v>1243.2099715222364</v>
      </c>
      <c r="Q31" s="101">
        <f t="shared" si="22"/>
        <v>1298.9517229627718</v>
      </c>
      <c r="R31" s="101">
        <f t="shared" si="22"/>
        <v>1537.9655965638538</v>
      </c>
      <c r="S31" s="101">
        <f t="shared" si="22"/>
        <v>2519.3582507138799</v>
      </c>
      <c r="T31" s="101">
        <f t="shared" si="22"/>
        <v>1704.3462788939355</v>
      </c>
      <c r="V31" s="11" t="s">
        <v>55</v>
      </c>
      <c r="W31" s="11" t="s">
        <v>56</v>
      </c>
      <c r="X31" s="11" t="s">
        <v>48</v>
      </c>
      <c r="Y31" s="101">
        <f t="shared" ref="Y31:AD31" si="23">((Y27-Y28)*Y29)-Y30</f>
        <v>2386.5374553767765</v>
      </c>
      <c r="Z31" s="101">
        <f t="shared" si="23"/>
        <v>2481.3402794519106</v>
      </c>
      <c r="AA31" s="101">
        <f t="shared" si="23"/>
        <v>2592.282570344244</v>
      </c>
      <c r="AB31" s="101">
        <f t="shared" si="23"/>
        <v>3051.1031624412449</v>
      </c>
      <c r="AC31" s="101">
        <f t="shared" si="23"/>
        <v>4981.8988536593906</v>
      </c>
      <c r="AD31" s="101">
        <f t="shared" si="23"/>
        <v>3400.370419055213</v>
      </c>
    </row>
    <row r="32" spans="2:30">
      <c r="C32" s="229" t="s">
        <v>239</v>
      </c>
      <c r="D32" s="230"/>
      <c r="E32" s="227">
        <f>SUM(O32,Y32)</f>
        <v>3580</v>
      </c>
      <c r="F32" s="227">
        <f t="shared" ref="F32:J32" si="24">SUM(P32,Z32)</f>
        <v>3724</v>
      </c>
      <c r="G32" s="227">
        <f t="shared" si="24"/>
        <v>3890</v>
      </c>
      <c r="H32" s="227">
        <f t="shared" si="24"/>
        <v>4588</v>
      </c>
      <c r="I32" s="227">
        <f t="shared" si="24"/>
        <v>7500</v>
      </c>
      <c r="J32" s="227">
        <f t="shared" si="24"/>
        <v>5104</v>
      </c>
      <c r="M32" s="229" t="s">
        <v>240</v>
      </c>
      <c r="N32" s="230"/>
      <c r="O32" s="227">
        <f t="shared" ref="O32:T32" si="25">ROUNDDOWN(O31,0)</f>
        <v>1194</v>
      </c>
      <c r="P32" s="227">
        <f t="shared" si="25"/>
        <v>1243</v>
      </c>
      <c r="Q32" s="227">
        <f t="shared" si="25"/>
        <v>1298</v>
      </c>
      <c r="R32" s="227">
        <f t="shared" si="25"/>
        <v>1537</v>
      </c>
      <c r="S32" s="227">
        <f t="shared" si="25"/>
        <v>2519</v>
      </c>
      <c r="T32" s="227">
        <f t="shared" si="25"/>
        <v>1704</v>
      </c>
      <c r="W32" s="229" t="s">
        <v>241</v>
      </c>
      <c r="X32" s="230"/>
      <c r="Y32" s="227">
        <f t="shared" ref="Y32:AD32" si="26">ROUNDDOWN(Y31,0)</f>
        <v>2386</v>
      </c>
      <c r="Z32" s="227">
        <f t="shared" si="26"/>
        <v>2481</v>
      </c>
      <c r="AA32" s="227">
        <f t="shared" si="26"/>
        <v>2592</v>
      </c>
      <c r="AB32" s="227">
        <f t="shared" si="26"/>
        <v>3051</v>
      </c>
      <c r="AC32" s="227">
        <f t="shared" si="26"/>
        <v>4981</v>
      </c>
      <c r="AD32" s="227">
        <f t="shared" si="26"/>
        <v>3400</v>
      </c>
    </row>
    <row r="33" spans="3:30" ht="15" thickBot="1">
      <c r="C33" s="231"/>
      <c r="D33" s="232"/>
      <c r="E33" s="228"/>
      <c r="F33" s="228"/>
      <c r="G33" s="228"/>
      <c r="H33" s="228"/>
      <c r="I33" s="228"/>
      <c r="J33" s="228"/>
      <c r="M33" s="231"/>
      <c r="N33" s="232"/>
      <c r="O33" s="228"/>
      <c r="P33" s="228"/>
      <c r="Q33" s="228"/>
      <c r="R33" s="228"/>
      <c r="S33" s="228"/>
      <c r="T33" s="228"/>
      <c r="W33" s="231"/>
      <c r="X33" s="232"/>
      <c r="Y33" s="228"/>
      <c r="Z33" s="228"/>
      <c r="AA33" s="228"/>
      <c r="AB33" s="228"/>
      <c r="AC33" s="228"/>
      <c r="AD33" s="228"/>
    </row>
    <row r="34" spans="3:30">
      <c r="E34" s="53"/>
      <c r="F34" s="53"/>
      <c r="G34" s="53"/>
      <c r="H34" s="53"/>
      <c r="I34" s="53"/>
      <c r="J34" s="53"/>
      <c r="O34" s="53"/>
      <c r="P34" s="53"/>
      <c r="Q34" s="53"/>
      <c r="R34" s="53"/>
      <c r="S34" s="53"/>
      <c r="T34" s="53"/>
      <c r="W34" s="62"/>
      <c r="X34" s="62"/>
      <c r="Y34" s="53"/>
      <c r="Z34" s="53"/>
      <c r="AA34" s="53"/>
      <c r="AB34" s="53"/>
      <c r="AC34" s="53"/>
      <c r="AD34" s="53"/>
    </row>
  </sheetData>
  <mergeCells count="36">
    <mergeCell ref="Z32:Z33"/>
    <mergeCell ref="AA32:AA33"/>
    <mergeCell ref="AB32:AB33"/>
    <mergeCell ref="AC32:AC33"/>
    <mergeCell ref="AD32:AD33"/>
    <mergeCell ref="L4:N4"/>
    <mergeCell ref="L12:N12"/>
    <mergeCell ref="L20:N20"/>
    <mergeCell ref="L26:N26"/>
    <mergeCell ref="P32:P33"/>
    <mergeCell ref="V26:X26"/>
    <mergeCell ref="F32:F33"/>
    <mergeCell ref="G32:G33"/>
    <mergeCell ref="H32:H33"/>
    <mergeCell ref="I32:I33"/>
    <mergeCell ref="J32:J33"/>
    <mergeCell ref="Q32:Q33"/>
    <mergeCell ref="R32:R33"/>
    <mergeCell ref="S32:S33"/>
    <mergeCell ref="T32:T33"/>
    <mergeCell ref="Y32:Y33"/>
    <mergeCell ref="B26:D26"/>
    <mergeCell ref="B12:D12"/>
    <mergeCell ref="B20:D20"/>
    <mergeCell ref="B2:E2"/>
    <mergeCell ref="L2:O2"/>
    <mergeCell ref="V2:Y2"/>
    <mergeCell ref="B4:D4"/>
    <mergeCell ref="C32:D33"/>
    <mergeCell ref="E32:E33"/>
    <mergeCell ref="M32:N33"/>
    <mergeCell ref="O32:O33"/>
    <mergeCell ref="W32:X33"/>
    <mergeCell ref="V4:X4"/>
    <mergeCell ref="V12:X12"/>
    <mergeCell ref="V20:X20"/>
  </mergeCells>
  <phoneticPr fontId="1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F8C2-1596-450B-B898-3D3E6C7AD240}">
  <dimension ref="A1:C14"/>
  <sheetViews>
    <sheetView tabSelected="1" workbookViewId="0">
      <selection activeCell="C9" sqref="C9:C14"/>
    </sheetView>
  </sheetViews>
  <sheetFormatPr defaultRowHeight="14.5"/>
  <sheetData>
    <row r="1" spans="1:3" ht="15" thickBot="1">
      <c r="A1" s="233">
        <v>508</v>
      </c>
      <c r="B1" s="234">
        <v>1010</v>
      </c>
      <c r="C1">
        <f>SUM(A1:B1)</f>
        <v>1518</v>
      </c>
    </row>
    <row r="2" spans="1:3" ht="15" thickBot="1">
      <c r="A2" s="235">
        <v>529</v>
      </c>
      <c r="B2" s="236">
        <v>1050</v>
      </c>
      <c r="C2">
        <f t="shared" ref="C2:C6" si="0">SUM(A2:B2)</f>
        <v>1579</v>
      </c>
    </row>
    <row r="3" spans="1:3" ht="15" thickBot="1">
      <c r="A3" s="235">
        <v>553</v>
      </c>
      <c r="B3" s="236">
        <v>1097</v>
      </c>
      <c r="C3">
        <f t="shared" si="0"/>
        <v>1650</v>
      </c>
    </row>
    <row r="4" spans="1:3" ht="15" thickBot="1">
      <c r="A4" s="235">
        <v>655</v>
      </c>
      <c r="B4" s="236">
        <v>1291</v>
      </c>
      <c r="C4">
        <f t="shared" si="0"/>
        <v>1946</v>
      </c>
    </row>
    <row r="5" spans="1:3" ht="15" thickBot="1">
      <c r="A5" s="235">
        <v>1073</v>
      </c>
      <c r="B5" s="236">
        <v>2108</v>
      </c>
      <c r="C5">
        <f t="shared" si="0"/>
        <v>3181</v>
      </c>
    </row>
    <row r="6" spans="1:3" ht="15" thickBot="1">
      <c r="A6" s="235">
        <v>726</v>
      </c>
      <c r="B6" s="236">
        <v>1439</v>
      </c>
      <c r="C6">
        <f t="shared" si="0"/>
        <v>2165</v>
      </c>
    </row>
    <row r="8" spans="1:3" ht="15" thickBot="1"/>
    <row r="9" spans="1:3" ht="15" thickBot="1">
      <c r="A9" s="237">
        <v>936</v>
      </c>
      <c r="B9" s="238">
        <v>1860</v>
      </c>
      <c r="C9">
        <f>SUM(A9:B9)</f>
        <v>2796</v>
      </c>
    </row>
    <row r="10" spans="1:3" ht="15" thickBot="1">
      <c r="A10" s="239">
        <v>975</v>
      </c>
      <c r="B10" s="240">
        <v>1934</v>
      </c>
      <c r="C10">
        <f t="shared" ref="C10:C14" si="1">SUM(A10:B10)</f>
        <v>2909</v>
      </c>
    </row>
    <row r="11" spans="1:3" ht="15" thickBot="1">
      <c r="A11" s="241">
        <v>1018</v>
      </c>
      <c r="B11" s="240">
        <v>2020</v>
      </c>
      <c r="C11">
        <f t="shared" si="1"/>
        <v>3038</v>
      </c>
    </row>
    <row r="12" spans="1:3" ht="15" thickBot="1">
      <c r="A12" s="241">
        <v>1206</v>
      </c>
      <c r="B12" s="240">
        <v>2378</v>
      </c>
      <c r="C12">
        <f t="shared" si="1"/>
        <v>3584</v>
      </c>
    </row>
    <row r="13" spans="1:3" ht="15" thickBot="1">
      <c r="A13" s="242">
        <v>1975</v>
      </c>
      <c r="B13" s="240">
        <v>3882</v>
      </c>
      <c r="C13">
        <f t="shared" si="1"/>
        <v>5857</v>
      </c>
    </row>
    <row r="14" spans="1:3" ht="15" thickBot="1">
      <c r="A14" s="242">
        <v>1336</v>
      </c>
      <c r="B14" s="240">
        <v>2650</v>
      </c>
      <c r="C14">
        <f t="shared" si="1"/>
        <v>3986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8" ma:contentTypeDescription="Create a new document." ma:contentTypeScope="" ma:versionID="b226a1ea21649a100061dd9334a0ff29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47ec46c11d9c0a41c04b0b2e320488eb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76B9F-7D5C-4903-914E-98B1918AAD38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83a6049c-05c8-4e22-bd03-2c19a5f84a8b"/>
    <ds:schemaRef ds:uri="8bcd9205-aa71-43b1-82fe-dcc00a36dd0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CEEA6C-DE34-4938-8761-93BE09C78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4DC26-C278-42C4-A2E1-C1ED39FCE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Total PTDs</vt:lpstr>
      <vt:lpstr>Maintenance</vt:lpstr>
      <vt:lpstr>Treatment Capacity</vt:lpstr>
      <vt:lpstr>SDG Impacts</vt:lpstr>
      <vt:lpstr>All VPAs</vt:lpstr>
      <vt:lpstr>Uncapped Emissions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</dc:creator>
  <cp:lastModifiedBy>shalini yadav</cp:lastModifiedBy>
  <cp:revision/>
  <dcterms:created xsi:type="dcterms:W3CDTF">2015-06-30T12:25:02Z</dcterms:created>
  <dcterms:modified xsi:type="dcterms:W3CDTF">2023-10-06T11:40:22Z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