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G:\.shortcut-targets-by-id\0Bwi2Us7e0bfFNDZ4N1BmeFdWQm8\Projects\Uganda\EcoZoom VPAs\Issuance 2\Carbon Check\Round 02\Supporting Documents\"/>
    </mc:Choice>
  </mc:AlternateContent>
  <xr:revisionPtr revIDLastSave="0" documentId="13_ncr:1_{96ABE019-AD7D-44EA-875F-10A1EF83655E}" xr6:coauthVersionLast="47" xr6:coauthVersionMax="47" xr10:uidLastSave="{00000000-0000-0000-0000-000000000000}"/>
  <bookViews>
    <workbookView xWindow="-110" yWindow="490" windowWidth="19420" windowHeight="10420" activeTab="2" xr2:uid="{00000000-000D-0000-FFFF-FFFF00000000}"/>
  </bookViews>
  <sheets>
    <sheet name="Summary of SDGs_Exante" sheetId="2" r:id="rId1"/>
    <sheet name="Summary of SDGs_Expost" sheetId="1" r:id="rId2"/>
    <sheet name="Actual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pGk1WOcpBbtmypo4dRPUiXoKopQ=="/>
    </ext>
  </extLst>
</workbook>
</file>

<file path=xl/calcChain.xml><?xml version="1.0" encoding="utf-8"?>
<calcChain xmlns="http://schemas.openxmlformats.org/spreadsheetml/2006/main">
  <c r="C15" i="3" l="1"/>
  <c r="C12" i="3"/>
  <c r="C6" i="3"/>
  <c r="C5" i="3"/>
  <c r="C9" i="3" l="1"/>
  <c r="C8" i="3"/>
  <c r="C7" i="3"/>
  <c r="E23" i="1" l="1"/>
  <c r="E25" i="1" s="1"/>
  <c r="E26" i="1" s="1"/>
  <c r="C16" i="1"/>
  <c r="C14" i="2"/>
  <c r="E38" i="2"/>
  <c r="E37" i="2"/>
  <c r="E35" i="2"/>
  <c r="E53" i="2"/>
  <c r="C4" i="2"/>
  <c r="E24" i="2"/>
  <c r="C13" i="3"/>
  <c r="C5" i="1" l="1"/>
  <c r="D30" i="1" s="1"/>
  <c r="C14" i="3"/>
  <c r="C30" i="1"/>
  <c r="F30" i="3"/>
  <c r="E30" i="3"/>
  <c r="E30" i="1" l="1"/>
  <c r="C17" i="3"/>
  <c r="F32" i="3" l="1"/>
  <c r="G32" i="3" s="1"/>
  <c r="E32" i="3"/>
  <c r="H32" i="3" l="1"/>
  <c r="I32" i="3"/>
  <c r="F31" i="3"/>
  <c r="F33" i="3" s="1"/>
  <c r="E31" i="3"/>
  <c r="E33" i="3" s="1"/>
  <c r="D31" i="3"/>
  <c r="D30" i="3"/>
  <c r="C10" i="3"/>
  <c r="I30" i="3" l="1"/>
  <c r="G30" i="3"/>
  <c r="H30" i="3"/>
  <c r="H31" i="3"/>
  <c r="I31" i="3"/>
  <c r="J30" i="3"/>
  <c r="G31" i="3"/>
  <c r="G33" i="3" l="1"/>
  <c r="I33" i="3"/>
  <c r="H33" i="3"/>
  <c r="J32" i="3"/>
  <c r="J31" i="3"/>
  <c r="J33" i="3" s="1"/>
  <c r="E16" i="1" l="1"/>
  <c r="D17" i="1"/>
  <c r="D18" i="1"/>
  <c r="D19" i="1"/>
  <c r="D20" i="1"/>
  <c r="D21" i="1"/>
  <c r="D22" i="1"/>
  <c r="D16" i="1"/>
  <c r="C17" i="1"/>
  <c r="C18" i="1"/>
  <c r="C19" i="1"/>
  <c r="C20" i="1"/>
  <c r="C21" i="1"/>
  <c r="C22" i="1"/>
  <c r="C28" i="2" l="1"/>
  <c r="D15" i="2"/>
  <c r="D16" i="2"/>
  <c r="D17" i="2"/>
  <c r="D18" i="2"/>
  <c r="D19" i="2"/>
  <c r="D20" i="2"/>
  <c r="D14" i="2"/>
  <c r="C15" i="2"/>
  <c r="C16" i="2"/>
  <c r="C17" i="2"/>
  <c r="C18" i="2"/>
  <c r="C19" i="2"/>
  <c r="C20" i="2"/>
  <c r="D50" i="2" l="1"/>
  <c r="C50" i="2"/>
  <c r="E48" i="2"/>
  <c r="E49" i="2"/>
  <c r="C33" i="2"/>
  <c r="D33" i="2"/>
  <c r="C34" i="2"/>
  <c r="D34" i="2"/>
  <c r="E34" i="2" l="1"/>
  <c r="E33" i="2"/>
  <c r="C35" i="1"/>
  <c r="D35" i="1"/>
  <c r="C36" i="1"/>
  <c r="D36" i="1"/>
  <c r="E12" i="1"/>
  <c r="E10" i="2"/>
  <c r="E20" i="2"/>
  <c r="E47" i="2"/>
  <c r="E46" i="2"/>
  <c r="E45" i="2"/>
  <c r="D52" i="2"/>
  <c r="E44" i="2"/>
  <c r="C52" i="2"/>
  <c r="C21" i="2"/>
  <c r="E36" i="1" l="1"/>
  <c r="E21" i="1"/>
  <c r="E22" i="1"/>
  <c r="E35" i="1"/>
  <c r="E19" i="2"/>
  <c r="C53" i="2"/>
  <c r="D53" i="2"/>
  <c r="E43" i="2"/>
  <c r="E50" i="2" l="1"/>
  <c r="E52" i="2" s="1"/>
  <c r="D32" i="2"/>
  <c r="C32" i="2"/>
  <c r="D31" i="2"/>
  <c r="C31" i="2"/>
  <c r="D30" i="2"/>
  <c r="C30" i="2"/>
  <c r="D29" i="2"/>
  <c r="C29" i="2"/>
  <c r="D28" i="2"/>
  <c r="E18" i="2"/>
  <c r="E17" i="2"/>
  <c r="E15" i="2"/>
  <c r="C23" i="2"/>
  <c r="C24" i="2" s="1"/>
  <c r="D21" i="2" l="1"/>
  <c r="D23" i="2" s="1"/>
  <c r="D24" i="2" s="1"/>
  <c r="C35" i="2"/>
  <c r="C37" i="2" s="1"/>
  <c r="C38" i="2" s="1"/>
  <c r="D35" i="2"/>
  <c r="D37" i="2" s="1"/>
  <c r="D38" i="2" s="1"/>
  <c r="E30" i="2"/>
  <c r="E29" i="2"/>
  <c r="E31" i="2"/>
  <c r="E14" i="2"/>
  <c r="E16" i="2"/>
  <c r="E32" i="2"/>
  <c r="E28" i="2"/>
  <c r="C23" i="1"/>
  <c r="D34" i="1"/>
  <c r="C34" i="1"/>
  <c r="D33" i="1"/>
  <c r="C33" i="1"/>
  <c r="D32" i="1"/>
  <c r="C32" i="1"/>
  <c r="D31" i="1"/>
  <c r="C31" i="1"/>
  <c r="D23" i="1"/>
  <c r="D37" i="1" l="1"/>
  <c r="C37" i="1"/>
  <c r="C39" i="1" s="1"/>
  <c r="C40" i="1" s="1"/>
  <c r="E21" i="2"/>
  <c r="E23" i="2" s="1"/>
  <c r="E18" i="1"/>
  <c r="E17" i="1"/>
  <c r="E31" i="1"/>
  <c r="E33" i="1"/>
  <c r="E19" i="1"/>
  <c r="D25" i="1"/>
  <c r="D26" i="1" s="1"/>
  <c r="E20" i="1"/>
  <c r="E32" i="1"/>
  <c r="E34" i="1"/>
  <c r="C25" i="1"/>
  <c r="C26" i="1" s="1"/>
  <c r="E37" i="1" l="1"/>
  <c r="E39" i="1" s="1"/>
  <c r="E40" i="1" s="1"/>
  <c r="D39" i="1"/>
  <c r="D40" i="1" s="1"/>
</calcChain>
</file>

<file path=xl/sharedStrings.xml><?xml version="1.0" encoding="utf-8"?>
<sst xmlns="http://schemas.openxmlformats.org/spreadsheetml/2006/main" count="188" uniqueCount="88">
  <si>
    <t>Input variables</t>
  </si>
  <si>
    <t>Stoves deployed</t>
  </si>
  <si>
    <t>SDG 3 (Good Health and Well Being) - coughing bouts per day</t>
  </si>
  <si>
    <t>Year</t>
  </si>
  <si>
    <t>Baseline estimate</t>
  </si>
  <si>
    <t>Project estimate</t>
  </si>
  <si>
    <t>Net benefit</t>
  </si>
  <si>
    <t>Year 1</t>
  </si>
  <si>
    <t>Year 2</t>
  </si>
  <si>
    <t>Year 3</t>
  </si>
  <si>
    <t>Year 4</t>
  </si>
  <si>
    <t>Year 5</t>
  </si>
  <si>
    <t>Total</t>
  </si>
  <si>
    <t>Total number of crediting years</t>
  </si>
  <si>
    <t>Annual average over the crediting period</t>
  </si>
  <si>
    <t>SDG 7 (Affordable and Clean Energy) - tons/hh per year</t>
  </si>
  <si>
    <t>Start</t>
  </si>
  <si>
    <t>End</t>
  </si>
  <si>
    <t>Duration (Days)</t>
  </si>
  <si>
    <t>SDG 13 (Climate Change) - tonsCo2eq per year</t>
  </si>
  <si>
    <t>Total Amount of certified SDG impact achieved in the 1st monitoring period</t>
  </si>
  <si>
    <t>Year 6</t>
  </si>
  <si>
    <t>Year 7</t>
  </si>
  <si>
    <t>Estimated amount of SDG impact for the duration of the 2nd Monitoring period</t>
  </si>
  <si>
    <t>Source</t>
  </si>
  <si>
    <t>Project database</t>
  </si>
  <si>
    <t>Project KPT</t>
  </si>
  <si>
    <t>Kitchen Survey</t>
  </si>
  <si>
    <r>
      <t>S</t>
    </r>
    <r>
      <rPr>
        <vertAlign val="subscript"/>
        <sz val="11"/>
        <color theme="1"/>
        <rFont val="Calibri"/>
        <family val="2"/>
      </rPr>
      <t>by(Coughing Bouts per day in the Baseline scenario)</t>
    </r>
  </si>
  <si>
    <r>
      <t>S</t>
    </r>
    <r>
      <rPr>
        <vertAlign val="subscript"/>
        <sz val="11"/>
        <color theme="1"/>
        <rFont val="Calibri"/>
        <family val="2"/>
      </rPr>
      <t>py(Coughing Bouts per day in the Project scenario)</t>
    </r>
  </si>
  <si>
    <t>stoves</t>
  </si>
  <si>
    <t>tons/hh_day</t>
  </si>
  <si>
    <t>Coughing Bouts/day</t>
  </si>
  <si>
    <t>Value</t>
  </si>
  <si>
    <t>Units</t>
  </si>
  <si>
    <t>Monitoring Period Start Date</t>
  </si>
  <si>
    <t>Monitoring Period End Date</t>
  </si>
  <si>
    <t>Quantity</t>
  </si>
  <si>
    <t>Stoves</t>
  </si>
  <si>
    <t>Sales summary</t>
  </si>
  <si>
    <t>Project Duration (Days)</t>
  </si>
  <si>
    <t>Days</t>
  </si>
  <si>
    <r>
      <t>N</t>
    </r>
    <r>
      <rPr>
        <b/>
        <vertAlign val="subscript"/>
        <sz val="11"/>
        <color theme="1"/>
        <rFont val="Calibri"/>
        <family val="2"/>
        <scheme val="minor"/>
      </rPr>
      <t>py</t>
    </r>
  </si>
  <si>
    <t>Project Technology Days</t>
  </si>
  <si>
    <r>
      <t>SDG 3 Monitored parameter (S</t>
    </r>
    <r>
      <rPr>
        <b/>
        <vertAlign val="subscript"/>
        <sz val="11"/>
        <color theme="1"/>
        <rFont val="Calibri"/>
        <family val="2"/>
        <scheme val="minor"/>
      </rPr>
      <t>Baseline</t>
    </r>
    <r>
      <rPr>
        <b/>
        <sz val="11"/>
        <color theme="1"/>
        <rFont val="Calibri"/>
        <family val="2"/>
        <scheme val="minor"/>
      </rPr>
      <t xml:space="preserve"> = S</t>
    </r>
    <r>
      <rPr>
        <b/>
        <vertAlign val="subscript"/>
        <sz val="11"/>
        <color theme="1"/>
        <rFont val="Calibri"/>
        <family val="2"/>
        <scheme val="minor"/>
      </rPr>
      <t>savings</t>
    </r>
    <r>
      <rPr>
        <b/>
        <sz val="11"/>
        <color theme="1"/>
        <rFont val="Calibri"/>
        <family val="2"/>
        <scheme val="minor"/>
      </rPr>
      <t>)</t>
    </r>
  </si>
  <si>
    <t>Coughing bouts per hh per day</t>
  </si>
  <si>
    <t>tons/hh-day</t>
  </si>
  <si>
    <t>Usage Rate</t>
  </si>
  <si>
    <t>Fraction</t>
  </si>
  <si>
    <t>Usage Survey</t>
  </si>
  <si>
    <t>SDG 13 - Climate Action</t>
  </si>
  <si>
    <t>SDG 7 (Affordable and Clean Energy)-saved tons of biomass</t>
  </si>
  <si>
    <t>Start Dates</t>
  </si>
  <si>
    <t>End Dates</t>
  </si>
  <si>
    <t>Stoves distributed</t>
  </si>
  <si>
    <t>SDG 3 (good Health and Well-Being) -Avoided coughing bouts  per day</t>
  </si>
  <si>
    <t>Baseline</t>
  </si>
  <si>
    <t>Project</t>
  </si>
  <si>
    <t>Savings</t>
  </si>
  <si>
    <r>
      <t>SDG 7 Monitored parameter (P</t>
    </r>
    <r>
      <rPr>
        <b/>
        <vertAlign val="subscript"/>
        <sz val="11"/>
        <color theme="1"/>
        <rFont val="Calibri"/>
        <family val="2"/>
        <scheme val="minor"/>
      </rPr>
      <t>Baseline</t>
    </r>
    <r>
      <rPr>
        <b/>
        <sz val="11"/>
        <color theme="1"/>
        <rFont val="Calibri"/>
        <family val="2"/>
        <scheme val="minor"/>
      </rPr>
      <t>)Charcoal</t>
    </r>
  </si>
  <si>
    <r>
      <t>SDG 7 Monitored parameter (P</t>
    </r>
    <r>
      <rPr>
        <b/>
        <vertAlign val="subscript"/>
        <sz val="11"/>
        <color theme="1"/>
        <rFont val="Calibri"/>
        <family val="2"/>
        <scheme val="minor"/>
      </rPr>
      <t>Project</t>
    </r>
    <r>
      <rPr>
        <b/>
        <sz val="11"/>
        <color theme="1"/>
        <rFont val="Calibri"/>
        <family val="2"/>
        <scheme val="minor"/>
      </rPr>
      <t>)Charcoal</t>
    </r>
  </si>
  <si>
    <r>
      <t>SDG 7 Monitored parameter (P</t>
    </r>
    <r>
      <rPr>
        <b/>
        <vertAlign val="subscript"/>
        <sz val="11"/>
        <color theme="1"/>
        <rFont val="Calibri"/>
        <family val="2"/>
        <scheme val="minor"/>
      </rPr>
      <t>savings</t>
    </r>
    <r>
      <rPr>
        <b/>
        <sz val="11"/>
        <color theme="1"/>
        <rFont val="Calibri"/>
        <family val="2"/>
        <scheme val="minor"/>
      </rPr>
      <t>)Charcoal</t>
    </r>
  </si>
  <si>
    <t>Baseline KPT</t>
  </si>
  <si>
    <r>
      <t>SDG 7 Monitored parameter (P</t>
    </r>
    <r>
      <rPr>
        <b/>
        <vertAlign val="subscript"/>
        <sz val="11"/>
        <color theme="1"/>
        <rFont val="Calibri"/>
        <family val="2"/>
        <scheme val="minor"/>
      </rPr>
      <t>Baseline</t>
    </r>
    <r>
      <rPr>
        <b/>
        <sz val="11"/>
        <color theme="1"/>
        <rFont val="Calibri"/>
        <family val="2"/>
        <scheme val="minor"/>
      </rPr>
      <t>)wood</t>
    </r>
  </si>
  <si>
    <r>
      <t>SDG 7 Monitored parameter (P</t>
    </r>
    <r>
      <rPr>
        <b/>
        <vertAlign val="subscript"/>
        <sz val="11"/>
        <color theme="1"/>
        <rFont val="Calibri"/>
        <family val="2"/>
        <scheme val="minor"/>
      </rPr>
      <t>Project</t>
    </r>
    <r>
      <rPr>
        <b/>
        <sz val="11"/>
        <color theme="1"/>
        <rFont val="Calibri"/>
        <family val="2"/>
        <scheme val="minor"/>
      </rPr>
      <t>)wood</t>
    </r>
  </si>
  <si>
    <r>
      <t>SDG 7 Monitored parameter (P</t>
    </r>
    <r>
      <rPr>
        <b/>
        <vertAlign val="subscript"/>
        <sz val="11"/>
        <color theme="1"/>
        <rFont val="Calibri"/>
        <family val="2"/>
        <scheme val="minor"/>
      </rPr>
      <t>savings</t>
    </r>
    <r>
      <rPr>
        <b/>
        <sz val="11"/>
        <color theme="1"/>
        <rFont val="Calibri"/>
        <family val="2"/>
        <scheme val="minor"/>
      </rPr>
      <t>)wood</t>
    </r>
  </si>
  <si>
    <r>
      <t>P</t>
    </r>
    <r>
      <rPr>
        <vertAlign val="subscript"/>
        <sz val="11"/>
        <color theme="1"/>
        <rFont val="Calibri"/>
        <family val="2"/>
      </rPr>
      <t>by (Baseline fuel use)(tons/hh_day)</t>
    </r>
  </si>
  <si>
    <r>
      <t>P</t>
    </r>
    <r>
      <rPr>
        <vertAlign val="subscript"/>
        <sz val="11"/>
        <color theme="1"/>
        <rFont val="Calibri"/>
        <family val="2"/>
      </rPr>
      <t>py (Project fuel use)(tons/hh_day)</t>
    </r>
  </si>
  <si>
    <r>
      <t>P</t>
    </r>
    <r>
      <rPr>
        <vertAlign val="subscript"/>
        <sz val="11"/>
        <color theme="1"/>
        <rFont val="Calibri"/>
        <family val="2"/>
      </rPr>
      <t>by (Baseline charcoal+wood use)(tons/hh_day)</t>
    </r>
  </si>
  <si>
    <r>
      <t>P</t>
    </r>
    <r>
      <rPr>
        <vertAlign val="subscript"/>
        <sz val="11"/>
        <color theme="1"/>
        <rFont val="Calibri"/>
        <family val="2"/>
      </rPr>
      <t>py (Project wood+charcoal use)(tons/hh_day)</t>
    </r>
  </si>
  <si>
    <t>2nd Monitoring period</t>
  </si>
  <si>
    <t>Monitoring Period</t>
  </si>
  <si>
    <t xml:space="preserve">Duration </t>
  </si>
  <si>
    <t>Years</t>
  </si>
  <si>
    <t>Project Duration (Days) for AR4 GWPs</t>
  </si>
  <si>
    <t>Project Duration (Days) for AR5 GWPs</t>
  </si>
  <si>
    <t>MP start</t>
  </si>
  <si>
    <t>MP end</t>
  </si>
  <si>
    <t>Using AR5 GWPs</t>
  </si>
  <si>
    <t>MP Start</t>
  </si>
  <si>
    <t>MP End</t>
  </si>
  <si>
    <t>Using AR4 GWPs</t>
  </si>
  <si>
    <t>Monitoring period using different Global Warming Potentials</t>
  </si>
  <si>
    <r>
      <t>N</t>
    </r>
    <r>
      <rPr>
        <b/>
        <vertAlign val="subscript"/>
        <sz val="11"/>
        <color theme="1"/>
        <rFont val="Calibri"/>
        <family val="2"/>
        <scheme val="minor"/>
      </rPr>
      <t>py</t>
    </r>
    <r>
      <rPr>
        <b/>
        <sz val="11"/>
        <color theme="1"/>
        <rFont val="Calibri"/>
        <family val="2"/>
        <scheme val="minor"/>
      </rPr>
      <t>AR4 GWP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</si>
  <si>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py</t>
    </r>
    <r>
      <rPr>
        <b/>
        <sz val="11"/>
        <color theme="1"/>
        <rFont val="Calibri"/>
        <family val="2"/>
        <scheme val="minor"/>
      </rPr>
      <t>AR5 GWP</t>
    </r>
  </si>
  <si>
    <r>
      <t>Value (tCO</t>
    </r>
    <r>
      <rPr>
        <b/>
        <vertAlign val="subscript"/>
        <sz val="11"/>
        <color rgb="FF000000"/>
        <rFont val="Calibri"/>
        <family val="2"/>
      </rPr>
      <t>2e</t>
    </r>
    <r>
      <rPr>
        <b/>
        <sz val="11"/>
        <color rgb="FF000000"/>
        <rFont val="Calibri"/>
        <family val="2"/>
      </rPr>
      <t>)</t>
    </r>
  </si>
  <si>
    <t>Emission Calculation Spreadsheet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</si>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</sst>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0"/>
    <numFmt numFmtId="165" formatCode="0.000"/>
    <numFmt numFmtId="166" formatCode="0.0"/>
    <numFmt numFmtId="167" formatCode="_-* #,##0_-;\-* #,##0_-;_-* &quot;-&quot;??_-;_-@_-"/>
    <numFmt numFmtId="168" formatCode="#,##0.00000"/>
    <numFmt numFmtId="169" formatCode="#,##0.000000"/>
    <numFmt numFmtId="170" formatCode="#,##0.0000"/>
  </numFmts>
  <fonts count="23">
    <font>
      <sz val="11"/>
      <color theme="1"/>
      <name val="Arial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Avenir"/>
    </font>
    <font>
      <sz val="11"/>
      <color theme="1"/>
      <name val="Avenir"/>
    </font>
    <font>
      <sz val="11"/>
      <name val="Arial"/>
      <family val="2"/>
    </font>
    <font>
      <vertAlign val="subscript"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aj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rgb="FF4D4D4C"/>
      <name val="Verdana"/>
      <family val="2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0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14" fontId="0" fillId="0" borderId="0" xfId="0" applyNumberFormat="1" applyFont="1" applyAlignment="1"/>
    <xf numFmtId="14" fontId="2" fillId="0" borderId="0" xfId="0" applyNumberFormat="1" applyFont="1" applyAlignment="1">
      <alignment horizontal="center"/>
    </xf>
    <xf numFmtId="1" fontId="0" fillId="0" borderId="0" xfId="0" applyNumberFormat="1" applyFont="1" applyAlignment="1"/>
    <xf numFmtId="0" fontId="10" fillId="0" borderId="7" xfId="0" applyFont="1" applyBorder="1" applyAlignment="1">
      <alignment horizontal="center"/>
    </xf>
    <xf numFmtId="0" fontId="10" fillId="0" borderId="0" xfId="0" applyFont="1"/>
    <xf numFmtId="1" fontId="11" fillId="0" borderId="0" xfId="0" applyNumberFormat="1" applyFont="1" applyAlignment="1">
      <alignment horizontal="center"/>
    </xf>
    <xf numFmtId="0" fontId="9" fillId="0" borderId="0" xfId="0" applyFont="1" applyAlignment="1"/>
    <xf numFmtId="14" fontId="9" fillId="0" borderId="0" xfId="0" applyNumberFormat="1" applyFont="1" applyAlignment="1"/>
    <xf numFmtId="0" fontId="15" fillId="0" borderId="0" xfId="0" applyFont="1"/>
    <xf numFmtId="166" fontId="2" fillId="0" borderId="0" xfId="0" applyNumberFormat="1" applyFont="1" applyAlignment="1">
      <alignment horizontal="center"/>
    </xf>
    <xf numFmtId="0" fontId="16" fillId="0" borderId="0" xfId="0" applyFont="1" applyAlignment="1"/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6" fontId="15" fillId="0" borderId="0" xfId="0" applyNumberFormat="1" applyFont="1" applyAlignment="1">
      <alignment horizontal="center"/>
    </xf>
    <xf numFmtId="0" fontId="9" fillId="0" borderId="7" xfId="0" applyFont="1" applyBorder="1" applyAlignment="1"/>
    <xf numFmtId="0" fontId="16" fillId="0" borderId="7" xfId="0" applyFont="1" applyBorder="1" applyAlignment="1"/>
    <xf numFmtId="0" fontId="13" fillId="0" borderId="0" xfId="0" applyFont="1" applyAlignment="1">
      <alignment wrapText="1"/>
    </xf>
    <xf numFmtId="14" fontId="13" fillId="0" borderId="0" xfId="0" applyNumberFormat="1" applyFont="1"/>
    <xf numFmtId="0" fontId="0" fillId="0" borderId="0" xfId="0"/>
    <xf numFmtId="0" fontId="13" fillId="2" borderId="8" xfId="0" applyFont="1" applyFill="1" applyBorder="1"/>
    <xf numFmtId="14" fontId="13" fillId="2" borderId="9" xfId="0" applyNumberFormat="1" applyFont="1" applyFill="1" applyBorder="1"/>
    <xf numFmtId="0" fontId="13" fillId="2" borderId="10" xfId="0" applyFont="1" applyFill="1" applyBorder="1"/>
    <xf numFmtId="0" fontId="13" fillId="0" borderId="11" xfId="0" applyFont="1" applyBorder="1"/>
    <xf numFmtId="167" fontId="13" fillId="0" borderId="0" xfId="1" applyNumberFormat="1" applyFont="1" applyBorder="1"/>
    <xf numFmtId="0" fontId="17" fillId="0" borderId="12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13" fillId="0" borderId="12" xfId="0" applyFont="1" applyBorder="1"/>
    <xf numFmtId="0" fontId="0" fillId="0" borderId="12" xfId="0" applyBorder="1"/>
    <xf numFmtId="43" fontId="0" fillId="0" borderId="0" xfId="1" applyFont="1"/>
    <xf numFmtId="1" fontId="0" fillId="0" borderId="0" xfId="0" applyNumberFormat="1"/>
    <xf numFmtId="167" fontId="0" fillId="0" borderId="0" xfId="0" applyNumberFormat="1"/>
    <xf numFmtId="166" fontId="0" fillId="0" borderId="0" xfId="0" applyNumberFormat="1"/>
    <xf numFmtId="14" fontId="0" fillId="0" borderId="0" xfId="0" applyNumberFormat="1"/>
    <xf numFmtId="0" fontId="13" fillId="0" borderId="13" xfId="0" applyFont="1" applyBorder="1"/>
    <xf numFmtId="0" fontId="0" fillId="0" borderId="14" xfId="0" applyBorder="1"/>
    <xf numFmtId="165" fontId="0" fillId="0" borderId="0" xfId="2" applyNumberFormat="1" applyFont="1" applyBorder="1"/>
    <xf numFmtId="0" fontId="19" fillId="0" borderId="0" xfId="0" applyFont="1"/>
    <xf numFmtId="0" fontId="13" fillId="2" borderId="0" xfId="0" applyFont="1" applyFill="1"/>
    <xf numFmtId="0" fontId="0" fillId="0" borderId="0" xfId="0" applyAlignment="1">
      <alignment horizontal="left"/>
    </xf>
    <xf numFmtId="167" fontId="0" fillId="0" borderId="0" xfId="1" applyNumberFormat="1" applyFont="1" applyBorder="1"/>
    <xf numFmtId="0" fontId="0" fillId="0" borderId="9" xfId="0" applyBorder="1"/>
    <xf numFmtId="0" fontId="13" fillId="0" borderId="18" xfId="0" applyFont="1" applyBorder="1" applyAlignment="1">
      <alignment wrapText="1"/>
    </xf>
    <xf numFmtId="165" fontId="13" fillId="0" borderId="19" xfId="0" applyNumberFormat="1" applyFont="1" applyBorder="1" applyAlignment="1">
      <alignment wrapText="1"/>
    </xf>
    <xf numFmtId="0" fontId="13" fillId="0" borderId="19" xfId="0" applyFont="1" applyBorder="1"/>
    <xf numFmtId="0" fontId="13" fillId="0" borderId="19" xfId="0" applyFont="1" applyBorder="1" applyAlignment="1">
      <alignment wrapText="1"/>
    </xf>
    <xf numFmtId="0" fontId="13" fillId="0" borderId="20" xfId="0" applyFont="1" applyBorder="1" applyAlignment="1">
      <alignment wrapText="1"/>
    </xf>
    <xf numFmtId="14" fontId="0" fillId="3" borderId="11" xfId="0" applyNumberFormat="1" applyFill="1" applyBorder="1" applyAlignment="1">
      <alignment wrapText="1"/>
    </xf>
    <xf numFmtId="14" fontId="0" fillId="3" borderId="11" xfId="0" applyNumberFormat="1" applyFill="1" applyBorder="1"/>
    <xf numFmtId="1" fontId="13" fillId="0" borderId="14" xfId="0" applyNumberFormat="1" applyFont="1" applyBorder="1" applyAlignment="1">
      <alignment horizontal="right"/>
    </xf>
    <xf numFmtId="164" fontId="13" fillId="0" borderId="14" xfId="0" applyNumberFormat="1" applyFont="1" applyBorder="1" applyAlignment="1">
      <alignment horizontal="right"/>
    </xf>
    <xf numFmtId="167" fontId="13" fillId="0" borderId="14" xfId="1" applyNumberFormat="1" applyFont="1" applyBorder="1" applyAlignment="1">
      <alignment horizontal="right"/>
    </xf>
    <xf numFmtId="167" fontId="13" fillId="0" borderId="15" xfId="1" applyNumberFormat="1" applyFont="1" applyBorder="1" applyAlignment="1">
      <alignment horizontal="right"/>
    </xf>
    <xf numFmtId="167" fontId="0" fillId="0" borderId="0" xfId="1" applyNumberFormat="1" applyFont="1"/>
    <xf numFmtId="164" fontId="0" fillId="0" borderId="0" xfId="0" applyNumberFormat="1"/>
    <xf numFmtId="14" fontId="13" fillId="0" borderId="0" xfId="0" applyNumberFormat="1" applyFont="1" applyBorder="1"/>
    <xf numFmtId="3" fontId="0" fillId="0" borderId="0" xfId="0" applyNumberFormat="1" applyBorder="1"/>
    <xf numFmtId="0" fontId="0" fillId="0" borderId="0" xfId="0" applyBorder="1"/>
    <xf numFmtId="4" fontId="0" fillId="0" borderId="0" xfId="0" applyNumberFormat="1" applyBorder="1"/>
    <xf numFmtId="0" fontId="0" fillId="0" borderId="0" xfId="0" applyBorder="1" applyAlignment="1">
      <alignment wrapText="1"/>
    </xf>
    <xf numFmtId="168" fontId="0" fillId="0" borderId="0" xfId="0" applyNumberFormat="1" applyBorder="1"/>
    <xf numFmtId="0" fontId="17" fillId="0" borderId="15" xfId="0" applyFont="1" applyBorder="1" applyAlignment="1">
      <alignment wrapText="1"/>
    </xf>
    <xf numFmtId="14" fontId="0" fillId="3" borderId="0" xfId="0" applyNumberFormat="1" applyFill="1" applyBorder="1"/>
    <xf numFmtId="1" fontId="0" fillId="3" borderId="0" xfId="0" applyNumberFormat="1" applyFill="1" applyBorder="1"/>
    <xf numFmtId="164" fontId="0" fillId="3" borderId="0" xfId="0" applyNumberFormat="1" applyFill="1" applyBorder="1"/>
    <xf numFmtId="3" fontId="0" fillId="0" borderId="0" xfId="0" applyNumberFormat="1" applyFont="1" applyAlignment="1"/>
    <xf numFmtId="2" fontId="0" fillId="0" borderId="0" xfId="0" applyNumberFormat="1"/>
    <xf numFmtId="43" fontId="0" fillId="3" borderId="0" xfId="1" applyNumberFormat="1" applyFont="1" applyFill="1" applyBorder="1"/>
    <xf numFmtId="43" fontId="0" fillId="3" borderId="12" xfId="1" applyNumberFormat="1" applyFont="1" applyFill="1" applyBorder="1"/>
    <xf numFmtId="169" fontId="0" fillId="0" borderId="0" xfId="0" applyNumberFormat="1" applyFill="1" applyBorder="1"/>
    <xf numFmtId="170" fontId="0" fillId="0" borderId="14" xfId="0" applyNumberFormat="1" applyBorder="1"/>
    <xf numFmtId="0" fontId="0" fillId="0" borderId="5" xfId="0" applyFont="1" applyBorder="1" applyAlignment="1">
      <alignment horizontal="right" vertical="center" wrapText="1"/>
    </xf>
    <xf numFmtId="0" fontId="6" fillId="0" borderId="6" xfId="0" applyFont="1" applyBorder="1"/>
    <xf numFmtId="0" fontId="13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20" fillId="0" borderId="23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5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/>
    </xf>
    <xf numFmtId="3" fontId="22" fillId="0" borderId="14" xfId="0" applyNumberFormat="1" applyFont="1" applyBorder="1" applyAlignment="1">
      <alignment horizontal="left" vertical="center"/>
    </xf>
    <xf numFmtId="3" fontId="20" fillId="0" borderId="14" xfId="0" applyNumberFormat="1" applyFont="1" applyBorder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F0D7-C9D0-4D26-9D08-B68A9DFB3F67}">
  <dimension ref="B2:I1013"/>
  <sheetViews>
    <sheetView zoomScale="80" zoomScaleNormal="80" workbookViewId="0">
      <selection activeCell="C3" sqref="C3"/>
    </sheetView>
  </sheetViews>
  <sheetFormatPr defaultColWidth="12.58203125" defaultRowHeight="14"/>
  <cols>
    <col min="1" max="1" width="3.58203125" customWidth="1"/>
    <col min="2" max="2" width="61.1640625" bestFit="1" customWidth="1"/>
    <col min="3" max="3" width="18.75" customWidth="1"/>
    <col min="4" max="4" width="20.08203125" customWidth="1"/>
    <col min="5" max="5" width="26.33203125" customWidth="1"/>
    <col min="6" max="6" width="17.75" customWidth="1"/>
  </cols>
  <sheetData>
    <row r="2" spans="2:9" ht="15" customHeight="1">
      <c r="B2" s="1" t="s">
        <v>0</v>
      </c>
      <c r="C2" s="28" t="s">
        <v>33</v>
      </c>
      <c r="D2" s="28" t="s">
        <v>34</v>
      </c>
      <c r="E2" s="29"/>
    </row>
    <row r="3" spans="2:9" ht="15" customHeight="1">
      <c r="B3" s="2" t="s">
        <v>1</v>
      </c>
      <c r="C3" s="9">
        <v>1993</v>
      </c>
      <c r="D3" s="25" t="s">
        <v>30</v>
      </c>
      <c r="E3" s="24"/>
    </row>
    <row r="4" spans="2:9" ht="15" customHeight="1">
      <c r="B4" s="2" t="s">
        <v>66</v>
      </c>
      <c r="C4" s="10">
        <f>0.00843</f>
        <v>8.43E-3</v>
      </c>
      <c r="D4" s="26" t="s">
        <v>31</v>
      </c>
      <c r="E4" s="24"/>
    </row>
    <row r="5" spans="2:9" ht="15" customHeight="1">
      <c r="B5" s="2" t="s">
        <v>67</v>
      </c>
      <c r="C5" s="10">
        <v>3.7399999999999998E-3</v>
      </c>
      <c r="D5" s="26" t="s">
        <v>31</v>
      </c>
      <c r="E5" s="24"/>
    </row>
    <row r="6" spans="2:9" ht="15" customHeight="1">
      <c r="B6" s="22" t="s">
        <v>28</v>
      </c>
      <c r="C6" s="23">
        <v>3</v>
      </c>
      <c r="D6" s="27" t="s">
        <v>32</v>
      </c>
      <c r="E6" s="24"/>
    </row>
    <row r="7" spans="2:9" ht="15" customHeight="1">
      <c r="B7" s="22" t="s">
        <v>29</v>
      </c>
      <c r="C7" s="23">
        <v>0</v>
      </c>
      <c r="D7" s="27" t="s">
        <v>32</v>
      </c>
      <c r="E7" s="24"/>
    </row>
    <row r="8" spans="2:9" ht="15" customHeight="1">
      <c r="B8" s="2"/>
      <c r="C8" s="10"/>
      <c r="D8" s="10"/>
    </row>
    <row r="9" spans="2:9" ht="15" customHeight="1">
      <c r="B9" s="2"/>
      <c r="C9" s="17" t="s">
        <v>16</v>
      </c>
      <c r="D9" s="17" t="s">
        <v>17</v>
      </c>
      <c r="E9" s="17" t="s">
        <v>18</v>
      </c>
    </row>
    <row r="10" spans="2:9" ht="15" customHeight="1">
      <c r="B10" s="18" t="s">
        <v>70</v>
      </c>
      <c r="C10" s="15">
        <v>44105</v>
      </c>
      <c r="D10" s="15">
        <v>44681</v>
      </c>
      <c r="E10" s="19">
        <f>(D10-C10)+1</f>
        <v>577</v>
      </c>
    </row>
    <row r="11" spans="2:9" ht="14.25" customHeight="1"/>
    <row r="12" spans="2:9" ht="14.25" customHeight="1" thickBot="1">
      <c r="B12" s="3" t="s">
        <v>2</v>
      </c>
      <c r="G12" s="14"/>
      <c r="H12" s="14"/>
    </row>
    <row r="13" spans="2:9" ht="14.25" customHeight="1" thickBot="1">
      <c r="B13" s="4" t="s">
        <v>3</v>
      </c>
      <c r="C13" s="5" t="s">
        <v>4</v>
      </c>
      <c r="D13" s="5" t="s">
        <v>5</v>
      </c>
      <c r="E13" s="5" t="s">
        <v>6</v>
      </c>
      <c r="G13" s="14"/>
      <c r="H13" s="14"/>
    </row>
    <row r="14" spans="2:9" ht="14.25" customHeight="1" thickBot="1">
      <c r="B14" s="6" t="s">
        <v>7</v>
      </c>
      <c r="C14" s="7">
        <f>$C$3*$C$6</f>
        <v>5979</v>
      </c>
      <c r="D14" s="7">
        <f>$C$3*$C$7</f>
        <v>0</v>
      </c>
      <c r="E14" s="7">
        <f t="shared" ref="E14:E20" si="0">C14-D14</f>
        <v>5979</v>
      </c>
      <c r="G14" s="14"/>
      <c r="H14" s="14"/>
      <c r="I14" s="16"/>
    </row>
    <row r="15" spans="2:9" ht="14.25" customHeight="1" thickBot="1">
      <c r="B15" s="6" t="s">
        <v>8</v>
      </c>
      <c r="C15" s="7">
        <f t="shared" ref="C15:C20" si="1">$C$3*$C$6</f>
        <v>5979</v>
      </c>
      <c r="D15" s="7">
        <f t="shared" ref="D15:D20" si="2">$C$3*$C$7</f>
        <v>0</v>
      </c>
      <c r="E15" s="7">
        <f t="shared" si="0"/>
        <v>5979</v>
      </c>
    </row>
    <row r="16" spans="2:9" ht="14.25" customHeight="1" thickBot="1">
      <c r="B16" s="6" t="s">
        <v>9</v>
      </c>
      <c r="C16" s="7">
        <f t="shared" si="1"/>
        <v>5979</v>
      </c>
      <c r="D16" s="7">
        <f t="shared" si="2"/>
        <v>0</v>
      </c>
      <c r="E16" s="7">
        <f t="shared" si="0"/>
        <v>5979</v>
      </c>
      <c r="G16" s="20"/>
      <c r="I16" s="16"/>
    </row>
    <row r="17" spans="2:9" ht="14.25" customHeight="1" thickBot="1">
      <c r="B17" s="6" t="s">
        <v>10</v>
      </c>
      <c r="C17" s="7">
        <f t="shared" si="1"/>
        <v>5979</v>
      </c>
      <c r="D17" s="7">
        <f t="shared" si="2"/>
        <v>0</v>
      </c>
      <c r="E17" s="7">
        <f t="shared" si="0"/>
        <v>5979</v>
      </c>
    </row>
    <row r="18" spans="2:9" ht="14.25" customHeight="1" thickBot="1">
      <c r="B18" s="6" t="s">
        <v>11</v>
      </c>
      <c r="C18" s="7">
        <f t="shared" si="1"/>
        <v>5979</v>
      </c>
      <c r="D18" s="7">
        <f t="shared" si="2"/>
        <v>0</v>
      </c>
      <c r="E18" s="7">
        <f t="shared" si="0"/>
        <v>5979</v>
      </c>
    </row>
    <row r="19" spans="2:9" ht="14.25" customHeight="1" thickBot="1">
      <c r="B19" s="6" t="s">
        <v>21</v>
      </c>
      <c r="C19" s="7">
        <f t="shared" si="1"/>
        <v>5979</v>
      </c>
      <c r="D19" s="7">
        <f t="shared" si="2"/>
        <v>0</v>
      </c>
      <c r="E19" s="7">
        <f t="shared" si="0"/>
        <v>5979</v>
      </c>
    </row>
    <row r="20" spans="2:9" ht="14.25" customHeight="1" thickBot="1">
      <c r="B20" s="6" t="s">
        <v>22</v>
      </c>
      <c r="C20" s="7">
        <f t="shared" si="1"/>
        <v>5979</v>
      </c>
      <c r="D20" s="7">
        <f t="shared" si="2"/>
        <v>0</v>
      </c>
      <c r="E20" s="7">
        <f t="shared" si="0"/>
        <v>5979</v>
      </c>
    </row>
    <row r="21" spans="2:9" ht="14.25" customHeight="1" thickBot="1">
      <c r="B21" s="8" t="s">
        <v>12</v>
      </c>
      <c r="C21" s="7">
        <f>SUM(C14:C20)</f>
        <v>41853</v>
      </c>
      <c r="D21" s="7">
        <f t="shared" ref="D21:E21" si="3">SUM(D14:D20)</f>
        <v>0</v>
      </c>
      <c r="E21" s="7">
        <f t="shared" si="3"/>
        <v>41853</v>
      </c>
      <c r="G21" s="14"/>
      <c r="H21" s="21"/>
      <c r="I21" s="16"/>
    </row>
    <row r="22" spans="2:9" ht="14.5" thickBot="1">
      <c r="B22" s="8" t="s">
        <v>13</v>
      </c>
      <c r="C22" s="84">
        <v>7</v>
      </c>
      <c r="D22" s="85"/>
      <c r="E22" s="85"/>
      <c r="G22" s="14"/>
      <c r="H22" s="14"/>
      <c r="I22" s="16"/>
    </row>
    <row r="23" spans="2:9" ht="14.5" thickBot="1">
      <c r="B23" s="8" t="s">
        <v>14</v>
      </c>
      <c r="C23" s="7">
        <f t="shared" ref="C23:E23" si="4">C21/$C$22</f>
        <v>5979</v>
      </c>
      <c r="D23" s="7">
        <f t="shared" si="4"/>
        <v>0</v>
      </c>
      <c r="E23" s="7">
        <f t="shared" si="4"/>
        <v>5979</v>
      </c>
      <c r="G23" s="14"/>
      <c r="H23" s="14"/>
      <c r="I23" s="16"/>
    </row>
    <row r="24" spans="2:9" ht="28.5" thickBot="1">
      <c r="B24" s="8" t="s">
        <v>23</v>
      </c>
      <c r="C24" s="7">
        <f>C23*($E$10/365)</f>
        <v>9451.7342465753427</v>
      </c>
      <c r="D24" s="7">
        <f>D23*($E$10/365)</f>
        <v>0</v>
      </c>
      <c r="E24" s="7">
        <f>E23*($E$10/365)</f>
        <v>9451.7342465753427</v>
      </c>
      <c r="I24" s="16"/>
    </row>
    <row r="25" spans="2:9">
      <c r="B25" s="12"/>
      <c r="C25" s="13"/>
      <c r="D25" s="13"/>
      <c r="E25" s="13"/>
    </row>
    <row r="26" spans="2:9" ht="14.25" customHeight="1" thickBot="1">
      <c r="B26" s="3" t="s">
        <v>15</v>
      </c>
    </row>
    <row r="27" spans="2:9" ht="14.25" customHeight="1" thickBot="1">
      <c r="B27" s="4" t="s">
        <v>3</v>
      </c>
      <c r="C27" s="5" t="s">
        <v>4</v>
      </c>
      <c r="D27" s="5" t="s">
        <v>5</v>
      </c>
      <c r="E27" s="5" t="s">
        <v>6</v>
      </c>
    </row>
    <row r="28" spans="2:9" ht="14.25" customHeight="1" thickBot="1">
      <c r="B28" s="6" t="s">
        <v>7</v>
      </c>
      <c r="C28" s="7">
        <f>$C$4*365*$C$3</f>
        <v>6132.3613500000001</v>
      </c>
      <c r="D28" s="7">
        <f>$C$5*365*$C$3</f>
        <v>2720.6442999999999</v>
      </c>
      <c r="E28" s="7">
        <f t="shared" ref="E28:E32" si="5">C28-D28</f>
        <v>3411.7170500000002</v>
      </c>
    </row>
    <row r="29" spans="2:9" ht="14.25" customHeight="1" thickBot="1">
      <c r="B29" s="6" t="s">
        <v>8</v>
      </c>
      <c r="C29" s="7">
        <f t="shared" ref="C29:C34" si="6">$C$4*365*$C$3</f>
        <v>6132.3613500000001</v>
      </c>
      <c r="D29" s="7">
        <f t="shared" ref="D29:D34" si="7">$C$5*365*$C$3</f>
        <v>2720.6442999999999</v>
      </c>
      <c r="E29" s="7">
        <f t="shared" si="5"/>
        <v>3411.7170500000002</v>
      </c>
    </row>
    <row r="30" spans="2:9" ht="14.25" customHeight="1" thickBot="1">
      <c r="B30" s="6" t="s">
        <v>9</v>
      </c>
      <c r="C30" s="7">
        <f t="shared" si="6"/>
        <v>6132.3613500000001</v>
      </c>
      <c r="D30" s="7">
        <f t="shared" si="7"/>
        <v>2720.6442999999999</v>
      </c>
      <c r="E30" s="7">
        <f t="shared" si="5"/>
        <v>3411.7170500000002</v>
      </c>
    </row>
    <row r="31" spans="2:9" ht="14.25" customHeight="1" thickBot="1">
      <c r="B31" s="6" t="s">
        <v>10</v>
      </c>
      <c r="C31" s="7">
        <f t="shared" si="6"/>
        <v>6132.3613500000001</v>
      </c>
      <c r="D31" s="7">
        <f t="shared" si="7"/>
        <v>2720.6442999999999</v>
      </c>
      <c r="E31" s="7">
        <f t="shared" si="5"/>
        <v>3411.7170500000002</v>
      </c>
    </row>
    <row r="32" spans="2:9" ht="14.25" customHeight="1" thickBot="1">
      <c r="B32" s="6" t="s">
        <v>11</v>
      </c>
      <c r="C32" s="7">
        <f t="shared" si="6"/>
        <v>6132.3613500000001</v>
      </c>
      <c r="D32" s="7">
        <f t="shared" si="7"/>
        <v>2720.6442999999999</v>
      </c>
      <c r="E32" s="7">
        <f t="shared" si="5"/>
        <v>3411.7170500000002</v>
      </c>
    </row>
    <row r="33" spans="2:7" ht="14.25" customHeight="1" thickBot="1">
      <c r="B33" s="6" t="s">
        <v>21</v>
      </c>
      <c r="C33" s="7">
        <f t="shared" si="6"/>
        <v>6132.3613500000001</v>
      </c>
      <c r="D33" s="7">
        <f t="shared" si="7"/>
        <v>2720.6442999999999</v>
      </c>
      <c r="E33" s="7">
        <f t="shared" ref="E33:E34" si="8">C33-D33</f>
        <v>3411.7170500000002</v>
      </c>
    </row>
    <row r="34" spans="2:7" ht="14.25" customHeight="1" thickBot="1">
      <c r="B34" s="6" t="s">
        <v>22</v>
      </c>
      <c r="C34" s="7">
        <f t="shared" si="6"/>
        <v>6132.3613500000001</v>
      </c>
      <c r="D34" s="7">
        <f t="shared" si="7"/>
        <v>2720.6442999999999</v>
      </c>
      <c r="E34" s="7">
        <f t="shared" si="8"/>
        <v>3411.7170500000002</v>
      </c>
    </row>
    <row r="35" spans="2:7" ht="14.25" customHeight="1" thickBot="1">
      <c r="B35" s="8" t="s">
        <v>12</v>
      </c>
      <c r="C35" s="7">
        <f>SUM(C28:C34)</f>
        <v>42926.529450000002</v>
      </c>
      <c r="D35" s="7">
        <f t="shared" ref="D35" si="9">SUM(D28:D34)</f>
        <v>19044.5101</v>
      </c>
      <c r="E35" s="7">
        <f>SUM(E28:E34)</f>
        <v>23882.019349999999</v>
      </c>
    </row>
    <row r="36" spans="2:7" ht="14.5" thickBot="1">
      <c r="B36" s="8" t="s">
        <v>13</v>
      </c>
      <c r="C36" s="84">
        <v>7</v>
      </c>
      <c r="D36" s="85"/>
      <c r="E36" s="85"/>
      <c r="G36" s="16"/>
    </row>
    <row r="37" spans="2:7" ht="14.5" thickBot="1">
      <c r="B37" s="8" t="s">
        <v>14</v>
      </c>
      <c r="C37" s="7">
        <f t="shared" ref="C37:D37" si="10">C35/$C$22</f>
        <v>6132.3613500000001</v>
      </c>
      <c r="D37" s="7">
        <f t="shared" si="10"/>
        <v>2720.6442999999999</v>
      </c>
      <c r="E37" s="7">
        <f>E35/$C$36</f>
        <v>3411.7170499999997</v>
      </c>
    </row>
    <row r="38" spans="2:7" ht="28.5" thickBot="1">
      <c r="B38" s="8" t="s">
        <v>23</v>
      </c>
      <c r="C38" s="7">
        <f>C37*($E$10/365)</f>
        <v>9694.1712299999999</v>
      </c>
      <c r="D38" s="7">
        <f t="shared" ref="D38" si="11">D37*($E$10/365)</f>
        <v>4300.8541400000004</v>
      </c>
      <c r="E38" s="7">
        <f>E37*($E$10/365)</f>
        <v>5393.3170899999996</v>
      </c>
    </row>
    <row r="39" spans="2:7" ht="14.25" customHeight="1"/>
    <row r="40" spans="2:7" ht="14.25" customHeight="1"/>
    <row r="41" spans="2:7" ht="14.25" customHeight="1" thickBot="1">
      <c r="B41" s="11" t="s">
        <v>19</v>
      </c>
    </row>
    <row r="42" spans="2:7" ht="14.25" customHeight="1" thickBot="1">
      <c r="B42" s="4" t="s">
        <v>3</v>
      </c>
      <c r="C42" s="5" t="s">
        <v>4</v>
      </c>
      <c r="D42" s="5" t="s">
        <v>5</v>
      </c>
      <c r="E42" s="5" t="s">
        <v>6</v>
      </c>
    </row>
    <row r="43" spans="2:7" ht="14.25" customHeight="1" thickBot="1">
      <c r="B43" s="6" t="s">
        <v>7</v>
      </c>
      <c r="C43" s="7">
        <v>19794.112489106778</v>
      </c>
      <c r="D43" s="7">
        <v>9795.3204286799319</v>
      </c>
      <c r="E43" s="7">
        <f t="shared" ref="E43:E47" si="12">C43-D43</f>
        <v>9998.7920604268456</v>
      </c>
    </row>
    <row r="44" spans="2:7" ht="14.25" customHeight="1" thickBot="1">
      <c r="B44" s="6" t="s">
        <v>8</v>
      </c>
      <c r="C44" s="7">
        <v>19794.112489106778</v>
      </c>
      <c r="D44" s="7">
        <v>9795.3204286799319</v>
      </c>
      <c r="E44" s="7">
        <f t="shared" si="12"/>
        <v>9998.7920604268456</v>
      </c>
    </row>
    <row r="45" spans="2:7" ht="14.25" customHeight="1" thickBot="1">
      <c r="B45" s="6" t="s">
        <v>9</v>
      </c>
      <c r="C45" s="7">
        <v>19794.112489106778</v>
      </c>
      <c r="D45" s="7">
        <v>9795.3204286799319</v>
      </c>
      <c r="E45" s="7">
        <f t="shared" si="12"/>
        <v>9998.7920604268456</v>
      </c>
    </row>
    <row r="46" spans="2:7" ht="14.25" customHeight="1" thickBot="1">
      <c r="B46" s="6" t="s">
        <v>10</v>
      </c>
      <c r="C46" s="7">
        <v>19794.112489106778</v>
      </c>
      <c r="D46" s="7">
        <v>9795.3204286799319</v>
      </c>
      <c r="E46" s="7">
        <f t="shared" si="12"/>
        <v>9998.7920604268456</v>
      </c>
    </row>
    <row r="47" spans="2:7" ht="14.25" customHeight="1" thickBot="1">
      <c r="B47" s="6" t="s">
        <v>11</v>
      </c>
      <c r="C47" s="7">
        <v>19794.112489106778</v>
      </c>
      <c r="D47" s="7">
        <v>9795.3204286799319</v>
      </c>
      <c r="E47" s="7">
        <f t="shared" si="12"/>
        <v>9998.7920604268456</v>
      </c>
    </row>
    <row r="48" spans="2:7" ht="14.25" customHeight="1" thickBot="1">
      <c r="B48" s="6" t="s">
        <v>21</v>
      </c>
      <c r="C48" s="7">
        <v>19794.112489106799</v>
      </c>
      <c r="D48" s="7">
        <v>9795.32042867993</v>
      </c>
      <c r="E48" s="7">
        <f t="shared" ref="E48:E49" si="13">C48-D48</f>
        <v>9998.7920604268693</v>
      </c>
    </row>
    <row r="49" spans="2:5" ht="14.25" customHeight="1" thickBot="1">
      <c r="B49" s="6" t="s">
        <v>22</v>
      </c>
      <c r="C49" s="7">
        <v>19794.112489106799</v>
      </c>
      <c r="D49" s="7">
        <v>9795.32042867993</v>
      </c>
      <c r="E49" s="7">
        <f t="shared" si="13"/>
        <v>9998.7920604268693</v>
      </c>
    </row>
    <row r="50" spans="2:5" ht="14.25" customHeight="1" thickBot="1">
      <c r="B50" s="8" t="s">
        <v>12</v>
      </c>
      <c r="C50" s="7">
        <f>SUM(C43:C49)</f>
        <v>138558.78742374748</v>
      </c>
      <c r="D50" s="7">
        <f t="shared" ref="D50:E50" si="14">SUM(D43:D49)</f>
        <v>68567.24300075951</v>
      </c>
      <c r="E50" s="7">
        <f t="shared" si="14"/>
        <v>69991.544422987965</v>
      </c>
    </row>
    <row r="51" spans="2:5" ht="14.25" customHeight="1" thickBot="1">
      <c r="B51" s="8" t="s">
        <v>13</v>
      </c>
      <c r="C51" s="84">
        <v>7</v>
      </c>
      <c r="D51" s="85"/>
      <c r="E51" s="85"/>
    </row>
    <row r="52" spans="2:5" ht="14.25" customHeight="1" thickBot="1">
      <c r="B52" s="8" t="s">
        <v>14</v>
      </c>
      <c r="C52" s="7">
        <f t="shared" ref="C52:E52" si="15">C50/$C$22</f>
        <v>19794.112489106781</v>
      </c>
      <c r="D52" s="7">
        <f t="shared" si="15"/>
        <v>9795.32042867993</v>
      </c>
      <c r="E52" s="7">
        <f t="shared" si="15"/>
        <v>9998.7920604268529</v>
      </c>
    </row>
    <row r="53" spans="2:5" ht="28.5" thickBot="1">
      <c r="B53" s="8" t="s">
        <v>23</v>
      </c>
      <c r="C53" s="7">
        <f>C52*($E$10/365)</f>
        <v>31290.966866341405</v>
      </c>
      <c r="D53" s="7">
        <f t="shared" ref="D53" si="16">D52*($E$10/365)</f>
        <v>15484.657225611834</v>
      </c>
      <c r="E53" s="7">
        <f>E52*($E$10/365)</f>
        <v>15806.309640729574</v>
      </c>
    </row>
    <row r="54" spans="2:5" ht="14.25" customHeight="1">
      <c r="E54" s="78"/>
    </row>
    <row r="55" spans="2:5" ht="14.25" customHeight="1"/>
    <row r="56" spans="2:5" ht="14.25" customHeight="1"/>
    <row r="57" spans="2:5" ht="14.25" customHeight="1"/>
    <row r="58" spans="2:5" ht="14.25" customHeight="1"/>
    <row r="59" spans="2:5" ht="14.25" customHeight="1"/>
    <row r="60" spans="2:5" ht="14.25" customHeight="1"/>
    <row r="61" spans="2:5" ht="14.25" customHeight="1"/>
    <row r="62" spans="2:5" ht="14.25" customHeight="1"/>
    <row r="63" spans="2:5" ht="14.25" customHeight="1"/>
    <row r="64" spans="2: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</sheetData>
  <mergeCells count="3">
    <mergeCell ref="C22:E22"/>
    <mergeCell ref="C36:E36"/>
    <mergeCell ref="C51:E51"/>
  </mergeCells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992"/>
  <sheetViews>
    <sheetView topLeftCell="A26" zoomScale="80" zoomScaleNormal="80" workbookViewId="0">
      <selection activeCell="F39" sqref="F39"/>
    </sheetView>
  </sheetViews>
  <sheetFormatPr defaultColWidth="12.58203125" defaultRowHeight="15" customHeight="1"/>
  <cols>
    <col min="1" max="1" width="3.58203125" customWidth="1"/>
    <col min="2" max="2" width="22.25" customWidth="1"/>
    <col min="3" max="3" width="18.75" customWidth="1"/>
    <col min="4" max="4" width="20.08203125" customWidth="1"/>
    <col min="5" max="5" width="26.33203125" customWidth="1"/>
    <col min="6" max="6" width="17.75" customWidth="1"/>
  </cols>
  <sheetData>
    <row r="2" spans="2:7" ht="15" customHeight="1">
      <c r="B2" s="1" t="s">
        <v>0</v>
      </c>
      <c r="C2" s="28" t="s">
        <v>33</v>
      </c>
      <c r="D2" s="28" t="s">
        <v>34</v>
      </c>
      <c r="E2" s="29" t="s">
        <v>24</v>
      </c>
    </row>
    <row r="3" spans="2:7" ht="15" customHeight="1">
      <c r="B3" s="2" t="s">
        <v>1</v>
      </c>
      <c r="C3" s="9">
        <v>3186</v>
      </c>
      <c r="D3" s="25" t="s">
        <v>30</v>
      </c>
      <c r="E3" s="24" t="s">
        <v>25</v>
      </c>
    </row>
    <row r="4" spans="2:7" ht="15" customHeight="1">
      <c r="B4" s="2" t="s">
        <v>68</v>
      </c>
      <c r="C4" s="10">
        <v>8.43E-3</v>
      </c>
      <c r="D4" s="26" t="s">
        <v>31</v>
      </c>
      <c r="E4" s="24" t="s">
        <v>62</v>
      </c>
    </row>
    <row r="5" spans="2:7" ht="15" customHeight="1">
      <c r="B5" s="2" t="s">
        <v>69</v>
      </c>
      <c r="C5" s="10">
        <f>Actuals!C13</f>
        <v>5.5629999999999994E-3</v>
      </c>
      <c r="D5" s="26" t="s">
        <v>31</v>
      </c>
      <c r="E5" s="24" t="s">
        <v>26</v>
      </c>
    </row>
    <row r="6" spans="2:7" ht="15" customHeight="1">
      <c r="B6" s="22" t="s">
        <v>28</v>
      </c>
      <c r="C6" s="23">
        <v>5</v>
      </c>
      <c r="D6" s="27" t="s">
        <v>32</v>
      </c>
      <c r="E6" s="24" t="s">
        <v>27</v>
      </c>
    </row>
    <row r="7" spans="2:7" ht="15" customHeight="1">
      <c r="B7" s="22" t="s">
        <v>29</v>
      </c>
      <c r="C7" s="23">
        <v>0</v>
      </c>
      <c r="D7" s="27" t="s">
        <v>32</v>
      </c>
      <c r="E7" s="24" t="s">
        <v>27</v>
      </c>
    </row>
    <row r="8" spans="2:7" ht="15" customHeight="1">
      <c r="B8" s="2"/>
      <c r="C8" s="10"/>
    </row>
    <row r="9" spans="2:7" ht="15" customHeight="1">
      <c r="B9" s="2"/>
      <c r="C9" s="10"/>
    </row>
    <row r="10" spans="2:7" ht="15" customHeight="1">
      <c r="B10" s="2"/>
      <c r="C10" s="10"/>
    </row>
    <row r="11" spans="2:7" ht="15" customHeight="1">
      <c r="B11" s="2"/>
      <c r="C11" s="17" t="s">
        <v>16</v>
      </c>
      <c r="D11" s="17" t="s">
        <v>17</v>
      </c>
      <c r="E11" s="17" t="s">
        <v>18</v>
      </c>
    </row>
    <row r="12" spans="2:7" ht="15" customHeight="1">
      <c r="B12" s="18" t="s">
        <v>70</v>
      </c>
      <c r="C12" s="15">
        <v>44105</v>
      </c>
      <c r="D12" s="15">
        <v>44681</v>
      </c>
      <c r="E12" s="19">
        <f>(D12-C12)+1</f>
        <v>577</v>
      </c>
    </row>
    <row r="13" spans="2:7" ht="14.25" customHeight="1"/>
    <row r="14" spans="2:7" ht="14.25" customHeight="1">
      <c r="B14" s="3" t="s">
        <v>2</v>
      </c>
      <c r="G14" s="14"/>
    </row>
    <row r="15" spans="2:7" ht="14.25" customHeight="1">
      <c r="B15" s="4" t="s">
        <v>3</v>
      </c>
      <c r="C15" s="5" t="s">
        <v>4</v>
      </c>
      <c r="D15" s="5" t="s">
        <v>5</v>
      </c>
      <c r="E15" s="5" t="s">
        <v>6</v>
      </c>
      <c r="G15" s="14"/>
    </row>
    <row r="16" spans="2:7" ht="14.25" customHeight="1">
      <c r="B16" s="6" t="s">
        <v>7</v>
      </c>
      <c r="C16" s="7">
        <f>$C$3*$C$6</f>
        <v>15930</v>
      </c>
      <c r="D16" s="7">
        <f>$C$3*$C$7</f>
        <v>0</v>
      </c>
      <c r="E16" s="7">
        <f>C16-D16</f>
        <v>15930</v>
      </c>
    </row>
    <row r="17" spans="2:9" ht="14.25" customHeight="1">
      <c r="B17" s="6" t="s">
        <v>8</v>
      </c>
      <c r="C17" s="7">
        <f t="shared" ref="C17:C22" si="0">$C$3*$C$6</f>
        <v>15930</v>
      </c>
      <c r="D17" s="7">
        <f t="shared" ref="D17:D22" si="1">$C$3*$C$7</f>
        <v>0</v>
      </c>
      <c r="E17" s="7">
        <f t="shared" ref="E17:E22" si="2">C17-D17</f>
        <v>15930</v>
      </c>
    </row>
    <row r="18" spans="2:9" ht="14.25" customHeight="1">
      <c r="B18" s="6" t="s">
        <v>9</v>
      </c>
      <c r="C18" s="7">
        <f t="shared" si="0"/>
        <v>15930</v>
      </c>
      <c r="D18" s="7">
        <f t="shared" si="1"/>
        <v>0</v>
      </c>
      <c r="E18" s="7">
        <f t="shared" si="2"/>
        <v>15930</v>
      </c>
    </row>
    <row r="19" spans="2:9" ht="14.25" customHeight="1">
      <c r="B19" s="6" t="s">
        <v>10</v>
      </c>
      <c r="C19" s="7">
        <f t="shared" si="0"/>
        <v>15930</v>
      </c>
      <c r="D19" s="7">
        <f t="shared" si="1"/>
        <v>0</v>
      </c>
      <c r="E19" s="7">
        <f t="shared" si="2"/>
        <v>15930</v>
      </c>
    </row>
    <row r="20" spans="2:9" ht="14.25" customHeight="1" thickBot="1">
      <c r="B20" s="6" t="s">
        <v>11</v>
      </c>
      <c r="C20" s="7">
        <f t="shared" si="0"/>
        <v>15930</v>
      </c>
      <c r="D20" s="7">
        <f t="shared" si="1"/>
        <v>0</v>
      </c>
      <c r="E20" s="7">
        <f t="shared" si="2"/>
        <v>15930</v>
      </c>
    </row>
    <row r="21" spans="2:9" ht="14.25" customHeight="1" thickBot="1">
      <c r="B21" s="6" t="s">
        <v>21</v>
      </c>
      <c r="C21" s="7">
        <f t="shared" si="0"/>
        <v>15930</v>
      </c>
      <c r="D21" s="7">
        <f t="shared" si="1"/>
        <v>0</v>
      </c>
      <c r="E21" s="7">
        <f t="shared" si="2"/>
        <v>15930</v>
      </c>
    </row>
    <row r="22" spans="2:9" ht="14.25" customHeight="1" thickBot="1">
      <c r="B22" s="6" t="s">
        <v>22</v>
      </c>
      <c r="C22" s="7">
        <f t="shared" si="0"/>
        <v>15930</v>
      </c>
      <c r="D22" s="7">
        <f t="shared" si="1"/>
        <v>0</v>
      </c>
      <c r="E22" s="7">
        <f t="shared" si="2"/>
        <v>15930</v>
      </c>
    </row>
    <row r="23" spans="2:9" ht="14.25" customHeight="1" thickBot="1">
      <c r="B23" s="8" t="s">
        <v>12</v>
      </c>
      <c r="C23" s="7">
        <f>SUM(C16:C22)</f>
        <v>111510</v>
      </c>
      <c r="D23" s="7">
        <f t="shared" ref="D23" si="3">SUM(D16:D22)</f>
        <v>0</v>
      </c>
      <c r="E23" s="7">
        <f>SUM(E16:E22)</f>
        <v>111510</v>
      </c>
    </row>
    <row r="24" spans="2:9" ht="28">
      <c r="B24" s="8" t="s">
        <v>13</v>
      </c>
      <c r="C24" s="84">
        <v>7</v>
      </c>
      <c r="D24" s="85"/>
      <c r="E24" s="85"/>
    </row>
    <row r="25" spans="2:9" ht="28.5" thickBot="1">
      <c r="B25" s="8" t="s">
        <v>14</v>
      </c>
      <c r="C25" s="7">
        <f t="shared" ref="C25:D25" si="4">C23/$C$24</f>
        <v>15930</v>
      </c>
      <c r="D25" s="7">
        <f t="shared" si="4"/>
        <v>0</v>
      </c>
      <c r="E25" s="7">
        <f>E23/$C$24</f>
        <v>15930</v>
      </c>
    </row>
    <row r="26" spans="2:9" ht="42.5" thickBot="1">
      <c r="B26" s="8" t="s">
        <v>20</v>
      </c>
      <c r="C26" s="7">
        <f>C25*($E$12/365)</f>
        <v>25182.493150684932</v>
      </c>
      <c r="D26" s="7">
        <f t="shared" ref="D26" si="5">D25*($E$12/365)</f>
        <v>0</v>
      </c>
      <c r="E26" s="7">
        <f>E25*($E$12/365)</f>
        <v>25182.493150684932</v>
      </c>
      <c r="I26" s="16"/>
    </row>
    <row r="27" spans="2:9" ht="14.25" customHeight="1"/>
    <row r="28" spans="2:9" ht="14.25" customHeight="1">
      <c r="B28" s="3" t="s">
        <v>15</v>
      </c>
    </row>
    <row r="29" spans="2:9" ht="14.25" customHeight="1">
      <c r="B29" s="4" t="s">
        <v>3</v>
      </c>
      <c r="C29" s="5" t="s">
        <v>4</v>
      </c>
      <c r="D29" s="5" t="s">
        <v>5</v>
      </c>
      <c r="E29" s="5" t="s">
        <v>6</v>
      </c>
    </row>
    <row r="30" spans="2:9" ht="14.25" customHeight="1">
      <c r="B30" s="6" t="s">
        <v>7</v>
      </c>
      <c r="C30" s="7">
        <f>$C$4*365*$C$3</f>
        <v>9803.1627000000008</v>
      </c>
      <c r="D30" s="7">
        <f>$C$5*365*$C$3</f>
        <v>6469.1570699999993</v>
      </c>
      <c r="E30" s="7">
        <f>C30-D30</f>
        <v>3334.0056300000015</v>
      </c>
    </row>
    <row r="31" spans="2:9" ht="14.25" customHeight="1">
      <c r="B31" s="6" t="s">
        <v>8</v>
      </c>
      <c r="C31" s="7">
        <f t="shared" ref="C31:C36" si="6">$C$4*365*$C$3</f>
        <v>9803.1627000000008</v>
      </c>
      <c r="D31" s="7">
        <f t="shared" ref="D31:D36" si="7">$C$5*365*$C$3</f>
        <v>6469.1570699999993</v>
      </c>
      <c r="E31" s="7">
        <f t="shared" ref="E31:E34" si="8">C31-D31</f>
        <v>3334.0056300000015</v>
      </c>
    </row>
    <row r="32" spans="2:9" ht="14.25" customHeight="1">
      <c r="B32" s="6" t="s">
        <v>9</v>
      </c>
      <c r="C32" s="7">
        <f t="shared" si="6"/>
        <v>9803.1627000000008</v>
      </c>
      <c r="D32" s="7">
        <f t="shared" si="7"/>
        <v>6469.1570699999993</v>
      </c>
      <c r="E32" s="7">
        <f t="shared" si="8"/>
        <v>3334.0056300000015</v>
      </c>
    </row>
    <row r="33" spans="2:9" ht="14.25" customHeight="1">
      <c r="B33" s="6" t="s">
        <v>10</v>
      </c>
      <c r="C33" s="7">
        <f t="shared" si="6"/>
        <v>9803.1627000000008</v>
      </c>
      <c r="D33" s="7">
        <f t="shared" si="7"/>
        <v>6469.1570699999993</v>
      </c>
      <c r="E33" s="7">
        <f t="shared" si="8"/>
        <v>3334.0056300000015</v>
      </c>
    </row>
    <row r="34" spans="2:9" ht="14.25" customHeight="1" thickBot="1">
      <c r="B34" s="6" t="s">
        <v>11</v>
      </c>
      <c r="C34" s="7">
        <f t="shared" si="6"/>
        <v>9803.1627000000008</v>
      </c>
      <c r="D34" s="7">
        <f t="shared" si="7"/>
        <v>6469.1570699999993</v>
      </c>
      <c r="E34" s="7">
        <f t="shared" si="8"/>
        <v>3334.0056300000015</v>
      </c>
    </row>
    <row r="35" spans="2:9" ht="14.25" customHeight="1" thickBot="1">
      <c r="B35" s="6" t="s">
        <v>21</v>
      </c>
      <c r="C35" s="7">
        <f t="shared" si="6"/>
        <v>9803.1627000000008</v>
      </c>
      <c r="D35" s="7">
        <f t="shared" si="7"/>
        <v>6469.1570699999993</v>
      </c>
      <c r="E35" s="7">
        <f t="shared" ref="E35:E36" si="9">C35-D35</f>
        <v>3334.0056300000015</v>
      </c>
    </row>
    <row r="36" spans="2:9" ht="14.25" customHeight="1" thickBot="1">
      <c r="B36" s="6" t="s">
        <v>22</v>
      </c>
      <c r="C36" s="7">
        <f t="shared" si="6"/>
        <v>9803.1627000000008</v>
      </c>
      <c r="D36" s="7">
        <f t="shared" si="7"/>
        <v>6469.1570699999993</v>
      </c>
      <c r="E36" s="7">
        <f t="shared" si="9"/>
        <v>3334.0056300000015</v>
      </c>
    </row>
    <row r="37" spans="2:9" ht="14.25" customHeight="1" thickBot="1">
      <c r="B37" s="8" t="s">
        <v>12</v>
      </c>
      <c r="C37" s="7">
        <f>SUM(C30:C36)</f>
        <v>68622.138900000005</v>
      </c>
      <c r="D37" s="7">
        <f t="shared" ref="D37" si="10">SUM(D30:D36)</f>
        <v>45284.099490000001</v>
      </c>
      <c r="E37" s="7">
        <f>SUM(E30:E36)</f>
        <v>23338.039410000005</v>
      </c>
    </row>
    <row r="38" spans="2:9" ht="28">
      <c r="B38" s="8" t="s">
        <v>13</v>
      </c>
      <c r="C38" s="84">
        <v>7</v>
      </c>
      <c r="D38" s="85"/>
      <c r="E38" s="85"/>
    </row>
    <row r="39" spans="2:9" ht="28.5" thickBot="1">
      <c r="B39" s="8" t="s">
        <v>14</v>
      </c>
      <c r="C39" s="7">
        <f>C37/$C$38</f>
        <v>9803.1627000000008</v>
      </c>
      <c r="D39" s="7">
        <f>D37/$C$38</f>
        <v>6469.1570700000002</v>
      </c>
      <c r="E39" s="7">
        <f>E37/$C$38</f>
        <v>3334.0056300000006</v>
      </c>
    </row>
    <row r="40" spans="2:9" ht="56.5" customHeight="1" thickBot="1">
      <c r="B40" s="8" t="s">
        <v>20</v>
      </c>
      <c r="C40" s="7">
        <f>C39*($E$12/365)</f>
        <v>15497.054460000001</v>
      </c>
      <c r="D40" s="7">
        <f>D39*($E$12/365)</f>
        <v>10226.585286000001</v>
      </c>
      <c r="E40" s="7">
        <f>E39*($E$12/365)</f>
        <v>5270.4691740000007</v>
      </c>
      <c r="I40" s="16"/>
    </row>
    <row r="41" spans="2:9" ht="14.25" customHeight="1"/>
    <row r="42" spans="2:9" ht="14.25" customHeight="1"/>
    <row r="43" spans="2:9" ht="14.25" customHeight="1"/>
    <row r="44" spans="2:9" ht="14.25" customHeight="1">
      <c r="C44" s="20"/>
      <c r="F44" s="16"/>
      <c r="G44" s="16"/>
    </row>
    <row r="45" spans="2:9" ht="14.25" customHeight="1">
      <c r="C45" s="20"/>
      <c r="F45" s="16"/>
      <c r="G45" s="16"/>
    </row>
    <row r="46" spans="2:9" ht="14.25" customHeight="1">
      <c r="G46" s="16"/>
    </row>
    <row r="47" spans="2:9" ht="14.25" customHeight="1">
      <c r="C47" s="20"/>
      <c r="F47" s="16"/>
      <c r="G47" s="16"/>
      <c r="H47" s="16"/>
    </row>
    <row r="48" spans="2:9" ht="14.25" customHeight="1">
      <c r="G48" s="16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2">
    <mergeCell ref="C24:E24"/>
    <mergeCell ref="C38:E38"/>
  </mergeCells>
  <phoneticPr fontId="14" type="noConversion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FD92-16DF-434D-93A6-1337DF5E38D1}">
  <dimension ref="B1:K45"/>
  <sheetViews>
    <sheetView tabSelected="1" topLeftCell="A13" zoomScale="70" zoomScaleNormal="70" workbookViewId="0">
      <selection activeCell="G22" sqref="G22"/>
    </sheetView>
  </sheetViews>
  <sheetFormatPr defaultRowHeight="14"/>
  <cols>
    <col min="1" max="1" width="8.6640625" style="32"/>
    <col min="2" max="2" width="24.9140625" style="32" customWidth="1"/>
    <col min="3" max="3" width="13.33203125" style="32" customWidth="1"/>
    <col min="4" max="4" width="24.33203125" style="32" customWidth="1"/>
    <col min="5" max="5" width="20.58203125" style="32" bestFit="1" customWidth="1"/>
    <col min="6" max="6" width="19" style="32" customWidth="1"/>
    <col min="7" max="7" width="19.5" style="32" customWidth="1"/>
    <col min="8" max="8" width="12.33203125" style="32" bestFit="1" customWidth="1"/>
    <col min="9" max="9" width="13.9140625" style="32" customWidth="1"/>
    <col min="10" max="11" width="10.33203125" style="32" bestFit="1" customWidth="1"/>
    <col min="12" max="16384" width="8.6640625" style="32"/>
  </cols>
  <sheetData>
    <row r="1" spans="2:9" ht="14.5">
      <c r="B1" s="30" t="s">
        <v>35</v>
      </c>
      <c r="C1" s="31">
        <v>44105</v>
      </c>
      <c r="D1" s="46"/>
      <c r="G1" s="32" t="s">
        <v>82</v>
      </c>
    </row>
    <row r="2" spans="2:9" ht="15" thickBot="1">
      <c r="B2" s="30" t="s">
        <v>36</v>
      </c>
      <c r="C2" s="31">
        <v>44681</v>
      </c>
      <c r="G2" s="32" t="s">
        <v>81</v>
      </c>
    </row>
    <row r="3" spans="2:9" ht="14.5">
      <c r="B3" s="33"/>
      <c r="C3" s="34" t="s">
        <v>37</v>
      </c>
      <c r="D3" s="34" t="s">
        <v>34</v>
      </c>
      <c r="E3" s="35" t="s">
        <v>24</v>
      </c>
      <c r="G3" s="32" t="s">
        <v>76</v>
      </c>
      <c r="H3" s="46">
        <v>44105</v>
      </c>
    </row>
    <row r="4" spans="2:9" ht="14.5">
      <c r="B4" s="36" t="s">
        <v>38</v>
      </c>
      <c r="C4" s="37">
        <v>3186</v>
      </c>
      <c r="D4" s="68" t="s">
        <v>38</v>
      </c>
      <c r="E4" s="38" t="s">
        <v>39</v>
      </c>
      <c r="G4" s="32" t="s">
        <v>77</v>
      </c>
      <c r="H4" s="46">
        <v>44196</v>
      </c>
    </row>
    <row r="5" spans="2:9" ht="29">
      <c r="B5" s="39" t="s">
        <v>74</v>
      </c>
      <c r="C5" s="37">
        <f>(H4-H3)+1</f>
        <v>92</v>
      </c>
      <c r="D5" s="68" t="s">
        <v>41</v>
      </c>
      <c r="E5" s="38"/>
      <c r="G5" s="32" t="s">
        <v>78</v>
      </c>
    </row>
    <row r="6" spans="2:9" ht="29">
      <c r="B6" s="39" t="s">
        <v>75</v>
      </c>
      <c r="C6" s="37">
        <f>(H7-H6)+1</f>
        <v>485</v>
      </c>
      <c r="D6" s="68" t="s">
        <v>41</v>
      </c>
      <c r="E6" s="38"/>
      <c r="G6" s="32" t="s">
        <v>79</v>
      </c>
      <c r="H6" s="46">
        <v>44197</v>
      </c>
    </row>
    <row r="7" spans="2:9" ht="14.5">
      <c r="B7" s="39" t="s">
        <v>40</v>
      </c>
      <c r="C7" s="37">
        <f>(C2-C1)+1</f>
        <v>577</v>
      </c>
      <c r="D7" s="68" t="s">
        <v>41</v>
      </c>
      <c r="E7" s="40"/>
      <c r="G7" s="32" t="s">
        <v>80</v>
      </c>
      <c r="H7" s="46">
        <v>44681</v>
      </c>
    </row>
    <row r="8" spans="2:9" ht="16.5">
      <c r="B8" s="39" t="s">
        <v>83</v>
      </c>
      <c r="C8" s="37">
        <f>C5*C4</f>
        <v>293112</v>
      </c>
      <c r="D8" s="70" t="s">
        <v>43</v>
      </c>
      <c r="E8" s="40"/>
      <c r="H8" s="46"/>
    </row>
    <row r="9" spans="2:9" ht="16.5">
      <c r="B9" s="39" t="s">
        <v>84</v>
      </c>
      <c r="C9" s="37">
        <f>C6*C4</f>
        <v>1545210</v>
      </c>
      <c r="D9" s="70" t="s">
        <v>43</v>
      </c>
      <c r="E9" s="40"/>
      <c r="H9" s="46"/>
    </row>
    <row r="10" spans="2:9" ht="16.5">
      <c r="B10" s="39" t="s">
        <v>42</v>
      </c>
      <c r="C10" s="69">
        <f>C4*C7</f>
        <v>1838322</v>
      </c>
      <c r="D10" s="70" t="s">
        <v>43</v>
      </c>
      <c r="E10" s="41"/>
      <c r="F10" s="42"/>
      <c r="G10" s="43"/>
      <c r="H10" s="44"/>
      <c r="I10" s="45"/>
    </row>
    <row r="11" spans="2:9" ht="31">
      <c r="B11" s="39" t="s">
        <v>44</v>
      </c>
      <c r="C11" s="71">
        <v>5</v>
      </c>
      <c r="D11" s="72" t="s">
        <v>45</v>
      </c>
      <c r="E11" s="38" t="s">
        <v>27</v>
      </c>
      <c r="G11" s="46"/>
      <c r="H11" s="46"/>
    </row>
    <row r="12" spans="2:9" ht="31">
      <c r="B12" s="39" t="s">
        <v>59</v>
      </c>
      <c r="C12" s="73">
        <f>8.43/1000</f>
        <v>8.43E-3</v>
      </c>
      <c r="D12" s="70" t="s">
        <v>46</v>
      </c>
      <c r="E12" s="38" t="s">
        <v>62</v>
      </c>
      <c r="G12" s="46"/>
      <c r="H12" s="46"/>
    </row>
    <row r="13" spans="2:9" ht="31">
      <c r="B13" s="39" t="s">
        <v>60</v>
      </c>
      <c r="C13" s="82">
        <f>5.563/1000</f>
        <v>5.5629999999999994E-3</v>
      </c>
      <c r="D13" s="70" t="s">
        <v>46</v>
      </c>
      <c r="E13" s="38" t="s">
        <v>26</v>
      </c>
      <c r="G13" s="46"/>
      <c r="H13" s="79"/>
      <c r="I13" s="79"/>
    </row>
    <row r="14" spans="2:9" ht="31">
      <c r="B14" s="39" t="s">
        <v>61</v>
      </c>
      <c r="C14" s="73">
        <f>C12-C13</f>
        <v>2.8670000000000006E-3</v>
      </c>
      <c r="D14" s="70" t="s">
        <v>46</v>
      </c>
      <c r="E14" s="38"/>
      <c r="G14" s="46"/>
      <c r="H14" s="46"/>
    </row>
    <row r="15" spans="2:9" ht="31">
      <c r="B15" s="39" t="s">
        <v>63</v>
      </c>
      <c r="C15" s="73">
        <f>0.15/1000</f>
        <v>1.4999999999999999E-4</v>
      </c>
      <c r="D15" s="70" t="s">
        <v>46</v>
      </c>
      <c r="E15" s="38" t="s">
        <v>62</v>
      </c>
      <c r="G15" s="46"/>
      <c r="H15" s="46"/>
    </row>
    <row r="16" spans="2:9" ht="31">
      <c r="B16" s="39" t="s">
        <v>64</v>
      </c>
      <c r="C16" s="73">
        <v>0</v>
      </c>
      <c r="D16" s="70" t="s">
        <v>46</v>
      </c>
      <c r="E16" s="38" t="s">
        <v>26</v>
      </c>
      <c r="G16" s="46"/>
      <c r="H16" s="46"/>
    </row>
    <row r="17" spans="2:10" ht="31">
      <c r="B17" s="39" t="s">
        <v>65</v>
      </c>
      <c r="C17" s="73">
        <f>C15-C16</f>
        <v>1.4999999999999999E-4</v>
      </c>
      <c r="D17" s="70" t="s">
        <v>46</v>
      </c>
      <c r="E17" s="38"/>
      <c r="G17" s="46"/>
      <c r="H17" s="46"/>
    </row>
    <row r="18" spans="2:10" ht="15" thickBot="1">
      <c r="B18" s="47" t="s">
        <v>47</v>
      </c>
      <c r="C18" s="83">
        <v>0.87790000000000001</v>
      </c>
      <c r="D18" s="48" t="s">
        <v>48</v>
      </c>
      <c r="E18" s="74" t="s">
        <v>49</v>
      </c>
    </row>
    <row r="19" spans="2:10">
      <c r="C19" s="49"/>
      <c r="D19" s="50"/>
    </row>
    <row r="20" spans="2:10" ht="15" thickBot="1">
      <c r="B20" s="51" t="s">
        <v>50</v>
      </c>
    </row>
    <row r="21" spans="2:10" ht="17" thickBot="1">
      <c r="B21" s="94" t="s">
        <v>3</v>
      </c>
      <c r="C21" s="96" t="s">
        <v>85</v>
      </c>
      <c r="D21" s="94" t="s">
        <v>87</v>
      </c>
    </row>
    <row r="22" spans="2:10" ht="15" customHeight="1" thickBot="1">
      <c r="B22" s="100">
        <v>2020</v>
      </c>
      <c r="C22" s="101">
        <v>2422</v>
      </c>
      <c r="D22" s="97" t="s">
        <v>86</v>
      </c>
    </row>
    <row r="23" spans="2:10" ht="15" thickBot="1">
      <c r="B23" s="100">
        <v>2021</v>
      </c>
      <c r="C23" s="101">
        <v>9681</v>
      </c>
      <c r="D23" s="98"/>
    </row>
    <row r="24" spans="2:10" ht="15" thickBot="1">
      <c r="B24" s="100">
        <v>2022</v>
      </c>
      <c r="C24" s="101">
        <v>3183</v>
      </c>
      <c r="D24" s="98"/>
    </row>
    <row r="25" spans="2:10" ht="15" thickBot="1">
      <c r="B25" s="95" t="s">
        <v>12</v>
      </c>
      <c r="C25" s="102">
        <v>15286</v>
      </c>
      <c r="D25" s="99"/>
    </row>
    <row r="27" spans="2:10" ht="14.5" thickBot="1">
      <c r="C27" s="52"/>
      <c r="D27" s="52"/>
      <c r="E27" s="52"/>
      <c r="F27" s="53"/>
    </row>
    <row r="28" spans="2:10" ht="33.75" customHeight="1" thickBot="1">
      <c r="B28" s="91" t="s">
        <v>71</v>
      </c>
      <c r="C28" s="86"/>
      <c r="D28" s="54"/>
      <c r="E28" s="86" t="s">
        <v>72</v>
      </c>
      <c r="F28" s="86"/>
      <c r="G28" s="92" t="s">
        <v>55</v>
      </c>
      <c r="H28" s="87" t="s">
        <v>51</v>
      </c>
      <c r="I28" s="87"/>
      <c r="J28" s="88"/>
    </row>
    <row r="29" spans="2:10" ht="29" customHeight="1" thickTop="1" thickBot="1">
      <c r="B29" s="55" t="s">
        <v>52</v>
      </c>
      <c r="C29" s="56" t="s">
        <v>53</v>
      </c>
      <c r="D29" s="56" t="s">
        <v>54</v>
      </c>
      <c r="E29" s="56" t="s">
        <v>41</v>
      </c>
      <c r="F29" s="57" t="s">
        <v>73</v>
      </c>
      <c r="G29" s="93"/>
      <c r="H29" s="58" t="s">
        <v>56</v>
      </c>
      <c r="I29" s="58" t="s">
        <v>57</v>
      </c>
      <c r="J29" s="59" t="s">
        <v>58</v>
      </c>
    </row>
    <row r="30" spans="2:10" ht="14.5" thickTop="1">
      <c r="B30" s="60">
        <v>44105</v>
      </c>
      <c r="C30" s="75">
        <v>44196</v>
      </c>
      <c r="D30" s="76">
        <f>C4</f>
        <v>3186</v>
      </c>
      <c r="E30" s="76">
        <f>(C30-B30)+1</f>
        <v>92</v>
      </c>
      <c r="F30" s="77">
        <f>((C30-B30)+1)/365</f>
        <v>0.25205479452054796</v>
      </c>
      <c r="G30" s="80">
        <f>$C$11*D30*F30</f>
        <v>4015.232876712329</v>
      </c>
      <c r="H30" s="80">
        <f>($C$15*D30*E30)+($C$12*D30*E30)</f>
        <v>2514.9009600000004</v>
      </c>
      <c r="I30" s="80">
        <f>($C$16*$D30*$E30)+($C$13*D30*E30)</f>
        <v>1630.5820559999997</v>
      </c>
      <c r="J30" s="81">
        <f>($C$17*$D30*$E30)+($C$14*D30*E30)</f>
        <v>884.3189040000002</v>
      </c>
    </row>
    <row r="31" spans="2:10">
      <c r="B31" s="61">
        <v>44197</v>
      </c>
      <c r="C31" s="75">
        <v>44561</v>
      </c>
      <c r="D31" s="76">
        <f>C4</f>
        <v>3186</v>
      </c>
      <c r="E31" s="76">
        <f>(C31-B31)+1</f>
        <v>365</v>
      </c>
      <c r="F31" s="77">
        <f>(((C31-B31)+1)/366)</f>
        <v>0.99726775956284153</v>
      </c>
      <c r="G31" s="80">
        <f>$C$11*D31*F31</f>
        <v>15886.475409836066</v>
      </c>
      <c r="H31" s="80">
        <f>($C$15*D31*E31)+($C$12*D31*E31)</f>
        <v>9977.5962</v>
      </c>
      <c r="I31" s="80">
        <f>($C$16*$D31*$E31)+($C$13*D31*E31)</f>
        <v>6469.1570699999993</v>
      </c>
      <c r="J31" s="81">
        <f t="shared" ref="J31:J32" si="0">($C$17*$D31*$E31)+($C$14*D31*E31)</f>
        <v>3508.4391300000007</v>
      </c>
    </row>
    <row r="32" spans="2:10">
      <c r="B32" s="61">
        <v>44562</v>
      </c>
      <c r="C32" s="75">
        <v>44681</v>
      </c>
      <c r="D32" s="76">
        <v>3186</v>
      </c>
      <c r="E32" s="76">
        <f>(C32-B32)+1</f>
        <v>120</v>
      </c>
      <c r="F32" s="77">
        <f>(((C32-B32)+1)/366)</f>
        <v>0.32786885245901637</v>
      </c>
      <c r="G32" s="80">
        <f>$C$11*D32*F32</f>
        <v>5222.9508196721308</v>
      </c>
      <c r="H32" s="80">
        <f>($C$15*D32*E32)+($C$12*D32*E32)</f>
        <v>3280.3056000000001</v>
      </c>
      <c r="I32" s="80">
        <f>($C$16*$D32*$E32)+($C$13*D32*E32)</f>
        <v>2126.8461599999996</v>
      </c>
      <c r="J32" s="81">
        <f t="shared" si="0"/>
        <v>1153.4594400000001</v>
      </c>
    </row>
    <row r="33" spans="2:11" ht="15" thickBot="1">
      <c r="B33" s="89" t="s">
        <v>12</v>
      </c>
      <c r="C33" s="90"/>
      <c r="D33" s="62"/>
      <c r="E33" s="62">
        <f>SUM(E30:E32)</f>
        <v>577</v>
      </c>
      <c r="F33" s="63">
        <f>SUM(F30:F32)</f>
        <v>1.5771914065424057</v>
      </c>
      <c r="G33" s="64">
        <f>ROUNDDOWN(SUM(G30:G32),0)</f>
        <v>25124</v>
      </c>
      <c r="H33" s="64">
        <f t="shared" ref="H33:J33" si="1">ROUNDDOWN(SUM(H30:H32),0)</f>
        <v>15772</v>
      </c>
      <c r="I33" s="64">
        <f t="shared" si="1"/>
        <v>10226</v>
      </c>
      <c r="J33" s="65">
        <f t="shared" si="1"/>
        <v>5546</v>
      </c>
    </row>
    <row r="34" spans="2:11">
      <c r="G34" s="66"/>
      <c r="H34" s="66"/>
      <c r="K34" s="66"/>
    </row>
    <row r="35" spans="2:11">
      <c r="E35" s="67"/>
    </row>
    <row r="36" spans="2:11">
      <c r="G36" s="44"/>
    </row>
    <row r="37" spans="2:11">
      <c r="C37" s="66"/>
      <c r="E37" s="66"/>
      <c r="G37" s="44"/>
    </row>
    <row r="38" spans="2:11">
      <c r="C38" s="66"/>
      <c r="E38" s="44"/>
    </row>
    <row r="40" spans="2:11">
      <c r="C40" s="43"/>
      <c r="E40" s="66"/>
    </row>
    <row r="41" spans="2:11">
      <c r="C41" s="43"/>
      <c r="E41" s="66"/>
    </row>
    <row r="43" spans="2:11">
      <c r="C43" s="44"/>
      <c r="E43" s="44"/>
      <c r="G43" s="44"/>
    </row>
    <row r="45" spans="2:11">
      <c r="C45" s="44"/>
    </row>
  </sheetData>
  <mergeCells count="6">
    <mergeCell ref="D22:D25"/>
    <mergeCell ref="E28:F28"/>
    <mergeCell ref="H28:J28"/>
    <mergeCell ref="B33:C33"/>
    <mergeCell ref="B28:C28"/>
    <mergeCell ref="G28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SDGs_Exante</vt:lpstr>
      <vt:lpstr>Summary of SDGs_Expost</vt:lpstr>
      <vt:lpstr>Actuals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wurstere</dc:creator>
  <cp:lastModifiedBy>Hesbon Nyangena</cp:lastModifiedBy>
  <dcterms:created xsi:type="dcterms:W3CDTF">2020-09-10T15:11:16Z</dcterms:created>
  <dcterms:modified xsi:type="dcterms:W3CDTF">2022-09-21T12:09:24Z</dcterms:modified>
</cp:coreProperties>
</file>