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2balance.sharepoint.com/Shared Documents/Projects/Active/Vita/Eritrea/Eritrea_Zoba_Debub_SW/4_Reviews/3_Verification/MP6_MP5/VVB Verification/R1/"/>
    </mc:Choice>
  </mc:AlternateContent>
  <xr:revisionPtr revIDLastSave="45" documentId="8_{44ECA8F7-47D9-4779-A14F-807F5A3862A5}" xr6:coauthVersionLast="47" xr6:coauthVersionMax="47" xr10:uidLastSave="{EBFBD87F-B746-43CB-A9B2-DCF51E3A62FE}"/>
  <bookViews>
    <workbookView xWindow="10" yWindow="10" windowWidth="11450" windowHeight="10060" firstSheet="14" activeTab="15" xr2:uid="{DB69F2A0-B527-4EF5-8E39-D0D09B8A5769}"/>
  </bookViews>
  <sheets>
    <sheet name="All VPAs SDG Summary" sheetId="1" r:id="rId1"/>
    <sheet name="GS5038 Summary" sheetId="2" r:id="rId2"/>
    <sheet name="GS5038 PTDS" sheetId="3" r:id="rId3"/>
    <sheet name="GS5038 ER Calcs" sheetId="4" r:id="rId4"/>
    <sheet name="GS5038 ER Calcs Uncap" sheetId="67" r:id="rId5"/>
    <sheet name="GS5038 SDGs Calcs" sheetId="5" r:id="rId6"/>
    <sheet name="GS5039 Summary" sheetId="6" r:id="rId7"/>
    <sheet name="GS5039 PTDs" sheetId="7" r:id="rId8"/>
    <sheet name="GS5039 ER Calcs" sheetId="8" r:id="rId9"/>
    <sheet name="GS5039 ER Calcs Uncap" sheetId="68" r:id="rId10"/>
    <sheet name="GS5039 SDGs Calcs" sheetId="9" r:id="rId11"/>
    <sheet name="GS5040 Summary" sheetId="10" r:id="rId12"/>
    <sheet name="GS5040 PTDs" sheetId="11" r:id="rId13"/>
    <sheet name="GS5040 ER Calcs" sheetId="12" r:id="rId14"/>
    <sheet name="GS5040 ER Calcs Uncap" sheetId="69" r:id="rId15"/>
    <sheet name="GS5040 SDG Calcs" sheetId="13" r:id="rId16"/>
    <sheet name="GS5041 Summary" sheetId="14" r:id="rId17"/>
    <sheet name="GS5041 PTDs" sheetId="15" r:id="rId18"/>
    <sheet name="GS5041 ER Calcs" sheetId="16" r:id="rId19"/>
    <sheet name="GS5041 ER Calcs Uncap" sheetId="70" r:id="rId20"/>
    <sheet name="GS5041 SDG Calcs" sheetId="17" r:id="rId21"/>
    <sheet name="GS5042 Summary" sheetId="18" r:id="rId22"/>
    <sheet name="GS5042 PTDs" sheetId="19" r:id="rId23"/>
    <sheet name="GS5042 ER Calcs" sheetId="20" r:id="rId24"/>
    <sheet name="GS5042 ER Calcs Uncap" sheetId="71" r:id="rId25"/>
    <sheet name="GS5042 SDG Calcs" sheetId="21" r:id="rId26"/>
    <sheet name="GS5043 Summary" sheetId="22" r:id="rId27"/>
    <sheet name="GS5043 PTDs" sheetId="23" r:id="rId28"/>
    <sheet name="GS5043 ER Calcs" sheetId="24" r:id="rId29"/>
    <sheet name="GS5043 ER Calcs Uncap" sheetId="72" r:id="rId30"/>
    <sheet name="GS5043 SDG Calcs" sheetId="25" r:id="rId31"/>
    <sheet name="GS5825 Summary" sheetId="26" r:id="rId32"/>
    <sheet name="GS5825 PTDs" sheetId="27" r:id="rId33"/>
    <sheet name="GS5825 ER Calcs" sheetId="28" r:id="rId34"/>
    <sheet name="GS5825 ER Calcs Uncap" sheetId="73" r:id="rId35"/>
    <sheet name="GS5825 SDG Calcs" sheetId="29" r:id="rId36"/>
    <sheet name="GS5826 Summary" sheetId="30" r:id="rId37"/>
    <sheet name="GS5826 PTDs" sheetId="31" r:id="rId38"/>
    <sheet name="GS5826 ER Calcs" sheetId="32" r:id="rId39"/>
    <sheet name="GS5826 ER Uncap Calcs" sheetId="82" r:id="rId40"/>
    <sheet name="GS5826 SDG Calcs" sheetId="33" r:id="rId41"/>
    <sheet name="GS5827 Summary" sheetId="34" r:id="rId42"/>
    <sheet name="GS5827 PTDs" sheetId="35" r:id="rId43"/>
    <sheet name="GS5827 ER Calcs" sheetId="36" r:id="rId44"/>
    <sheet name="GS5827 ER Calcs Uncap" sheetId="74" r:id="rId45"/>
    <sheet name="GS5827 SDG Calcs" sheetId="37" r:id="rId46"/>
    <sheet name="GS7330 Summary" sheetId="38" r:id="rId47"/>
    <sheet name="GS7330 PTDs" sheetId="39" r:id="rId48"/>
    <sheet name="GS7330 ER Calcs" sheetId="40" r:id="rId49"/>
    <sheet name="GS7330 ER Calcs Uncap" sheetId="75" r:id="rId50"/>
    <sheet name="GS7330 SDG Calcs" sheetId="41" r:id="rId51"/>
    <sheet name="GS7331 Summary" sheetId="42" r:id="rId52"/>
    <sheet name="GS7331 PTDs" sheetId="43" r:id="rId53"/>
    <sheet name="GS7331 ER Calcs" sheetId="44" r:id="rId54"/>
    <sheet name="GS7331 ER Calcs Uncap" sheetId="76" r:id="rId55"/>
    <sheet name="GS7331 SDG Calcs" sheetId="45" r:id="rId56"/>
    <sheet name="GS7332 Summary" sheetId="46" r:id="rId57"/>
    <sheet name="GS7332 PTDs" sheetId="47" r:id="rId58"/>
    <sheet name="GS7332 ER Calcs" sheetId="48" r:id="rId59"/>
    <sheet name="GS7332 ER Calcs Uncap" sheetId="77" r:id="rId60"/>
    <sheet name="GS7332 SDG Calcs" sheetId="49" r:id="rId61"/>
    <sheet name="GS7333 Summary" sheetId="50" r:id="rId62"/>
    <sheet name="GS7333 PTDs" sheetId="51" r:id="rId63"/>
    <sheet name="GS7333 ER Calcs" sheetId="52" r:id="rId64"/>
    <sheet name="GS7333 ER Calcs Uncap" sheetId="78" r:id="rId65"/>
    <sheet name="GS7333 SDG Calcs" sheetId="53" r:id="rId66"/>
    <sheet name="GS7334 Summary" sheetId="54" r:id="rId67"/>
    <sheet name="GS7334 PTDs" sheetId="55" r:id="rId68"/>
    <sheet name="GS7334 ER Calcs" sheetId="56" r:id="rId69"/>
    <sheet name="GS7334 ER Calcs Uncap" sheetId="79" r:id="rId70"/>
    <sheet name="GS7334 SDG Calcs" sheetId="57" r:id="rId71"/>
    <sheet name="GS7335 Summary" sheetId="58" r:id="rId72"/>
    <sheet name="GS7335 PTDs" sheetId="59" r:id="rId73"/>
    <sheet name="GS7335 ER Calcs" sheetId="60" r:id="rId74"/>
    <sheet name="GS7335 ER Calcs Uncap" sheetId="80" r:id="rId75"/>
    <sheet name="GS7335 SDG Calcs" sheetId="61" r:id="rId76"/>
    <sheet name="GS7336 Summary" sheetId="62" r:id="rId77"/>
    <sheet name="GS7336 PTDs" sheetId="63" r:id="rId78"/>
    <sheet name="GS7336 ER Calcs" sheetId="64" r:id="rId79"/>
    <sheet name="GS7336 ER Calcs Uncap" sheetId="81" r:id="rId80"/>
    <sheet name="GS7336 SDG Calcs" sheetId="65" r:id="rId81"/>
    <sheet name="Maintenance " sheetId="66" r:id="rId8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65" l="1"/>
  <c r="C16" i="61"/>
  <c r="C16" i="57"/>
  <c r="C16" i="53"/>
  <c r="C16" i="49"/>
  <c r="C16" i="45"/>
  <c r="C16" i="41"/>
  <c r="C16" i="37"/>
  <c r="C16" i="33"/>
  <c r="C16" i="29"/>
  <c r="C16" i="25"/>
  <c r="C16" i="21"/>
  <c r="C16" i="17"/>
  <c r="C16" i="13"/>
  <c r="C16" i="9"/>
  <c r="C16" i="5"/>
  <c r="C4" i="21" l="1"/>
  <c r="B23" i="55"/>
  <c r="B23" i="51"/>
  <c r="B23" i="47"/>
  <c r="BK74" i="66"/>
  <c r="C21" i="43"/>
  <c r="BJ54" i="66"/>
  <c r="BK54" i="66"/>
  <c r="C21" i="31" s="1"/>
  <c r="BI101" i="66"/>
  <c r="BI102" i="66"/>
  <c r="BI103" i="66"/>
  <c r="BI104" i="66"/>
  <c r="BI105" i="66"/>
  <c r="BI95" i="66"/>
  <c r="BI96" i="66"/>
  <c r="BI97" i="66"/>
  <c r="BI98" i="66"/>
  <c r="BI99" i="66"/>
  <c r="BI89" i="66"/>
  <c r="BI90" i="66"/>
  <c r="BI91" i="66"/>
  <c r="BI92" i="66"/>
  <c r="BI93" i="66"/>
  <c r="BI69" i="66"/>
  <c r="BI70" i="66"/>
  <c r="BI71" i="66"/>
  <c r="BI72" i="66"/>
  <c r="BI73" i="66"/>
  <c r="BI82" i="66"/>
  <c r="BI83" i="66"/>
  <c r="BI84" i="66"/>
  <c r="BI85" i="66"/>
  <c r="BI86" i="66"/>
  <c r="BI87" i="66"/>
  <c r="BI75" i="66"/>
  <c r="BI76" i="66"/>
  <c r="BI77" i="66"/>
  <c r="BI78" i="66"/>
  <c r="BI79" i="66"/>
  <c r="BI80" i="66"/>
  <c r="BI62" i="66"/>
  <c r="BI63" i="66"/>
  <c r="BI64" i="66"/>
  <c r="BI65" i="66"/>
  <c r="BI66" i="66"/>
  <c r="BI67" i="66"/>
  <c r="BI55" i="66"/>
  <c r="BI56" i="66"/>
  <c r="BI57" i="66"/>
  <c r="BI58" i="66"/>
  <c r="BI59" i="66"/>
  <c r="BI60" i="66"/>
  <c r="BI48" i="66"/>
  <c r="BI54" i="66" s="1"/>
  <c r="BI49" i="66"/>
  <c r="BI50" i="66"/>
  <c r="BI51" i="66"/>
  <c r="BI52" i="66"/>
  <c r="BI53" i="66"/>
  <c r="BI42" i="66"/>
  <c r="BI43" i="66"/>
  <c r="BI44" i="66"/>
  <c r="BI45" i="66"/>
  <c r="BI46" i="66"/>
  <c r="BI40" i="66"/>
  <c r="BI41" i="66"/>
  <c r="BI34" i="66"/>
  <c r="BI35" i="66"/>
  <c r="BI36" i="66"/>
  <c r="BI37" i="66"/>
  <c r="BI38" i="66"/>
  <c r="BI28" i="66"/>
  <c r="BI29" i="66"/>
  <c r="BI30" i="66"/>
  <c r="BI31" i="66"/>
  <c r="BI32" i="66"/>
  <c r="BI22" i="66"/>
  <c r="BI23" i="66"/>
  <c r="BI24" i="66"/>
  <c r="BI25" i="66"/>
  <c r="BI26" i="66"/>
  <c r="BI16" i="66"/>
  <c r="BI17" i="66"/>
  <c r="BI18" i="66"/>
  <c r="BI19" i="66"/>
  <c r="BI20" i="66"/>
  <c r="BI10" i="66"/>
  <c r="BI11" i="66"/>
  <c r="BI12" i="66"/>
  <c r="BI13" i="66"/>
  <c r="BI14" i="66"/>
  <c r="BI5" i="66"/>
  <c r="BI6" i="66"/>
  <c r="BI7" i="66"/>
  <c r="BI8" i="66"/>
  <c r="BI4" i="66"/>
  <c r="AH77" i="66"/>
  <c r="I6" i="7"/>
  <c r="I5" i="59"/>
  <c r="I2" i="59"/>
  <c r="I4" i="55"/>
  <c r="I7" i="47"/>
  <c r="I4" i="47"/>
  <c r="I7" i="39"/>
  <c r="I4" i="39"/>
  <c r="I4" i="35"/>
  <c r="I6" i="31"/>
  <c r="I2" i="27"/>
  <c r="I5" i="23"/>
  <c r="I4" i="23"/>
  <c r="I2" i="23"/>
  <c r="I6" i="15"/>
  <c r="I3" i="15"/>
  <c r="I4" i="11"/>
  <c r="I4" i="7"/>
  <c r="I3" i="7"/>
  <c r="H4" i="3"/>
  <c r="I3" i="63" l="1"/>
  <c r="I4" i="63"/>
  <c r="I5" i="63"/>
  <c r="I6" i="63"/>
  <c r="I2" i="63"/>
  <c r="I3" i="59"/>
  <c r="I4" i="59"/>
  <c r="I6" i="59"/>
  <c r="I3" i="55"/>
  <c r="I5" i="55"/>
  <c r="I6" i="55"/>
  <c r="I2" i="55"/>
  <c r="I4" i="51" l="1"/>
  <c r="I5" i="51"/>
  <c r="I6" i="51"/>
  <c r="I7" i="51"/>
  <c r="I3" i="51"/>
  <c r="I3" i="47"/>
  <c r="I5" i="47"/>
  <c r="I6" i="47"/>
  <c r="I2" i="47"/>
  <c r="I3" i="43"/>
  <c r="I4" i="43"/>
  <c r="I5" i="43"/>
  <c r="I6" i="43"/>
  <c r="I2" i="43"/>
  <c r="I3" i="39"/>
  <c r="I5" i="39"/>
  <c r="I6" i="39"/>
  <c r="I2" i="39"/>
  <c r="I3" i="35"/>
  <c r="I5" i="35"/>
  <c r="I6" i="35"/>
  <c r="I7" i="35"/>
  <c r="I2" i="35"/>
  <c r="I3" i="31"/>
  <c r="I4" i="31"/>
  <c r="I5" i="31"/>
  <c r="I7" i="31"/>
  <c r="I2" i="31"/>
  <c r="I3" i="27"/>
  <c r="I4" i="27"/>
  <c r="I5" i="27"/>
  <c r="I6" i="27"/>
  <c r="I7" i="27"/>
  <c r="I8" i="27"/>
  <c r="I3" i="23"/>
  <c r="I6" i="23"/>
  <c r="I5" i="19"/>
  <c r="I6" i="19"/>
  <c r="I4" i="19"/>
  <c r="I5" i="15"/>
  <c r="I5" i="11"/>
  <c r="I6" i="11"/>
  <c r="I2" i="11"/>
  <c r="I5" i="7"/>
  <c r="I2" i="7"/>
  <c r="H5" i="3"/>
  <c r="H6" i="3"/>
  <c r="H3" i="3"/>
  <c r="T5" i="79" l="1"/>
  <c r="O5" i="79"/>
  <c r="T28" i="79"/>
  <c r="T22" i="79"/>
  <c r="Y28" i="79"/>
  <c r="Y22" i="79"/>
  <c r="Y5" i="79"/>
  <c r="T5" i="78"/>
  <c r="T28" i="78"/>
  <c r="T22" i="78"/>
  <c r="T28" i="77"/>
  <c r="T22" i="77"/>
  <c r="T5" i="77"/>
  <c r="T9" i="77" s="1"/>
  <c r="D37" i="76"/>
  <c r="T28" i="76"/>
  <c r="T5" i="76"/>
  <c r="D37" i="74"/>
  <c r="T28" i="74"/>
  <c r="T22" i="74"/>
  <c r="T5" i="74"/>
  <c r="D37" i="82"/>
  <c r="T28" i="82"/>
  <c r="T22" i="82"/>
  <c r="T9" i="82"/>
  <c r="T5" i="82"/>
  <c r="O5" i="82"/>
  <c r="D5" i="73"/>
  <c r="D13" i="73" s="1"/>
  <c r="D37" i="73"/>
  <c r="U37" i="73"/>
  <c r="U5" i="73" l="1"/>
  <c r="U9" i="73" s="1"/>
  <c r="P21" i="27"/>
  <c r="N12" i="63"/>
  <c r="N13" i="63"/>
  <c r="N14" i="63"/>
  <c r="N15" i="63"/>
  <c r="N11" i="63"/>
  <c r="L12" i="63"/>
  <c r="L13" i="63"/>
  <c r="L14" i="63"/>
  <c r="L15" i="63"/>
  <c r="L11" i="63"/>
  <c r="N3" i="63"/>
  <c r="N4" i="63"/>
  <c r="N5" i="63"/>
  <c r="N6" i="63"/>
  <c r="N2" i="63"/>
  <c r="L3" i="63"/>
  <c r="L4" i="63"/>
  <c r="L5" i="63"/>
  <c r="L6" i="63"/>
  <c r="L2" i="63"/>
  <c r="N12" i="59"/>
  <c r="N13" i="59"/>
  <c r="N14" i="59"/>
  <c r="N15" i="59"/>
  <c r="N11" i="59"/>
  <c r="L12" i="59"/>
  <c r="L13" i="59"/>
  <c r="L14" i="59"/>
  <c r="L15" i="59"/>
  <c r="L11" i="59"/>
  <c r="N3" i="59"/>
  <c r="N4" i="59"/>
  <c r="N5" i="59"/>
  <c r="N6" i="59"/>
  <c r="N2" i="59"/>
  <c r="L3" i="59"/>
  <c r="L4" i="59"/>
  <c r="L5" i="59"/>
  <c r="L6" i="59"/>
  <c r="L2" i="59"/>
  <c r="P12" i="55"/>
  <c r="P13" i="55"/>
  <c r="P14" i="55"/>
  <c r="P15" i="55"/>
  <c r="P11" i="55"/>
  <c r="N12" i="55"/>
  <c r="N13" i="55"/>
  <c r="N14" i="55"/>
  <c r="N15" i="55"/>
  <c r="N11" i="55"/>
  <c r="L12" i="55"/>
  <c r="L13" i="55"/>
  <c r="L14" i="55"/>
  <c r="L15" i="55"/>
  <c r="L11" i="55"/>
  <c r="P3" i="55"/>
  <c r="P4" i="55"/>
  <c r="P5" i="55"/>
  <c r="P6" i="55"/>
  <c r="P2" i="55"/>
  <c r="N3" i="55"/>
  <c r="N4" i="55"/>
  <c r="N5" i="55"/>
  <c r="N6" i="55"/>
  <c r="N2" i="55"/>
  <c r="L3" i="55"/>
  <c r="L4" i="55"/>
  <c r="L5" i="55"/>
  <c r="L6" i="55"/>
  <c r="L2" i="55"/>
  <c r="P13" i="51"/>
  <c r="P14" i="51"/>
  <c r="P15" i="51"/>
  <c r="P16" i="51"/>
  <c r="P17" i="51"/>
  <c r="P12" i="51"/>
  <c r="N13" i="51"/>
  <c r="N14" i="51"/>
  <c r="N15" i="51"/>
  <c r="N16" i="51"/>
  <c r="N17" i="51"/>
  <c r="N12" i="51"/>
  <c r="L13" i="51"/>
  <c r="L14" i="51"/>
  <c r="L15" i="51"/>
  <c r="L16" i="51"/>
  <c r="L17" i="51"/>
  <c r="L12" i="51"/>
  <c r="P3" i="51"/>
  <c r="P4" i="51"/>
  <c r="P5" i="51"/>
  <c r="P6" i="51"/>
  <c r="P7" i="51"/>
  <c r="P2" i="51"/>
  <c r="N3" i="51"/>
  <c r="N4" i="51"/>
  <c r="N5" i="51"/>
  <c r="N6" i="51"/>
  <c r="N7" i="51"/>
  <c r="N2" i="51"/>
  <c r="L3" i="51"/>
  <c r="L4" i="51"/>
  <c r="L5" i="51"/>
  <c r="L6" i="51"/>
  <c r="L7" i="51"/>
  <c r="L2" i="51"/>
  <c r="P13" i="47"/>
  <c r="P14" i="47"/>
  <c r="P15" i="47"/>
  <c r="P16" i="47"/>
  <c r="P17" i="47"/>
  <c r="P12" i="47"/>
  <c r="N13" i="47"/>
  <c r="N14" i="47"/>
  <c r="N15" i="47"/>
  <c r="N16" i="47"/>
  <c r="N17" i="47"/>
  <c r="N12" i="47"/>
  <c r="L13" i="47"/>
  <c r="L14" i="47"/>
  <c r="L15" i="47"/>
  <c r="L16" i="47"/>
  <c r="L17" i="47"/>
  <c r="L12" i="47"/>
  <c r="P3" i="47"/>
  <c r="P4" i="47"/>
  <c r="P5" i="47"/>
  <c r="P6" i="47"/>
  <c r="P7" i="47"/>
  <c r="P2" i="47"/>
  <c r="N3" i="47"/>
  <c r="N4" i="47"/>
  <c r="N5" i="47"/>
  <c r="N6" i="47"/>
  <c r="N7" i="47"/>
  <c r="N2" i="47"/>
  <c r="L3" i="47"/>
  <c r="L4" i="47"/>
  <c r="L5" i="47"/>
  <c r="L6" i="47"/>
  <c r="L7" i="47"/>
  <c r="L2" i="47"/>
  <c r="P12" i="43"/>
  <c r="P13" i="43"/>
  <c r="P14" i="43"/>
  <c r="P15" i="43"/>
  <c r="P11" i="43"/>
  <c r="N12" i="43"/>
  <c r="N13" i="43"/>
  <c r="N14" i="43"/>
  <c r="N15" i="43"/>
  <c r="N11" i="43"/>
  <c r="L12" i="43"/>
  <c r="L13" i="43"/>
  <c r="L14" i="43"/>
  <c r="L15" i="43"/>
  <c r="L11" i="43"/>
  <c r="P3" i="43"/>
  <c r="P4" i="43"/>
  <c r="P5" i="43"/>
  <c r="P6" i="43"/>
  <c r="P2" i="43"/>
  <c r="N3" i="43"/>
  <c r="N4" i="43"/>
  <c r="N5" i="43"/>
  <c r="N6" i="43"/>
  <c r="N2" i="43"/>
  <c r="L3" i="43"/>
  <c r="L4" i="43"/>
  <c r="L5" i="43"/>
  <c r="L6" i="43"/>
  <c r="L2" i="43"/>
  <c r="N13" i="39"/>
  <c r="N14" i="39"/>
  <c r="N15" i="39"/>
  <c r="N16" i="39"/>
  <c r="N17" i="39"/>
  <c r="N12" i="39"/>
  <c r="L13" i="39"/>
  <c r="L14" i="39"/>
  <c r="L15" i="39"/>
  <c r="L16" i="39"/>
  <c r="L17" i="39"/>
  <c r="L12" i="39"/>
  <c r="N3" i="39"/>
  <c r="N4" i="39"/>
  <c r="N5" i="39"/>
  <c r="N6" i="39"/>
  <c r="N7" i="39"/>
  <c r="N2" i="39"/>
  <c r="L3" i="39"/>
  <c r="L4" i="39"/>
  <c r="L5" i="39"/>
  <c r="L6" i="39"/>
  <c r="L7" i="39"/>
  <c r="L2" i="39"/>
  <c r="P13" i="35"/>
  <c r="P14" i="35"/>
  <c r="P15" i="35"/>
  <c r="P16" i="35"/>
  <c r="P17" i="35"/>
  <c r="P12" i="35"/>
  <c r="N13" i="35"/>
  <c r="N14" i="35"/>
  <c r="N15" i="35"/>
  <c r="N16" i="35"/>
  <c r="N17" i="35"/>
  <c r="N12" i="35"/>
  <c r="L13" i="35"/>
  <c r="L14" i="35"/>
  <c r="L15" i="35"/>
  <c r="L16" i="35"/>
  <c r="L17" i="35"/>
  <c r="L12" i="35"/>
  <c r="P3" i="35"/>
  <c r="P4" i="35"/>
  <c r="P5" i="35"/>
  <c r="P6" i="35"/>
  <c r="P7" i="35"/>
  <c r="P2" i="35"/>
  <c r="N3" i="35"/>
  <c r="N4" i="35"/>
  <c r="N5" i="35"/>
  <c r="N6" i="35"/>
  <c r="N7" i="35"/>
  <c r="N2" i="35"/>
  <c r="L3" i="35"/>
  <c r="L4" i="35"/>
  <c r="L5" i="35"/>
  <c r="L6" i="35"/>
  <c r="L7" i="35"/>
  <c r="L2" i="35"/>
  <c r="P13" i="31"/>
  <c r="P14" i="31"/>
  <c r="P15" i="31"/>
  <c r="P16" i="31"/>
  <c r="P17" i="31"/>
  <c r="P12" i="31"/>
  <c r="N13" i="31"/>
  <c r="N14" i="31"/>
  <c r="N15" i="31"/>
  <c r="N16" i="31"/>
  <c r="N17" i="31"/>
  <c r="N12" i="31"/>
  <c r="L13" i="31"/>
  <c r="L14" i="31"/>
  <c r="L15" i="31"/>
  <c r="L16" i="31"/>
  <c r="L17" i="31"/>
  <c r="L12" i="31"/>
  <c r="P3" i="31"/>
  <c r="P4" i="31"/>
  <c r="P5" i="31"/>
  <c r="P6" i="31"/>
  <c r="P7" i="31"/>
  <c r="P2" i="31"/>
  <c r="N3" i="31"/>
  <c r="N4" i="31"/>
  <c r="N5" i="31"/>
  <c r="N6" i="31"/>
  <c r="N7" i="31"/>
  <c r="N2" i="31"/>
  <c r="L3" i="31"/>
  <c r="L4" i="31"/>
  <c r="L5" i="31"/>
  <c r="L6" i="31"/>
  <c r="L7" i="31"/>
  <c r="L2" i="31"/>
  <c r="P14" i="27"/>
  <c r="P15" i="27"/>
  <c r="P16" i="27"/>
  <c r="P17" i="27"/>
  <c r="P18" i="27"/>
  <c r="P19" i="27"/>
  <c r="P20" i="27"/>
  <c r="P13" i="27"/>
  <c r="N14" i="27"/>
  <c r="N15" i="27"/>
  <c r="N16" i="27"/>
  <c r="N17" i="27"/>
  <c r="N18" i="27"/>
  <c r="N19" i="27"/>
  <c r="N20" i="27"/>
  <c r="N13" i="27"/>
  <c r="L14" i="27"/>
  <c r="L15" i="27"/>
  <c r="L16" i="27"/>
  <c r="L17" i="27"/>
  <c r="L18" i="27"/>
  <c r="L19" i="27"/>
  <c r="L20" i="27"/>
  <c r="L13" i="27"/>
  <c r="P3" i="27"/>
  <c r="P4" i="27"/>
  <c r="P5" i="27"/>
  <c r="P6" i="27"/>
  <c r="P7" i="27"/>
  <c r="P8" i="27"/>
  <c r="P2" i="27"/>
  <c r="N3" i="27"/>
  <c r="N4" i="27"/>
  <c r="N5" i="27"/>
  <c r="N6" i="27"/>
  <c r="N7" i="27"/>
  <c r="N8" i="27"/>
  <c r="N2" i="27"/>
  <c r="L3" i="27"/>
  <c r="L4" i="27"/>
  <c r="L5" i="27"/>
  <c r="L6" i="27"/>
  <c r="L7" i="27"/>
  <c r="L8" i="27"/>
  <c r="L2" i="27"/>
  <c r="N12" i="23"/>
  <c r="N13" i="23"/>
  <c r="N14" i="23"/>
  <c r="N15" i="23"/>
  <c r="N11" i="23"/>
  <c r="L12" i="23"/>
  <c r="L13" i="23"/>
  <c r="L14" i="23"/>
  <c r="L15" i="23"/>
  <c r="L11" i="23"/>
  <c r="N3" i="23"/>
  <c r="N4" i="23"/>
  <c r="N5" i="23"/>
  <c r="N6" i="23"/>
  <c r="N2" i="23"/>
  <c r="L3" i="23"/>
  <c r="L4" i="23"/>
  <c r="L5" i="23"/>
  <c r="L6" i="23"/>
  <c r="L2" i="23"/>
  <c r="N12" i="19"/>
  <c r="N13" i="19"/>
  <c r="N14" i="19"/>
  <c r="N15" i="19"/>
  <c r="N11" i="19"/>
  <c r="L12" i="19"/>
  <c r="L13" i="19"/>
  <c r="L14" i="19"/>
  <c r="L15" i="19"/>
  <c r="L11" i="19"/>
  <c r="N3" i="19"/>
  <c r="N4" i="19"/>
  <c r="N5" i="19"/>
  <c r="N6" i="19"/>
  <c r="N2" i="19"/>
  <c r="L3" i="19"/>
  <c r="L4" i="19"/>
  <c r="L5" i="19"/>
  <c r="L6" i="19"/>
  <c r="L2" i="19"/>
  <c r="N12" i="15"/>
  <c r="N13" i="15"/>
  <c r="N14" i="15"/>
  <c r="N15" i="15"/>
  <c r="N11" i="15"/>
  <c r="L12" i="15"/>
  <c r="L13" i="15"/>
  <c r="L14" i="15"/>
  <c r="L15" i="15"/>
  <c r="L11" i="15"/>
  <c r="N3" i="15"/>
  <c r="N4" i="15"/>
  <c r="N5" i="15"/>
  <c r="N6" i="15"/>
  <c r="N2" i="15"/>
  <c r="L3" i="15"/>
  <c r="L4" i="15"/>
  <c r="L5" i="15"/>
  <c r="L6" i="15"/>
  <c r="L2" i="15"/>
  <c r="N12" i="11"/>
  <c r="N13" i="11"/>
  <c r="N14" i="11"/>
  <c r="N15" i="11"/>
  <c r="N11" i="11"/>
  <c r="L12" i="11"/>
  <c r="L13" i="11"/>
  <c r="L14" i="11"/>
  <c r="L15" i="11"/>
  <c r="L11" i="11"/>
  <c r="N3" i="11"/>
  <c r="N4" i="11"/>
  <c r="N5" i="11"/>
  <c r="N6" i="11"/>
  <c r="N2" i="11"/>
  <c r="L3" i="11"/>
  <c r="L4" i="11"/>
  <c r="L5" i="11"/>
  <c r="L6" i="11"/>
  <c r="L2" i="11"/>
  <c r="N3" i="7"/>
  <c r="N4" i="7"/>
  <c r="N5" i="7"/>
  <c r="N6" i="7"/>
  <c r="N2" i="7"/>
  <c r="L3" i="7"/>
  <c r="L4" i="7"/>
  <c r="L5" i="7"/>
  <c r="L6" i="7"/>
  <c r="L2" i="7"/>
  <c r="N12" i="7"/>
  <c r="N13" i="7"/>
  <c r="N14" i="7"/>
  <c r="N15" i="7"/>
  <c r="N11" i="7"/>
  <c r="L12" i="7"/>
  <c r="L13" i="7"/>
  <c r="L14" i="7"/>
  <c r="L15" i="7"/>
  <c r="L11" i="7"/>
  <c r="N11" i="3"/>
  <c r="N12" i="3"/>
  <c r="N13" i="3"/>
  <c r="N14" i="3"/>
  <c r="N10" i="3"/>
  <c r="L11" i="3"/>
  <c r="L12" i="3"/>
  <c r="L13" i="3"/>
  <c r="L14" i="3"/>
  <c r="L10" i="3"/>
  <c r="N3" i="3"/>
  <c r="N4" i="3"/>
  <c r="N5" i="3"/>
  <c r="N6" i="3"/>
  <c r="N2" i="3"/>
  <c r="L3" i="3"/>
  <c r="L4" i="3"/>
  <c r="L5" i="3"/>
  <c r="L6" i="3"/>
  <c r="L2" i="3"/>
  <c r="T13" i="82"/>
  <c r="T17" i="82" s="1"/>
  <c r="T27" i="82" s="1"/>
  <c r="T26" i="82"/>
  <c r="U13" i="73"/>
  <c r="U28" i="73"/>
  <c r="U22" i="73"/>
  <c r="I3" i="19"/>
  <c r="I2" i="19"/>
  <c r="I2" i="15"/>
  <c r="C21" i="55"/>
  <c r="C21" i="51"/>
  <c r="C21" i="47"/>
  <c r="C21" i="35"/>
  <c r="BJ105" i="66"/>
  <c r="BL105" i="66" s="1"/>
  <c r="BJ104" i="66"/>
  <c r="BL104" i="66" s="1"/>
  <c r="BJ103" i="66"/>
  <c r="BL103" i="66" s="1"/>
  <c r="BJ102" i="66"/>
  <c r="BL102" i="66" s="1"/>
  <c r="BJ101" i="66"/>
  <c r="BL101" i="66" s="1"/>
  <c r="BJ99" i="66"/>
  <c r="BL99" i="66" s="1"/>
  <c r="BJ98" i="66"/>
  <c r="BL98" i="66" s="1"/>
  <c r="BJ97" i="66"/>
  <c r="BL97" i="66" s="1"/>
  <c r="BJ96" i="66"/>
  <c r="BL96" i="66" s="1"/>
  <c r="BJ95" i="66"/>
  <c r="BI100" i="66"/>
  <c r="C19" i="59" s="1"/>
  <c r="BJ93" i="66"/>
  <c r="BL93" i="66" s="1"/>
  <c r="BJ92" i="66"/>
  <c r="BL92" i="66" s="1"/>
  <c r="BJ91" i="66"/>
  <c r="BL91" i="66" s="1"/>
  <c r="BJ90" i="66"/>
  <c r="BL90" i="66" s="1"/>
  <c r="BJ89" i="66"/>
  <c r="BL89" i="66" s="1"/>
  <c r="BI94" i="66"/>
  <c r="C19" i="55" s="1"/>
  <c r="BJ87" i="66"/>
  <c r="BL87" i="66" s="1"/>
  <c r="BJ86" i="66"/>
  <c r="BL86" i="66" s="1"/>
  <c r="BJ85" i="66"/>
  <c r="BL85" i="66" s="1"/>
  <c r="BJ84" i="66"/>
  <c r="BL84" i="66" s="1"/>
  <c r="BJ83" i="66"/>
  <c r="BL83" i="66" s="1"/>
  <c r="BJ82" i="66"/>
  <c r="BL82" i="66" s="1"/>
  <c r="BJ80" i="66"/>
  <c r="BL80" i="66" s="1"/>
  <c r="BJ79" i="66"/>
  <c r="BL79" i="66" s="1"/>
  <c r="BJ78" i="66"/>
  <c r="BL78" i="66" s="1"/>
  <c r="BJ77" i="66"/>
  <c r="BL77" i="66" s="1"/>
  <c r="BJ76" i="66"/>
  <c r="BL76" i="66" s="1"/>
  <c r="BJ75" i="66"/>
  <c r="BL75" i="66" s="1"/>
  <c r="BJ73" i="66"/>
  <c r="BL73" i="66" s="1"/>
  <c r="BJ72" i="66"/>
  <c r="BL72" i="66" s="1"/>
  <c r="BJ71" i="66"/>
  <c r="BL71" i="66" s="1"/>
  <c r="BJ70" i="66"/>
  <c r="BL70" i="66" s="1"/>
  <c r="BJ69" i="66"/>
  <c r="BJ67" i="66"/>
  <c r="BL67" i="66" s="1"/>
  <c r="BJ66" i="66"/>
  <c r="BL66" i="66" s="1"/>
  <c r="BJ65" i="66"/>
  <c r="BL65" i="66" s="1"/>
  <c r="BJ64" i="66"/>
  <c r="BL64" i="66" s="1"/>
  <c r="BJ63" i="66"/>
  <c r="BL63" i="66" s="1"/>
  <c r="BJ62" i="66"/>
  <c r="BL62" i="66" s="1"/>
  <c r="BJ60" i="66"/>
  <c r="BJ59" i="66"/>
  <c r="BJ58" i="66"/>
  <c r="BJ57" i="66"/>
  <c r="BJ56" i="66"/>
  <c r="BJ55" i="66"/>
  <c r="BJ53" i="66"/>
  <c r="BL53" i="66" s="1"/>
  <c r="BJ52" i="66"/>
  <c r="BL52" i="66" s="1"/>
  <c r="BJ51" i="66"/>
  <c r="BL51" i="66" s="1"/>
  <c r="BJ50" i="66"/>
  <c r="BL50" i="66" s="1"/>
  <c r="BJ49" i="66"/>
  <c r="BL49" i="66" s="1"/>
  <c r="BJ48" i="66"/>
  <c r="BL48" i="66" s="1"/>
  <c r="BI47" i="66"/>
  <c r="BJ41" i="66"/>
  <c r="BL41" i="66" s="1"/>
  <c r="BJ42" i="66"/>
  <c r="BL42" i="66" s="1"/>
  <c r="BJ43" i="66"/>
  <c r="BL43" i="66" s="1"/>
  <c r="BJ44" i="66"/>
  <c r="BL44" i="66" s="1"/>
  <c r="BJ45" i="66"/>
  <c r="BL45" i="66" s="1"/>
  <c r="BJ46" i="66"/>
  <c r="BL46" i="66" s="1"/>
  <c r="BJ40" i="66"/>
  <c r="BL40" i="66" s="1"/>
  <c r="BJ38" i="66"/>
  <c r="BL38" i="66" s="1"/>
  <c r="BJ37" i="66"/>
  <c r="BL37" i="66" s="1"/>
  <c r="BJ36" i="66"/>
  <c r="BL36" i="66" s="1"/>
  <c r="BJ35" i="66"/>
  <c r="BL35" i="66" s="1"/>
  <c r="BJ34" i="66"/>
  <c r="BL34" i="66" s="1"/>
  <c r="BJ8" i="66"/>
  <c r="BL8" i="66" s="1"/>
  <c r="BJ7" i="66"/>
  <c r="BL7" i="66" s="1"/>
  <c r="BJ6" i="66"/>
  <c r="BL6" i="66" s="1"/>
  <c r="BJ5" i="66"/>
  <c r="BL5" i="66" s="1"/>
  <c r="BJ4" i="66"/>
  <c r="BL4" i="66" s="1"/>
  <c r="BJ14" i="66"/>
  <c r="BL14" i="66" s="1"/>
  <c r="BJ13" i="66"/>
  <c r="BL13" i="66" s="1"/>
  <c r="BJ12" i="66"/>
  <c r="BL12" i="66" s="1"/>
  <c r="BJ11" i="66"/>
  <c r="BL11" i="66" s="1"/>
  <c r="BJ10" i="66"/>
  <c r="BL10" i="66" s="1"/>
  <c r="BJ20" i="66"/>
  <c r="BL20" i="66" s="1"/>
  <c r="BJ19" i="66"/>
  <c r="BL19" i="66" s="1"/>
  <c r="BJ18" i="66"/>
  <c r="BL18" i="66" s="1"/>
  <c r="BJ17" i="66"/>
  <c r="BL17" i="66" s="1"/>
  <c r="BJ16" i="66"/>
  <c r="BL16" i="66" s="1"/>
  <c r="BJ26" i="66"/>
  <c r="BL26" i="66" s="1"/>
  <c r="BJ25" i="66"/>
  <c r="BL25" i="66" s="1"/>
  <c r="BJ24" i="66"/>
  <c r="BL24" i="66" s="1"/>
  <c r="BJ23" i="66"/>
  <c r="BL23" i="66" s="1"/>
  <c r="BJ22" i="66"/>
  <c r="BL22" i="66" s="1"/>
  <c r="BJ32" i="66"/>
  <c r="BL32" i="66" s="1"/>
  <c r="BJ31" i="66"/>
  <c r="BL31" i="66" s="1"/>
  <c r="BJ29" i="66"/>
  <c r="BL29" i="66" s="1"/>
  <c r="BJ28" i="66"/>
  <c r="BL28" i="66" s="1"/>
  <c r="AN30" i="66"/>
  <c r="BJ30" i="66" s="1"/>
  <c r="BL30" i="66" s="1"/>
  <c r="B19" i="63"/>
  <c r="B19" i="59"/>
  <c r="B19" i="55"/>
  <c r="B19" i="51"/>
  <c r="B19" i="47"/>
  <c r="B19" i="43"/>
  <c r="B19" i="39"/>
  <c r="B19" i="35"/>
  <c r="B19" i="31"/>
  <c r="B20" i="27"/>
  <c r="B19" i="23"/>
  <c r="B19" i="19"/>
  <c r="B19" i="15"/>
  <c r="B19" i="7"/>
  <c r="BJ100" i="66" l="1"/>
  <c r="C20" i="59" s="1"/>
  <c r="BL95" i="66"/>
  <c r="BJ74" i="66"/>
  <c r="C20" i="43" s="1"/>
  <c r="BL69" i="66"/>
  <c r="T30" i="82"/>
  <c r="T35" i="82" s="1"/>
  <c r="T37" i="82" s="1"/>
  <c r="BJ106" i="66"/>
  <c r="C20" i="63" s="1"/>
  <c r="BJ27" i="66"/>
  <c r="C20" i="15" s="1"/>
  <c r="BI74" i="66"/>
  <c r="C19" i="43" s="1"/>
  <c r="BJ81" i="66"/>
  <c r="C20" i="47" s="1"/>
  <c r="BI106" i="66"/>
  <c r="C19" i="63" s="1"/>
  <c r="BJ47" i="66"/>
  <c r="BI9" i="66"/>
  <c r="BI88" i="66"/>
  <c r="C19" i="51" s="1"/>
  <c r="BJ88" i="66"/>
  <c r="C20" i="51" s="1"/>
  <c r="BJ94" i="66"/>
  <c r="C20" i="55" s="1"/>
  <c r="C20" i="27"/>
  <c r="BI39" i="66"/>
  <c r="C19" i="23" s="1"/>
  <c r="BJ39" i="66"/>
  <c r="C20" i="23" s="1"/>
  <c r="BJ9" i="66"/>
  <c r="BJ15" i="66"/>
  <c r="C20" i="7" s="1"/>
  <c r="BI21" i="66"/>
  <c r="C19" i="11" s="1"/>
  <c r="BI27" i="66"/>
  <c r="C19" i="15" s="1"/>
  <c r="BJ21" i="66"/>
  <c r="C20" i="11" s="1"/>
  <c r="Y13" i="79"/>
  <c r="Y17" i="79" s="1"/>
  <c r="Y27" i="79" s="1"/>
  <c r="Y9" i="79"/>
  <c r="Y26" i="79" s="1"/>
  <c r="Y30" i="79" s="1"/>
  <c r="Y35" i="79" s="1"/>
  <c r="Y37" i="79" s="1"/>
  <c r="T13" i="79"/>
  <c r="T17" i="79" s="1"/>
  <c r="T27" i="79" s="1"/>
  <c r="T9" i="79"/>
  <c r="T26" i="79" s="1"/>
  <c r="T13" i="78"/>
  <c r="T17" i="78" s="1"/>
  <c r="T27" i="78" s="1"/>
  <c r="T9" i="78"/>
  <c r="T26" i="78" s="1"/>
  <c r="T30" i="78" s="1"/>
  <c r="T35" i="78" s="1"/>
  <c r="T37" i="78" s="1"/>
  <c r="T13" i="77"/>
  <c r="T17" i="77" s="1"/>
  <c r="T27" i="77" s="1"/>
  <c r="T26" i="77"/>
  <c r="T13" i="76"/>
  <c r="T17" i="76" s="1"/>
  <c r="T27" i="76" s="1"/>
  <c r="T9" i="76"/>
  <c r="T26" i="76" s="1"/>
  <c r="T30" i="76" s="1"/>
  <c r="T35" i="76" s="1"/>
  <c r="T37" i="76" s="1"/>
  <c r="T13" i="74"/>
  <c r="T17" i="74" s="1"/>
  <c r="T27" i="74" s="1"/>
  <c r="T9" i="74"/>
  <c r="T26" i="74" s="1"/>
  <c r="U17" i="73"/>
  <c r="U27" i="73" s="1"/>
  <c r="U26" i="73"/>
  <c r="BJ33" i="66"/>
  <c r="C20" i="19" s="1"/>
  <c r="BI68" i="66"/>
  <c r="C19" i="39" s="1"/>
  <c r="BI61" i="66"/>
  <c r="C19" i="35" s="1"/>
  <c r="C19" i="31"/>
  <c r="BJ68" i="66"/>
  <c r="C20" i="39" s="1"/>
  <c r="BJ61" i="66"/>
  <c r="C20" i="35" s="1"/>
  <c r="BL100" i="66"/>
  <c r="I8" i="47"/>
  <c r="D40" i="54"/>
  <c r="D39" i="54"/>
  <c r="D35" i="54"/>
  <c r="D36" i="54"/>
  <c r="T28" i="56"/>
  <c r="O15" i="55"/>
  <c r="O14" i="55"/>
  <c r="O13" i="55"/>
  <c r="O12" i="55"/>
  <c r="O11" i="55"/>
  <c r="G8" i="3"/>
  <c r="H8" i="3"/>
  <c r="G40" i="50"/>
  <c r="G39" i="50"/>
  <c r="G35" i="50"/>
  <c r="G36" i="50"/>
  <c r="T28" i="52"/>
  <c r="O17" i="51"/>
  <c r="O16" i="51"/>
  <c r="O15" i="51"/>
  <c r="O14" i="51"/>
  <c r="O13" i="51"/>
  <c r="O12" i="51"/>
  <c r="T30" i="79" l="1"/>
  <c r="T35" i="79" s="1"/>
  <c r="T37" i="79" s="1"/>
  <c r="T30" i="77"/>
  <c r="T35" i="77" s="1"/>
  <c r="T37" i="77" s="1"/>
  <c r="T30" i="74"/>
  <c r="T35" i="74" s="1"/>
  <c r="T37" i="74" s="1"/>
  <c r="BL106" i="66"/>
  <c r="BL27" i="66"/>
  <c r="J5" i="1" s="1"/>
  <c r="BL9" i="66"/>
  <c r="BL74" i="66"/>
  <c r="BL39" i="66"/>
  <c r="J7" i="1" s="1"/>
  <c r="BL21" i="66"/>
  <c r="C24" i="11" s="1"/>
  <c r="BL88" i="66"/>
  <c r="C23" i="51" s="1"/>
  <c r="BL94" i="66"/>
  <c r="C23" i="55" s="1"/>
  <c r="C23" i="3"/>
  <c r="J2" i="1"/>
  <c r="C23" i="43"/>
  <c r="J12" i="1"/>
  <c r="J4" i="1"/>
  <c r="C23" i="59"/>
  <c r="J16" i="1"/>
  <c r="BL47" i="66"/>
  <c r="C23" i="15"/>
  <c r="C23" i="63"/>
  <c r="J17" i="1"/>
  <c r="U30" i="73"/>
  <c r="U35" i="73" s="1"/>
  <c r="BL68" i="66"/>
  <c r="BL61" i="66"/>
  <c r="BL54" i="66"/>
  <c r="P16" i="55"/>
  <c r="P18" i="51"/>
  <c r="D40" i="46"/>
  <c r="D39" i="46"/>
  <c r="D35" i="46"/>
  <c r="D36" i="46"/>
  <c r="T28" i="48"/>
  <c r="T22" i="48"/>
  <c r="O17" i="47"/>
  <c r="O16" i="47"/>
  <c r="O15" i="47"/>
  <c r="O14" i="47"/>
  <c r="O13" i="47"/>
  <c r="O12" i="47"/>
  <c r="D40" i="42"/>
  <c r="D39" i="42"/>
  <c r="D35" i="42"/>
  <c r="D36" i="42"/>
  <c r="T28" i="44"/>
  <c r="O15" i="43"/>
  <c r="O14" i="43"/>
  <c r="O13" i="43"/>
  <c r="O12" i="43"/>
  <c r="O11" i="43"/>
  <c r="D39" i="34"/>
  <c r="D38" i="34"/>
  <c r="D34" i="34"/>
  <c r="D35" i="34"/>
  <c r="T28" i="36"/>
  <c r="T22" i="36"/>
  <c r="J14" i="1" l="1"/>
  <c r="C23" i="23"/>
  <c r="J15" i="1"/>
  <c r="C23" i="31"/>
  <c r="J9" i="1"/>
  <c r="C23" i="35"/>
  <c r="J10" i="1"/>
  <c r="C23" i="39"/>
  <c r="J11" i="1"/>
  <c r="C24" i="27"/>
  <c r="J8" i="1"/>
  <c r="P18" i="47"/>
  <c r="P16" i="43"/>
  <c r="O17" i="35" l="1"/>
  <c r="O16" i="35"/>
  <c r="O15" i="35"/>
  <c r="O14" i="35"/>
  <c r="O13" i="35"/>
  <c r="O12" i="35"/>
  <c r="D39" i="30"/>
  <c r="D38" i="30"/>
  <c r="D33" i="30"/>
  <c r="D34" i="30"/>
  <c r="D35" i="30"/>
  <c r="O13" i="31"/>
  <c r="O14" i="31"/>
  <c r="O15" i="31"/>
  <c r="O16" i="31"/>
  <c r="O17" i="31"/>
  <c r="O12" i="31"/>
  <c r="D39" i="26"/>
  <c r="D38" i="26"/>
  <c r="D35" i="26"/>
  <c r="B22" i="27"/>
  <c r="C22" i="27" s="1"/>
  <c r="B21" i="27"/>
  <c r="C21" i="27" l="1"/>
  <c r="B23" i="27"/>
  <c r="P18" i="35"/>
  <c r="P18" i="31"/>
  <c r="F21" i="27" l="1"/>
  <c r="B20" i="63"/>
  <c r="F20" i="63" s="1"/>
  <c r="E20" i="63" s="1"/>
  <c r="F19" i="63"/>
  <c r="E19" i="63" s="1"/>
  <c r="B20" i="59"/>
  <c r="F20" i="59" s="1"/>
  <c r="E20" i="59" s="1"/>
  <c r="F19" i="59"/>
  <c r="E19" i="59" s="1"/>
  <c r="B21" i="55"/>
  <c r="F21" i="55" s="1"/>
  <c r="E21" i="55" s="1"/>
  <c r="B20" i="55"/>
  <c r="F20" i="55" s="1"/>
  <c r="E20" i="55" s="1"/>
  <c r="F19" i="55"/>
  <c r="E19" i="55" s="1"/>
  <c r="B21" i="51"/>
  <c r="F21" i="51" s="1"/>
  <c r="E21" i="51" s="1"/>
  <c r="O7" i="51" s="1"/>
  <c r="F20" i="51"/>
  <c r="E20" i="51" s="1"/>
  <c r="B20" i="51"/>
  <c r="F19" i="51"/>
  <c r="E19" i="51" s="1"/>
  <c r="F19" i="47"/>
  <c r="E19" i="47" s="1"/>
  <c r="B21" i="47"/>
  <c r="F21" i="47" s="1"/>
  <c r="E21" i="47" s="1"/>
  <c r="B20" i="47"/>
  <c r="F20" i="47" s="1"/>
  <c r="E20" i="47" s="1"/>
  <c r="F21" i="43"/>
  <c r="E21" i="43" s="1"/>
  <c r="B21" i="43"/>
  <c r="B23" i="43" s="1"/>
  <c r="B20" i="43"/>
  <c r="F20" i="43" s="1"/>
  <c r="E20" i="43" s="1"/>
  <c r="F19" i="43"/>
  <c r="E19" i="43" s="1"/>
  <c r="B20" i="39"/>
  <c r="F20" i="39" s="1"/>
  <c r="E20" i="39" s="1"/>
  <c r="F19" i="39"/>
  <c r="E19" i="39" s="1"/>
  <c r="F21" i="35"/>
  <c r="E21" i="35" s="1"/>
  <c r="B21" i="35"/>
  <c r="B20" i="35"/>
  <c r="F20" i="35" s="1"/>
  <c r="E20" i="35" s="1"/>
  <c r="F19" i="35"/>
  <c r="E19" i="35" s="1"/>
  <c r="O7" i="31"/>
  <c r="O4" i="31"/>
  <c r="O2" i="31"/>
  <c r="B21" i="31"/>
  <c r="F21" i="31" s="1"/>
  <c r="E21" i="31" s="1"/>
  <c r="B20" i="31"/>
  <c r="F20" i="27"/>
  <c r="F22" i="27"/>
  <c r="E22" i="27" s="1"/>
  <c r="F19" i="23"/>
  <c r="B20" i="23"/>
  <c r="F20" i="23" s="1"/>
  <c r="F19" i="19"/>
  <c r="B20" i="19"/>
  <c r="F20" i="19" s="1"/>
  <c r="B20" i="15"/>
  <c r="F19" i="7"/>
  <c r="B20" i="7"/>
  <c r="F20" i="7" s="1"/>
  <c r="O20" i="27" l="1"/>
  <c r="O19" i="27"/>
  <c r="O18" i="27"/>
  <c r="O17" i="27"/>
  <c r="O15" i="27"/>
  <c r="O14" i="27"/>
  <c r="O13" i="27"/>
  <c r="O6" i="55"/>
  <c r="O5" i="55"/>
  <c r="O4" i="55"/>
  <c r="O3" i="55"/>
  <c r="O2" i="55"/>
  <c r="P7" i="55" s="1"/>
  <c r="T5" i="56" s="1"/>
  <c r="O2" i="51"/>
  <c r="O3" i="51"/>
  <c r="O4" i="51"/>
  <c r="O5" i="51"/>
  <c r="O6" i="51"/>
  <c r="O6" i="47"/>
  <c r="O5" i="47"/>
  <c r="O4" i="47"/>
  <c r="O3" i="47"/>
  <c r="O2" i="47"/>
  <c r="O7" i="47"/>
  <c r="O5" i="43"/>
  <c r="O4" i="43"/>
  <c r="O3" i="43"/>
  <c r="O2" i="43"/>
  <c r="O6" i="43"/>
  <c r="O7" i="35"/>
  <c r="O6" i="35"/>
  <c r="O5" i="35"/>
  <c r="O4" i="35"/>
  <c r="O3" i="35"/>
  <c r="O2" i="35"/>
  <c r="P8" i="35" s="1"/>
  <c r="T5" i="36" s="1"/>
  <c r="O3" i="31"/>
  <c r="O5" i="31"/>
  <c r="O6" i="31"/>
  <c r="F20" i="31"/>
  <c r="E20" i="31" s="1"/>
  <c r="F19" i="31"/>
  <c r="E19" i="31" s="1"/>
  <c r="O6" i="27"/>
  <c r="O3" i="27"/>
  <c r="O7" i="27"/>
  <c r="O4" i="27"/>
  <c r="O2" i="27"/>
  <c r="O5" i="27"/>
  <c r="O8" i="27"/>
  <c r="O22" i="81"/>
  <c r="O22" i="64"/>
  <c r="J22" i="81"/>
  <c r="J22" i="64"/>
  <c r="O22" i="79"/>
  <c r="O22" i="60"/>
  <c r="O22" i="80"/>
  <c r="O22" i="56"/>
  <c r="J22" i="79"/>
  <c r="J22" i="60"/>
  <c r="J22" i="80"/>
  <c r="J22" i="56"/>
  <c r="O22" i="77"/>
  <c r="J22" i="77"/>
  <c r="O22" i="52"/>
  <c r="O22" i="78"/>
  <c r="O22" i="48"/>
  <c r="J22" i="52"/>
  <c r="J22" i="78"/>
  <c r="J22" i="48"/>
  <c r="T13" i="56" l="1"/>
  <c r="T17" i="56" s="1"/>
  <c r="T27" i="56" s="1"/>
  <c r="D34" i="54" s="1"/>
  <c r="T9" i="56"/>
  <c r="T26" i="56" s="1"/>
  <c r="P8" i="51"/>
  <c r="T5" i="52" s="1"/>
  <c r="P8" i="47"/>
  <c r="T5" i="48" s="1"/>
  <c r="P7" i="43"/>
  <c r="T5" i="44" s="1"/>
  <c r="T13" i="36"/>
  <c r="T17" i="36" s="1"/>
  <c r="T27" i="36" s="1"/>
  <c r="D33" i="34" s="1"/>
  <c r="T9" i="36"/>
  <c r="T26" i="36" s="1"/>
  <c r="P8" i="31"/>
  <c r="T5" i="32" s="1"/>
  <c r="P9" i="27"/>
  <c r="U5" i="28" s="1"/>
  <c r="P22" i="75"/>
  <c r="P22" i="44"/>
  <c r="P22" i="40"/>
  <c r="J22" i="75"/>
  <c r="J22" i="44"/>
  <c r="J22" i="76"/>
  <c r="J22" i="40"/>
  <c r="O22" i="82"/>
  <c r="O22" i="36"/>
  <c r="O22" i="74"/>
  <c r="O22" i="32"/>
  <c r="J22" i="82"/>
  <c r="J22" i="36"/>
  <c r="J22" i="74"/>
  <c r="J22" i="32"/>
  <c r="O22" i="72"/>
  <c r="O22" i="28"/>
  <c r="U22" i="28" s="1"/>
  <c r="U27" i="28" s="1"/>
  <c r="D33" i="26" s="1"/>
  <c r="O22" i="73"/>
  <c r="O22" i="24"/>
  <c r="J22" i="72"/>
  <c r="J22" i="28"/>
  <c r="J22" i="73"/>
  <c r="J22" i="24"/>
  <c r="O22" i="20"/>
  <c r="O22" i="16"/>
  <c r="J22" i="70"/>
  <c r="O22" i="70" s="1"/>
  <c r="J22" i="20"/>
  <c r="J22" i="71"/>
  <c r="O22" i="71" s="1"/>
  <c r="J22" i="16"/>
  <c r="O22" i="69"/>
  <c r="O22" i="12"/>
  <c r="J22" i="69"/>
  <c r="J22" i="12"/>
  <c r="O22" i="68"/>
  <c r="O22" i="8"/>
  <c r="J22" i="68"/>
  <c r="J22" i="8"/>
  <c r="P23" i="67"/>
  <c r="K23" i="67"/>
  <c r="P23" i="4"/>
  <c r="K23" i="4"/>
  <c r="C4" i="33"/>
  <c r="C4" i="37"/>
  <c r="C4" i="41"/>
  <c r="C4" i="45"/>
  <c r="C4" i="49"/>
  <c r="C4" i="53"/>
  <c r="C4" i="57"/>
  <c r="C4" i="61"/>
  <c r="C4" i="65"/>
  <c r="D33" i="54" l="1"/>
  <c r="T30" i="56"/>
  <c r="T13" i="52"/>
  <c r="T17" i="52" s="1"/>
  <c r="T27" i="52" s="1"/>
  <c r="G34" i="50" s="1"/>
  <c r="T9" i="52"/>
  <c r="T26" i="52" s="1"/>
  <c r="T9" i="48"/>
  <c r="T26" i="48" s="1"/>
  <c r="D33" i="46" s="1"/>
  <c r="T13" i="48"/>
  <c r="T17" i="48" s="1"/>
  <c r="T27" i="48" s="1"/>
  <c r="T9" i="44"/>
  <c r="T26" i="44" s="1"/>
  <c r="T13" i="44"/>
  <c r="T17" i="44" s="1"/>
  <c r="T27" i="44" s="1"/>
  <c r="D34" i="42" s="1"/>
  <c r="D32" i="34"/>
  <c r="T30" i="36"/>
  <c r="T13" i="32"/>
  <c r="T9" i="32"/>
  <c r="T26" i="32" s="1"/>
  <c r="U13" i="28"/>
  <c r="U9" i="28"/>
  <c r="U26" i="28" s="1"/>
  <c r="D37" i="54" l="1"/>
  <c r="T35" i="56"/>
  <c r="G33" i="50"/>
  <c r="T30" i="52"/>
  <c r="T30" i="48"/>
  <c r="D34" i="46"/>
  <c r="T30" i="44"/>
  <c r="D33" i="42"/>
  <c r="D36" i="34"/>
  <c r="T35" i="36"/>
  <c r="D32" i="30"/>
  <c r="T30" i="32"/>
  <c r="D32" i="26"/>
  <c r="I7" i="11"/>
  <c r="H7" i="11"/>
  <c r="B23" i="63"/>
  <c r="D41" i="54" l="1"/>
  <c r="T37" i="56"/>
  <c r="D42" i="54" s="1"/>
  <c r="D48" i="54" s="1"/>
  <c r="N12" i="54" s="1"/>
  <c r="O12" i="54" s="1"/>
  <c r="G37" i="50"/>
  <c r="T35" i="52"/>
  <c r="D37" i="46"/>
  <c r="T35" i="48"/>
  <c r="D37" i="42"/>
  <c r="T35" i="44"/>
  <c r="D40" i="34"/>
  <c r="T37" i="36"/>
  <c r="D41" i="34" s="1"/>
  <c r="D47" i="34" s="1"/>
  <c r="M12" i="34" s="1"/>
  <c r="N12" i="34" s="1"/>
  <c r="D36" i="30"/>
  <c r="T35" i="32"/>
  <c r="B23" i="59"/>
  <c r="M13" i="31"/>
  <c r="M14" i="31"/>
  <c r="M15" i="31"/>
  <c r="M16" i="31"/>
  <c r="M17" i="31"/>
  <c r="M12" i="31"/>
  <c r="M3" i="31"/>
  <c r="M4" i="31"/>
  <c r="M5" i="31"/>
  <c r="M6" i="31"/>
  <c r="M7" i="31"/>
  <c r="M2" i="31"/>
  <c r="K13" i="31"/>
  <c r="K14" i="31"/>
  <c r="K15" i="31"/>
  <c r="K16" i="31"/>
  <c r="K17" i="31"/>
  <c r="K12" i="31"/>
  <c r="K3" i="31"/>
  <c r="K4" i="31"/>
  <c r="K5" i="31"/>
  <c r="K6" i="31"/>
  <c r="K7" i="31"/>
  <c r="K2" i="31"/>
  <c r="G41" i="50" l="1"/>
  <c r="T37" i="52"/>
  <c r="G42" i="50" s="1"/>
  <c r="G48" i="50" s="1"/>
  <c r="Q12" i="50" s="1"/>
  <c r="R12" i="50" s="1"/>
  <c r="D41" i="46"/>
  <c r="T37" i="48"/>
  <c r="D42" i="46" s="1"/>
  <c r="D48" i="46" s="1"/>
  <c r="N12" i="46" s="1"/>
  <c r="O12" i="46" s="1"/>
  <c r="D41" i="42"/>
  <c r="T37" i="44"/>
  <c r="D42" i="42" s="1"/>
  <c r="D48" i="42" s="1"/>
  <c r="D40" i="30"/>
  <c r="T37" i="32"/>
  <c r="D41" i="30" s="1"/>
  <c r="D47" i="30" s="1"/>
  <c r="M12" i="30" s="1"/>
  <c r="N12" i="30" s="1"/>
  <c r="E20" i="15"/>
  <c r="E19" i="15"/>
  <c r="B23" i="15"/>
  <c r="F20" i="15"/>
  <c r="F19" i="15"/>
  <c r="B18" i="11"/>
  <c r="B20" i="11"/>
  <c r="F20" i="11" s="1"/>
  <c r="B19" i="11"/>
  <c r="E19" i="11" s="1"/>
  <c r="B23" i="7"/>
  <c r="B18" i="7"/>
  <c r="B18" i="3"/>
  <c r="E20" i="11" l="1"/>
  <c r="M11" i="11" s="1"/>
  <c r="F19" i="11"/>
  <c r="M12" i="11"/>
  <c r="M2" i="11"/>
  <c r="K12" i="11"/>
  <c r="K11" i="11"/>
  <c r="K3" i="11"/>
  <c r="K2" i="11"/>
  <c r="K14" i="11"/>
  <c r="K6" i="11"/>
  <c r="K13" i="11"/>
  <c r="K4" i="11"/>
  <c r="K5" i="11"/>
  <c r="K15" i="11"/>
  <c r="B21" i="11"/>
  <c r="B24" i="11" s="1"/>
  <c r="O6" i="62"/>
  <c r="O7" i="62"/>
  <c r="O8" i="62"/>
  <c r="O5" i="62"/>
  <c r="K12" i="62"/>
  <c r="L12" i="62"/>
  <c r="J12" i="62"/>
  <c r="K12" i="58"/>
  <c r="L12" i="58"/>
  <c r="J12" i="58"/>
  <c r="O6" i="58"/>
  <c r="O7" i="58"/>
  <c r="O8" i="58"/>
  <c r="O5" i="58"/>
  <c r="O6" i="54"/>
  <c r="O7" i="54"/>
  <c r="O8" i="54"/>
  <c r="O5" i="54"/>
  <c r="K13" i="54"/>
  <c r="L13" i="54"/>
  <c r="J13" i="54"/>
  <c r="N13" i="50"/>
  <c r="O13" i="50"/>
  <c r="M13" i="50"/>
  <c r="R7" i="50"/>
  <c r="R8" i="50"/>
  <c r="L13" i="46"/>
  <c r="O12" i="11" l="1"/>
  <c r="M5" i="11"/>
  <c r="M6" i="11"/>
  <c r="M3" i="11"/>
  <c r="M4" i="11"/>
  <c r="O4" i="11" s="1"/>
  <c r="M13" i="11"/>
  <c r="O13" i="11" s="1"/>
  <c r="M15" i="11"/>
  <c r="O15" i="11" s="1"/>
  <c r="M14" i="11"/>
  <c r="O14" i="11" s="1"/>
  <c r="O6" i="11"/>
  <c r="O5" i="11"/>
  <c r="L7" i="11"/>
  <c r="J5" i="12" s="1"/>
  <c r="J9" i="12" s="1"/>
  <c r="J26" i="12" s="1"/>
  <c r="O2" i="11"/>
  <c r="O11" i="11"/>
  <c r="L16" i="11"/>
  <c r="L13" i="42"/>
  <c r="O6" i="42"/>
  <c r="O7" i="42"/>
  <c r="O8" i="42"/>
  <c r="O5" i="42"/>
  <c r="O6" i="38"/>
  <c r="O7" i="38"/>
  <c r="O8" i="38"/>
  <c r="O5" i="38"/>
  <c r="J12" i="38"/>
  <c r="K12" i="38"/>
  <c r="L12" i="38"/>
  <c r="I12" i="38"/>
  <c r="J13" i="34"/>
  <c r="K13" i="34"/>
  <c r="I13" i="34"/>
  <c r="N5" i="34"/>
  <c r="N7" i="34"/>
  <c r="N8" i="34"/>
  <c r="N6" i="34"/>
  <c r="N8" i="30"/>
  <c r="K13" i="30"/>
  <c r="K13" i="26"/>
  <c r="N7" i="11" l="1"/>
  <c r="N16" i="11"/>
  <c r="O3" i="11"/>
  <c r="O16" i="11"/>
  <c r="O7" i="11"/>
  <c r="L13" i="18"/>
  <c r="L13" i="14"/>
  <c r="K13" i="10"/>
  <c r="L13" i="10" l="1"/>
  <c r="B20" i="3"/>
  <c r="C20" i="3" s="1"/>
  <c r="L13" i="6"/>
  <c r="O9" i="6"/>
  <c r="E21" i="2"/>
  <c r="P10" i="2"/>
  <c r="J14" i="2"/>
  <c r="K14" i="2"/>
  <c r="L14" i="2"/>
  <c r="BI15" i="66" l="1"/>
  <c r="C19" i="7" s="1"/>
  <c r="BL15" i="66"/>
  <c r="BI33" i="66"/>
  <c r="C19" i="19" s="1"/>
  <c r="C21" i="19" s="1"/>
  <c r="BL33" i="66"/>
  <c r="BI81" i="66"/>
  <c r="C19" i="47" s="1"/>
  <c r="BL81" i="66"/>
  <c r="C23" i="47" s="1"/>
  <c r="F20" i="3"/>
  <c r="J13" i="1" l="1"/>
  <c r="C23" i="7"/>
  <c r="J3" i="1"/>
  <c r="C23" i="19"/>
  <c r="J6" i="1"/>
  <c r="BL108" i="66"/>
  <c r="C23" i="27"/>
  <c r="C20" i="31"/>
  <c r="K15" i="1"/>
  <c r="H7" i="59"/>
  <c r="I7" i="59"/>
  <c r="I7" i="63"/>
  <c r="H7" i="63"/>
  <c r="W108" i="66" l="1"/>
  <c r="P28" i="40"/>
  <c r="P28" i="75"/>
  <c r="O28" i="81"/>
  <c r="O28" i="64"/>
  <c r="O28" i="80"/>
  <c r="O28" i="60"/>
  <c r="O28" i="79"/>
  <c r="O28" i="56"/>
  <c r="O28" i="78"/>
  <c r="O28" i="52"/>
  <c r="O28" i="77"/>
  <c r="O28" i="48"/>
  <c r="O28" i="76"/>
  <c r="O28" i="44"/>
  <c r="O28" i="74"/>
  <c r="O28" i="36"/>
  <c r="O28" i="82"/>
  <c r="O28" i="32"/>
  <c r="O28" i="73"/>
  <c r="O28" i="28"/>
  <c r="U28" i="28" s="1"/>
  <c r="O28" i="72"/>
  <c r="O28" i="24"/>
  <c r="O28" i="71"/>
  <c r="O28" i="20"/>
  <c r="O28" i="70"/>
  <c r="O28" i="16"/>
  <c r="O28" i="69"/>
  <c r="O28" i="12"/>
  <c r="O28" i="68"/>
  <c r="O28" i="8"/>
  <c r="O28" i="67"/>
  <c r="O28" i="4"/>
  <c r="J28" i="4"/>
  <c r="J28" i="67"/>
  <c r="J28" i="8"/>
  <c r="J28" i="68"/>
  <c r="J28" i="12"/>
  <c r="J28" i="69"/>
  <c r="J28" i="16"/>
  <c r="J28" i="70"/>
  <c r="J28" i="20"/>
  <c r="J28" i="71"/>
  <c r="J28" i="24"/>
  <c r="J28" i="72"/>
  <c r="J28" i="28"/>
  <c r="J28" i="73"/>
  <c r="J28" i="32"/>
  <c r="J28" i="82"/>
  <c r="J28" i="36"/>
  <c r="J28" i="74"/>
  <c r="J28" i="40"/>
  <c r="J28" i="75"/>
  <c r="J28" i="44"/>
  <c r="J28" i="76"/>
  <c r="J28" i="48"/>
  <c r="J28" i="77"/>
  <c r="J28" i="52"/>
  <c r="J28" i="78"/>
  <c r="J28" i="56"/>
  <c r="J28" i="79"/>
  <c r="J28" i="60"/>
  <c r="J28" i="80"/>
  <c r="J28" i="64"/>
  <c r="J28" i="81"/>
  <c r="D34" i="26" l="1"/>
  <c r="U30" i="28"/>
  <c r="G4" i="1"/>
  <c r="I7" i="55"/>
  <c r="H7" i="55"/>
  <c r="I8" i="51"/>
  <c r="H8" i="51"/>
  <c r="H8" i="47"/>
  <c r="I7" i="43"/>
  <c r="H7" i="43"/>
  <c r="I8" i="39"/>
  <c r="H8" i="39"/>
  <c r="I8" i="35"/>
  <c r="H8" i="35"/>
  <c r="I8" i="31"/>
  <c r="H8" i="31"/>
  <c r="I9" i="27"/>
  <c r="H9" i="27"/>
  <c r="E20" i="7"/>
  <c r="M12" i="7" s="1"/>
  <c r="E19" i="7"/>
  <c r="K3" i="7" s="1"/>
  <c r="M6" i="7"/>
  <c r="I7" i="7"/>
  <c r="H7" i="7"/>
  <c r="I7" i="23"/>
  <c r="H7" i="23"/>
  <c r="I7" i="19"/>
  <c r="H7" i="19"/>
  <c r="I7" i="15"/>
  <c r="H7" i="15"/>
  <c r="M4" i="15"/>
  <c r="K6" i="15"/>
  <c r="E20" i="19"/>
  <c r="M13" i="19" s="1"/>
  <c r="E19" i="19"/>
  <c r="K15" i="19" s="1"/>
  <c r="E20" i="23"/>
  <c r="M14" i="23" s="1"/>
  <c r="E19" i="23"/>
  <c r="K13" i="23" s="1"/>
  <c r="E21" i="27"/>
  <c r="M5" i="27" s="1"/>
  <c r="E20" i="27"/>
  <c r="K7" i="27" s="1"/>
  <c r="M17" i="35"/>
  <c r="K16" i="35"/>
  <c r="M17" i="39"/>
  <c r="K5" i="39"/>
  <c r="D36" i="26" l="1"/>
  <c r="U35" i="28"/>
  <c r="M14" i="7"/>
  <c r="K20" i="27"/>
  <c r="K5" i="7"/>
  <c r="K11" i="7"/>
  <c r="K6" i="7"/>
  <c r="O6" i="7" s="1"/>
  <c r="K4" i="7"/>
  <c r="K13" i="7"/>
  <c r="M5" i="7"/>
  <c r="M4" i="7"/>
  <c r="K17" i="39"/>
  <c r="O17" i="39" s="1"/>
  <c r="K4" i="39"/>
  <c r="K13" i="39"/>
  <c r="K2" i="39"/>
  <c r="K3" i="39"/>
  <c r="K14" i="39"/>
  <c r="K7" i="39"/>
  <c r="K12" i="39"/>
  <c r="K15" i="39"/>
  <c r="K6" i="39"/>
  <c r="M12" i="39"/>
  <c r="K16" i="39"/>
  <c r="M6" i="39"/>
  <c r="M5" i="39"/>
  <c r="O5" i="39" s="1"/>
  <c r="M14" i="39"/>
  <c r="M16" i="39"/>
  <c r="O16" i="39" s="1"/>
  <c r="M2" i="39"/>
  <c r="M4" i="39"/>
  <c r="O4" i="39" s="1"/>
  <c r="M7" i="39"/>
  <c r="M3" i="39"/>
  <c r="O3" i="39" s="1"/>
  <c r="M13" i="39"/>
  <c r="M15" i="39"/>
  <c r="O15" i="39" s="1"/>
  <c r="M2" i="35"/>
  <c r="M16" i="35"/>
  <c r="Q16" i="35" s="1"/>
  <c r="M12" i="35"/>
  <c r="M14" i="35"/>
  <c r="M5" i="35"/>
  <c r="M4" i="35"/>
  <c r="K13" i="35"/>
  <c r="K5" i="35"/>
  <c r="Q5" i="35" s="1"/>
  <c r="M7" i="35"/>
  <c r="M3" i="35"/>
  <c r="M13" i="35"/>
  <c r="K15" i="35"/>
  <c r="K17" i="35"/>
  <c r="Q17" i="35" s="1"/>
  <c r="K2" i="35"/>
  <c r="Q2" i="35" s="1"/>
  <c r="K4" i="35"/>
  <c r="Q4" i="35" s="1"/>
  <c r="M6" i="35"/>
  <c r="K12" i="35"/>
  <c r="K14" i="35"/>
  <c r="M15" i="35"/>
  <c r="K6" i="35"/>
  <c r="Q6" i="35" s="1"/>
  <c r="K7" i="35"/>
  <c r="Q7" i="35" s="1"/>
  <c r="K3" i="35"/>
  <c r="Q3" i="35" s="1"/>
  <c r="Q2" i="31"/>
  <c r="Q4" i="31"/>
  <c r="Q12" i="31"/>
  <c r="Q6" i="31"/>
  <c r="Q7" i="31"/>
  <c r="Q14" i="31"/>
  <c r="Q16" i="31"/>
  <c r="Q5" i="31"/>
  <c r="K2" i="27"/>
  <c r="M13" i="27"/>
  <c r="M8" i="27"/>
  <c r="K14" i="27"/>
  <c r="K17" i="27"/>
  <c r="K19" i="27"/>
  <c r="M20" i="27"/>
  <c r="M18" i="27"/>
  <c r="K6" i="27"/>
  <c r="K8" i="27"/>
  <c r="M14" i="27"/>
  <c r="M17" i="27"/>
  <c r="M15" i="27"/>
  <c r="K13" i="27"/>
  <c r="Q13" i="27" s="1"/>
  <c r="K15" i="27"/>
  <c r="Q15" i="27" s="1"/>
  <c r="K18" i="27"/>
  <c r="M19" i="27"/>
  <c r="M3" i="23"/>
  <c r="M13" i="23"/>
  <c r="O13" i="23" s="1"/>
  <c r="K6" i="23"/>
  <c r="M4" i="23"/>
  <c r="K3" i="23"/>
  <c r="K14" i="23"/>
  <c r="O14" i="23" s="1"/>
  <c r="M2" i="23"/>
  <c r="K12" i="23"/>
  <c r="K15" i="23"/>
  <c r="K2" i="23"/>
  <c r="M6" i="23"/>
  <c r="M12" i="23"/>
  <c r="M15" i="23"/>
  <c r="K5" i="23"/>
  <c r="K11" i="23"/>
  <c r="K4" i="23"/>
  <c r="M5" i="23"/>
  <c r="M11" i="23"/>
  <c r="K11" i="19"/>
  <c r="K14" i="19"/>
  <c r="K2" i="19"/>
  <c r="K5" i="19"/>
  <c r="M3" i="19"/>
  <c r="M6" i="19"/>
  <c r="M12" i="19"/>
  <c r="M15" i="19"/>
  <c r="O15" i="19" s="1"/>
  <c r="M2" i="19"/>
  <c r="K4" i="19"/>
  <c r="M5" i="19"/>
  <c r="M11" i="19"/>
  <c r="K13" i="19"/>
  <c r="O13" i="19" s="1"/>
  <c r="M14" i="19"/>
  <c r="K3" i="19"/>
  <c r="M4" i="19"/>
  <c r="K6" i="19"/>
  <c r="K12" i="19"/>
  <c r="K4" i="15"/>
  <c r="O4" i="15" s="1"/>
  <c r="M2" i="15"/>
  <c r="M3" i="15"/>
  <c r="M12" i="15"/>
  <c r="M14" i="15"/>
  <c r="K5" i="15"/>
  <c r="M6" i="15"/>
  <c r="K11" i="15"/>
  <c r="K13" i="15"/>
  <c r="K15" i="15"/>
  <c r="M5" i="15"/>
  <c r="M11" i="15"/>
  <c r="M13" i="15"/>
  <c r="M15" i="15"/>
  <c r="K2" i="15"/>
  <c r="K3" i="15"/>
  <c r="K12" i="15"/>
  <c r="K14" i="15"/>
  <c r="M2" i="7"/>
  <c r="M3" i="7"/>
  <c r="M11" i="7"/>
  <c r="K15" i="7"/>
  <c r="K12" i="7"/>
  <c r="O12" i="7" s="1"/>
  <c r="M13" i="7"/>
  <c r="M15" i="7"/>
  <c r="K14" i="7"/>
  <c r="O14" i="7" s="1"/>
  <c r="O3" i="7"/>
  <c r="K2" i="7"/>
  <c r="O5" i="7"/>
  <c r="L7" i="7"/>
  <c r="M4" i="27"/>
  <c r="M6" i="27"/>
  <c r="M2" i="27"/>
  <c r="Q2" i="27" s="1"/>
  <c r="M7" i="27"/>
  <c r="Q7" i="27" s="1"/>
  <c r="M3" i="27"/>
  <c r="K5" i="27"/>
  <c r="Q5" i="27" s="1"/>
  <c r="K4" i="27"/>
  <c r="K3" i="27"/>
  <c r="D40" i="26" l="1"/>
  <c r="U37" i="28"/>
  <c r="D41" i="26" s="1"/>
  <c r="Q8" i="35"/>
  <c r="G10" i="1" s="1"/>
  <c r="Q19" i="27"/>
  <c r="Q17" i="27"/>
  <c r="Q14" i="27"/>
  <c r="Q3" i="27"/>
  <c r="Q4" i="27"/>
  <c r="Q8" i="27"/>
  <c r="O11" i="7"/>
  <c r="O6" i="23"/>
  <c r="L18" i="39"/>
  <c r="N18" i="31"/>
  <c r="Q20" i="27"/>
  <c r="Q18" i="27"/>
  <c r="O14" i="19"/>
  <c r="O13" i="7"/>
  <c r="Q13" i="31"/>
  <c r="N8" i="31"/>
  <c r="Q3" i="31"/>
  <c r="O3" i="23"/>
  <c r="N7" i="7"/>
  <c r="O2" i="7"/>
  <c r="O4" i="7"/>
  <c r="N8" i="35"/>
  <c r="Q17" i="31"/>
  <c r="N16" i="7"/>
  <c r="L8" i="39"/>
  <c r="O7" i="39"/>
  <c r="O13" i="39"/>
  <c r="O2" i="39"/>
  <c r="O14" i="39"/>
  <c r="O12" i="39"/>
  <c r="O6" i="39"/>
  <c r="N18" i="39"/>
  <c r="N18" i="35"/>
  <c r="Q13" i="35"/>
  <c r="Q14" i="35"/>
  <c r="L8" i="35"/>
  <c r="Q12" i="35"/>
  <c r="L18" i="35"/>
  <c r="L18" i="31"/>
  <c r="L8" i="31"/>
  <c r="Q8" i="31" s="1"/>
  <c r="G9" i="1" s="1"/>
  <c r="Q15" i="31"/>
  <c r="N21" i="27"/>
  <c r="L9" i="27"/>
  <c r="L21" i="27"/>
  <c r="Q6" i="27"/>
  <c r="O2" i="23"/>
  <c r="N7" i="23"/>
  <c r="O15" i="23"/>
  <c r="L7" i="23"/>
  <c r="O12" i="23"/>
  <c r="O5" i="23"/>
  <c r="O11" i="23"/>
  <c r="N16" i="23"/>
  <c r="L16" i="23"/>
  <c r="O4" i="23"/>
  <c r="O5" i="19"/>
  <c r="L7" i="19"/>
  <c r="O12" i="19"/>
  <c r="O6" i="19"/>
  <c r="N7" i="19"/>
  <c r="N16" i="19"/>
  <c r="L16" i="19"/>
  <c r="O3" i="19"/>
  <c r="O2" i="19"/>
  <c r="O11" i="19"/>
  <c r="O4" i="19"/>
  <c r="O15" i="15"/>
  <c r="O5" i="15"/>
  <c r="L7" i="15"/>
  <c r="O11" i="15"/>
  <c r="O2" i="15"/>
  <c r="O13" i="15"/>
  <c r="N17" i="15"/>
  <c r="O14" i="15"/>
  <c r="O6" i="15"/>
  <c r="N7" i="15"/>
  <c r="O3" i="15"/>
  <c r="O12" i="15"/>
  <c r="L17" i="15"/>
  <c r="L16" i="7"/>
  <c r="N8" i="39"/>
  <c r="M12" i="26" l="1"/>
  <c r="N12" i="26" s="1"/>
  <c r="D47" i="26"/>
  <c r="O18" i="39"/>
  <c r="O7" i="7"/>
  <c r="G3" i="1" s="1"/>
  <c r="Q18" i="31"/>
  <c r="O8" i="39"/>
  <c r="G11" i="1" s="1"/>
  <c r="Q15" i="35"/>
  <c r="Q18" i="35" s="1"/>
  <c r="Q21" i="27"/>
  <c r="N9" i="27"/>
  <c r="O16" i="23"/>
  <c r="M7" i="1" s="1"/>
  <c r="O7" i="23"/>
  <c r="G7" i="1" s="1"/>
  <c r="O16" i="19"/>
  <c r="O7" i="19"/>
  <c r="G6" i="1" s="1"/>
  <c r="O17" i="15"/>
  <c r="O7" i="15"/>
  <c r="G5" i="1" s="1"/>
  <c r="O15" i="7"/>
  <c r="O16" i="7" s="1"/>
  <c r="Q9" i="27" l="1"/>
  <c r="G8" i="1" s="1"/>
  <c r="M3" i="43"/>
  <c r="K5" i="43"/>
  <c r="M2" i="43"/>
  <c r="M16" i="47"/>
  <c r="M6" i="47"/>
  <c r="K17" i="47"/>
  <c r="K4" i="47"/>
  <c r="M16" i="51"/>
  <c r="K16" i="51"/>
  <c r="Q16" i="51" s="1"/>
  <c r="M13" i="55"/>
  <c r="K11" i="55"/>
  <c r="M4" i="55"/>
  <c r="K13" i="55"/>
  <c r="M15" i="63"/>
  <c r="K14" i="63"/>
  <c r="M15" i="59"/>
  <c r="K12" i="59"/>
  <c r="K3" i="59"/>
  <c r="K4" i="59"/>
  <c r="K5" i="59"/>
  <c r="K6" i="59"/>
  <c r="K2" i="59"/>
  <c r="M12" i="63"/>
  <c r="M13" i="63"/>
  <c r="M11" i="63"/>
  <c r="K12" i="63"/>
  <c r="K13" i="63"/>
  <c r="K11" i="63"/>
  <c r="M3" i="63"/>
  <c r="M4" i="63"/>
  <c r="M6" i="63"/>
  <c r="M2" i="63"/>
  <c r="K3" i="63"/>
  <c r="K6" i="63"/>
  <c r="K2" i="63"/>
  <c r="R6" i="50"/>
  <c r="R5" i="50"/>
  <c r="M14" i="63" l="1"/>
  <c r="K5" i="63"/>
  <c r="O6" i="63"/>
  <c r="K15" i="63"/>
  <c r="O15" i="63" s="1"/>
  <c r="K4" i="63"/>
  <c r="M5" i="63"/>
  <c r="K15" i="59"/>
  <c r="K13" i="59"/>
  <c r="O15" i="59"/>
  <c r="K14" i="59"/>
  <c r="M6" i="59"/>
  <c r="O6" i="59" s="1"/>
  <c r="M5" i="59"/>
  <c r="O5" i="59" s="1"/>
  <c r="K11" i="59"/>
  <c r="M14" i="59"/>
  <c r="O14" i="59" s="1"/>
  <c r="M12" i="55"/>
  <c r="K6" i="55"/>
  <c r="M3" i="55"/>
  <c r="Q13" i="55"/>
  <c r="K12" i="55"/>
  <c r="M11" i="55"/>
  <c r="Q11" i="55" s="1"/>
  <c r="M2" i="55"/>
  <c r="M6" i="55"/>
  <c r="K5" i="55"/>
  <c r="K15" i="55"/>
  <c r="K4" i="55"/>
  <c r="Q4" i="55" s="1"/>
  <c r="K14" i="55"/>
  <c r="M15" i="55"/>
  <c r="M5" i="55"/>
  <c r="K2" i="55"/>
  <c r="Q2" i="55" s="1"/>
  <c r="K3" i="55"/>
  <c r="Q3" i="55" s="1"/>
  <c r="M14" i="55"/>
  <c r="K4" i="51"/>
  <c r="M2" i="51"/>
  <c r="M4" i="51"/>
  <c r="M14" i="51"/>
  <c r="K7" i="51"/>
  <c r="K3" i="51"/>
  <c r="K15" i="51"/>
  <c r="M7" i="51"/>
  <c r="M3" i="51"/>
  <c r="M15" i="51"/>
  <c r="K5" i="51"/>
  <c r="K13" i="51"/>
  <c r="K17" i="51"/>
  <c r="M5" i="51"/>
  <c r="M13" i="51"/>
  <c r="M17" i="51"/>
  <c r="K2" i="51"/>
  <c r="Q2" i="51" s="1"/>
  <c r="K14" i="51"/>
  <c r="K6" i="51"/>
  <c r="K12" i="51"/>
  <c r="M6" i="51"/>
  <c r="M12" i="51"/>
  <c r="M12" i="47"/>
  <c r="K2" i="47"/>
  <c r="K3" i="47"/>
  <c r="K7" i="47"/>
  <c r="M2" i="47"/>
  <c r="K6" i="47"/>
  <c r="Q6" i="47" s="1"/>
  <c r="M4" i="47"/>
  <c r="Q4" i="47" s="1"/>
  <c r="M14" i="47"/>
  <c r="K13" i="43"/>
  <c r="K3" i="43"/>
  <c r="Q3" i="43" s="1"/>
  <c r="M13" i="43"/>
  <c r="M5" i="43"/>
  <c r="Q5" i="43" s="1"/>
  <c r="K11" i="43"/>
  <c r="K15" i="43"/>
  <c r="M6" i="43"/>
  <c r="M11" i="43"/>
  <c r="M15" i="43"/>
  <c r="K12" i="43"/>
  <c r="K14" i="43"/>
  <c r="K4" i="43"/>
  <c r="M12" i="43"/>
  <c r="M14" i="43"/>
  <c r="M13" i="47"/>
  <c r="M15" i="47"/>
  <c r="M17" i="47"/>
  <c r="Q17" i="47" s="1"/>
  <c r="K5" i="47"/>
  <c r="M5" i="47"/>
  <c r="K12" i="47"/>
  <c r="K14" i="47"/>
  <c r="K16" i="47"/>
  <c r="Q16" i="47" s="1"/>
  <c r="K13" i="47"/>
  <c r="K15" i="47"/>
  <c r="M4" i="43"/>
  <c r="K2" i="43"/>
  <c r="Q2" i="43" s="1"/>
  <c r="K6" i="43"/>
  <c r="Q6" i="43" s="1"/>
  <c r="M7" i="47"/>
  <c r="M3" i="47"/>
  <c r="N7" i="63"/>
  <c r="N16" i="63"/>
  <c r="O5" i="63"/>
  <c r="O2" i="63"/>
  <c r="O14" i="63"/>
  <c r="O13" i="63"/>
  <c r="O12" i="63"/>
  <c r="O3" i="63"/>
  <c r="O11" i="63"/>
  <c r="M13" i="59"/>
  <c r="M4" i="59"/>
  <c r="O4" i="59" s="1"/>
  <c r="M11" i="59"/>
  <c r="M12" i="59"/>
  <c r="O12" i="59" s="1"/>
  <c r="M2" i="59"/>
  <c r="O2" i="59" s="1"/>
  <c r="M3" i="59"/>
  <c r="O3" i="59" s="1"/>
  <c r="L7" i="59"/>
  <c r="K13" i="46"/>
  <c r="J13" i="46"/>
  <c r="O7" i="46"/>
  <c r="O6" i="46"/>
  <c r="O5" i="46"/>
  <c r="J13" i="42"/>
  <c r="K13" i="42"/>
  <c r="O6" i="22"/>
  <c r="O7" i="22"/>
  <c r="O8" i="22"/>
  <c r="O5" i="22"/>
  <c r="N6" i="26"/>
  <c r="N7" i="26"/>
  <c r="N5" i="26"/>
  <c r="N6" i="30"/>
  <c r="N7" i="30"/>
  <c r="N5" i="30"/>
  <c r="Q6" i="55" l="1"/>
  <c r="Q5" i="51"/>
  <c r="Q4" i="51"/>
  <c r="Q5" i="47"/>
  <c r="Q7" i="47"/>
  <c r="Q3" i="47"/>
  <c r="Q14" i="43"/>
  <c r="Q4" i="43"/>
  <c r="O13" i="59"/>
  <c r="Q11" i="43"/>
  <c r="N18" i="51"/>
  <c r="Q5" i="55"/>
  <c r="Q12" i="55"/>
  <c r="Q3" i="51"/>
  <c r="Q7" i="51"/>
  <c r="Q13" i="51"/>
  <c r="Q12" i="51"/>
  <c r="Q6" i="51"/>
  <c r="Q2" i="47"/>
  <c r="Q15" i="47"/>
  <c r="Q13" i="47"/>
  <c r="Q15" i="43"/>
  <c r="Q13" i="43"/>
  <c r="L7" i="63"/>
  <c r="J5" i="64" s="1"/>
  <c r="J13" i="64" s="1"/>
  <c r="J17" i="64" s="1"/>
  <c r="J27" i="64" s="1"/>
  <c r="D6" i="62" s="1"/>
  <c r="L16" i="59"/>
  <c r="N16" i="59"/>
  <c r="Q15" i="51"/>
  <c r="Q12" i="47"/>
  <c r="O16" i="63"/>
  <c r="O4" i="63"/>
  <c r="O7" i="63" s="1"/>
  <c r="G17" i="1" s="1"/>
  <c r="L16" i="63"/>
  <c r="O11" i="59"/>
  <c r="O16" i="59" s="1"/>
  <c r="N7" i="55"/>
  <c r="O5" i="56" s="1"/>
  <c r="O13" i="56" s="1"/>
  <c r="O17" i="56" s="1"/>
  <c r="O27" i="56" s="1"/>
  <c r="D21" i="54" s="1"/>
  <c r="L16" i="55"/>
  <c r="Q14" i="55"/>
  <c r="L7" i="55"/>
  <c r="J5" i="56" s="1"/>
  <c r="J9" i="56" s="1"/>
  <c r="J26" i="56" s="1"/>
  <c r="N16" i="55"/>
  <c r="Q15" i="55"/>
  <c r="Q16" i="55" s="1"/>
  <c r="Q17" i="51"/>
  <c r="L18" i="51"/>
  <c r="Q14" i="51"/>
  <c r="N8" i="51"/>
  <c r="O5" i="52" s="1"/>
  <c r="O9" i="52" s="1"/>
  <c r="O26" i="52" s="1"/>
  <c r="L8" i="51"/>
  <c r="J5" i="52" s="1"/>
  <c r="L8" i="47"/>
  <c r="J5" i="48" s="1"/>
  <c r="J13" i="48" s="1"/>
  <c r="J17" i="48" s="1"/>
  <c r="J27" i="48" s="1"/>
  <c r="D6" i="46" s="1"/>
  <c r="L18" i="47"/>
  <c r="N8" i="47"/>
  <c r="O5" i="48" s="1"/>
  <c r="O13" i="48" s="1"/>
  <c r="O17" i="48" s="1"/>
  <c r="O27" i="48" s="1"/>
  <c r="D21" i="46" s="1"/>
  <c r="Q14" i="47"/>
  <c r="N7" i="43"/>
  <c r="O5" i="44" s="1"/>
  <c r="O13" i="44" s="1"/>
  <c r="O17" i="44" s="1"/>
  <c r="O27" i="44" s="1"/>
  <c r="D21" i="42" s="1"/>
  <c r="N16" i="43"/>
  <c r="Q12" i="43"/>
  <c r="L16" i="43"/>
  <c r="N18" i="47"/>
  <c r="L7" i="43"/>
  <c r="J5" i="44" s="1"/>
  <c r="J13" i="44" s="1"/>
  <c r="J17" i="44" s="1"/>
  <c r="J27" i="44" s="1"/>
  <c r="D6" i="42" s="1"/>
  <c r="O7" i="59"/>
  <c r="G16" i="1" s="1"/>
  <c r="N7" i="59"/>
  <c r="O5" i="60" s="1"/>
  <c r="O13" i="60" s="1"/>
  <c r="O17" i="60" s="1"/>
  <c r="O27" i="60" s="1"/>
  <c r="D21" i="58" s="1"/>
  <c r="O5" i="64"/>
  <c r="O9" i="64" s="1"/>
  <c r="O26" i="64" s="1"/>
  <c r="D27" i="62"/>
  <c r="D26" i="62"/>
  <c r="D23" i="62"/>
  <c r="D22" i="62"/>
  <c r="D14" i="62"/>
  <c r="D13" i="62"/>
  <c r="D8" i="62"/>
  <c r="D7" i="62"/>
  <c r="J5" i="60"/>
  <c r="J9" i="60" s="1"/>
  <c r="J26" i="60" s="1"/>
  <c r="D27" i="58"/>
  <c r="D26" i="58"/>
  <c r="D23" i="58"/>
  <c r="D22" i="58"/>
  <c r="D14" i="58"/>
  <c r="D13" i="58"/>
  <c r="D8" i="58"/>
  <c r="D7" i="58"/>
  <c r="D27" i="54"/>
  <c r="D26" i="54"/>
  <c r="D23" i="54"/>
  <c r="D22" i="54"/>
  <c r="D14" i="54"/>
  <c r="D13" i="54"/>
  <c r="D8" i="54"/>
  <c r="D7" i="54"/>
  <c r="G27" i="50"/>
  <c r="G14" i="50"/>
  <c r="D27" i="46"/>
  <c r="D26" i="46"/>
  <c r="D23" i="46"/>
  <c r="D22" i="46"/>
  <c r="D14" i="46"/>
  <c r="D13" i="46"/>
  <c r="D8" i="46"/>
  <c r="D7" i="46"/>
  <c r="D27" i="42"/>
  <c r="D26" i="42"/>
  <c r="D23" i="42"/>
  <c r="D22" i="42"/>
  <c r="D14" i="42"/>
  <c r="D13" i="42"/>
  <c r="D8" i="42"/>
  <c r="D7" i="42"/>
  <c r="P5" i="40"/>
  <c r="P13" i="40" s="1"/>
  <c r="P17" i="40" s="1"/>
  <c r="P27" i="40" s="1"/>
  <c r="D21" i="38" s="1"/>
  <c r="J5" i="40"/>
  <c r="D5" i="40"/>
  <c r="D13" i="40" s="1"/>
  <c r="D17" i="40" s="1"/>
  <c r="D27" i="38"/>
  <c r="D26" i="38"/>
  <c r="D23" i="38"/>
  <c r="D22" i="38"/>
  <c r="D14" i="38"/>
  <c r="D13" i="38"/>
  <c r="D8" i="38"/>
  <c r="D7" i="38"/>
  <c r="O5" i="36"/>
  <c r="O13" i="36" s="1"/>
  <c r="O17" i="36" s="1"/>
  <c r="O27" i="36" s="1"/>
  <c r="D20" i="34" s="1"/>
  <c r="J5" i="36"/>
  <c r="J13" i="36" s="1"/>
  <c r="J17" i="36" s="1"/>
  <c r="J27" i="36" s="1"/>
  <c r="D6" i="34" s="1"/>
  <c r="D5" i="36"/>
  <c r="D26" i="34"/>
  <c r="D25" i="34"/>
  <c r="D22" i="34"/>
  <c r="D21" i="34"/>
  <c r="D13" i="34"/>
  <c r="D12" i="34"/>
  <c r="D8" i="34"/>
  <c r="D7" i="34"/>
  <c r="O5" i="32"/>
  <c r="O13" i="32" s="1"/>
  <c r="O17" i="32" s="1"/>
  <c r="O27" i="32" s="1"/>
  <c r="D20" i="30" s="1"/>
  <c r="J5" i="32"/>
  <c r="J13" i="32" s="1"/>
  <c r="J17" i="32" s="1"/>
  <c r="J27" i="32" s="1"/>
  <c r="D6" i="30" s="1"/>
  <c r="D5" i="32"/>
  <c r="D13" i="32" s="1"/>
  <c r="D17" i="32" s="1"/>
  <c r="D26" i="30"/>
  <c r="D25" i="30"/>
  <c r="D22" i="30"/>
  <c r="D21" i="30"/>
  <c r="D13" i="30"/>
  <c r="D12" i="30"/>
  <c r="D8" i="30"/>
  <c r="D7" i="30"/>
  <c r="Q8" i="47" l="1"/>
  <c r="D5" i="60"/>
  <c r="D9" i="60" s="1"/>
  <c r="D26" i="60" s="1"/>
  <c r="Q18" i="47"/>
  <c r="Q16" i="43"/>
  <c r="Q18" i="51"/>
  <c r="D9" i="32"/>
  <c r="D5" i="64"/>
  <c r="D9" i="64" s="1"/>
  <c r="J13" i="60"/>
  <c r="J17" i="60" s="1"/>
  <c r="J27" i="60" s="1"/>
  <c r="D6" i="58" s="1"/>
  <c r="O9" i="60"/>
  <c r="O26" i="60" s="1"/>
  <c r="O30" i="60" s="1"/>
  <c r="Q7" i="55"/>
  <c r="G15" i="1" s="1"/>
  <c r="J13" i="52"/>
  <c r="J17" i="52" s="1"/>
  <c r="J27" i="52" s="1"/>
  <c r="J9" i="52"/>
  <c r="J26" i="52" s="1"/>
  <c r="Q8" i="51"/>
  <c r="Q7" i="43"/>
  <c r="D5" i="44" s="1"/>
  <c r="D27" i="40"/>
  <c r="D5" i="48"/>
  <c r="D9" i="48" s="1"/>
  <c r="G13" i="1"/>
  <c r="O9" i="32"/>
  <c r="O26" i="32" s="1"/>
  <c r="D19" i="30" s="1"/>
  <c r="J9" i="32"/>
  <c r="J26" i="32" s="1"/>
  <c r="J30" i="32" s="1"/>
  <c r="J9" i="48"/>
  <c r="J26" i="48" s="1"/>
  <c r="D5" i="46" s="1"/>
  <c r="O13" i="64"/>
  <c r="O17" i="64" s="1"/>
  <c r="O27" i="64" s="1"/>
  <c r="D21" i="62" s="1"/>
  <c r="J9" i="64"/>
  <c r="J26" i="64" s="1"/>
  <c r="J30" i="64" s="1"/>
  <c r="D20" i="62"/>
  <c r="D5" i="58"/>
  <c r="D13" i="60"/>
  <c r="D17" i="60" s="1"/>
  <c r="O9" i="56"/>
  <c r="O26" i="56" s="1"/>
  <c r="D5" i="54"/>
  <c r="J13" i="56"/>
  <c r="J17" i="56" s="1"/>
  <c r="J27" i="56" s="1"/>
  <c r="D6" i="54" s="1"/>
  <c r="O13" i="52"/>
  <c r="O17" i="52" s="1"/>
  <c r="O27" i="52" s="1"/>
  <c r="O30" i="52" s="1"/>
  <c r="O35" i="52" s="1"/>
  <c r="O37" i="52" s="1"/>
  <c r="O9" i="48"/>
  <c r="O26" i="48" s="1"/>
  <c r="J9" i="44"/>
  <c r="J26" i="44" s="1"/>
  <c r="D5" i="42" s="1"/>
  <c r="O9" i="44"/>
  <c r="O26" i="44" s="1"/>
  <c r="D9" i="40"/>
  <c r="P9" i="40"/>
  <c r="P26" i="40" s="1"/>
  <c r="J9" i="40"/>
  <c r="J26" i="40" s="1"/>
  <c r="J13" i="40"/>
  <c r="J17" i="40" s="1"/>
  <c r="J27" i="40" s="1"/>
  <c r="D6" i="38" s="1"/>
  <c r="J9" i="36"/>
  <c r="J26" i="36" s="1"/>
  <c r="D5" i="34" s="1"/>
  <c r="O9" i="36"/>
  <c r="O26" i="36" s="1"/>
  <c r="D9" i="36"/>
  <c r="D13" i="36"/>
  <c r="D17" i="36" s="1"/>
  <c r="O13" i="82"/>
  <c r="O17" i="82" s="1"/>
  <c r="O27" i="82" s="1"/>
  <c r="J5" i="82"/>
  <c r="J13" i="82" s="1"/>
  <c r="J17" i="82" s="1"/>
  <c r="J27" i="82" s="1"/>
  <c r="D5" i="82"/>
  <c r="D13" i="82" s="1"/>
  <c r="D17" i="82" s="1"/>
  <c r="D5" i="12"/>
  <c r="O6" i="18"/>
  <c r="O7" i="18"/>
  <c r="O8" i="18"/>
  <c r="O5" i="18"/>
  <c r="D26" i="26"/>
  <c r="D25" i="26"/>
  <c r="D22" i="26"/>
  <c r="D21" i="26"/>
  <c r="D13" i="26"/>
  <c r="D12" i="26"/>
  <c r="D8" i="26"/>
  <c r="D7" i="26"/>
  <c r="O5" i="28"/>
  <c r="O9" i="28" s="1"/>
  <c r="O26" i="28" s="1"/>
  <c r="D19" i="26" s="1"/>
  <c r="J5" i="28"/>
  <c r="J13" i="28" s="1"/>
  <c r="J17" i="28" s="1"/>
  <c r="J27" i="28" s="1"/>
  <c r="D6" i="26" s="1"/>
  <c r="D5" i="28"/>
  <c r="D13" i="28" s="1"/>
  <c r="D17" i="28" s="1"/>
  <c r="D5" i="56" l="1"/>
  <c r="D13" i="56" s="1"/>
  <c r="D17" i="56" s="1"/>
  <c r="D9" i="56"/>
  <c r="D26" i="56" s="1"/>
  <c r="J30" i="52"/>
  <c r="J35" i="52" s="1"/>
  <c r="J37" i="52" s="1"/>
  <c r="D37" i="52" s="1"/>
  <c r="D26" i="64"/>
  <c r="D26" i="32"/>
  <c r="D13" i="64"/>
  <c r="D17" i="64" s="1"/>
  <c r="D20" i="58"/>
  <c r="J30" i="60"/>
  <c r="J35" i="60" s="1"/>
  <c r="J37" i="60" s="1"/>
  <c r="G15" i="50"/>
  <c r="G14" i="1"/>
  <c r="D5" i="52"/>
  <c r="D13" i="48"/>
  <c r="D17" i="48" s="1"/>
  <c r="D27" i="48" s="1"/>
  <c r="J30" i="48"/>
  <c r="J35" i="48" s="1"/>
  <c r="J37" i="48" s="1"/>
  <c r="D13" i="44"/>
  <c r="D17" i="44" s="1"/>
  <c r="D9" i="44"/>
  <c r="D26" i="44" s="1"/>
  <c r="G12" i="1"/>
  <c r="D9" i="82"/>
  <c r="O30" i="32"/>
  <c r="O35" i="32" s="1"/>
  <c r="O37" i="32" s="1"/>
  <c r="D28" i="30" s="1"/>
  <c r="D46" i="30" s="1"/>
  <c r="D26" i="40"/>
  <c r="D30" i="40" s="1"/>
  <c r="D35" i="40" s="1"/>
  <c r="O30" i="64"/>
  <c r="O35" i="64" s="1"/>
  <c r="O37" i="64" s="1"/>
  <c r="D26" i="48"/>
  <c r="D27" i="28"/>
  <c r="D5" i="30"/>
  <c r="D26" i="36"/>
  <c r="J30" i="36"/>
  <c r="J35" i="36" s="1"/>
  <c r="J37" i="36" s="1"/>
  <c r="D27" i="36"/>
  <c r="J30" i="44"/>
  <c r="O30" i="44"/>
  <c r="D20" i="42"/>
  <c r="D5" i="62"/>
  <c r="J35" i="64"/>
  <c r="J37" i="64" s="1"/>
  <c r="D11" i="62"/>
  <c r="O35" i="60"/>
  <c r="O37" i="60" s="1"/>
  <c r="D29" i="58" s="1"/>
  <c r="D24" i="58"/>
  <c r="D27" i="60"/>
  <c r="D30" i="60" s="1"/>
  <c r="D35" i="60" s="1"/>
  <c r="D27" i="56"/>
  <c r="O30" i="56"/>
  <c r="D20" i="54"/>
  <c r="J30" i="56"/>
  <c r="G29" i="50"/>
  <c r="G47" i="50" s="1"/>
  <c r="G28" i="50"/>
  <c r="G16" i="50"/>
  <c r="G46" i="50" s="1"/>
  <c r="G49" i="50" s="1"/>
  <c r="O30" i="48"/>
  <c r="D20" i="46"/>
  <c r="P30" i="40"/>
  <c r="D20" i="38"/>
  <c r="J30" i="40"/>
  <c r="D5" i="38"/>
  <c r="O30" i="36"/>
  <c r="D19" i="34"/>
  <c r="D27" i="32"/>
  <c r="D10" i="30"/>
  <c r="J35" i="32"/>
  <c r="J37" i="32" s="1"/>
  <c r="O9" i="82"/>
  <c r="O26" i="82" s="1"/>
  <c r="O30" i="82" s="1"/>
  <c r="O35" i="82" s="1"/>
  <c r="O37" i="82" s="1"/>
  <c r="J9" i="82"/>
  <c r="J26" i="82" s="1"/>
  <c r="J30" i="82" s="1"/>
  <c r="J35" i="82" s="1"/>
  <c r="D27" i="82"/>
  <c r="O13" i="28"/>
  <c r="O17" i="28" s="1"/>
  <c r="O27" i="28" s="1"/>
  <c r="J9" i="28"/>
  <c r="J26" i="28" s="1"/>
  <c r="D9" i="28"/>
  <c r="O5" i="24"/>
  <c r="O13" i="24" s="1"/>
  <c r="O17" i="24" s="1"/>
  <c r="O27" i="24" s="1"/>
  <c r="D20" i="22" s="1"/>
  <c r="J5" i="24"/>
  <c r="J13" i="24" s="1"/>
  <c r="J17" i="24" s="1"/>
  <c r="J27" i="24" s="1"/>
  <c r="D6" i="22" s="1"/>
  <c r="D5" i="24"/>
  <c r="D13" i="24" s="1"/>
  <c r="D17" i="24" s="1"/>
  <c r="O5" i="70"/>
  <c r="O13" i="70" s="1"/>
  <c r="O17" i="70" s="1"/>
  <c r="O27" i="70" s="1"/>
  <c r="J5" i="70"/>
  <c r="D5" i="70"/>
  <c r="D9" i="70" s="1"/>
  <c r="D26" i="22"/>
  <c r="D25" i="22"/>
  <c r="D22" i="22"/>
  <c r="D21" i="22"/>
  <c r="D13" i="22"/>
  <c r="D12" i="22"/>
  <c r="D8" i="22"/>
  <c r="D7" i="22"/>
  <c r="D26" i="18"/>
  <c r="D25" i="18"/>
  <c r="D22" i="18"/>
  <c r="D21" i="18"/>
  <c r="D13" i="18"/>
  <c r="D12" i="18"/>
  <c r="D7" i="18"/>
  <c r="D8" i="18"/>
  <c r="I13" i="6"/>
  <c r="J13" i="6"/>
  <c r="K13" i="6"/>
  <c r="O6" i="6"/>
  <c r="O7" i="6"/>
  <c r="O8" i="6"/>
  <c r="O5" i="6"/>
  <c r="I13" i="10"/>
  <c r="J13" i="10"/>
  <c r="O6" i="10"/>
  <c r="O7" i="10"/>
  <c r="O8" i="10"/>
  <c r="O5" i="10"/>
  <c r="I13" i="14"/>
  <c r="J13" i="14"/>
  <c r="K13" i="14"/>
  <c r="O6" i="14"/>
  <c r="O7" i="14"/>
  <c r="O8" i="14"/>
  <c r="O5" i="14"/>
  <c r="D25" i="14"/>
  <c r="D24" i="14"/>
  <c r="D20" i="14"/>
  <c r="D21" i="14"/>
  <c r="D12" i="14"/>
  <c r="D11" i="14"/>
  <c r="D7" i="14"/>
  <c r="D8" i="14"/>
  <c r="D26" i="10"/>
  <c r="D25" i="10"/>
  <c r="D21" i="10"/>
  <c r="D22" i="10"/>
  <c r="D13" i="10"/>
  <c r="D12" i="10"/>
  <c r="D7" i="10"/>
  <c r="D8" i="10"/>
  <c r="O5" i="78"/>
  <c r="O9" i="78" s="1"/>
  <c r="O26" i="78" s="1"/>
  <c r="J5" i="78"/>
  <c r="J33" i="78"/>
  <c r="J29" i="78"/>
  <c r="J23" i="78"/>
  <c r="J21" i="78"/>
  <c r="J20" i="78"/>
  <c r="J16" i="78"/>
  <c r="J15" i="78"/>
  <c r="J14" i="78"/>
  <c r="J12" i="78"/>
  <c r="J8" i="78"/>
  <c r="J7" i="78"/>
  <c r="J6" i="78"/>
  <c r="J4" i="78"/>
  <c r="G26" i="50"/>
  <c r="G23" i="50"/>
  <c r="G22" i="50"/>
  <c r="G13" i="50"/>
  <c r="G8" i="50"/>
  <c r="G7" i="50"/>
  <c r="C19" i="65"/>
  <c r="C17" i="65"/>
  <c r="C8" i="65"/>
  <c r="C5" i="65"/>
  <c r="C3" i="65" s="1"/>
  <c r="C18" i="65"/>
  <c r="C11" i="65"/>
  <c r="D17" i="1" s="1"/>
  <c r="O5" i="81"/>
  <c r="O13" i="81" s="1"/>
  <c r="O17" i="81" s="1"/>
  <c r="O27" i="81" s="1"/>
  <c r="J5" i="81"/>
  <c r="D5" i="81"/>
  <c r="D13" i="81" s="1"/>
  <c r="D17" i="81" s="1"/>
  <c r="C19" i="61"/>
  <c r="C17" i="61"/>
  <c r="C8" i="61"/>
  <c r="C5" i="61"/>
  <c r="C18" i="61"/>
  <c r="C11" i="61"/>
  <c r="D16" i="1" s="1"/>
  <c r="C3" i="61"/>
  <c r="C2" i="61" s="1"/>
  <c r="C16" i="1" s="1"/>
  <c r="O5" i="80"/>
  <c r="O13" i="80" s="1"/>
  <c r="O17" i="80" s="1"/>
  <c r="O27" i="80" s="1"/>
  <c r="J5" i="80"/>
  <c r="J9" i="80" s="1"/>
  <c r="J26" i="80" s="1"/>
  <c r="D5" i="80"/>
  <c r="D13" i="80" s="1"/>
  <c r="D17" i="80" s="1"/>
  <c r="C19" i="57"/>
  <c r="C17" i="57"/>
  <c r="C8" i="57"/>
  <c r="C5" i="57"/>
  <c r="C18" i="57"/>
  <c r="C11" i="57"/>
  <c r="D15" i="1" s="1"/>
  <c r="C3" i="57"/>
  <c r="O9" i="79"/>
  <c r="O26" i="79" s="1"/>
  <c r="J5" i="79"/>
  <c r="J9" i="79" s="1"/>
  <c r="J26" i="79" s="1"/>
  <c r="D5" i="79"/>
  <c r="D13" i="79" s="1"/>
  <c r="D17" i="79" s="1"/>
  <c r="D5" i="78"/>
  <c r="D13" i="78" s="1"/>
  <c r="D17" i="78" s="1"/>
  <c r="C19" i="53"/>
  <c r="C17" i="53"/>
  <c r="C8" i="53"/>
  <c r="C5" i="53"/>
  <c r="C18" i="53"/>
  <c r="C11" i="53"/>
  <c r="D14" i="1" s="1"/>
  <c r="C3" i="53"/>
  <c r="C2" i="53" s="1"/>
  <c r="C14" i="1" s="1"/>
  <c r="O5" i="77"/>
  <c r="O13" i="77" s="1"/>
  <c r="O17" i="77" s="1"/>
  <c r="O27" i="77" s="1"/>
  <c r="J5" i="77"/>
  <c r="D5" i="77"/>
  <c r="D13" i="77" s="1"/>
  <c r="D17" i="77" s="1"/>
  <c r="C19" i="49"/>
  <c r="C17" i="49"/>
  <c r="C8" i="49"/>
  <c r="C5" i="49"/>
  <c r="C3" i="49" s="1"/>
  <c r="C18" i="49"/>
  <c r="C11" i="49"/>
  <c r="D13" i="1" s="1"/>
  <c r="C19" i="45"/>
  <c r="C17" i="45"/>
  <c r="C8" i="45"/>
  <c r="C5" i="45"/>
  <c r="C3" i="45" s="1"/>
  <c r="C18" i="45"/>
  <c r="C11" i="45"/>
  <c r="D12" i="1" s="1"/>
  <c r="O5" i="76"/>
  <c r="O13" i="76" s="1"/>
  <c r="O17" i="76" s="1"/>
  <c r="O27" i="76" s="1"/>
  <c r="J5" i="76"/>
  <c r="J9" i="76" s="1"/>
  <c r="J26" i="76" s="1"/>
  <c r="D5" i="76"/>
  <c r="D13" i="76" s="1"/>
  <c r="D17" i="76" s="1"/>
  <c r="C19" i="41"/>
  <c r="C18" i="41"/>
  <c r="C17" i="41"/>
  <c r="C8" i="41"/>
  <c r="C5" i="41"/>
  <c r="C3" i="41" s="1"/>
  <c r="C11" i="41"/>
  <c r="D11" i="1" s="1"/>
  <c r="P5" i="75"/>
  <c r="P13" i="75" s="1"/>
  <c r="P17" i="75" s="1"/>
  <c r="P27" i="75" s="1"/>
  <c r="J5" i="75"/>
  <c r="D5" i="75"/>
  <c r="D13" i="75" s="1"/>
  <c r="D17" i="75" s="1"/>
  <c r="C19" i="37"/>
  <c r="C18" i="37"/>
  <c r="C17" i="37"/>
  <c r="C8" i="37"/>
  <c r="C5" i="37"/>
  <c r="C11" i="37"/>
  <c r="D10" i="1" s="1"/>
  <c r="C3" i="37"/>
  <c r="O5" i="74"/>
  <c r="O13" i="74" s="1"/>
  <c r="O17" i="74" s="1"/>
  <c r="O27" i="74" s="1"/>
  <c r="J5" i="74"/>
  <c r="D5" i="74"/>
  <c r="D13" i="74" s="1"/>
  <c r="D17" i="74" s="1"/>
  <c r="C19" i="33"/>
  <c r="C17" i="33"/>
  <c r="C8" i="33"/>
  <c r="C5" i="33"/>
  <c r="C3" i="33" s="1"/>
  <c r="C18" i="33"/>
  <c r="C11" i="33"/>
  <c r="D9" i="1" s="1"/>
  <c r="C19" i="29"/>
  <c r="C18" i="29"/>
  <c r="C17" i="29"/>
  <c r="C8" i="29"/>
  <c r="C5" i="29"/>
  <c r="C11" i="29"/>
  <c r="D8" i="1" s="1"/>
  <c r="O5" i="73"/>
  <c r="O13" i="73" s="1"/>
  <c r="O17" i="73" s="1"/>
  <c r="O27" i="73" s="1"/>
  <c r="J5" i="73"/>
  <c r="J9" i="73" s="1"/>
  <c r="J26" i="73" s="1"/>
  <c r="D17" i="73"/>
  <c r="C19" i="25"/>
  <c r="C18" i="25"/>
  <c r="C17" i="25"/>
  <c r="C8" i="25"/>
  <c r="C5" i="25"/>
  <c r="C4" i="25" s="1"/>
  <c r="C11" i="25"/>
  <c r="D7" i="1" s="1"/>
  <c r="O5" i="72"/>
  <c r="O13" i="72" s="1"/>
  <c r="O17" i="72" s="1"/>
  <c r="O27" i="72" s="1"/>
  <c r="J5" i="72"/>
  <c r="D5" i="72"/>
  <c r="D9" i="72" s="1"/>
  <c r="C19" i="21"/>
  <c r="C17" i="21"/>
  <c r="C8" i="21"/>
  <c r="C5" i="21"/>
  <c r="C18" i="21"/>
  <c r="C11" i="21"/>
  <c r="D6" i="1" s="1"/>
  <c r="O5" i="71"/>
  <c r="O13" i="71" s="1"/>
  <c r="O17" i="71" s="1"/>
  <c r="O27" i="71" s="1"/>
  <c r="J5" i="71"/>
  <c r="D5" i="71"/>
  <c r="D13" i="71" s="1"/>
  <c r="D17" i="71" s="1"/>
  <c r="O5" i="20"/>
  <c r="O13" i="20" s="1"/>
  <c r="O17" i="20" s="1"/>
  <c r="O27" i="20" s="1"/>
  <c r="D20" i="18" s="1"/>
  <c r="J5" i="20"/>
  <c r="D5" i="20"/>
  <c r="D13" i="20" s="1"/>
  <c r="D17" i="20" s="1"/>
  <c r="C18" i="13"/>
  <c r="C19" i="17"/>
  <c r="C18" i="17"/>
  <c r="C17" i="17"/>
  <c r="C8" i="17"/>
  <c r="C5" i="17"/>
  <c r="C11" i="17"/>
  <c r="D5" i="1" s="1"/>
  <c r="O5" i="16"/>
  <c r="O13" i="16" s="1"/>
  <c r="O17" i="16" s="1"/>
  <c r="O27" i="16" s="1"/>
  <c r="D19" i="14" s="1"/>
  <c r="J5" i="16"/>
  <c r="J13" i="16" s="1"/>
  <c r="J17" i="16" s="1"/>
  <c r="J27" i="16" s="1"/>
  <c r="D6" i="14" s="1"/>
  <c r="D5" i="16"/>
  <c r="D13" i="16" s="1"/>
  <c r="D17" i="16" s="1"/>
  <c r="C19" i="13"/>
  <c r="C17" i="13"/>
  <c r="C8" i="13"/>
  <c r="C5" i="13"/>
  <c r="C11" i="13"/>
  <c r="D4" i="1" s="1"/>
  <c r="O5" i="69"/>
  <c r="O13" i="69" s="1"/>
  <c r="O17" i="69" s="1"/>
  <c r="O27" i="69" s="1"/>
  <c r="D5" i="69"/>
  <c r="D9" i="69" s="1"/>
  <c r="O5" i="12"/>
  <c r="O13" i="12" s="1"/>
  <c r="O17" i="12" s="1"/>
  <c r="O27" i="12" s="1"/>
  <c r="D20" i="10" s="1"/>
  <c r="D13" i="12"/>
  <c r="D17" i="12" s="1"/>
  <c r="D9" i="12"/>
  <c r="C19" i="9"/>
  <c r="C18" i="9"/>
  <c r="C17" i="9"/>
  <c r="C17" i="5"/>
  <c r="C11" i="9"/>
  <c r="D3" i="1" s="1"/>
  <c r="C8" i="9"/>
  <c r="C8" i="5"/>
  <c r="C5" i="9"/>
  <c r="O5" i="68"/>
  <c r="O9" i="68" s="1"/>
  <c r="O26" i="68" s="1"/>
  <c r="J5" i="68"/>
  <c r="D5" i="68"/>
  <c r="D13" i="68" s="1"/>
  <c r="D17" i="68" s="1"/>
  <c r="O27" i="68"/>
  <c r="J27" i="68"/>
  <c r="O27" i="8"/>
  <c r="D20" i="6" s="1"/>
  <c r="J27" i="8"/>
  <c r="D6" i="6" s="1"/>
  <c r="O5" i="8"/>
  <c r="O9" i="8" s="1"/>
  <c r="O26" i="8" s="1"/>
  <c r="J5" i="8"/>
  <c r="J13" i="8" s="1"/>
  <c r="D5" i="8"/>
  <c r="D9" i="8" s="1"/>
  <c r="D26" i="6"/>
  <c r="D25" i="6"/>
  <c r="D22" i="6"/>
  <c r="D21" i="6"/>
  <c r="D13" i="6"/>
  <c r="D12" i="6"/>
  <c r="D8" i="6"/>
  <c r="D7" i="6"/>
  <c r="P35" i="67"/>
  <c r="K35" i="67"/>
  <c r="P34" i="67"/>
  <c r="K34" i="67"/>
  <c r="K30" i="67"/>
  <c r="P29" i="67"/>
  <c r="K29" i="67"/>
  <c r="P24" i="67"/>
  <c r="K24" i="67"/>
  <c r="P22" i="67"/>
  <c r="K22" i="67"/>
  <c r="P21" i="67"/>
  <c r="K21" i="67"/>
  <c r="P17" i="67"/>
  <c r="K17" i="67"/>
  <c r="P16" i="67"/>
  <c r="K16" i="67"/>
  <c r="E15" i="67"/>
  <c r="P15" i="67" s="1"/>
  <c r="K13" i="67"/>
  <c r="E13" i="67"/>
  <c r="P9" i="67"/>
  <c r="P8" i="67"/>
  <c r="K8" i="67"/>
  <c r="K7" i="67"/>
  <c r="P5" i="67"/>
  <c r="K5" i="67"/>
  <c r="C3" i="29" l="1"/>
  <c r="C4" i="29"/>
  <c r="D15" i="34"/>
  <c r="D45" i="34" s="1"/>
  <c r="D15" i="30"/>
  <c r="D45" i="30" s="1"/>
  <c r="D49" i="30" s="1"/>
  <c r="D37" i="32"/>
  <c r="J13" i="80"/>
  <c r="J17" i="80" s="1"/>
  <c r="J27" i="80" s="1"/>
  <c r="Q10" i="50"/>
  <c r="Q11" i="50"/>
  <c r="R11" i="50" s="1"/>
  <c r="M11" i="30"/>
  <c r="N11" i="30" s="1"/>
  <c r="M10" i="30"/>
  <c r="M13" i="30" s="1"/>
  <c r="L13" i="30"/>
  <c r="O13" i="79"/>
  <c r="O17" i="79" s="1"/>
  <c r="O27" i="79" s="1"/>
  <c r="O30" i="79" s="1"/>
  <c r="O35" i="79" s="1"/>
  <c r="E8" i="1"/>
  <c r="C3" i="21"/>
  <c r="C3" i="17"/>
  <c r="C4" i="17"/>
  <c r="E4" i="1"/>
  <c r="C3" i="13"/>
  <c r="C4" i="13"/>
  <c r="C2" i="13" s="1"/>
  <c r="C4" i="1" s="1"/>
  <c r="C3" i="9"/>
  <c r="C4" i="9"/>
  <c r="C3" i="25"/>
  <c r="D11" i="58"/>
  <c r="D30" i="32"/>
  <c r="D35" i="32" s="1"/>
  <c r="D27" i="64"/>
  <c r="D30" i="64" s="1"/>
  <c r="D35" i="64" s="1"/>
  <c r="D23" i="30"/>
  <c r="D24" i="62"/>
  <c r="O9" i="80"/>
  <c r="O26" i="80" s="1"/>
  <c r="O30" i="80" s="1"/>
  <c r="O35" i="80" s="1"/>
  <c r="D27" i="80"/>
  <c r="D13" i="52"/>
  <c r="D17" i="52" s="1"/>
  <c r="D9" i="52"/>
  <c r="D11" i="46"/>
  <c r="D30" i="48"/>
  <c r="D35" i="48" s="1"/>
  <c r="D27" i="44"/>
  <c r="D30" i="44" s="1"/>
  <c r="D35" i="44" s="1"/>
  <c r="E12" i="1"/>
  <c r="D30" i="36"/>
  <c r="D35" i="36" s="1"/>
  <c r="N9" i="30"/>
  <c r="E9" i="1"/>
  <c r="D26" i="28"/>
  <c r="D30" i="28" s="1"/>
  <c r="D35" i="28" s="1"/>
  <c r="D9" i="20"/>
  <c r="D26" i="20" s="1"/>
  <c r="D26" i="12"/>
  <c r="J13" i="12"/>
  <c r="J17" i="12" s="1"/>
  <c r="J27" i="12" s="1"/>
  <c r="C2" i="65"/>
  <c r="C17" i="1" s="1"/>
  <c r="E15" i="1"/>
  <c r="C2" i="57"/>
  <c r="C15" i="1" s="1"/>
  <c r="C2" i="41"/>
  <c r="C11" i="1" s="1"/>
  <c r="E16" i="1"/>
  <c r="E17" i="1"/>
  <c r="O9" i="70"/>
  <c r="O26" i="70" s="1"/>
  <c r="O30" i="70" s="1"/>
  <c r="O35" i="70" s="1"/>
  <c r="O37" i="70" s="1"/>
  <c r="D10" i="34"/>
  <c r="C2" i="25"/>
  <c r="C7" i="1" s="1"/>
  <c r="C2" i="45"/>
  <c r="C12" i="1" s="1"/>
  <c r="C2" i="17"/>
  <c r="C5" i="1" s="1"/>
  <c r="C2" i="49"/>
  <c r="C13" i="1" s="1"/>
  <c r="E14" i="1"/>
  <c r="D19" i="6"/>
  <c r="O30" i="8"/>
  <c r="D13" i="8"/>
  <c r="D17" i="8" s="1"/>
  <c r="D26" i="8"/>
  <c r="J9" i="8"/>
  <c r="J26" i="8" s="1"/>
  <c r="D27" i="16"/>
  <c r="O9" i="71"/>
  <c r="O26" i="71" s="1"/>
  <c r="O30" i="71" s="1"/>
  <c r="O35" i="71" s="1"/>
  <c r="O37" i="71" s="1"/>
  <c r="J13" i="20"/>
  <c r="J17" i="20" s="1"/>
  <c r="J27" i="20" s="1"/>
  <c r="D6" i="18" s="1"/>
  <c r="J9" i="24"/>
  <c r="J26" i="24" s="1"/>
  <c r="J30" i="24" s="1"/>
  <c r="D27" i="24"/>
  <c r="D9" i="73"/>
  <c r="D26" i="73" s="1"/>
  <c r="J13" i="73"/>
  <c r="J17" i="73" s="1"/>
  <c r="J27" i="73" s="1"/>
  <c r="J30" i="73" s="1"/>
  <c r="J35" i="73" s="1"/>
  <c r="D27" i="73"/>
  <c r="D30" i="73" s="1"/>
  <c r="D35" i="73" s="1"/>
  <c r="J13" i="74"/>
  <c r="J17" i="74" s="1"/>
  <c r="J27" i="74" s="1"/>
  <c r="O9" i="74"/>
  <c r="O26" i="74" s="1"/>
  <c r="O30" i="74" s="1"/>
  <c r="O35" i="74" s="1"/>
  <c r="J9" i="74"/>
  <c r="J26" i="74" s="1"/>
  <c r="D27" i="74"/>
  <c r="D9" i="75"/>
  <c r="J13" i="75"/>
  <c r="J17" i="75" s="1"/>
  <c r="J27" i="75" s="1"/>
  <c r="J9" i="75"/>
  <c r="J26" i="75" s="1"/>
  <c r="D9" i="76"/>
  <c r="O9" i="76"/>
  <c r="O26" i="76" s="1"/>
  <c r="O30" i="76" s="1"/>
  <c r="O35" i="76" s="1"/>
  <c r="O37" i="76" s="1"/>
  <c r="J13" i="76"/>
  <c r="J17" i="76" s="1"/>
  <c r="J27" i="76" s="1"/>
  <c r="J30" i="76" s="1"/>
  <c r="J35" i="76" s="1"/>
  <c r="J37" i="76" s="1"/>
  <c r="D27" i="76"/>
  <c r="O35" i="44"/>
  <c r="D24" i="42"/>
  <c r="J35" i="44"/>
  <c r="D11" i="42"/>
  <c r="D9" i="77"/>
  <c r="O9" i="77"/>
  <c r="O26" i="77" s="1"/>
  <c r="O30" i="77" s="1"/>
  <c r="O35" i="77" s="1"/>
  <c r="J9" i="77"/>
  <c r="J26" i="77" s="1"/>
  <c r="D27" i="77"/>
  <c r="J13" i="78"/>
  <c r="J17" i="78" s="1"/>
  <c r="J27" i="78" s="1"/>
  <c r="D27" i="78"/>
  <c r="J9" i="78"/>
  <c r="J26" i="78" s="1"/>
  <c r="J13" i="79"/>
  <c r="J17" i="79" s="1"/>
  <c r="J27" i="79" s="1"/>
  <c r="J30" i="79" s="1"/>
  <c r="J35" i="79" s="1"/>
  <c r="D27" i="79"/>
  <c r="D27" i="81"/>
  <c r="O9" i="81"/>
  <c r="O26" i="81" s="1"/>
  <c r="O30" i="81" s="1"/>
  <c r="O35" i="81" s="1"/>
  <c r="J13" i="81"/>
  <c r="J17" i="81" s="1"/>
  <c r="J27" i="81" s="1"/>
  <c r="J9" i="81"/>
  <c r="J26" i="81" s="1"/>
  <c r="D29" i="62"/>
  <c r="D34" i="62" s="1"/>
  <c r="N11" i="62" s="1"/>
  <c r="O11" i="62" s="1"/>
  <c r="D28" i="62"/>
  <c r="D15" i="62"/>
  <c r="D34" i="58"/>
  <c r="N11" i="58" s="1"/>
  <c r="O11" i="58" s="1"/>
  <c r="D28" i="58"/>
  <c r="D15" i="58"/>
  <c r="D30" i="56"/>
  <c r="D35" i="56" s="1"/>
  <c r="D24" i="54"/>
  <c r="O35" i="56"/>
  <c r="O37" i="56" s="1"/>
  <c r="J35" i="56"/>
  <c r="J37" i="56" s="1"/>
  <c r="D37" i="56" s="1"/>
  <c r="D11" i="54"/>
  <c r="C22" i="53"/>
  <c r="F14" i="1" s="1"/>
  <c r="D24" i="46"/>
  <c r="O35" i="48"/>
  <c r="O37" i="48" s="1"/>
  <c r="D15" i="46"/>
  <c r="P35" i="40"/>
  <c r="P37" i="40" s="1"/>
  <c r="D24" i="38"/>
  <c r="D11" i="38"/>
  <c r="J35" i="40"/>
  <c r="J37" i="40" s="1"/>
  <c r="E11" i="1"/>
  <c r="O35" i="36"/>
  <c r="D23" i="34"/>
  <c r="C22" i="33"/>
  <c r="F9" i="1" s="1"/>
  <c r="D27" i="30"/>
  <c r="D26" i="72"/>
  <c r="J9" i="72"/>
  <c r="J26" i="72" s="1"/>
  <c r="J13" i="72"/>
  <c r="J17" i="72" s="1"/>
  <c r="J27" i="72" s="1"/>
  <c r="O9" i="72"/>
  <c r="O26" i="72" s="1"/>
  <c r="O30" i="72" s="1"/>
  <c r="O35" i="72" s="1"/>
  <c r="O37" i="72" s="1"/>
  <c r="D26" i="82"/>
  <c r="D30" i="82" s="1"/>
  <c r="D35" i="82" s="1"/>
  <c r="O30" i="28"/>
  <c r="D20" i="26"/>
  <c r="J30" i="28"/>
  <c r="D5" i="26"/>
  <c r="J13" i="71"/>
  <c r="J17" i="71" s="1"/>
  <c r="J27" i="71" s="1"/>
  <c r="D27" i="71"/>
  <c r="J9" i="70"/>
  <c r="J26" i="70" s="1"/>
  <c r="D26" i="70"/>
  <c r="J9" i="68"/>
  <c r="J26" i="68" s="1"/>
  <c r="J30" i="68" s="1"/>
  <c r="J35" i="68" s="1"/>
  <c r="J37" i="68" s="1"/>
  <c r="D27" i="68"/>
  <c r="D9" i="68"/>
  <c r="D26" i="68" s="1"/>
  <c r="D13" i="70"/>
  <c r="D17" i="70" s="1"/>
  <c r="O9" i="24"/>
  <c r="O26" i="24" s="1"/>
  <c r="O30" i="24" s="1"/>
  <c r="O35" i="24" s="1"/>
  <c r="O37" i="24" s="1"/>
  <c r="D5" i="22"/>
  <c r="D9" i="24"/>
  <c r="J13" i="70"/>
  <c r="J17" i="70" s="1"/>
  <c r="J27" i="70" s="1"/>
  <c r="O13" i="78"/>
  <c r="O17" i="78" s="1"/>
  <c r="O27" i="78" s="1"/>
  <c r="O30" i="78" s="1"/>
  <c r="O35" i="78" s="1"/>
  <c r="O37" i="78" s="1"/>
  <c r="G6" i="50"/>
  <c r="D9" i="81"/>
  <c r="D9" i="80"/>
  <c r="J30" i="80"/>
  <c r="J35" i="80" s="1"/>
  <c r="D9" i="79"/>
  <c r="D9" i="78"/>
  <c r="J13" i="77"/>
  <c r="J17" i="77" s="1"/>
  <c r="J27" i="77" s="1"/>
  <c r="E13" i="1"/>
  <c r="P9" i="75"/>
  <c r="P26" i="75" s="1"/>
  <c r="P30" i="75" s="1"/>
  <c r="P35" i="75" s="1"/>
  <c r="E10" i="1"/>
  <c r="C2" i="37"/>
  <c r="C10" i="1" s="1"/>
  <c r="D9" i="74"/>
  <c r="D26" i="74" s="1"/>
  <c r="C2" i="33"/>
  <c r="C9" i="1" s="1"/>
  <c r="C2" i="29"/>
  <c r="C8" i="1" s="1"/>
  <c r="O9" i="73"/>
  <c r="O26" i="73" s="1"/>
  <c r="O30" i="73" s="1"/>
  <c r="O35" i="73" s="1"/>
  <c r="E7" i="1"/>
  <c r="D13" i="72"/>
  <c r="D17" i="72" s="1"/>
  <c r="D27" i="72" s="1"/>
  <c r="E6" i="1"/>
  <c r="C2" i="21"/>
  <c r="C6" i="1" s="1"/>
  <c r="J9" i="71"/>
  <c r="J26" i="71" s="1"/>
  <c r="D9" i="71"/>
  <c r="O9" i="20"/>
  <c r="O26" i="20" s="1"/>
  <c r="J9" i="20"/>
  <c r="J26" i="20" s="1"/>
  <c r="E5" i="1"/>
  <c r="O9" i="16"/>
  <c r="O26" i="16" s="1"/>
  <c r="J9" i="16"/>
  <c r="J26" i="16" s="1"/>
  <c r="D9" i="16"/>
  <c r="O9" i="69"/>
  <c r="O26" i="69" s="1"/>
  <c r="O30" i="69" s="1"/>
  <c r="O35" i="69" s="1"/>
  <c r="O37" i="69" s="1"/>
  <c r="D13" i="69"/>
  <c r="D17" i="69" s="1"/>
  <c r="O9" i="12"/>
  <c r="O26" i="12" s="1"/>
  <c r="E3" i="1"/>
  <c r="C2" i="9"/>
  <c r="C3" i="1" s="1"/>
  <c r="J13" i="68"/>
  <c r="O30" i="68"/>
  <c r="O35" i="68" s="1"/>
  <c r="O37" i="68" s="1"/>
  <c r="P13" i="67"/>
  <c r="K15" i="67"/>
  <c r="D6" i="10" l="1"/>
  <c r="J30" i="12"/>
  <c r="J35" i="12" s="1"/>
  <c r="D37" i="48"/>
  <c r="C22" i="49" s="1"/>
  <c r="F13" i="1" s="1"/>
  <c r="O37" i="36"/>
  <c r="R10" i="50"/>
  <c r="N9" i="34"/>
  <c r="M10" i="34"/>
  <c r="N10" i="30"/>
  <c r="D37" i="68"/>
  <c r="Q13" i="50"/>
  <c r="R9" i="50"/>
  <c r="P13" i="50"/>
  <c r="J30" i="81"/>
  <c r="J35" i="81" s="1"/>
  <c r="J37" i="81" s="1"/>
  <c r="D26" i="80"/>
  <c r="D30" i="80" s="1"/>
  <c r="D35" i="80" s="1"/>
  <c r="D26" i="79"/>
  <c r="D30" i="79" s="1"/>
  <c r="D35" i="79" s="1"/>
  <c r="D27" i="52"/>
  <c r="D26" i="52"/>
  <c r="J30" i="74"/>
  <c r="J35" i="74" s="1"/>
  <c r="J30" i="72"/>
  <c r="J35" i="72" s="1"/>
  <c r="J37" i="72" s="1"/>
  <c r="D37" i="72" s="1"/>
  <c r="J30" i="71"/>
  <c r="J35" i="71" s="1"/>
  <c r="J37" i="71" s="1"/>
  <c r="D37" i="71" s="1"/>
  <c r="D26" i="16"/>
  <c r="D30" i="16" s="1"/>
  <c r="D35" i="16" s="1"/>
  <c r="D27" i="12"/>
  <c r="D30" i="12" s="1"/>
  <c r="D35" i="12" s="1"/>
  <c r="D30" i="68"/>
  <c r="D35" i="68" s="1"/>
  <c r="D26" i="81"/>
  <c r="D30" i="81" s="1"/>
  <c r="D35" i="81" s="1"/>
  <c r="D26" i="78"/>
  <c r="D30" i="78" s="1"/>
  <c r="D35" i="78" s="1"/>
  <c r="J30" i="78"/>
  <c r="J35" i="78" s="1"/>
  <c r="J37" i="78" s="1"/>
  <c r="D37" i="78" s="1"/>
  <c r="J30" i="75"/>
  <c r="J35" i="75" s="1"/>
  <c r="O37" i="80"/>
  <c r="J37" i="80"/>
  <c r="D27" i="8"/>
  <c r="D30" i="8" s="1"/>
  <c r="D35" i="8" s="1"/>
  <c r="D5" i="6"/>
  <c r="J30" i="8"/>
  <c r="D23" i="6"/>
  <c r="O35" i="8"/>
  <c r="D27" i="20"/>
  <c r="D30" i="20" s="1"/>
  <c r="D35" i="20" s="1"/>
  <c r="D30" i="72"/>
  <c r="D35" i="72" s="1"/>
  <c r="D26" i="24"/>
  <c r="D30" i="24" s="1"/>
  <c r="D35" i="24" s="1"/>
  <c r="D30" i="74"/>
  <c r="D35" i="74" s="1"/>
  <c r="D26" i="75"/>
  <c r="D27" i="75"/>
  <c r="D37" i="40"/>
  <c r="C22" i="41" s="1"/>
  <c r="D26" i="76"/>
  <c r="D30" i="76" s="1"/>
  <c r="D35" i="76" s="1"/>
  <c r="J37" i="44"/>
  <c r="D15" i="42"/>
  <c r="O37" i="44"/>
  <c r="D29" i="42" s="1"/>
  <c r="D47" i="42" s="1"/>
  <c r="D28" i="42"/>
  <c r="D26" i="77"/>
  <c r="D30" i="77" s="1"/>
  <c r="D35" i="77" s="1"/>
  <c r="J30" i="77"/>
  <c r="J35" i="77" s="1"/>
  <c r="J37" i="77" s="1"/>
  <c r="D37" i="77" s="1"/>
  <c r="O37" i="81"/>
  <c r="D37" i="64"/>
  <c r="C22" i="65" s="1"/>
  <c r="F17" i="1" s="1"/>
  <c r="D16" i="62"/>
  <c r="D33" i="62" s="1"/>
  <c r="D37" i="60"/>
  <c r="C22" i="61" s="1"/>
  <c r="F16" i="1" s="1"/>
  <c r="D16" i="58"/>
  <c r="D33" i="58" s="1"/>
  <c r="D29" i="54"/>
  <c r="D47" i="54" s="1"/>
  <c r="D28" i="54"/>
  <c r="O37" i="79" s="1"/>
  <c r="D15" i="54"/>
  <c r="D29" i="46"/>
  <c r="D47" i="46" s="1"/>
  <c r="D28" i="46"/>
  <c r="O37" i="77" s="1"/>
  <c r="D16" i="46"/>
  <c r="D46" i="46" s="1"/>
  <c r="D49" i="46" s="1"/>
  <c r="D28" i="38"/>
  <c r="D15" i="38"/>
  <c r="D27" i="34"/>
  <c r="O30" i="20"/>
  <c r="D19" i="18"/>
  <c r="O35" i="28"/>
  <c r="O37" i="28" s="1"/>
  <c r="D23" i="26"/>
  <c r="O30" i="16"/>
  <c r="D18" i="14"/>
  <c r="O30" i="12"/>
  <c r="D19" i="10"/>
  <c r="J35" i="28"/>
  <c r="J37" i="28" s="1"/>
  <c r="D37" i="28" s="1"/>
  <c r="D10" i="26"/>
  <c r="J30" i="20"/>
  <c r="D5" i="18"/>
  <c r="D26" i="71"/>
  <c r="D30" i="71" s="1"/>
  <c r="D35" i="71" s="1"/>
  <c r="D27" i="70"/>
  <c r="D30" i="70" s="1"/>
  <c r="D35" i="70" s="1"/>
  <c r="J30" i="16"/>
  <c r="D5" i="14"/>
  <c r="J30" i="70"/>
  <c r="J35" i="70" s="1"/>
  <c r="J37" i="70" s="1"/>
  <c r="D37" i="70" s="1"/>
  <c r="D19" i="22"/>
  <c r="D23" i="22"/>
  <c r="J35" i="24"/>
  <c r="J37" i="24" s="1"/>
  <c r="D5" i="10"/>
  <c r="R13" i="50" l="1"/>
  <c r="D37" i="44"/>
  <c r="D37" i="36"/>
  <c r="C22" i="37" s="1"/>
  <c r="F10" i="1" s="1"/>
  <c r="D28" i="34"/>
  <c r="D46" i="34" s="1"/>
  <c r="N10" i="62"/>
  <c r="M12" i="58"/>
  <c r="N10" i="58"/>
  <c r="D35" i="58"/>
  <c r="L13" i="34"/>
  <c r="N10" i="34"/>
  <c r="N11" i="54"/>
  <c r="O11" i="54" s="1"/>
  <c r="N11" i="46"/>
  <c r="O11" i="46" s="1"/>
  <c r="N10" i="46"/>
  <c r="N11" i="42"/>
  <c r="O11" i="42" s="1"/>
  <c r="D30" i="52"/>
  <c r="D35" i="52" s="1"/>
  <c r="D37" i="81"/>
  <c r="D37" i="80"/>
  <c r="O9" i="58"/>
  <c r="O9" i="46"/>
  <c r="D10" i="6"/>
  <c r="J35" i="8"/>
  <c r="O37" i="8"/>
  <c r="D28" i="6" s="1"/>
  <c r="D27" i="6"/>
  <c r="D33" i="6" s="1"/>
  <c r="D30" i="75"/>
  <c r="D35" i="75" s="1"/>
  <c r="C22" i="45"/>
  <c r="F12" i="1" s="1"/>
  <c r="D16" i="42"/>
  <c r="D46" i="42" s="1"/>
  <c r="D49" i="42" s="1"/>
  <c r="D35" i="62"/>
  <c r="C22" i="57"/>
  <c r="F15" i="1" s="1"/>
  <c r="D16" i="54"/>
  <c r="D46" i="54" s="1"/>
  <c r="D49" i="54" s="1"/>
  <c r="D16" i="38"/>
  <c r="O37" i="74"/>
  <c r="D28" i="26"/>
  <c r="D27" i="26"/>
  <c r="O35" i="20"/>
  <c r="O37" i="20" s="1"/>
  <c r="D23" i="18"/>
  <c r="O35" i="16"/>
  <c r="D22" i="14"/>
  <c r="O35" i="12"/>
  <c r="O37" i="12" s="1"/>
  <c r="D23" i="10"/>
  <c r="D14" i="26"/>
  <c r="D9" i="18"/>
  <c r="J35" i="20"/>
  <c r="J37" i="20" s="1"/>
  <c r="J35" i="16"/>
  <c r="D9" i="14"/>
  <c r="D28" i="22"/>
  <c r="D33" i="22" s="1"/>
  <c r="D27" i="22"/>
  <c r="D9" i="22"/>
  <c r="D14" i="22"/>
  <c r="J37" i="12"/>
  <c r="D10" i="10"/>
  <c r="C19" i="5"/>
  <c r="C18" i="5"/>
  <c r="C11" i="5"/>
  <c r="D2" i="1" s="1"/>
  <c r="C5" i="5"/>
  <c r="P35" i="4"/>
  <c r="P34" i="4"/>
  <c r="P29" i="4"/>
  <c r="P24" i="4"/>
  <c r="P22" i="4"/>
  <c r="P21" i="4"/>
  <c r="P17" i="4"/>
  <c r="P16" i="4"/>
  <c r="P15" i="4"/>
  <c r="P9" i="4"/>
  <c r="P8" i="4"/>
  <c r="K35" i="4"/>
  <c r="K34" i="4"/>
  <c r="K8" i="4"/>
  <c r="K30" i="4"/>
  <c r="E9" i="2" s="1"/>
  <c r="K29" i="4"/>
  <c r="E8" i="2" s="1"/>
  <c r="K24" i="4"/>
  <c r="K22" i="4"/>
  <c r="K21" i="4"/>
  <c r="K17" i="4"/>
  <c r="K16" i="4"/>
  <c r="K15" i="4"/>
  <c r="K7" i="4"/>
  <c r="K13" i="4"/>
  <c r="P13" i="4"/>
  <c r="P5" i="4"/>
  <c r="K5" i="4"/>
  <c r="E15" i="4"/>
  <c r="E13" i="4"/>
  <c r="E25" i="2"/>
  <c r="E12" i="2"/>
  <c r="E26" i="2"/>
  <c r="E22" i="2"/>
  <c r="E13" i="2"/>
  <c r="E20" i="3"/>
  <c r="B19" i="3"/>
  <c r="C19" i="3" s="1"/>
  <c r="O17" i="1"/>
  <c r="N17" i="1"/>
  <c r="M17" i="1"/>
  <c r="L17" i="1"/>
  <c r="O16" i="1"/>
  <c r="N16" i="1"/>
  <c r="M16" i="1"/>
  <c r="L16" i="1"/>
  <c r="O15" i="1"/>
  <c r="N15" i="1"/>
  <c r="M15" i="1"/>
  <c r="L15" i="1"/>
  <c r="O14" i="1"/>
  <c r="N14" i="1"/>
  <c r="M14" i="1"/>
  <c r="L14" i="1"/>
  <c r="O13" i="1"/>
  <c r="N13" i="1"/>
  <c r="M13" i="1"/>
  <c r="L13" i="1"/>
  <c r="O12" i="1"/>
  <c r="N12" i="1"/>
  <c r="M12" i="1"/>
  <c r="L12" i="1"/>
  <c r="O11" i="1"/>
  <c r="N11" i="1"/>
  <c r="M11" i="1"/>
  <c r="L11" i="1"/>
  <c r="O10" i="1"/>
  <c r="N10" i="1"/>
  <c r="M10" i="1"/>
  <c r="L10" i="1"/>
  <c r="O9" i="1"/>
  <c r="N9" i="1"/>
  <c r="M9" i="1"/>
  <c r="L9" i="1"/>
  <c r="O8" i="1"/>
  <c r="N8" i="1"/>
  <c r="M8" i="1"/>
  <c r="L8" i="1"/>
  <c r="O7" i="1"/>
  <c r="N7" i="1"/>
  <c r="L7" i="1"/>
  <c r="O6" i="1"/>
  <c r="N6" i="1"/>
  <c r="M6" i="1"/>
  <c r="L6" i="1"/>
  <c r="O5" i="1"/>
  <c r="N5" i="1"/>
  <c r="M5" i="1"/>
  <c r="L5" i="1"/>
  <c r="O4" i="1"/>
  <c r="N4" i="1"/>
  <c r="M4" i="1"/>
  <c r="L4" i="1"/>
  <c r="K4" i="1"/>
  <c r="O3" i="1"/>
  <c r="N3" i="1"/>
  <c r="M3" i="1"/>
  <c r="L3" i="1"/>
  <c r="O2" i="1"/>
  <c r="N2" i="1"/>
  <c r="C3" i="5" l="1"/>
  <c r="C2" i="5" s="1"/>
  <c r="C2" i="1" s="1"/>
  <c r="C4" i="5"/>
  <c r="M11" i="34"/>
  <c r="D48" i="34"/>
  <c r="B23" i="3"/>
  <c r="N12" i="62"/>
  <c r="O10" i="62"/>
  <c r="M12" i="62"/>
  <c r="O12" i="62" s="1"/>
  <c r="O9" i="62"/>
  <c r="O10" i="58"/>
  <c r="O12" i="58" s="1"/>
  <c r="N12" i="58"/>
  <c r="M13" i="54"/>
  <c r="N10" i="54"/>
  <c r="N13" i="54" s="1"/>
  <c r="N13" i="46"/>
  <c r="O10" i="46"/>
  <c r="M13" i="46"/>
  <c r="N10" i="42"/>
  <c r="O10" i="42" s="1"/>
  <c r="D46" i="26"/>
  <c r="M11" i="26"/>
  <c r="N11" i="26" s="1"/>
  <c r="N12" i="22"/>
  <c r="N12" i="6"/>
  <c r="O9" i="54"/>
  <c r="F19" i="3"/>
  <c r="B21" i="3"/>
  <c r="E2" i="1"/>
  <c r="E19" i="1" s="1"/>
  <c r="M11" i="3"/>
  <c r="M6" i="3"/>
  <c r="M14" i="3"/>
  <c r="M3" i="3"/>
  <c r="M2" i="3"/>
  <c r="M12" i="3"/>
  <c r="M10" i="3"/>
  <c r="M4" i="3"/>
  <c r="M13" i="3"/>
  <c r="M5" i="3"/>
  <c r="E19" i="3"/>
  <c r="J37" i="8"/>
  <c r="D14" i="6"/>
  <c r="D32" i="6" s="1"/>
  <c r="D26" i="14"/>
  <c r="O37" i="16"/>
  <c r="D27" i="14" s="1"/>
  <c r="D32" i="14" s="1"/>
  <c r="L13" i="22"/>
  <c r="O9" i="22"/>
  <c r="O12" i="42"/>
  <c r="O8" i="46"/>
  <c r="D28" i="18"/>
  <c r="D33" i="18" s="1"/>
  <c r="D27" i="18"/>
  <c r="O37" i="73"/>
  <c r="D27" i="10"/>
  <c r="D28" i="10"/>
  <c r="D33" i="10" s="1"/>
  <c r="J37" i="73"/>
  <c r="D15" i="26"/>
  <c r="C22" i="29"/>
  <c r="F8" i="1" s="1"/>
  <c r="D14" i="18"/>
  <c r="D13" i="14"/>
  <c r="J37" i="16"/>
  <c r="K9" i="1"/>
  <c r="K6" i="1"/>
  <c r="C21" i="23"/>
  <c r="K7" i="1" s="1"/>
  <c r="C21" i="15"/>
  <c r="K5" i="1" s="1"/>
  <c r="C21" i="63"/>
  <c r="C21" i="59"/>
  <c r="K12" i="1"/>
  <c r="D37" i="24"/>
  <c r="D15" i="22"/>
  <c r="D32" i="22" s="1"/>
  <c r="N11" i="22" s="1"/>
  <c r="D14" i="10"/>
  <c r="K3" i="1"/>
  <c r="O20" i="1"/>
  <c r="N19" i="1"/>
  <c r="N20" i="1"/>
  <c r="O19" i="1"/>
  <c r="O13" i="46" l="1"/>
  <c r="N11" i="34"/>
  <c r="M13" i="34"/>
  <c r="N13" i="34" s="1"/>
  <c r="N11" i="6"/>
  <c r="E20" i="1"/>
  <c r="O13" i="54"/>
  <c r="O10" i="54"/>
  <c r="N13" i="42"/>
  <c r="M13" i="42"/>
  <c r="O13" i="42" s="1"/>
  <c r="O9" i="42"/>
  <c r="D45" i="26"/>
  <c r="M10" i="26"/>
  <c r="M13" i="26" s="1"/>
  <c r="N13" i="22"/>
  <c r="O12" i="22"/>
  <c r="O11" i="22"/>
  <c r="M13" i="22"/>
  <c r="N12" i="18"/>
  <c r="N12" i="14"/>
  <c r="N12" i="10"/>
  <c r="O12" i="6"/>
  <c r="M13" i="6"/>
  <c r="D34" i="22"/>
  <c r="O10" i="22"/>
  <c r="O10" i="6"/>
  <c r="K11" i="1"/>
  <c r="K2" i="1"/>
  <c r="K5" i="3"/>
  <c r="O5" i="3" s="1"/>
  <c r="K13" i="3"/>
  <c r="O13" i="3" s="1"/>
  <c r="K11" i="3"/>
  <c r="O11" i="3" s="1"/>
  <c r="K6" i="3"/>
  <c r="O6" i="3" s="1"/>
  <c r="K14" i="3"/>
  <c r="O14" i="3" s="1"/>
  <c r="K3" i="3"/>
  <c r="O3" i="3" s="1"/>
  <c r="K2" i="3"/>
  <c r="K12" i="3"/>
  <c r="K10" i="3"/>
  <c r="K4" i="3"/>
  <c r="O4" i="3" s="1"/>
  <c r="N15" i="3"/>
  <c r="P6" i="67" s="1"/>
  <c r="N7" i="3"/>
  <c r="P6" i="4" s="1"/>
  <c r="D34" i="6"/>
  <c r="D37" i="8"/>
  <c r="C22" i="9" s="1"/>
  <c r="F3" i="1" s="1"/>
  <c r="D15" i="6"/>
  <c r="N8" i="26"/>
  <c r="C22" i="25"/>
  <c r="F7" i="1" s="1"/>
  <c r="D15" i="18"/>
  <c r="D32" i="18" s="1"/>
  <c r="N11" i="18" s="1"/>
  <c r="D37" i="20"/>
  <c r="C22" i="21" s="1"/>
  <c r="F6" i="1" s="1"/>
  <c r="D14" i="14"/>
  <c r="D31" i="14" s="1"/>
  <c r="D37" i="16"/>
  <c r="C22" i="17" s="1"/>
  <c r="F5" i="1" s="1"/>
  <c r="K10" i="1"/>
  <c r="K14" i="1"/>
  <c r="K8" i="1"/>
  <c r="K17" i="1"/>
  <c r="K13" i="1"/>
  <c r="K16" i="1"/>
  <c r="D15" i="10"/>
  <c r="D37" i="12"/>
  <c r="C22" i="13" s="1"/>
  <c r="F4" i="1" s="1"/>
  <c r="N10" i="26" l="1"/>
  <c r="O13" i="22"/>
  <c r="D32" i="10"/>
  <c r="N11" i="10" s="1"/>
  <c r="O11" i="6"/>
  <c r="N13" i="6"/>
  <c r="O13" i="6"/>
  <c r="N11" i="14"/>
  <c r="D49" i="26"/>
  <c r="N13" i="18"/>
  <c r="O12" i="18"/>
  <c r="M13" i="18"/>
  <c r="O11" i="18"/>
  <c r="N13" i="14"/>
  <c r="O12" i="14"/>
  <c r="M13" i="14"/>
  <c r="O11" i="14"/>
  <c r="O12" i="10"/>
  <c r="M13" i="10"/>
  <c r="D34" i="18"/>
  <c r="O10" i="18"/>
  <c r="O10" i="14"/>
  <c r="O10" i="10"/>
  <c r="P14" i="67"/>
  <c r="P18" i="67" s="1"/>
  <c r="P28" i="67" s="1"/>
  <c r="P10" i="67"/>
  <c r="P27" i="67" s="1"/>
  <c r="L15" i="3"/>
  <c r="K6" i="67" s="1"/>
  <c r="L7" i="3"/>
  <c r="K6" i="4" s="1"/>
  <c r="O2" i="3"/>
  <c r="O7" i="3" s="1"/>
  <c r="P14" i="4"/>
  <c r="P18" i="4" s="1"/>
  <c r="P10" i="4"/>
  <c r="P27" i="4" s="1"/>
  <c r="O10" i="3"/>
  <c r="O9" i="18"/>
  <c r="D33" i="14"/>
  <c r="K20" i="1"/>
  <c r="J20" i="1"/>
  <c r="J19" i="1"/>
  <c r="D34" i="10" l="1"/>
  <c r="N13" i="10"/>
  <c r="O11" i="10"/>
  <c r="O13" i="10" s="1"/>
  <c r="O13" i="18"/>
  <c r="O13" i="14"/>
  <c r="L13" i="26"/>
  <c r="N13" i="26" s="1"/>
  <c r="N9" i="26"/>
  <c r="P31" i="67"/>
  <c r="P36" i="67" s="1"/>
  <c r="P38" i="67" s="1"/>
  <c r="K10" i="67"/>
  <c r="K27" i="67" s="1"/>
  <c r="K14" i="67"/>
  <c r="K18" i="67" s="1"/>
  <c r="K28" i="67" s="1"/>
  <c r="O12" i="3"/>
  <c r="O15" i="3" s="1"/>
  <c r="E19" i="2"/>
  <c r="P28" i="4"/>
  <c r="P31" i="4" s="1"/>
  <c r="G2" i="1"/>
  <c r="E6" i="4"/>
  <c r="L2" i="1"/>
  <c r="K10" i="4"/>
  <c r="K27" i="4" s="1"/>
  <c r="K14" i="4"/>
  <c r="K18" i="4" s="1"/>
  <c r="K28" i="4" s="1"/>
  <c r="E7" i="2" s="1"/>
  <c r="O9" i="14"/>
  <c r="O9" i="10"/>
  <c r="P36" i="4" l="1"/>
  <c r="E23" i="2"/>
  <c r="L19" i="1"/>
  <c r="L20" i="1"/>
  <c r="E10" i="4"/>
  <c r="E14" i="4"/>
  <c r="E18" i="4" s="1"/>
  <c r="K31" i="67"/>
  <c r="K36" i="67" s="1"/>
  <c r="E6" i="67"/>
  <c r="M2" i="1"/>
  <c r="E20" i="2"/>
  <c r="K31" i="4"/>
  <c r="E6" i="2"/>
  <c r="K38" i="67" l="1"/>
  <c r="E38" i="67"/>
  <c r="E10" i="67"/>
  <c r="E14" i="67"/>
  <c r="E18" i="67" s="1"/>
  <c r="K36" i="4"/>
  <c r="E10" i="2"/>
  <c r="M19" i="1"/>
  <c r="M20" i="1"/>
  <c r="P38" i="4"/>
  <c r="E28" i="2" s="1"/>
  <c r="E33" i="2" s="1"/>
  <c r="O13" i="2" s="1"/>
  <c r="P13" i="2" s="1"/>
  <c r="E27" i="2"/>
  <c r="E27" i="4"/>
  <c r="E27" i="67" l="1"/>
  <c r="E28" i="4"/>
  <c r="E31" i="4" s="1"/>
  <c r="E36" i="4" s="1"/>
  <c r="K38" i="4"/>
  <c r="E14" i="2"/>
  <c r="E28" i="67"/>
  <c r="G20" i="50"/>
  <c r="G21" i="50"/>
  <c r="E31" i="67" l="1"/>
  <c r="E36" i="67" s="1"/>
  <c r="E38" i="4"/>
  <c r="C22" i="5" s="1"/>
  <c r="F2" i="1" s="1"/>
  <c r="E15" i="2"/>
  <c r="E32" i="2" s="1"/>
  <c r="G11" i="50"/>
  <c r="G5" i="50"/>
  <c r="G24" i="50"/>
  <c r="J37" i="82"/>
  <c r="O12" i="2" l="1"/>
  <c r="N14" i="2"/>
  <c r="P11" i="2"/>
  <c r="M14" i="2"/>
  <c r="E34" i="2"/>
  <c r="D14" i="30"/>
  <c r="P12" i="2" l="1"/>
  <c r="P14" i="2" s="1"/>
  <c r="O14" i="2"/>
  <c r="N13" i="30"/>
  <c r="D14" i="34" l="1"/>
  <c r="J37" i="74" l="1"/>
  <c r="D33" i="38" l="1"/>
  <c r="J37" i="75"/>
  <c r="P37" i="75"/>
  <c r="M12" i="38" l="1"/>
  <c r="N10" i="38"/>
  <c r="O9" i="38"/>
  <c r="D37" i="75"/>
  <c r="D29" i="38"/>
  <c r="D34" i="38" s="1"/>
  <c r="N11" i="38" s="1"/>
  <c r="O11" i="38" s="1"/>
  <c r="N12" i="38" l="1"/>
  <c r="O12" i="38" s="1"/>
  <c r="O10" i="38"/>
  <c r="D35" i="38"/>
  <c r="F11" i="1" l="1"/>
  <c r="F19" i="1" l="1"/>
  <c r="F20" i="1"/>
  <c r="J37" i="79"/>
  <c r="D37" i="79" s="1"/>
  <c r="J5" i="69" l="1"/>
  <c r="J13" i="69" s="1"/>
  <c r="J17" i="69" s="1"/>
  <c r="J27" i="69" s="1"/>
  <c r="D27" i="69"/>
  <c r="J9" i="69" l="1"/>
  <c r="J26" i="69" s="1"/>
  <c r="J30" i="69" s="1"/>
  <c r="J35" i="69" s="1"/>
  <c r="J37" i="69" s="1"/>
  <c r="D37" i="69" s="1"/>
  <c r="D26" i="69"/>
  <c r="D30" i="69" s="1"/>
  <c r="D35" i="69" s="1"/>
</calcChain>
</file>

<file path=xl/sharedStrings.xml><?xml version="1.0" encoding="utf-8"?>
<sst xmlns="http://schemas.openxmlformats.org/spreadsheetml/2006/main" count="13039" uniqueCount="538">
  <si>
    <t>GS ID</t>
  </si>
  <si>
    <t>VPA ID</t>
  </si>
  <si>
    <t>SDG 3</t>
  </si>
  <si>
    <t>SDG 5</t>
  </si>
  <si>
    <t>SDG 6</t>
  </si>
  <si>
    <t>SDG 13</t>
  </si>
  <si>
    <t>PTDs</t>
  </si>
  <si>
    <t>Down Days</t>
  </si>
  <si>
    <t>Down Days (%)</t>
  </si>
  <si>
    <t>Capped PTDs</t>
  </si>
  <si>
    <t>Uncapped PTDs</t>
  </si>
  <si>
    <t>Capped People</t>
  </si>
  <si>
    <t>Uncapped People</t>
  </si>
  <si>
    <t>Total</t>
  </si>
  <si>
    <t>Average</t>
  </si>
  <si>
    <t>Emission Reductions - 01/06/2022 - 20/10/2023</t>
  </si>
  <si>
    <t>ERs_by Vintage</t>
  </si>
  <si>
    <t>2022 Emission Reductions</t>
  </si>
  <si>
    <t>Emission Reductions by Vintage-Capped</t>
  </si>
  <si>
    <t>Emissions Reductions</t>
  </si>
  <si>
    <t>Year</t>
  </si>
  <si>
    <t>MP1</t>
  </si>
  <si>
    <t>MP2</t>
  </si>
  <si>
    <t>MP3</t>
  </si>
  <si>
    <t>MP4</t>
  </si>
  <si>
    <t>MP5</t>
  </si>
  <si>
    <t>MP6</t>
  </si>
  <si>
    <t>Capped Ers</t>
  </si>
  <si>
    <t>Baseline emissions per year</t>
  </si>
  <si>
    <t>BEb,y</t>
  </si>
  <si>
    <t>tCO2/y</t>
  </si>
  <si>
    <t>Project emissions per year</t>
  </si>
  <si>
    <t>PEp,y</t>
  </si>
  <si>
    <t>Usage rate</t>
  </si>
  <si>
    <t>Up,y</t>
  </si>
  <si>
    <t>fraction</t>
  </si>
  <si>
    <t>Leakage</t>
  </si>
  <si>
    <t>LEp,y</t>
  </si>
  <si>
    <t>Emission Reductions</t>
  </si>
  <si>
    <t>Ery</t>
  </si>
  <si>
    <t>Suppressed Demand Assessment</t>
  </si>
  <si>
    <t>Percentage of suppressed demand users</t>
  </si>
  <si>
    <t>Xboil</t>
  </si>
  <si>
    <r>
      <t xml:space="preserve">Percentage of </t>
    </r>
    <r>
      <rPr>
        <b/>
        <u/>
        <sz val="11"/>
        <color rgb="FF000000"/>
        <rFont val="Calibri"/>
        <family val="2"/>
        <scheme val="minor"/>
      </rPr>
      <t>non</t>
    </r>
    <r>
      <rPr>
        <sz val="11"/>
        <color rgb="FF000000"/>
        <rFont val="Calibri"/>
        <family val="2"/>
        <scheme val="minor"/>
      </rPr>
      <t xml:space="preserve">-suppressed demand users </t>
    </r>
  </si>
  <si>
    <t>Percentage</t>
  </si>
  <si>
    <t xml:space="preserve">Capped Emissions Reductions </t>
  </si>
  <si>
    <t>2023 Emission Reductions</t>
  </si>
  <si>
    <t>Total ERs for MP6</t>
  </si>
  <si>
    <t>Emission Reductions claimed for MP5</t>
  </si>
  <si>
    <t>Borehole ID</t>
  </si>
  <si>
    <t>Village</t>
  </si>
  <si>
    <t>Latitude</t>
  </si>
  <si>
    <t>Longitude</t>
  </si>
  <si>
    <t>No. HHs</t>
  </si>
  <si>
    <t>No. People</t>
  </si>
  <si>
    <t>Net crediting days 2022</t>
  </si>
  <si>
    <t>2022 PTDs</t>
  </si>
  <si>
    <t>Net crediting days 2023</t>
  </si>
  <si>
    <t>2023 PTDs</t>
  </si>
  <si>
    <t>Total PTD</t>
  </si>
  <si>
    <t>GS5038</t>
  </si>
  <si>
    <t>ZD037</t>
  </si>
  <si>
    <t>Adiembahsea</t>
  </si>
  <si>
    <t>14.60234</t>
  </si>
  <si>
    <t>ZD050</t>
  </si>
  <si>
    <t>Adiferas-Maygoduf</t>
  </si>
  <si>
    <t>14.73116</t>
  </si>
  <si>
    <t>ZD103</t>
  </si>
  <si>
    <t>Adideraghudi</t>
  </si>
  <si>
    <t>14.52234</t>
  </si>
  <si>
    <t>ZD114</t>
  </si>
  <si>
    <t>Adenfi</t>
  </si>
  <si>
    <t>14.63129</t>
  </si>
  <si>
    <t>ZD138</t>
  </si>
  <si>
    <t>Adiraghenay</t>
  </si>
  <si>
    <t>Capped Users</t>
  </si>
  <si>
    <t>Dates</t>
  </si>
  <si>
    <t>MP6 Start</t>
  </si>
  <si>
    <t>MP6 End</t>
  </si>
  <si>
    <t>2022 End</t>
  </si>
  <si>
    <t>Uncapped Users</t>
  </si>
  <si>
    <t>MP6 Crediting Days</t>
  </si>
  <si>
    <t>Average credits at 10,000 cap</t>
  </si>
  <si>
    <t>Functionality Cap</t>
  </si>
  <si>
    <t>Net Crediting Days per BH with 95% cap</t>
  </si>
  <si>
    <t>Total potential MP4 days per BH</t>
  </si>
  <si>
    <t>2022 crediting days</t>
  </si>
  <si>
    <t>2023 crediting days</t>
  </si>
  <si>
    <t>Total crediting days</t>
  </si>
  <si>
    <t>MP Downdays %</t>
  </si>
  <si>
    <t>Total Emission Reductions</t>
  </si>
  <si>
    <t>Baseline Fuel Use (Bby)</t>
  </si>
  <si>
    <t>Source of Data</t>
  </si>
  <si>
    <t>Portion using safe water</t>
  </si>
  <si>
    <t>Cj</t>
  </si>
  <si>
    <t>Baseline survey</t>
  </si>
  <si>
    <t>Person Days</t>
  </si>
  <si>
    <t>Njy</t>
  </si>
  <si>
    <t>PTDs tab (cappped No people * credting days)</t>
  </si>
  <si>
    <t>Fuel to treat  1 litre of water using baseline tech</t>
  </si>
  <si>
    <t>Wb,y</t>
  </si>
  <si>
    <t>T/L</t>
  </si>
  <si>
    <t>Default value</t>
  </si>
  <si>
    <t>Quantity safe water litres consumed in project scenario supplied by project technology</t>
  </si>
  <si>
    <t>Qp,y</t>
  </si>
  <si>
    <t>L/pd</t>
  </si>
  <si>
    <t>10.07 (Cap at 7.5 as per TPDDTEC v1)</t>
  </si>
  <si>
    <t>Quantity of raw water boiled in addition to project technology water</t>
  </si>
  <si>
    <t>Qp, raw, y</t>
  </si>
  <si>
    <t>WCFT</t>
  </si>
  <si>
    <t>Quantity fuel consumed in baseline scenario</t>
  </si>
  <si>
    <t>Bb,y</t>
  </si>
  <si>
    <t>T</t>
  </si>
  <si>
    <t>Project Fuel Use (Pby)</t>
  </si>
  <si>
    <t>Portion of safe users</t>
  </si>
  <si>
    <t xml:space="preserve">PTDs tab (cappped No people * credting days) </t>
  </si>
  <si>
    <t>Fossil fuel required to treat 1 litre for water in project scenario</t>
  </si>
  <si>
    <t xml:space="preserve">Wp,y </t>
  </si>
  <si>
    <t>Quantity of raw water boiled in addition to project tech water</t>
  </si>
  <si>
    <t>Quantity of safe water boiled</t>
  </si>
  <si>
    <t xml:space="preserve">Qp, cleanboil, y </t>
  </si>
  <si>
    <t>Quantity of fuel consumed in project scenario per HH</t>
  </si>
  <si>
    <t>Bp,y</t>
  </si>
  <si>
    <t>Constants</t>
  </si>
  <si>
    <t>NRB</t>
  </si>
  <si>
    <t>Fraction</t>
  </si>
  <si>
    <t>Default</t>
  </si>
  <si>
    <t>Emissions factor fuel (co2)</t>
  </si>
  <si>
    <t>EFb,fuel,co2</t>
  </si>
  <si>
    <t>tCO2/TJ</t>
  </si>
  <si>
    <t>EFb,fuel,co3</t>
  </si>
  <si>
    <t>Emissions factor fuel (non-co2)</t>
  </si>
  <si>
    <t>EFb, fuel, non-co2</t>
  </si>
  <si>
    <t>TCO2/TJ</t>
  </si>
  <si>
    <t>EFb, fuel, non-co3</t>
  </si>
  <si>
    <t>Net calorific value of fuel</t>
  </si>
  <si>
    <t>NCV,b,fuel</t>
  </si>
  <si>
    <t>TJ/T</t>
  </si>
  <si>
    <t>Usage Survey (100 %, capped  at 95%)</t>
  </si>
  <si>
    <t>Assessed every 2 years</t>
  </si>
  <si>
    <t>Emission Reductions Corrected for Suppressed Demand</t>
  </si>
  <si>
    <t>Capped Emission Reductions</t>
  </si>
  <si>
    <t>The Ers have been capped using project technology daily cap based on 10,000 ERs per year</t>
  </si>
  <si>
    <t>PTDs tab (uncappped No people * credting days)</t>
  </si>
  <si>
    <t xml:space="preserve">PTDs tab (uncappped No people * credting days) </t>
  </si>
  <si>
    <t xml:space="preserve">SDG 3: Good Health and Well Being </t>
  </si>
  <si>
    <t>Description</t>
  </si>
  <si>
    <t>HARPy = ((Pb,y - Pp,y)/Pb,y)*Up,y</t>
  </si>
  <si>
    <t>Unit</t>
  </si>
  <si>
    <t>HARPy</t>
  </si>
  <si>
    <t>Total reduction in Household Air Pollution for project activity in year y (%)</t>
  </si>
  <si>
    <t>%</t>
  </si>
  <si>
    <t>Pb,y</t>
  </si>
  <si>
    <t>Quantity of fuel that is consumed in the baseline scenario b during year y (kg/household-day)</t>
  </si>
  <si>
    <t>kg/hh</t>
  </si>
  <si>
    <t>Pp,y</t>
  </si>
  <si>
    <t>Quantity of fuel that is consumed in the project scenario p during year y (kg/household-day)</t>
  </si>
  <si>
    <r>
      <t>W</t>
    </r>
    <r>
      <rPr>
        <sz val="11"/>
        <color rgb="FFFF0000"/>
        <rFont val="Calibri"/>
        <family val="2"/>
        <scheme val="minor"/>
      </rPr>
      <t>b</t>
    </r>
    <r>
      <rPr>
        <sz val="11"/>
        <color rgb="FF000000"/>
        <rFont val="Calibri"/>
        <family val="2"/>
        <scheme val="minor"/>
      </rPr>
      <t>,y</t>
    </r>
  </si>
  <si>
    <t>Quantity of wood fuel or fossil fuel required to boil 1 litre of water using technologies representative of baseline scenario b during year y</t>
  </si>
  <si>
    <t>kg/L</t>
  </si>
  <si>
    <t>Quantity of safe water supplied in the project scenario p during year y, using the “zero or low” emissions’ clean water supply technology</t>
  </si>
  <si>
    <t>Litres</t>
  </si>
  <si>
    <t>WCFT 10.07 (Cap at 7.5 as per TPDDTEC v1)</t>
  </si>
  <si>
    <t>Qp,cleanboil,y</t>
  </si>
  <si>
    <t>Quantity of safe water boiled in the project scenario p during year y, after installation of the project technology</t>
  </si>
  <si>
    <r>
      <t>U</t>
    </r>
    <r>
      <rPr>
        <sz val="11"/>
        <color rgb="FFFF0000"/>
        <rFont val="Calibri"/>
        <family val="2"/>
        <scheme val="minor"/>
      </rPr>
      <t>p</t>
    </r>
    <r>
      <rPr>
        <sz val="11"/>
        <color rgb="FF000000"/>
        <rFont val="Calibri"/>
        <family val="2"/>
        <scheme val="minor"/>
      </rPr>
      <t xml:space="preserve">,y </t>
    </r>
  </si>
  <si>
    <r>
      <t>Usage rate in project scenario p during</t>
    </r>
    <r>
      <rPr>
        <vertAlign val="subscript"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year y</t>
    </r>
  </si>
  <si>
    <t>SDG 5: Gender Equality</t>
  </si>
  <si>
    <t>TRy = Tp,y - Tb,y</t>
  </si>
  <si>
    <t>TRy</t>
  </si>
  <si>
    <t xml:space="preserve">Total time saved by borehole project on average per household per day for project activity in year y </t>
  </si>
  <si>
    <t>hours</t>
  </si>
  <si>
    <r>
      <t>T</t>
    </r>
    <r>
      <rPr>
        <sz val="11"/>
        <color rgb="FFFF0000"/>
        <rFont val="Calibri"/>
        <family val="2"/>
        <scheme val="minor"/>
      </rPr>
      <t>b</t>
    </r>
    <r>
      <rPr>
        <sz val="11"/>
        <color rgb="FF000000"/>
        <rFont val="Calibri"/>
        <family val="2"/>
        <scheme val="minor"/>
      </rPr>
      <t>,y</t>
    </r>
  </si>
  <si>
    <t xml:space="preserve">Baseline time saved by borehole project on average per household per day in year y </t>
  </si>
  <si>
    <t>Baseline Survey</t>
  </si>
  <si>
    <r>
      <t>T</t>
    </r>
    <r>
      <rPr>
        <sz val="11"/>
        <color rgb="FFFF0000"/>
        <rFont val="Calibri"/>
        <family val="2"/>
        <scheme val="minor"/>
      </rPr>
      <t>p</t>
    </r>
    <r>
      <rPr>
        <sz val="11"/>
        <color rgb="FF000000"/>
        <rFont val="Calibri"/>
        <family val="2"/>
        <scheme val="minor"/>
      </rPr>
      <t>,y</t>
    </r>
  </si>
  <si>
    <t>Project time saved by borehole project on average per household per day in year y</t>
  </si>
  <si>
    <t>Project Survey</t>
  </si>
  <si>
    <t>SDG 6: Clean Water and Sanitation</t>
  </si>
  <si>
    <t>Paccess = Py * (1 – Cj) * Up,y</t>
  </si>
  <si>
    <t>Paccess</t>
  </si>
  <si>
    <t>Number of additional persons having access to safe water in the project activity compared to the baseline scenario</t>
  </si>
  <si>
    <t>people</t>
  </si>
  <si>
    <t>Py</t>
  </si>
  <si>
    <t>Number of persons having access to safe water in the project activity</t>
  </si>
  <si>
    <t>User lists</t>
  </si>
  <si>
    <t>Expressed as a percentage, the portion of users of the project technology j who in the baseline were already consuming safe water without boiling it</t>
  </si>
  <si>
    <t>SDG 13: Climate Action</t>
  </si>
  <si>
    <t>Er,y</t>
  </si>
  <si>
    <t xml:space="preserve">CO2 emission reductions for the current monitoring period </t>
  </si>
  <si>
    <t>VER</t>
  </si>
  <si>
    <t>Ers calcs</t>
  </si>
  <si>
    <t>Rehabilitation Date</t>
  </si>
  <si>
    <t xml:space="preserve">Capped People </t>
  </si>
  <si>
    <t>GS5039</t>
  </si>
  <si>
    <t>ZD 038</t>
  </si>
  <si>
    <t>Adighubo</t>
  </si>
  <si>
    <t>ZD 039</t>
  </si>
  <si>
    <t>Kesadburka</t>
  </si>
  <si>
    <t>ZD 040</t>
  </si>
  <si>
    <t>Adichoka</t>
  </si>
  <si>
    <t>ZD 045</t>
  </si>
  <si>
    <t>Adimenekseyto</t>
  </si>
  <si>
    <t>ZD 101</t>
  </si>
  <si>
    <t>Endagergis</t>
  </si>
  <si>
    <t xml:space="preserve">Capped Users </t>
  </si>
  <si>
    <t xml:space="preserve">Uncapped Users </t>
  </si>
  <si>
    <t>PTDs tab (No people * credting days)</t>
  </si>
  <si>
    <t xml:space="preserve">PTDs tab (No people * credting days) </t>
  </si>
  <si>
    <t xml:space="preserve">Up,y </t>
  </si>
  <si>
    <t>Usage Survey (100 %, capped  at 90%)</t>
  </si>
  <si>
    <t>Tb,y</t>
  </si>
  <si>
    <t>Tp,y</t>
  </si>
  <si>
    <t>Projet Survey</t>
  </si>
  <si>
    <t>Emission Reductions - 01/06/2022- 22/10/2023</t>
  </si>
  <si>
    <t>GS5040</t>
  </si>
  <si>
    <t>ZD042</t>
  </si>
  <si>
    <t>Adimighiderbena</t>
  </si>
  <si>
    <t>ZD044</t>
  </si>
  <si>
    <t>Adimesraha</t>
  </si>
  <si>
    <t>ZD104</t>
  </si>
  <si>
    <t>Adiguwur</t>
  </si>
  <si>
    <t>ZD105</t>
  </si>
  <si>
    <t>Adibaresom</t>
  </si>
  <si>
    <t>ZD110</t>
  </si>
  <si>
    <t>Kusmodengolo</t>
  </si>
  <si>
    <t>Total potential MP days per BH</t>
  </si>
  <si>
    <t>`</t>
  </si>
  <si>
    <t>PTDs tab</t>
  </si>
  <si>
    <t>Emission Reductions - 01/06/2022 - 22/10/2023</t>
  </si>
  <si>
    <t>GS5041</t>
  </si>
  <si>
    <t>ZD043</t>
  </si>
  <si>
    <t>Adiqelqelmelasa</t>
  </si>
  <si>
    <t>ZD049</t>
  </si>
  <si>
    <t>Adiareghen</t>
  </si>
  <si>
    <t>ZD102</t>
  </si>
  <si>
    <t>Himbar</t>
  </si>
  <si>
    <t>ZD120</t>
  </si>
  <si>
    <t>Adighodo</t>
  </si>
  <si>
    <t>ZD111</t>
  </si>
  <si>
    <t>Adihdug</t>
  </si>
  <si>
    <t>Net Crediting</t>
  </si>
  <si>
    <t xml:space="preserve">Total Potential </t>
  </si>
  <si>
    <t>MP4 Downdays %</t>
  </si>
  <si>
    <t>Emission Reductions - 01/06/2022 - 25/10/2023</t>
  </si>
  <si>
    <t>Emission Reductions claimed for MP4</t>
  </si>
  <si>
    <t>GS5042</t>
  </si>
  <si>
    <t>ZD046</t>
  </si>
  <si>
    <t>Adigolo-Imbasoyra</t>
  </si>
  <si>
    <t>ZD051</t>
  </si>
  <si>
    <t>Adikaribosa-maygoduf</t>
  </si>
  <si>
    <t>ZD106</t>
  </si>
  <si>
    <t>Adiguer</t>
  </si>
  <si>
    <t>ZD145</t>
  </si>
  <si>
    <t>Mekabirtsabla</t>
  </si>
  <si>
    <t>ZD148</t>
  </si>
  <si>
    <t>Adihawya</t>
  </si>
  <si>
    <t>Net Crediting Days per VPA with 95% cap</t>
  </si>
  <si>
    <t>Total potential MP5 days per BH</t>
  </si>
  <si>
    <t xml:space="preserve">MP6 Downdays </t>
  </si>
  <si>
    <t>Emission Reductions - 01/06/2022 - 21/10/2023</t>
  </si>
  <si>
    <t>GS5043</t>
  </si>
  <si>
    <t>ZD041</t>
  </si>
  <si>
    <t>Dibdib</t>
  </si>
  <si>
    <t>ZD048</t>
  </si>
  <si>
    <t>Ambesetegheleba</t>
  </si>
  <si>
    <t>ZD109</t>
  </si>
  <si>
    <t>Adishertai</t>
  </si>
  <si>
    <t>Haddishadihalai</t>
  </si>
  <si>
    <t>Adishimandit</t>
  </si>
  <si>
    <t>Net Crediting Days</t>
  </si>
  <si>
    <t>Total potential</t>
  </si>
  <si>
    <t xml:space="preserve">MP4 Downdays </t>
  </si>
  <si>
    <t>PTDs tab ( No people * credting days)</t>
  </si>
  <si>
    <t xml:space="preserve">PTDs tab ( No people * credting days) </t>
  </si>
  <si>
    <t>Emission Reductions - 01/06/2022 - 17/01/2024</t>
  </si>
  <si>
    <t>2024 Emission Reductions</t>
  </si>
  <si>
    <t xml:space="preserve">Percentage of non-suppressed demand users </t>
  </si>
  <si>
    <t>Total ERs for MP5</t>
  </si>
  <si>
    <t>Net crediting days 2024</t>
  </si>
  <si>
    <t>2024 PTDs</t>
  </si>
  <si>
    <t>GS5825</t>
  </si>
  <si>
    <t>ZD162</t>
  </si>
  <si>
    <t>Adisemharo</t>
  </si>
  <si>
    <t>ZD165</t>
  </si>
  <si>
    <t>Adibelesey</t>
  </si>
  <si>
    <t>ZD178</t>
  </si>
  <si>
    <t>Adilalayadi</t>
  </si>
  <si>
    <t>ZD183</t>
  </si>
  <si>
    <t>Maihans</t>
  </si>
  <si>
    <t>ZD191</t>
  </si>
  <si>
    <t>Adiasmeru</t>
  </si>
  <si>
    <t>ZD199</t>
  </si>
  <si>
    <t>Adiembarhagoda</t>
  </si>
  <si>
    <t>ZD204</t>
  </si>
  <si>
    <t>Embamedhan</t>
  </si>
  <si>
    <t>MP5 Start</t>
  </si>
  <si>
    <t>MP5 End</t>
  </si>
  <si>
    <t>2023 end</t>
  </si>
  <si>
    <t>2024 End</t>
  </si>
  <si>
    <t>17/1/2024</t>
  </si>
  <si>
    <t>MP5 Crediting Days</t>
  </si>
  <si>
    <t>2024 crediting days</t>
  </si>
  <si>
    <t>MP5 Downdays %</t>
  </si>
  <si>
    <t>11.04 (Cap at 7.5 as per TPDDTEC v1)</t>
  </si>
  <si>
    <t>2021 Emission Reductions</t>
  </si>
  <si>
    <t>GS5826</t>
  </si>
  <si>
    <t>ZD158</t>
  </si>
  <si>
    <t>Adinefas</t>
  </si>
  <si>
    <t>ZD167</t>
  </si>
  <si>
    <t>Aditsetserat</t>
  </si>
  <si>
    <t xml:space="preserve">ZD180 </t>
  </si>
  <si>
    <t>Areza</t>
  </si>
  <si>
    <t>ZD189</t>
  </si>
  <si>
    <t>Dekiwerasi</t>
  </si>
  <si>
    <t>ZD190</t>
  </si>
  <si>
    <t>Adiwesek</t>
  </si>
  <si>
    <t>ZD207</t>
  </si>
  <si>
    <t>Adinedwe</t>
  </si>
  <si>
    <t>GS5827</t>
  </si>
  <si>
    <t>ZD157</t>
  </si>
  <si>
    <t>Adinefas-Maiaye</t>
  </si>
  <si>
    <t>14.866 80</t>
  </si>
  <si>
    <t>ZD164</t>
  </si>
  <si>
    <t>Adimomosh-sebea</t>
  </si>
  <si>
    <t>ZD176</t>
  </si>
  <si>
    <t>Adikushet</t>
  </si>
  <si>
    <t>ZD192</t>
  </si>
  <si>
    <t>Adighurdi</t>
  </si>
  <si>
    <t>ZD201</t>
  </si>
  <si>
    <t>Adiembakom</t>
  </si>
  <si>
    <t>ZD211</t>
  </si>
  <si>
    <t>Damba</t>
  </si>
  <si>
    <t>Emission Reductions - 01/06/2022 - 28/10/2023</t>
  </si>
  <si>
    <t>Boreholes in this VPA have previously credited in MP1 under VPAs 65-70 and have been rebundled in a design change review finalised on 18/06/2019.</t>
  </si>
  <si>
    <t>2022 Net Crediting Days</t>
  </si>
  <si>
    <t>2023 Net Crediting Days</t>
  </si>
  <si>
    <t>GS7330</t>
  </si>
  <si>
    <t>ZD052</t>
  </si>
  <si>
    <t>Saloda</t>
  </si>
  <si>
    <t>ZD112</t>
  </si>
  <si>
    <t>Betghebriel</t>
  </si>
  <si>
    <t>ZD127</t>
  </si>
  <si>
    <t>Dekilefey</t>
  </si>
  <si>
    <t>ZD129</t>
  </si>
  <si>
    <t>Arazn</t>
  </si>
  <si>
    <t>ZD135</t>
  </si>
  <si>
    <t>Adikolakul</t>
  </si>
  <si>
    <t>ZD140</t>
  </si>
  <si>
    <t>Maighorzo 1</t>
  </si>
  <si>
    <t>MP6 Downdays %</t>
  </si>
  <si>
    <t>Emission Reductions - 01/06/2022 - 03/01/2024</t>
  </si>
  <si>
    <t>-</t>
  </si>
  <si>
    <t>GS7331</t>
  </si>
  <si>
    <t>ZD108</t>
  </si>
  <si>
    <t>Kuhulizbi</t>
  </si>
  <si>
    <t>ZD119</t>
  </si>
  <si>
    <t>Adimesghan</t>
  </si>
  <si>
    <t>ZD139</t>
  </si>
  <si>
    <t>Adihans</t>
  </si>
  <si>
    <t>ZD142</t>
  </si>
  <si>
    <t>Adihidug</t>
  </si>
  <si>
    <t>ZD152</t>
  </si>
  <si>
    <t>Aditsekemete</t>
  </si>
  <si>
    <t>MP Start</t>
  </si>
  <si>
    <t>MP End</t>
  </si>
  <si>
    <t>MP6  Crediting Days</t>
  </si>
  <si>
    <t>GS7332</t>
  </si>
  <si>
    <t>ZD117</t>
  </si>
  <si>
    <t>Adighad 2</t>
  </si>
  <si>
    <t>ZD118</t>
  </si>
  <si>
    <t>Adighad 1</t>
  </si>
  <si>
    <t>ZD115</t>
  </si>
  <si>
    <t>Dembesilase</t>
  </si>
  <si>
    <t>ZD132</t>
  </si>
  <si>
    <t>Aditelae</t>
  </si>
  <si>
    <t>ZD137</t>
  </si>
  <si>
    <t>Adiserenta</t>
  </si>
  <si>
    <t>ZD146</t>
  </si>
  <si>
    <t>Meztaeshenfae</t>
  </si>
  <si>
    <t>GS7333</t>
  </si>
  <si>
    <t>ZD130</t>
  </si>
  <si>
    <t>Wulusho 1</t>
  </si>
  <si>
    <t>ZD121</t>
  </si>
  <si>
    <t>Adizebe</t>
  </si>
  <si>
    <t>ZD122</t>
  </si>
  <si>
    <t>Adihabenat</t>
  </si>
  <si>
    <t>ZD134</t>
  </si>
  <si>
    <t>Adimesihal</t>
  </si>
  <si>
    <t>ZD136</t>
  </si>
  <si>
    <t>Endabaynas</t>
  </si>
  <si>
    <t>ZD147</t>
  </si>
  <si>
    <t>Adimerobi</t>
  </si>
  <si>
    <t>GS7334</t>
  </si>
  <si>
    <t>ZD116</t>
  </si>
  <si>
    <t>Adilghese</t>
  </si>
  <si>
    <t>ZD125</t>
  </si>
  <si>
    <t>Maichena</t>
  </si>
  <si>
    <t>ZD128</t>
  </si>
  <si>
    <t>Chearegahit</t>
  </si>
  <si>
    <t>ZD131</t>
  </si>
  <si>
    <t>Wulusho 2</t>
  </si>
  <si>
    <t>ZD150</t>
  </si>
  <si>
    <t>Gezaterer</t>
  </si>
  <si>
    <t>GS7335</t>
  </si>
  <si>
    <t>ZD047</t>
  </si>
  <si>
    <t>Adimelhidaga</t>
  </si>
  <si>
    <t>ZD113</t>
  </si>
  <si>
    <t>Unagaaben</t>
  </si>
  <si>
    <t>ZD124</t>
  </si>
  <si>
    <t>Ghenetseba</t>
  </si>
  <si>
    <t>ZD143</t>
  </si>
  <si>
    <t>Aditsetser</t>
  </si>
  <si>
    <t>ZD144</t>
  </si>
  <si>
    <t>Adiamine</t>
  </si>
  <si>
    <t>Emission Reductions - 01/06/2021 - 29/12/2023</t>
  </si>
  <si>
    <t>GS7336</t>
  </si>
  <si>
    <t>ZD107</t>
  </si>
  <si>
    <t>Adiburkut</t>
  </si>
  <si>
    <t>ZD126</t>
  </si>
  <si>
    <t>Adiflho</t>
  </si>
  <si>
    <t>ZD133</t>
  </si>
  <si>
    <t>Unawelesti</t>
  </si>
  <si>
    <t>ZD141</t>
  </si>
  <si>
    <t>Maighorzo 2</t>
  </si>
  <si>
    <t>ZD149</t>
  </si>
  <si>
    <t>Adinaamn</t>
  </si>
  <si>
    <t xml:space="preserve"> </t>
  </si>
  <si>
    <t xml:space="preserve">2022 Q2 Monitoring Log </t>
  </si>
  <si>
    <t xml:space="preserve">2022 Q3 Maintenance Log </t>
  </si>
  <si>
    <t xml:space="preserve">2022 Q4 Maintenance Log </t>
  </si>
  <si>
    <t xml:space="preserve">2023 Q1 Maintenance Log </t>
  </si>
  <si>
    <t xml:space="preserve">2023 Q2 Maintenance Log </t>
  </si>
  <si>
    <t>Pump ID</t>
  </si>
  <si>
    <t>VPA</t>
  </si>
  <si>
    <t>Sub Zoba</t>
  </si>
  <si>
    <t>Village Name</t>
  </si>
  <si>
    <t xml:space="preserve">Latitude </t>
  </si>
  <si>
    <t>Date of Rehab</t>
  </si>
  <si>
    <t>Type of Handpump</t>
  </si>
  <si>
    <t>Borehole Depth</t>
  </si>
  <si>
    <t>Date of Last Repair</t>
  </si>
  <si>
    <t>Problem</t>
  </si>
  <si>
    <t>Activity Carried Out + Recommendations</t>
  </si>
  <si>
    <t>Start date</t>
  </si>
  <si>
    <t>End date</t>
  </si>
  <si>
    <t>Days</t>
  </si>
  <si>
    <t>Breakdown- Start date</t>
  </si>
  <si>
    <t>Breakdown - End date</t>
  </si>
  <si>
    <t>RCF sent to CO2b?</t>
  </si>
  <si>
    <t>Total Down Days 2022</t>
  </si>
  <si>
    <t>Total Down Days 2023</t>
  </si>
  <si>
    <t>Total Down Days 2024</t>
  </si>
  <si>
    <t>Total Down Days (Monitoring Period)</t>
  </si>
  <si>
    <t>Zoba Debub</t>
  </si>
  <si>
    <t>Senafe</t>
  </si>
  <si>
    <t>10/20/2016</t>
  </si>
  <si>
    <t>BH</t>
  </si>
  <si>
    <t xml:space="preserve">Working </t>
  </si>
  <si>
    <t>10/27/2016</t>
  </si>
  <si>
    <t>HDW</t>
  </si>
  <si>
    <t>Adiquala</t>
  </si>
  <si>
    <t>12/27/2016</t>
  </si>
  <si>
    <t>1/29/2017</t>
  </si>
  <si>
    <t>Maimine</t>
  </si>
  <si>
    <t>3/18/2017</t>
  </si>
  <si>
    <t>ZD038</t>
  </si>
  <si>
    <t>ZD039</t>
  </si>
  <si>
    <t>10/21/2016</t>
  </si>
  <si>
    <t>ZD040</t>
  </si>
  <si>
    <t>ZD045</t>
  </si>
  <si>
    <t>10/24/2016</t>
  </si>
  <si>
    <t>ZD101</t>
  </si>
  <si>
    <t>Endagherghish</t>
  </si>
  <si>
    <t>12/25/2016</t>
  </si>
  <si>
    <t>bh</t>
  </si>
  <si>
    <t>10/22/2016</t>
  </si>
  <si>
    <t>10/23/2016</t>
  </si>
  <si>
    <t>12/28/2016</t>
  </si>
  <si>
    <t>1/24/2017</t>
  </si>
  <si>
    <t>10/26/2016</t>
  </si>
  <si>
    <t>1/25/2017</t>
  </si>
  <si>
    <t>Maiaini</t>
  </si>
  <si>
    <t>1/18/2017</t>
  </si>
  <si>
    <t>10/25/2016</t>
  </si>
  <si>
    <t>Head was broken</t>
  </si>
  <si>
    <t>Head was Replaced</t>
  </si>
  <si>
    <t>yes</t>
  </si>
  <si>
    <t>3/22/2017</t>
  </si>
  <si>
    <t>3/23/2017</t>
  </si>
  <si>
    <t>ZD123</t>
  </si>
  <si>
    <t>2/27/2017</t>
  </si>
  <si>
    <t>ZD151</t>
  </si>
  <si>
    <t>3/24/2017</t>
  </si>
  <si>
    <t>5/16/2017</t>
  </si>
  <si>
    <t>12/29/2017</t>
  </si>
  <si>
    <t>1/27/2018</t>
  </si>
  <si>
    <t>1/31/2018</t>
  </si>
  <si>
    <t>ZD180</t>
  </si>
  <si>
    <t>5/17/2017</t>
  </si>
  <si>
    <t>12/27/2017</t>
  </si>
  <si>
    <t>12/28/2017</t>
  </si>
  <si>
    <t>5/15/2017</t>
  </si>
  <si>
    <t>12/31/2017</t>
  </si>
  <si>
    <t>1/28/2018</t>
  </si>
  <si>
    <t>10/28/2016</t>
  </si>
  <si>
    <t>1/26/2017</t>
  </si>
  <si>
    <t>Tsorona</t>
  </si>
  <si>
    <t>2/19/2017</t>
  </si>
  <si>
    <t>2/22/2017</t>
  </si>
  <si>
    <t>3/16/2017</t>
  </si>
  <si>
    <t>3/19/2017</t>
  </si>
  <si>
    <t>3/20/2017</t>
  </si>
  <si>
    <t>3/25/2017</t>
  </si>
  <si>
    <t>1/30/2017</t>
  </si>
  <si>
    <t>1/17/2017</t>
  </si>
  <si>
    <t>Rubber was damaged</t>
  </si>
  <si>
    <t>Rubber was changed</t>
  </si>
  <si>
    <t>14/01/2023</t>
  </si>
  <si>
    <t>17/01/2023</t>
  </si>
  <si>
    <t>Yes</t>
  </si>
  <si>
    <t>2/24/2017</t>
  </si>
  <si>
    <t>3/17/2017</t>
  </si>
  <si>
    <t>2/26/2017</t>
  </si>
  <si>
    <t>2/23/2017</t>
  </si>
  <si>
    <t>1/31/2017</t>
  </si>
  <si>
    <t>2/15/2017</t>
  </si>
  <si>
    <t>2/20/2017</t>
  </si>
  <si>
    <t>1/27/2017</t>
  </si>
  <si>
    <t>2/28/2017</t>
  </si>
  <si>
    <t>3/21/2017</t>
  </si>
  <si>
    <t xml:space="preserve">GS7336 </t>
  </si>
  <si>
    <t>12/29/2016</t>
  </si>
  <si>
    <t>2/18/2017</t>
  </si>
  <si>
    <t>2/25/2017</t>
  </si>
  <si>
    <t xml:space="preserve">2023 Q3 Maintenance Log </t>
  </si>
  <si>
    <t xml:space="preserve">2023 Q4 Maintenance Log </t>
  </si>
  <si>
    <t xml:space="preserve">2024 Q1 Maintenance Log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</si>
</sst>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_-;\-* #,##0_-;_-* &quot;-&quot;??_-;_-@_-"/>
    <numFmt numFmtId="165" formatCode="dd/mm/yyyy;@"/>
    <numFmt numFmtId="166" formatCode="0.0000"/>
    <numFmt numFmtId="167" formatCode="0.000%"/>
    <numFmt numFmtId="168" formatCode="0.0000%"/>
    <numFmt numFmtId="169" formatCode="0.00000%"/>
    <numFmt numFmtId="170" formatCode="0.000"/>
    <numFmt numFmtId="171" formatCode="_-* #,##0.0_-;\-* #,##0.0_-;_-* &quot;-&quot;??_-;_-@_-"/>
    <numFmt numFmtId="173" formatCode="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20"/>
      <color rgb="FF000000"/>
      <name val="Calibri"/>
      <family val="2"/>
      <scheme val="minor"/>
    </font>
    <font>
      <vertAlign val="subscript"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4" tint="0.39997558519241921"/>
      <name val="Calibri"/>
      <family val="2"/>
      <scheme val="minor"/>
    </font>
    <font>
      <sz val="10"/>
      <color theme="4" tint="0.3999755851924192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10"/>
      <color theme="5" tint="0.3999755851924192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Helvetica Neue"/>
      <charset val="1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333F4F"/>
        <bgColor rgb="FF000000"/>
      </patternFill>
    </fill>
    <fill>
      <patternFill patternType="solid">
        <fgColor rgb="FF8497B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40404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44546A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6">
    <xf numFmtId="0" fontId="0" fillId="0" borderId="0" xfId="0"/>
    <xf numFmtId="0" fontId="4" fillId="0" borderId="0" xfId="0" applyFont="1"/>
    <xf numFmtId="0" fontId="4" fillId="2" borderId="0" xfId="0" applyFont="1" applyFill="1"/>
    <xf numFmtId="0" fontId="0" fillId="0" borderId="2" xfId="0" applyBorder="1"/>
    <xf numFmtId="0" fontId="4" fillId="2" borderId="0" xfId="0" applyFont="1" applyFill="1" applyAlignment="1">
      <alignment wrapText="1"/>
    </xf>
    <xf numFmtId="0" fontId="6" fillId="4" borderId="0" xfId="0" applyFont="1" applyFill="1" applyAlignment="1">
      <alignment horizontal="center" wrapText="1"/>
    </xf>
    <xf numFmtId="0" fontId="6" fillId="6" borderId="9" xfId="0" applyFont="1" applyFill="1" applyBorder="1" applyAlignment="1">
      <alignment horizontal="center" wrapText="1"/>
    </xf>
    <xf numFmtId="0" fontId="6" fillId="6" borderId="10" xfId="0" applyFont="1" applyFill="1" applyBorder="1" applyAlignment="1">
      <alignment horizontal="center" wrapText="1"/>
    </xf>
    <xf numFmtId="0" fontId="4" fillId="0" borderId="11" xfId="0" applyFont="1" applyBorder="1"/>
    <xf numFmtId="0" fontId="4" fillId="0" borderId="12" xfId="0" applyFont="1" applyBorder="1"/>
    <xf numFmtId="3" fontId="4" fillId="3" borderId="13" xfId="0" applyNumberFormat="1" applyFont="1" applyFill="1" applyBorder="1"/>
    <xf numFmtId="0" fontId="7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3" borderId="13" xfId="0" applyFont="1" applyFill="1" applyBorder="1"/>
    <xf numFmtId="0" fontId="4" fillId="0" borderId="7" xfId="0" applyFont="1" applyBorder="1"/>
    <xf numFmtId="0" fontId="4" fillId="0" borderId="16" xfId="0" applyFont="1" applyBorder="1"/>
    <xf numFmtId="10" fontId="4" fillId="3" borderId="13" xfId="0" applyNumberFormat="1" applyFont="1" applyFill="1" applyBorder="1"/>
    <xf numFmtId="0" fontId="7" fillId="0" borderId="12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9" xfId="0" applyFont="1" applyBorder="1"/>
    <xf numFmtId="0" fontId="7" fillId="0" borderId="20" xfId="0" applyFont="1" applyBorder="1"/>
    <xf numFmtId="0" fontId="7" fillId="3" borderId="21" xfId="0" applyFont="1" applyFill="1" applyBorder="1"/>
    <xf numFmtId="0" fontId="4" fillId="2" borderId="0" xfId="0" applyFont="1" applyFill="1" applyAlignment="1">
      <alignment horizontal="center" vertical="center" wrapText="1"/>
    </xf>
    <xf numFmtId="3" fontId="7" fillId="3" borderId="23" xfId="0" applyNumberFormat="1" applyFont="1" applyFill="1" applyBorder="1" applyAlignment="1">
      <alignment wrapText="1"/>
    </xf>
    <xf numFmtId="3" fontId="7" fillId="3" borderId="26" xfId="0" applyNumberFormat="1" applyFont="1" applyFill="1" applyBorder="1" applyAlignment="1">
      <alignment wrapText="1"/>
    </xf>
    <xf numFmtId="0" fontId="7" fillId="8" borderId="1" xfId="0" applyFont="1" applyFill="1" applyBorder="1" applyAlignment="1">
      <alignment horizontal="left" wrapText="1"/>
    </xf>
    <xf numFmtId="0" fontId="7" fillId="0" borderId="0" xfId="0" applyFont="1"/>
    <xf numFmtId="0" fontId="7" fillId="8" borderId="2" xfId="0" applyFont="1" applyFill="1" applyBorder="1" applyAlignment="1">
      <alignment horizontal="left" wrapText="1"/>
    </xf>
    <xf numFmtId="0" fontId="4" fillId="8" borderId="27" xfId="0" applyFont="1" applyFill="1" applyBorder="1" applyAlignment="1">
      <alignment wrapText="1"/>
    </xf>
    <xf numFmtId="3" fontId="7" fillId="3" borderId="28" xfId="0" applyNumberFormat="1" applyFont="1" applyFill="1" applyBorder="1" applyAlignment="1">
      <alignment wrapText="1"/>
    </xf>
    <xf numFmtId="0" fontId="3" fillId="0" borderId="0" xfId="0" applyFont="1"/>
    <xf numFmtId="2" fontId="0" fillId="11" borderId="34" xfId="0" applyNumberFormat="1" applyFill="1" applyBorder="1"/>
    <xf numFmtId="164" fontId="0" fillId="0" borderId="0" xfId="1" applyNumberFormat="1" applyFont="1" applyFill="1" applyBorder="1"/>
    <xf numFmtId="0" fontId="0" fillId="9" borderId="11" xfId="0" applyFill="1" applyBorder="1"/>
    <xf numFmtId="2" fontId="0" fillId="11" borderId="12" xfId="0" applyNumberFormat="1" applyFill="1" applyBorder="1"/>
    <xf numFmtId="0" fontId="0" fillId="9" borderId="19" xfId="0" applyFill="1" applyBorder="1"/>
    <xf numFmtId="2" fontId="0" fillId="11" borderId="20" xfId="0" applyNumberFormat="1" applyFill="1" applyBorder="1"/>
    <xf numFmtId="164" fontId="0" fillId="0" borderId="21" xfId="1" applyNumberFormat="1" applyFont="1" applyBorder="1"/>
    <xf numFmtId="0" fontId="3" fillId="0" borderId="36" xfId="0" applyFont="1" applyBorder="1"/>
    <xf numFmtId="0" fontId="0" fillId="0" borderId="30" xfId="0" applyBorder="1"/>
    <xf numFmtId="164" fontId="0" fillId="0" borderId="37" xfId="0" applyNumberFormat="1" applyBorder="1"/>
    <xf numFmtId="164" fontId="0" fillId="0" borderId="0" xfId="0" applyNumberFormat="1"/>
    <xf numFmtId="164" fontId="0" fillId="0" borderId="38" xfId="0" applyNumberFormat="1" applyBorder="1"/>
    <xf numFmtId="0" fontId="3" fillId="0" borderId="1" xfId="0" applyFont="1" applyBorder="1"/>
    <xf numFmtId="164" fontId="0" fillId="0" borderId="32" xfId="0" applyNumberFormat="1" applyBorder="1"/>
    <xf numFmtId="164" fontId="0" fillId="0" borderId="28" xfId="0" applyNumberFormat="1" applyBorder="1"/>
    <xf numFmtId="0" fontId="6" fillId="15" borderId="41" xfId="0" applyFont="1" applyFill="1" applyBorder="1" applyAlignment="1">
      <alignment horizontal="center"/>
    </xf>
    <xf numFmtId="0" fontId="6" fillId="15" borderId="37" xfId="0" applyFont="1" applyFill="1" applyBorder="1" applyAlignment="1">
      <alignment horizontal="center"/>
    </xf>
    <xf numFmtId="0" fontId="6" fillId="15" borderId="42" xfId="0" applyFont="1" applyFill="1" applyBorder="1" applyAlignment="1">
      <alignment horizontal="center"/>
    </xf>
    <xf numFmtId="0" fontId="6" fillId="4" borderId="0" xfId="0" applyFont="1" applyFill="1" applyAlignment="1">
      <alignment wrapText="1"/>
    </xf>
    <xf numFmtId="0" fontId="6" fillId="4" borderId="12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4" fillId="0" borderId="12" xfId="0" applyFont="1" applyBorder="1" applyAlignment="1">
      <alignment horizontal="left"/>
    </xf>
    <xf numFmtId="14" fontId="4" fillId="0" borderId="12" xfId="0" applyNumberFormat="1" applyFont="1" applyBorder="1"/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/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3" fontId="7" fillId="2" borderId="12" xfId="0" applyNumberFormat="1" applyFont="1" applyFill="1" applyBorder="1"/>
    <xf numFmtId="0" fontId="7" fillId="2" borderId="0" xfId="0" applyFont="1" applyFill="1"/>
    <xf numFmtId="0" fontId="4" fillId="2" borderId="0" xfId="0" applyFont="1" applyFill="1" applyAlignment="1">
      <alignment horizontal="right"/>
    </xf>
    <xf numFmtId="0" fontId="7" fillId="2" borderId="1" xfId="0" applyFont="1" applyFill="1" applyBorder="1"/>
    <xf numFmtId="0" fontId="7" fillId="2" borderId="44" xfId="0" applyFont="1" applyFill="1" applyBorder="1"/>
    <xf numFmtId="0" fontId="4" fillId="2" borderId="45" xfId="0" applyFont="1" applyFill="1" applyBorder="1"/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left"/>
    </xf>
    <xf numFmtId="14" fontId="4" fillId="2" borderId="46" xfId="0" applyNumberFormat="1" applyFont="1" applyFill="1" applyBorder="1" applyAlignment="1">
      <alignment horizontal="left"/>
    </xf>
    <xf numFmtId="0" fontId="7" fillId="2" borderId="22" xfId="0" applyFont="1" applyFill="1" applyBorder="1" applyAlignment="1">
      <alignment horizontal="left"/>
    </xf>
    <xf numFmtId="0" fontId="7" fillId="2" borderId="3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46" xfId="0" applyFont="1" applyFill="1" applyBorder="1" applyAlignment="1">
      <alignment horizontal="center"/>
    </xf>
    <xf numFmtId="0" fontId="7" fillId="2" borderId="50" xfId="0" applyFont="1" applyFill="1" applyBorder="1" applyAlignment="1">
      <alignment horizontal="left"/>
    </xf>
    <xf numFmtId="0" fontId="4" fillId="2" borderId="5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7" fillId="2" borderId="51" xfId="0" applyFont="1" applyFill="1" applyBorder="1" applyAlignment="1">
      <alignment horizontal="left"/>
    </xf>
    <xf numFmtId="0" fontId="4" fillId="2" borderId="52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 vertical="center"/>
    </xf>
    <xf numFmtId="0" fontId="7" fillId="2" borderId="18" xfId="0" applyFont="1" applyFill="1" applyBorder="1"/>
    <xf numFmtId="0" fontId="7" fillId="2" borderId="53" xfId="0" applyFont="1" applyFill="1" applyBorder="1" applyAlignment="1">
      <alignment horizontal="center"/>
    </xf>
    <xf numFmtId="0" fontId="7" fillId="2" borderId="12" xfId="0" applyFont="1" applyFill="1" applyBorder="1" applyAlignment="1">
      <alignment wrapText="1"/>
    </xf>
    <xf numFmtId="0" fontId="4" fillId="16" borderId="12" xfId="0" applyFont="1" applyFill="1" applyBorder="1"/>
    <xf numFmtId="0" fontId="4" fillId="2" borderId="12" xfId="0" applyFont="1" applyFill="1" applyBorder="1" applyAlignment="1">
      <alignment wrapText="1"/>
    </xf>
    <xf numFmtId="0" fontId="4" fillId="3" borderId="12" xfId="0" applyFont="1" applyFill="1" applyBorder="1"/>
    <xf numFmtId="3" fontId="4" fillId="3" borderId="12" xfId="0" applyNumberFormat="1" applyFont="1" applyFill="1" applyBorder="1"/>
    <xf numFmtId="0" fontId="4" fillId="0" borderId="12" xfId="0" applyFont="1" applyBorder="1" applyAlignment="1">
      <alignment wrapText="1"/>
    </xf>
    <xf numFmtId="9" fontId="4" fillId="3" borderId="12" xfId="0" applyNumberFormat="1" applyFont="1" applyFill="1" applyBorder="1"/>
    <xf numFmtId="0" fontId="4" fillId="0" borderId="17" xfId="0" applyFont="1" applyBorder="1"/>
    <xf numFmtId="10" fontId="4" fillId="3" borderId="12" xfId="0" applyNumberFormat="1" applyFont="1" applyFill="1" applyBorder="1"/>
    <xf numFmtId="10" fontId="4" fillId="17" borderId="12" xfId="0" applyNumberFormat="1" applyFont="1" applyFill="1" applyBorder="1"/>
    <xf numFmtId="0" fontId="7" fillId="0" borderId="17" xfId="0" applyFont="1" applyBorder="1"/>
    <xf numFmtId="0" fontId="7" fillId="0" borderId="12" xfId="0" applyFont="1" applyBorder="1"/>
    <xf numFmtId="0" fontId="7" fillId="0" borderId="16" xfId="0" applyFont="1" applyBorder="1"/>
    <xf numFmtId="0" fontId="6" fillId="18" borderId="12" xfId="0" applyFont="1" applyFill="1" applyBorder="1"/>
    <xf numFmtId="0" fontId="4" fillId="19" borderId="12" xfId="0" applyFont="1" applyFill="1" applyBorder="1" applyAlignment="1">
      <alignment wrapText="1"/>
    </xf>
    <xf numFmtId="0" fontId="4" fillId="19" borderId="12" xfId="0" applyFont="1" applyFill="1" applyBorder="1"/>
    <xf numFmtId="0" fontId="7" fillId="20" borderId="12" xfId="0" applyFont="1" applyFill="1" applyBorder="1"/>
    <xf numFmtId="0" fontId="4" fillId="0" borderId="43" xfId="0" applyFont="1" applyBorder="1"/>
    <xf numFmtId="0" fontId="4" fillId="0" borderId="9" xfId="0" applyFont="1" applyBorder="1"/>
    <xf numFmtId="9" fontId="4" fillId="0" borderId="12" xfId="0" applyNumberFormat="1" applyFont="1" applyBorder="1" applyAlignment="1">
      <alignment horizontal="left" wrapText="1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4" fillId="0" borderId="12" xfId="0" applyFont="1" applyBorder="1" applyAlignment="1">
      <alignment horizontal="right" wrapText="1"/>
    </xf>
    <xf numFmtId="9" fontId="4" fillId="0" borderId="12" xfId="0" applyNumberFormat="1" applyFont="1" applyBorder="1" applyAlignment="1">
      <alignment horizontal="right" wrapText="1"/>
    </xf>
    <xf numFmtId="3" fontId="4" fillId="0" borderId="12" xfId="0" applyNumberFormat="1" applyFont="1" applyBorder="1"/>
    <xf numFmtId="0" fontId="7" fillId="0" borderId="15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7" fillId="2" borderId="49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15" borderId="0" xfId="0" applyFont="1" applyFill="1" applyAlignment="1">
      <alignment wrapText="1"/>
    </xf>
    <xf numFmtId="0" fontId="6" fillId="15" borderId="55" xfId="0" applyFont="1" applyFill="1" applyBorder="1" applyAlignment="1">
      <alignment horizontal="center" wrapText="1"/>
    </xf>
    <xf numFmtId="0" fontId="4" fillId="2" borderId="16" xfId="0" applyFont="1" applyFill="1" applyBorder="1"/>
    <xf numFmtId="0" fontId="4" fillId="2" borderId="17" xfId="0" applyFont="1" applyFill="1" applyBorder="1"/>
    <xf numFmtId="0" fontId="4" fillId="2" borderId="13" xfId="0" applyFont="1" applyFill="1" applyBorder="1"/>
    <xf numFmtId="0" fontId="4" fillId="2" borderId="0" xfId="0" applyFont="1" applyFill="1" applyAlignment="1">
      <alignment horizontal="center" vertical="center" textRotation="90"/>
    </xf>
    <xf numFmtId="3" fontId="7" fillId="2" borderId="1" xfId="0" applyNumberFormat="1" applyFont="1" applyFill="1" applyBorder="1"/>
    <xf numFmtId="0" fontId="7" fillId="2" borderId="2" xfId="0" applyFont="1" applyFill="1" applyBorder="1"/>
    <xf numFmtId="3" fontId="7" fillId="2" borderId="2" xfId="0" applyNumberFormat="1" applyFont="1" applyFill="1" applyBorder="1"/>
    <xf numFmtId="3" fontId="7" fillId="2" borderId="28" xfId="0" applyNumberFormat="1" applyFont="1" applyFill="1" applyBorder="1"/>
    <xf numFmtId="0" fontId="7" fillId="2" borderId="24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 wrapText="1"/>
    </xf>
    <xf numFmtId="0" fontId="7" fillId="2" borderId="18" xfId="0" applyFont="1" applyFill="1" applyBorder="1" applyAlignment="1">
      <alignment wrapText="1"/>
    </xf>
    <xf numFmtId="0" fontId="6" fillId="15" borderId="37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7" fillId="19" borderId="12" xfId="0" applyFont="1" applyFill="1" applyBorder="1" applyAlignment="1">
      <alignment wrapText="1"/>
    </xf>
    <xf numFmtId="9" fontId="7" fillId="0" borderId="12" xfId="0" applyNumberFormat="1" applyFont="1" applyBorder="1" applyAlignment="1">
      <alignment horizontal="left"/>
    </xf>
    <xf numFmtId="0" fontId="7" fillId="2" borderId="57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/>
    <xf numFmtId="0" fontId="4" fillId="0" borderId="58" xfId="0" applyFont="1" applyBorder="1"/>
    <xf numFmtId="0" fontId="4" fillId="0" borderId="18" xfId="0" applyFont="1" applyBorder="1"/>
    <xf numFmtId="0" fontId="7" fillId="19" borderId="12" xfId="0" applyFont="1" applyFill="1" applyBorder="1"/>
    <xf numFmtId="0" fontId="7" fillId="0" borderId="9" xfId="0" applyFont="1" applyBorder="1"/>
    <xf numFmtId="0" fontId="7" fillId="0" borderId="12" xfId="0" applyFont="1" applyBorder="1" applyAlignment="1">
      <alignment wrapText="1"/>
    </xf>
    <xf numFmtId="0" fontId="7" fillId="19" borderId="17" xfId="0" applyFont="1" applyFill="1" applyBorder="1"/>
    <xf numFmtId="0" fontId="4" fillId="0" borderId="12" xfId="0" applyFont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6" fillId="15" borderId="41" xfId="0" applyFont="1" applyFill="1" applyBorder="1" applyAlignment="1">
      <alignment horizontal="center" wrapText="1"/>
    </xf>
    <xf numFmtId="3" fontId="7" fillId="2" borderId="51" xfId="0" applyNumberFormat="1" applyFont="1" applyFill="1" applyBorder="1"/>
    <xf numFmtId="0" fontId="4" fillId="3" borderId="23" xfId="0" applyFont="1" applyFill="1" applyBorder="1"/>
    <xf numFmtId="0" fontId="7" fillId="2" borderId="59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4" fillId="2" borderId="62" xfId="0" applyFont="1" applyFill="1" applyBorder="1" applyAlignment="1">
      <alignment wrapText="1"/>
    </xf>
    <xf numFmtId="0" fontId="4" fillId="3" borderId="17" xfId="0" applyFont="1" applyFill="1" applyBorder="1"/>
    <xf numFmtId="0" fontId="4" fillId="0" borderId="63" xfId="0" applyFont="1" applyBorder="1"/>
    <xf numFmtId="0" fontId="4" fillId="3" borderId="64" xfId="0" applyFont="1" applyFill="1" applyBorder="1"/>
    <xf numFmtId="3" fontId="4" fillId="3" borderId="17" xfId="0" applyNumberFormat="1" applyFont="1" applyFill="1" applyBorder="1"/>
    <xf numFmtId="3" fontId="4" fillId="3" borderId="64" xfId="0" applyNumberFormat="1" applyFont="1" applyFill="1" applyBorder="1"/>
    <xf numFmtId="0" fontId="4" fillId="0" borderId="63" xfId="0" applyFont="1" applyBorder="1" applyAlignment="1">
      <alignment wrapText="1"/>
    </xf>
    <xf numFmtId="0" fontId="4" fillId="2" borderId="65" xfId="0" applyFont="1" applyFill="1" applyBorder="1" applyAlignment="1">
      <alignment wrapText="1"/>
    </xf>
    <xf numFmtId="0" fontId="4" fillId="2" borderId="49" xfId="0" applyFont="1" applyFill="1" applyBorder="1"/>
    <xf numFmtId="0" fontId="4" fillId="2" borderId="66" xfId="0" applyFont="1" applyFill="1" applyBorder="1"/>
    <xf numFmtId="0" fontId="4" fillId="2" borderId="59" xfId="0" applyFont="1" applyFill="1" applyBorder="1" applyAlignment="1">
      <alignment wrapText="1"/>
    </xf>
    <xf numFmtId="10" fontId="4" fillId="3" borderId="17" xfId="0" applyNumberFormat="1" applyFont="1" applyFill="1" applyBorder="1"/>
    <xf numFmtId="0" fontId="4" fillId="0" borderId="67" xfId="0" applyFont="1" applyBorder="1"/>
    <xf numFmtId="10" fontId="4" fillId="3" borderId="64" xfId="0" applyNumberFormat="1" applyFont="1" applyFill="1" applyBorder="1"/>
    <xf numFmtId="0" fontId="4" fillId="0" borderId="68" xfId="0" applyFont="1" applyBorder="1"/>
    <xf numFmtId="0" fontId="4" fillId="0" borderId="69" xfId="0" applyFont="1" applyBorder="1"/>
    <xf numFmtId="10" fontId="4" fillId="3" borderId="70" xfId="0" applyNumberFormat="1" applyFont="1" applyFill="1" applyBorder="1"/>
    <xf numFmtId="0" fontId="7" fillId="0" borderId="53" xfId="0" applyFont="1" applyBorder="1"/>
    <xf numFmtId="0" fontId="7" fillId="0" borderId="71" xfId="0" applyFont="1" applyBorder="1"/>
    <xf numFmtId="0" fontId="7" fillId="0" borderId="72" xfId="0" applyFont="1" applyBorder="1"/>
    <xf numFmtId="0" fontId="6" fillId="18" borderId="73" xfId="0" applyFont="1" applyFill="1" applyBorder="1"/>
    <xf numFmtId="0" fontId="7" fillId="0" borderId="18" xfId="0" applyFont="1" applyBorder="1"/>
    <xf numFmtId="9" fontId="4" fillId="0" borderId="12" xfId="0" applyNumberFormat="1" applyFont="1" applyBorder="1" applyAlignment="1">
      <alignment horizontal="left"/>
    </xf>
    <xf numFmtId="9" fontId="4" fillId="0" borderId="12" xfId="0" applyNumberFormat="1" applyFont="1" applyBorder="1" applyAlignment="1">
      <alignment horizontal="right"/>
    </xf>
    <xf numFmtId="0" fontId="7" fillId="2" borderId="51" xfId="0" applyFont="1" applyFill="1" applyBorder="1"/>
    <xf numFmtId="0" fontId="7" fillId="2" borderId="52" xfId="0" applyFont="1" applyFill="1" applyBorder="1"/>
    <xf numFmtId="3" fontId="7" fillId="2" borderId="19" xfId="0" applyNumberFormat="1" applyFont="1" applyFill="1" applyBorder="1"/>
    <xf numFmtId="0" fontId="7" fillId="2" borderId="75" xfId="0" applyFont="1" applyFill="1" applyBorder="1"/>
    <xf numFmtId="3" fontId="7" fillId="2" borderId="20" xfId="0" applyNumberFormat="1" applyFont="1" applyFill="1" applyBorder="1"/>
    <xf numFmtId="3" fontId="7" fillId="2" borderId="21" xfId="0" applyNumberFormat="1" applyFont="1" applyFill="1" applyBorder="1"/>
    <xf numFmtId="0" fontId="4" fillId="0" borderId="0" xfId="0" applyFont="1" applyAlignment="1">
      <alignment wrapText="1"/>
    </xf>
    <xf numFmtId="0" fontId="4" fillId="0" borderId="12" xfId="0" applyFont="1" applyBorder="1" applyAlignment="1">
      <alignment horizontal="right"/>
    </xf>
    <xf numFmtId="3" fontId="7" fillId="2" borderId="76" xfId="0" applyNumberFormat="1" applyFont="1" applyFill="1" applyBorder="1"/>
    <xf numFmtId="0" fontId="7" fillId="2" borderId="77" xfId="0" applyFont="1" applyFill="1" applyBorder="1"/>
    <xf numFmtId="0" fontId="7" fillId="20" borderId="12" xfId="0" applyFont="1" applyFill="1" applyBorder="1" applyAlignment="1">
      <alignment wrapText="1"/>
    </xf>
    <xf numFmtId="0" fontId="6" fillId="15" borderId="55" xfId="0" applyFont="1" applyFill="1" applyBorder="1" applyAlignment="1">
      <alignment horizontal="center"/>
    </xf>
    <xf numFmtId="0" fontId="4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/>
    </xf>
    <xf numFmtId="0" fontId="0" fillId="0" borderId="12" xfId="0" applyBorder="1"/>
    <xf numFmtId="0" fontId="4" fillId="2" borderId="8" xfId="0" applyFont="1" applyFill="1" applyBorder="1" applyAlignment="1">
      <alignment horizontal="center" vertical="center"/>
    </xf>
    <xf numFmtId="0" fontId="4" fillId="2" borderId="40" xfId="0" applyFont="1" applyFill="1" applyBorder="1"/>
    <xf numFmtId="0" fontId="13" fillId="0" borderId="0" xfId="0" applyFont="1"/>
    <xf numFmtId="0" fontId="13" fillId="21" borderId="0" xfId="0" applyFont="1" applyFill="1"/>
    <xf numFmtId="0" fontId="4" fillId="0" borderId="12" xfId="0" applyFont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left"/>
    </xf>
    <xf numFmtId="9" fontId="4" fillId="2" borderId="12" xfId="0" applyNumberFormat="1" applyFont="1" applyFill="1" applyBorder="1"/>
    <xf numFmtId="0" fontId="7" fillId="2" borderId="12" xfId="0" applyFont="1" applyFill="1" applyBorder="1"/>
    <xf numFmtId="0" fontId="4" fillId="2" borderId="12" xfId="0" applyFont="1" applyFill="1" applyBorder="1" applyAlignment="1">
      <alignment vertical="center" wrapText="1"/>
    </xf>
    <xf numFmtId="0" fontId="7" fillId="2" borderId="16" xfId="0" applyFont="1" applyFill="1" applyBorder="1"/>
    <xf numFmtId="0" fontId="4" fillId="0" borderId="12" xfId="0" applyFont="1" applyBorder="1" applyAlignment="1">
      <alignment horizontal="right" vertical="center"/>
    </xf>
    <xf numFmtId="0" fontId="4" fillId="2" borderId="12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right"/>
    </xf>
    <xf numFmtId="10" fontId="7" fillId="0" borderId="54" xfId="0" applyNumberFormat="1" applyFont="1" applyBorder="1" applyAlignment="1">
      <alignment horizontal="center"/>
    </xf>
    <xf numFmtId="10" fontId="7" fillId="0" borderId="54" xfId="0" applyNumberFormat="1" applyFont="1" applyBorder="1" applyAlignment="1">
      <alignment horizontal="right"/>
    </xf>
    <xf numFmtId="0" fontId="4" fillId="22" borderId="12" xfId="0" applyFont="1" applyFill="1" applyBorder="1"/>
    <xf numFmtId="0" fontId="4" fillId="22" borderId="12" xfId="0" applyFont="1" applyFill="1" applyBorder="1" applyAlignment="1">
      <alignment horizontal="left"/>
    </xf>
    <xf numFmtId="0" fontId="4" fillId="22" borderId="12" xfId="0" applyFont="1" applyFill="1" applyBorder="1" applyAlignment="1">
      <alignment horizontal="center"/>
    </xf>
    <xf numFmtId="0" fontId="4" fillId="22" borderId="17" xfId="0" applyFont="1" applyFill="1" applyBorder="1"/>
    <xf numFmtId="0" fontId="4" fillId="22" borderId="12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14" fontId="4" fillId="22" borderId="12" xfId="0" applyNumberFormat="1" applyFont="1" applyFill="1" applyBorder="1" applyAlignment="1">
      <alignment horizontal="center"/>
    </xf>
    <xf numFmtId="0" fontId="14" fillId="0" borderId="0" xfId="0" applyFont="1"/>
    <xf numFmtId="0" fontId="14" fillId="22" borderId="1" xfId="0" applyFont="1" applyFill="1" applyBorder="1" applyAlignment="1">
      <alignment horizontal="center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13" fillId="22" borderId="12" xfId="0" applyFont="1" applyFill="1" applyBorder="1"/>
    <xf numFmtId="0" fontId="0" fillId="22" borderId="12" xfId="0" applyFill="1" applyBorder="1"/>
    <xf numFmtId="0" fontId="13" fillId="0" borderId="12" xfId="0" applyFont="1" applyBorder="1"/>
    <xf numFmtId="0" fontId="7" fillId="0" borderId="18" xfId="0" applyFont="1" applyBorder="1" applyAlignment="1">
      <alignment wrapText="1"/>
    </xf>
    <xf numFmtId="0" fontId="7" fillId="0" borderId="5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0" fontId="7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165" fontId="4" fillId="2" borderId="46" xfId="0" applyNumberFormat="1" applyFont="1" applyFill="1" applyBorder="1" applyAlignment="1">
      <alignment horizontal="left"/>
    </xf>
    <xf numFmtId="165" fontId="4" fillId="2" borderId="47" xfId="0" applyNumberFormat="1" applyFont="1" applyFill="1" applyBorder="1" applyAlignment="1">
      <alignment horizontal="left"/>
    </xf>
    <xf numFmtId="165" fontId="4" fillId="2" borderId="48" xfId="0" applyNumberFormat="1" applyFont="1" applyFill="1" applyBorder="1" applyAlignment="1">
      <alignment horizontal="left"/>
    </xf>
    <xf numFmtId="1" fontId="4" fillId="2" borderId="12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right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wrapText="1"/>
    </xf>
    <xf numFmtId="1" fontId="4" fillId="2" borderId="12" xfId="0" applyNumberFormat="1" applyFont="1" applyFill="1" applyBorder="1"/>
    <xf numFmtId="1" fontId="4" fillId="3" borderId="13" xfId="0" applyNumberFormat="1" applyFont="1" applyFill="1" applyBorder="1"/>
    <xf numFmtId="3" fontId="4" fillId="0" borderId="15" xfId="0" applyNumberFormat="1" applyFont="1" applyBorder="1" applyAlignment="1">
      <alignment horizontal="center" wrapText="1"/>
    </xf>
    <xf numFmtId="0" fontId="4" fillId="23" borderId="0" xfId="0" applyFont="1" applyFill="1"/>
    <xf numFmtId="0" fontId="0" fillId="24" borderId="0" xfId="0" applyFill="1"/>
    <xf numFmtId="0" fontId="7" fillId="23" borderId="0" xfId="0" applyFont="1" applyFill="1" applyAlignment="1">
      <alignment horizontal="center"/>
    </xf>
    <xf numFmtId="0" fontId="0" fillId="9" borderId="12" xfId="0" applyFill="1" applyBorder="1"/>
    <xf numFmtId="1" fontId="0" fillId="9" borderId="12" xfId="0" applyNumberFormat="1" applyFill="1" applyBorder="1"/>
    <xf numFmtId="1" fontId="16" fillId="25" borderId="12" xfId="0" applyNumberFormat="1" applyFont="1" applyFill="1" applyBorder="1"/>
    <xf numFmtId="1" fontId="4" fillId="3" borderId="12" xfId="0" applyNumberFormat="1" applyFont="1" applyFill="1" applyBorder="1"/>
    <xf numFmtId="9" fontId="7" fillId="0" borderId="12" xfId="2" applyFont="1" applyBorder="1" applyAlignment="1">
      <alignment horizontal="left"/>
    </xf>
    <xf numFmtId="3" fontId="6" fillId="18" borderId="12" xfId="0" applyNumberFormat="1" applyFont="1" applyFill="1" applyBorder="1"/>
    <xf numFmtId="1" fontId="7" fillId="0" borderId="12" xfId="0" applyNumberFormat="1" applyFont="1" applyBorder="1" applyAlignment="1">
      <alignment horizontal="left" wrapText="1"/>
    </xf>
    <xf numFmtId="2" fontId="4" fillId="0" borderId="12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right"/>
    </xf>
    <xf numFmtId="2" fontId="4" fillId="2" borderId="12" xfId="0" applyNumberFormat="1" applyFont="1" applyFill="1" applyBorder="1" applyAlignment="1">
      <alignment horizontal="right"/>
    </xf>
    <xf numFmtId="2" fontId="0" fillId="0" borderId="12" xfId="0" applyNumberFormat="1" applyBorder="1"/>
    <xf numFmtId="4" fontId="4" fillId="3" borderId="13" xfId="0" applyNumberFormat="1" applyFont="1" applyFill="1" applyBorder="1"/>
    <xf numFmtId="3" fontId="4" fillId="0" borderId="12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wrapText="1"/>
    </xf>
    <xf numFmtId="166" fontId="4" fillId="3" borderId="12" xfId="0" applyNumberFormat="1" applyFont="1" applyFill="1" applyBorder="1"/>
    <xf numFmtId="0" fontId="3" fillId="14" borderId="9" xfId="0" applyFont="1" applyFill="1" applyBorder="1"/>
    <xf numFmtId="164" fontId="0" fillId="0" borderId="12" xfId="1" applyNumberFormat="1" applyFont="1" applyBorder="1"/>
    <xf numFmtId="164" fontId="0" fillId="0" borderId="34" xfId="1" applyNumberFormat="1" applyFont="1" applyBorder="1"/>
    <xf numFmtId="164" fontId="0" fillId="0" borderId="35" xfId="1" applyNumberFormat="1" applyFont="1" applyBorder="1"/>
    <xf numFmtId="164" fontId="0" fillId="0" borderId="13" xfId="1" applyNumberFormat="1" applyFont="1" applyBorder="1"/>
    <xf numFmtId="164" fontId="0" fillId="0" borderId="20" xfId="1" applyNumberFormat="1" applyFont="1" applyBorder="1"/>
    <xf numFmtId="0" fontId="3" fillId="9" borderId="41" xfId="0" applyFont="1" applyFill="1" applyBorder="1" applyAlignment="1">
      <alignment vertical="center"/>
    </xf>
    <xf numFmtId="0" fontId="3" fillId="9" borderId="38" xfId="0" applyFont="1" applyFill="1" applyBorder="1" applyAlignment="1">
      <alignment vertical="center"/>
    </xf>
    <xf numFmtId="0" fontId="3" fillId="10" borderId="41" xfId="0" applyFont="1" applyFill="1" applyBorder="1"/>
    <xf numFmtId="0" fontId="3" fillId="11" borderId="37" xfId="0" applyFont="1" applyFill="1" applyBorder="1"/>
    <xf numFmtId="0" fontId="3" fillId="12" borderId="37" xfId="0" applyFont="1" applyFill="1" applyBorder="1"/>
    <xf numFmtId="9" fontId="0" fillId="10" borderId="12" xfId="0" applyNumberFormat="1" applyFill="1" applyBorder="1"/>
    <xf numFmtId="0" fontId="0" fillId="9" borderId="33" xfId="0" applyFill="1" applyBorder="1"/>
    <xf numFmtId="0" fontId="0" fillId="9" borderId="34" xfId="0" applyFill="1" applyBorder="1"/>
    <xf numFmtId="9" fontId="0" fillId="10" borderId="34" xfId="0" applyNumberFormat="1" applyFill="1" applyBorder="1"/>
    <xf numFmtId="0" fontId="0" fillId="9" borderId="20" xfId="0" applyFill="1" applyBorder="1"/>
    <xf numFmtId="9" fontId="0" fillId="10" borderId="20" xfId="0" applyNumberFormat="1" applyFill="1" applyBorder="1"/>
    <xf numFmtId="3" fontId="7" fillId="3" borderId="21" xfId="0" applyNumberFormat="1" applyFont="1" applyFill="1" applyBorder="1"/>
    <xf numFmtId="3" fontId="4" fillId="2" borderId="0" xfId="0" applyNumberFormat="1" applyFont="1" applyFill="1"/>
    <xf numFmtId="1" fontId="7" fillId="3" borderId="21" xfId="0" applyNumberFormat="1" applyFont="1" applyFill="1" applyBorder="1"/>
    <xf numFmtId="1" fontId="4" fillId="2" borderId="8" xfId="0" applyNumberFormat="1" applyFont="1" applyFill="1" applyBorder="1"/>
    <xf numFmtId="1" fontId="4" fillId="2" borderId="16" xfId="0" applyNumberFormat="1" applyFont="1" applyFill="1" applyBorder="1"/>
    <xf numFmtId="1" fontId="4" fillId="2" borderId="17" xfId="0" applyNumberFormat="1" applyFont="1" applyFill="1" applyBorder="1"/>
    <xf numFmtId="1" fontId="4" fillId="2" borderId="13" xfId="0" applyNumberFormat="1" applyFont="1" applyFill="1" applyBorder="1"/>
    <xf numFmtId="1" fontId="4" fillId="2" borderId="8" xfId="0" applyNumberFormat="1" applyFont="1" applyFill="1" applyBorder="1" applyAlignment="1">
      <alignment horizontal="center" vertical="center"/>
    </xf>
    <xf numFmtId="1" fontId="4" fillId="2" borderId="40" xfId="0" applyNumberFormat="1" applyFont="1" applyFill="1" applyBorder="1"/>
    <xf numFmtId="1" fontId="4" fillId="2" borderId="0" xfId="0" applyNumberFormat="1" applyFont="1" applyFill="1"/>
    <xf numFmtId="1" fontId="7" fillId="2" borderId="19" xfId="0" applyNumberFormat="1" applyFont="1" applyFill="1" applyBorder="1"/>
    <xf numFmtId="1" fontId="7" fillId="2" borderId="75" xfId="0" applyNumberFormat="1" applyFont="1" applyFill="1" applyBorder="1"/>
    <xf numFmtId="1" fontId="7" fillId="2" borderId="20" xfId="0" applyNumberFormat="1" applyFont="1" applyFill="1" applyBorder="1"/>
    <xf numFmtId="1" fontId="7" fillId="2" borderId="21" xfId="0" applyNumberFormat="1" applyFont="1" applyFill="1" applyBorder="1"/>
    <xf numFmtId="1" fontId="4" fillId="2" borderId="8" xfId="0" applyNumberFormat="1" applyFont="1" applyFill="1" applyBorder="1" applyAlignment="1">
      <alignment horizontal="center"/>
    </xf>
    <xf numFmtId="1" fontId="6" fillId="15" borderId="42" xfId="0" applyNumberFormat="1" applyFont="1" applyFill="1" applyBorder="1" applyAlignment="1">
      <alignment horizontal="center"/>
    </xf>
    <xf numFmtId="1" fontId="7" fillId="2" borderId="76" xfId="0" applyNumberFormat="1" applyFont="1" applyFill="1" applyBorder="1"/>
    <xf numFmtId="1" fontId="7" fillId="2" borderId="77" xfId="0" applyNumberFormat="1" applyFont="1" applyFill="1" applyBorder="1"/>
    <xf numFmtId="1" fontId="4" fillId="2" borderId="12" xfId="0" applyNumberFormat="1" applyFont="1" applyFill="1" applyBorder="1" applyAlignment="1">
      <alignment wrapText="1"/>
    </xf>
    <xf numFmtId="1" fontId="7" fillId="2" borderId="51" xfId="0" applyNumberFormat="1" applyFont="1" applyFill="1" applyBorder="1"/>
    <xf numFmtId="1" fontId="7" fillId="2" borderId="2" xfId="0" applyNumberFormat="1" applyFont="1" applyFill="1" applyBorder="1"/>
    <xf numFmtId="1" fontId="7" fillId="2" borderId="28" xfId="0" applyNumberFormat="1" applyFont="1" applyFill="1" applyBorder="1"/>
    <xf numFmtId="1" fontId="7" fillId="2" borderId="1" xfId="0" applyNumberFormat="1" applyFont="1" applyFill="1" applyBorder="1"/>
    <xf numFmtId="1" fontId="7" fillId="2" borderId="29" xfId="0" applyNumberFormat="1" applyFont="1" applyFill="1" applyBorder="1"/>
    <xf numFmtId="1" fontId="4" fillId="2" borderId="0" xfId="0" applyNumberFormat="1" applyFont="1" applyFill="1" applyAlignment="1">
      <alignment horizontal="center" vertical="center" wrapText="1"/>
    </xf>
    <xf numFmtId="1" fontId="4" fillId="2" borderId="9" xfId="0" applyNumberFormat="1" applyFont="1" applyFill="1" applyBorder="1"/>
    <xf numFmtId="0" fontId="3" fillId="13" borderId="79" xfId="0" applyFont="1" applyFill="1" applyBorder="1"/>
    <xf numFmtId="0" fontId="3" fillId="13" borderId="12" xfId="0" applyFont="1" applyFill="1" applyBorder="1"/>
    <xf numFmtId="164" fontId="0" fillId="13" borderId="12" xfId="1" applyNumberFormat="1" applyFont="1" applyFill="1" applyBorder="1"/>
    <xf numFmtId="9" fontId="4" fillId="2" borderId="12" xfId="0" applyNumberFormat="1" applyFont="1" applyFill="1" applyBorder="1" applyAlignment="1">
      <alignment wrapText="1"/>
    </xf>
    <xf numFmtId="9" fontId="4" fillId="2" borderId="0" xfId="2" applyFont="1" applyFill="1" applyBorder="1"/>
    <xf numFmtId="0" fontId="5" fillId="3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2" borderId="43" xfId="0" applyFont="1" applyFill="1" applyBorder="1" applyAlignment="1">
      <alignment horizontal="center" vertical="center"/>
    </xf>
    <xf numFmtId="0" fontId="0" fillId="22" borderId="58" xfId="0" applyFill="1" applyBorder="1"/>
    <xf numFmtId="9" fontId="4" fillId="26" borderId="13" xfId="2" applyFont="1" applyFill="1" applyBorder="1"/>
    <xf numFmtId="9" fontId="4" fillId="27" borderId="12" xfId="0" applyNumberFormat="1" applyFont="1" applyFill="1" applyBorder="1"/>
    <xf numFmtId="14" fontId="4" fillId="2" borderId="56" xfId="0" applyNumberFormat="1" applyFont="1" applyFill="1" applyBorder="1" applyAlignment="1">
      <alignment horizontal="left"/>
    </xf>
    <xf numFmtId="0" fontId="4" fillId="27" borderId="12" xfId="0" applyFont="1" applyFill="1" applyBorder="1"/>
    <xf numFmtId="9" fontId="4" fillId="3" borderId="13" xfId="2" applyFont="1" applyFill="1" applyBorder="1"/>
    <xf numFmtId="166" fontId="4" fillId="2" borderId="12" xfId="2" applyNumberFormat="1" applyFont="1" applyFill="1" applyBorder="1"/>
    <xf numFmtId="0" fontId="4" fillId="26" borderId="12" xfId="0" applyFont="1" applyFill="1" applyBorder="1"/>
    <xf numFmtId="1" fontId="7" fillId="2" borderId="1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5" xfId="0" applyFont="1" applyBorder="1"/>
    <xf numFmtId="0" fontId="13" fillId="0" borderId="16" xfId="0" applyFont="1" applyBorder="1"/>
    <xf numFmtId="0" fontId="0" fillId="22" borderId="0" xfId="0" applyFill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10" fontId="4" fillId="0" borderId="0" xfId="0" applyNumberFormat="1" applyFont="1" applyAlignment="1">
      <alignment horizontal="center"/>
    </xf>
    <xf numFmtId="9" fontId="4" fillId="0" borderId="0" xfId="0" applyNumberFormat="1" applyFont="1"/>
    <xf numFmtId="169" fontId="0" fillId="0" borderId="0" xfId="2" applyNumberFormat="1" applyFont="1" applyAlignment="1">
      <alignment horizontal="left"/>
    </xf>
    <xf numFmtId="9" fontId="7" fillId="8" borderId="12" xfId="2" applyFont="1" applyFill="1" applyBorder="1"/>
    <xf numFmtId="168" fontId="7" fillId="8" borderId="12" xfId="2" applyNumberFormat="1" applyFont="1" applyFill="1" applyBorder="1"/>
    <xf numFmtId="0" fontId="7" fillId="2" borderId="43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9" fontId="4" fillId="2" borderId="0" xfId="0" applyNumberFormat="1" applyFont="1" applyFill="1"/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0" fillId="0" borderId="9" xfId="0" applyBorder="1"/>
    <xf numFmtId="0" fontId="7" fillId="2" borderId="9" xfId="0" applyFont="1" applyFill="1" applyBorder="1" applyAlignment="1">
      <alignment horizontal="center"/>
    </xf>
    <xf numFmtId="9" fontId="4" fillId="2" borderId="12" xfId="0" applyNumberFormat="1" applyFont="1" applyFill="1" applyBorder="1" applyAlignment="1">
      <alignment vertical="center"/>
    </xf>
    <xf numFmtId="10" fontId="7" fillId="28" borderId="12" xfId="0" applyNumberFormat="1" applyFont="1" applyFill="1" applyBorder="1" applyAlignment="1">
      <alignment horizontal="right"/>
    </xf>
    <xf numFmtId="0" fontId="4" fillId="2" borderId="10" xfId="0" applyFont="1" applyFill="1" applyBorder="1" applyAlignment="1">
      <alignment horizontal="center" vertical="center" wrapText="1"/>
    </xf>
    <xf numFmtId="1" fontId="4" fillId="2" borderId="17" xfId="0" applyNumberFormat="1" applyFont="1" applyFill="1" applyBorder="1" applyAlignment="1">
      <alignment horizontal="right" vertical="center" wrapText="1"/>
    </xf>
    <xf numFmtId="1" fontId="4" fillId="2" borderId="12" xfId="0" applyNumberFormat="1" applyFont="1" applyFill="1" applyBorder="1" applyAlignment="1">
      <alignment vertical="center" wrapText="1"/>
    </xf>
    <xf numFmtId="2" fontId="4" fillId="2" borderId="12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1" fontId="4" fillId="2" borderId="17" xfId="0" applyNumberFormat="1" applyFont="1" applyFill="1" applyBorder="1" applyAlignment="1">
      <alignment horizontal="right" vertical="center"/>
    </xf>
    <xf numFmtId="0" fontId="4" fillId="2" borderId="82" xfId="0" applyFont="1" applyFill="1" applyBorder="1"/>
    <xf numFmtId="2" fontId="4" fillId="2" borderId="4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wrapText="1"/>
    </xf>
    <xf numFmtId="10" fontId="4" fillId="0" borderId="12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2" borderId="33" xfId="0" applyFont="1" applyFill="1" applyBorder="1" applyAlignment="1">
      <alignment horizontal="left"/>
    </xf>
    <xf numFmtId="14" fontId="4" fillId="2" borderId="35" xfId="0" applyNumberFormat="1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14" fontId="4" fillId="2" borderId="13" xfId="0" applyNumberFormat="1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14" fontId="4" fillId="2" borderId="21" xfId="0" applyNumberFormat="1" applyFont="1" applyFill="1" applyBorder="1" applyAlignment="1">
      <alignment horizontal="left"/>
    </xf>
    <xf numFmtId="10" fontId="0" fillId="0" borderId="12" xfId="2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4" fillId="2" borderId="12" xfId="0" applyNumberFormat="1" applyFont="1" applyFill="1" applyBorder="1" applyAlignment="1">
      <alignment horizontal="center" vertical="center"/>
    </xf>
    <xf numFmtId="170" fontId="4" fillId="0" borderId="12" xfId="0" applyNumberFormat="1" applyFont="1" applyBorder="1" applyAlignment="1">
      <alignment horizontal="left"/>
    </xf>
    <xf numFmtId="0" fontId="4" fillId="9" borderId="12" xfId="0" applyFont="1" applyFill="1" applyBorder="1"/>
    <xf numFmtId="0" fontId="7" fillId="2" borderId="1" xfId="0" applyFont="1" applyFill="1" applyBorder="1" applyAlignment="1">
      <alignment horizontal="left"/>
    </xf>
    <xf numFmtId="14" fontId="4" fillId="2" borderId="44" xfId="0" applyNumberFormat="1" applyFont="1" applyFill="1" applyBorder="1" applyAlignment="1">
      <alignment horizontal="left"/>
    </xf>
    <xf numFmtId="14" fontId="0" fillId="0" borderId="44" xfId="0" applyNumberFormat="1" applyBorder="1" applyAlignment="1">
      <alignment horizontal="left"/>
    </xf>
    <xf numFmtId="0" fontId="4" fillId="2" borderId="30" xfId="0" applyFont="1" applyFill="1" applyBorder="1"/>
    <xf numFmtId="3" fontId="0" fillId="0" borderId="0" xfId="0" applyNumberFormat="1"/>
    <xf numFmtId="0" fontId="7" fillId="0" borderId="78" xfId="0" applyFont="1" applyBorder="1"/>
    <xf numFmtId="0" fontId="7" fillId="3" borderId="0" xfId="0" applyFont="1" applyFill="1"/>
    <xf numFmtId="0" fontId="0" fillId="0" borderId="2" xfId="0" applyBorder="1" applyAlignment="1">
      <alignment horizontal="center"/>
    </xf>
    <xf numFmtId="0" fontId="6" fillId="0" borderId="0" xfId="0" applyFont="1" applyAlignment="1">
      <alignment wrapText="1"/>
    </xf>
    <xf numFmtId="1" fontId="4" fillId="0" borderId="0" xfId="0" applyNumberFormat="1" applyFont="1"/>
    <xf numFmtId="0" fontId="6" fillId="0" borderId="0" xfId="0" applyFont="1" applyAlignment="1">
      <alignment horizontal="center" wrapText="1"/>
    </xf>
    <xf numFmtId="1" fontId="4" fillId="0" borderId="0" xfId="0" applyNumberFormat="1" applyFont="1" applyAlignment="1">
      <alignment horizontal="center" vertical="center" wrapText="1"/>
    </xf>
    <xf numFmtId="1" fontId="7" fillId="0" borderId="0" xfId="0" applyNumberFormat="1" applyFont="1"/>
    <xf numFmtId="2" fontId="4" fillId="3" borderId="13" xfId="0" applyNumberFormat="1" applyFont="1" applyFill="1" applyBorder="1"/>
    <xf numFmtId="0" fontId="7" fillId="0" borderId="29" xfId="0" applyFont="1" applyBorder="1"/>
    <xf numFmtId="0" fontId="7" fillId="0" borderId="51" xfId="0" applyFont="1" applyBorder="1" applyAlignment="1">
      <alignment horizontal="left" wrapText="1"/>
    </xf>
    <xf numFmtId="0" fontId="7" fillId="0" borderId="29" xfId="0" applyFont="1" applyBorder="1" applyAlignment="1">
      <alignment horizontal="left" wrapText="1"/>
    </xf>
    <xf numFmtId="3" fontId="7" fillId="3" borderId="45" xfId="0" applyNumberFormat="1" applyFont="1" applyFill="1" applyBorder="1" applyAlignment="1">
      <alignment wrapText="1"/>
    </xf>
    <xf numFmtId="0" fontId="6" fillId="15" borderId="42" xfId="0" applyFont="1" applyFill="1" applyBorder="1" applyAlignment="1">
      <alignment horizontal="center" wrapText="1"/>
    </xf>
    <xf numFmtId="14" fontId="4" fillId="2" borderId="0" xfId="0" applyNumberFormat="1" applyFont="1" applyFill="1"/>
    <xf numFmtId="0" fontId="0" fillId="0" borderId="18" xfId="0" applyBorder="1"/>
    <xf numFmtId="3" fontId="0" fillId="0" borderId="18" xfId="0" applyNumberFormat="1" applyBorder="1"/>
    <xf numFmtId="0" fontId="4" fillId="0" borderId="17" xfId="0" applyFont="1" applyBorder="1" applyAlignment="1">
      <alignment horizontal="center" wrapText="1"/>
    </xf>
    <xf numFmtId="3" fontId="4" fillId="0" borderId="17" xfId="0" applyNumberFormat="1" applyFont="1" applyBorder="1" applyAlignment="1">
      <alignment horizontal="center" wrapText="1"/>
    </xf>
    <xf numFmtId="0" fontId="4" fillId="0" borderId="17" xfId="0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7" fillId="0" borderId="58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83" xfId="0" applyFont="1" applyBorder="1" applyAlignment="1">
      <alignment horizontal="center" wrapText="1"/>
    </xf>
    <xf numFmtId="0" fontId="7" fillId="0" borderId="82" xfId="0" applyFont="1" applyBorder="1" applyAlignment="1">
      <alignment horizontal="center" wrapText="1"/>
    </xf>
    <xf numFmtId="1" fontId="4" fillId="0" borderId="18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/>
    </xf>
    <xf numFmtId="1" fontId="7" fillId="0" borderId="43" xfId="0" applyNumberFormat="1" applyFont="1" applyBorder="1" applyAlignment="1">
      <alignment horizontal="center" wrapText="1"/>
    </xf>
    <xf numFmtId="3" fontId="7" fillId="0" borderId="43" xfId="0" applyNumberFormat="1" applyFont="1" applyBorder="1" applyAlignment="1">
      <alignment horizontal="center" wrapText="1"/>
    </xf>
    <xf numFmtId="0" fontId="4" fillId="2" borderId="18" xfId="0" applyFont="1" applyFill="1" applyBorder="1" applyAlignment="1">
      <alignment wrapText="1"/>
    </xf>
    <xf numFmtId="0" fontId="4" fillId="2" borderId="18" xfId="0" applyFont="1" applyFill="1" applyBorder="1"/>
    <xf numFmtId="0" fontId="12" fillId="0" borderId="3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3" fillId="0" borderId="2" xfId="0" applyFont="1" applyBorder="1"/>
    <xf numFmtId="0" fontId="18" fillId="21" borderId="0" xfId="0" applyFont="1" applyFill="1"/>
    <xf numFmtId="0" fontId="19" fillId="21" borderId="85" xfId="0" applyFont="1" applyFill="1" applyBorder="1" applyAlignment="1">
      <alignment horizontal="center" vertical="center"/>
    </xf>
    <xf numFmtId="0" fontId="19" fillId="21" borderId="82" xfId="0" applyFont="1" applyFill="1" applyBorder="1" applyAlignment="1">
      <alignment horizontal="center" vertical="center"/>
    </xf>
    <xf numFmtId="0" fontId="19" fillId="21" borderId="43" xfId="0" applyFont="1" applyFill="1" applyBorder="1" applyAlignment="1">
      <alignment horizontal="center" vertical="center"/>
    </xf>
    <xf numFmtId="0" fontId="19" fillId="21" borderId="5" xfId="0" applyFont="1" applyFill="1" applyBorder="1" applyAlignment="1">
      <alignment horizontal="center" vertical="center"/>
    </xf>
    <xf numFmtId="0" fontId="19" fillId="21" borderId="8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14" fontId="4" fillId="0" borderId="12" xfId="0" applyNumberFormat="1" applyFont="1" applyBorder="1" applyAlignment="1">
      <alignment horizontal="center"/>
    </xf>
    <xf numFmtId="0" fontId="20" fillId="22" borderId="12" xfId="0" applyFont="1" applyFill="1" applyBorder="1"/>
    <xf numFmtId="0" fontId="20" fillId="22" borderId="12" xfId="0" applyFont="1" applyFill="1" applyBorder="1" applyAlignment="1">
      <alignment horizontal="left"/>
    </xf>
    <xf numFmtId="0" fontId="20" fillId="22" borderId="12" xfId="0" applyFont="1" applyFill="1" applyBorder="1" applyAlignment="1">
      <alignment horizontal="center"/>
    </xf>
    <xf numFmtId="0" fontId="20" fillId="22" borderId="17" xfId="0" applyFont="1" applyFill="1" applyBorder="1"/>
    <xf numFmtId="0" fontId="21" fillId="22" borderId="0" xfId="0" applyFont="1" applyFill="1"/>
    <xf numFmtId="0" fontId="0" fillId="22" borderId="11" xfId="0" applyFill="1" applyBorder="1"/>
    <xf numFmtId="0" fontId="0" fillId="22" borderId="16" xfId="0" applyFill="1" applyBorder="1"/>
    <xf numFmtId="0" fontId="0" fillId="22" borderId="17" xfId="0" applyFill="1" applyBorder="1"/>
    <xf numFmtId="0" fontId="0" fillId="22" borderId="13" xfId="0" applyFill="1" applyBorder="1"/>
    <xf numFmtId="0" fontId="13" fillId="22" borderId="0" xfId="0" applyFont="1" applyFill="1"/>
    <xf numFmtId="0" fontId="0" fillId="22" borderId="11" xfId="0" applyFill="1" applyBorder="1" applyAlignment="1">
      <alignment horizontal="center" vertical="center"/>
    </xf>
    <xf numFmtId="0" fontId="0" fillId="22" borderId="16" xfId="0" applyFill="1" applyBorder="1" applyAlignment="1">
      <alignment horizontal="center" vertical="center"/>
    </xf>
    <xf numFmtId="0" fontId="0" fillId="22" borderId="12" xfId="0" applyFill="1" applyBorder="1" applyAlignment="1">
      <alignment horizontal="center" vertical="center"/>
    </xf>
    <xf numFmtId="0" fontId="0" fillId="22" borderId="17" xfId="0" applyFill="1" applyBorder="1" applyAlignment="1">
      <alignment horizontal="center" vertical="center"/>
    </xf>
    <xf numFmtId="0" fontId="0" fillId="22" borderId="13" xfId="0" applyFill="1" applyBorder="1" applyAlignment="1">
      <alignment horizontal="center" vertical="center"/>
    </xf>
    <xf numFmtId="14" fontId="0" fillId="22" borderId="12" xfId="0" applyNumberFormat="1" applyFill="1" applyBorder="1" applyAlignment="1">
      <alignment horizontal="center" vertical="center"/>
    </xf>
    <xf numFmtId="0" fontId="18" fillId="0" borderId="0" xfId="0" applyFont="1"/>
    <xf numFmtId="0" fontId="21" fillId="0" borderId="0" xfId="0" applyFont="1"/>
    <xf numFmtId="0" fontId="3" fillId="0" borderId="81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19" fillId="21" borderId="92" xfId="0" applyFont="1" applyFill="1" applyBorder="1" applyAlignment="1">
      <alignment horizontal="center" vertical="center"/>
    </xf>
    <xf numFmtId="0" fontId="19" fillId="21" borderId="93" xfId="0" applyFont="1" applyFill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22" borderId="94" xfId="0" applyFill="1" applyBorder="1" applyAlignment="1">
      <alignment horizontal="center" vertical="center"/>
    </xf>
    <xf numFmtId="0" fontId="0" fillId="22" borderId="95" xfId="0" applyFill="1" applyBorder="1" applyAlignment="1">
      <alignment horizontal="center" vertical="center"/>
    </xf>
    <xf numFmtId="0" fontId="0" fillId="0" borderId="94" xfId="0" applyBorder="1"/>
    <xf numFmtId="0" fontId="0" fillId="0" borderId="95" xfId="0" applyBorder="1"/>
    <xf numFmtId="0" fontId="0" fillId="22" borderId="94" xfId="0" applyFill="1" applyBorder="1"/>
    <xf numFmtId="0" fontId="0" fillId="22" borderId="95" xfId="0" applyFill="1" applyBorder="1"/>
    <xf numFmtId="0" fontId="20" fillId="22" borderId="94" xfId="0" applyFont="1" applyFill="1" applyBorder="1"/>
    <xf numFmtId="0" fontId="20" fillId="22" borderId="95" xfId="0" applyFont="1" applyFill="1" applyBorder="1"/>
    <xf numFmtId="0" fontId="4" fillId="0" borderId="94" xfId="0" applyFont="1" applyBorder="1"/>
    <xf numFmtId="0" fontId="4" fillId="0" borderId="95" xfId="0" applyFont="1" applyBorder="1"/>
    <xf numFmtId="0" fontId="4" fillId="22" borderId="94" xfId="0" applyFont="1" applyFill="1" applyBorder="1"/>
    <xf numFmtId="0" fontId="4" fillId="22" borderId="95" xfId="0" applyFont="1" applyFill="1" applyBorder="1"/>
    <xf numFmtId="0" fontId="0" fillId="22" borderId="96" xfId="0" applyFill="1" applyBorder="1"/>
    <xf numFmtId="0" fontId="0" fillId="22" borderId="97" xfId="0" applyFill="1" applyBorder="1"/>
    <xf numFmtId="0" fontId="0" fillId="22" borderId="98" xfId="0" applyFill="1" applyBorder="1"/>
    <xf numFmtId="0" fontId="0" fillId="22" borderId="99" xfId="0" applyFill="1" applyBorder="1"/>
    <xf numFmtId="0" fontId="12" fillId="0" borderId="10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right" vertical="center"/>
    </xf>
    <xf numFmtId="0" fontId="4" fillId="0" borderId="8" xfId="0" applyFont="1" applyBorder="1"/>
    <xf numFmtId="2" fontId="4" fillId="0" borderId="12" xfId="0" applyNumberFormat="1" applyFont="1" applyBorder="1"/>
    <xf numFmtId="0" fontId="7" fillId="2" borderId="101" xfId="0" applyFont="1" applyFill="1" applyBorder="1" applyAlignment="1">
      <alignment horizontal="left"/>
    </xf>
    <xf numFmtId="14" fontId="4" fillId="2" borderId="47" xfId="0" applyNumberFormat="1" applyFont="1" applyFill="1" applyBorder="1" applyAlignment="1">
      <alignment horizontal="left"/>
    </xf>
    <xf numFmtId="14" fontId="4" fillId="2" borderId="102" xfId="0" applyNumberFormat="1" applyFont="1" applyFill="1" applyBorder="1" applyAlignment="1">
      <alignment horizontal="left"/>
    </xf>
    <xf numFmtId="0" fontId="7" fillId="2" borderId="17" xfId="0" applyFont="1" applyFill="1" applyBorder="1" applyAlignment="1">
      <alignment wrapText="1"/>
    </xf>
    <xf numFmtId="0" fontId="4" fillId="2" borderId="17" xfId="0" applyFont="1" applyFill="1" applyBorder="1" applyAlignment="1">
      <alignment wrapText="1"/>
    </xf>
    <xf numFmtId="0" fontId="4" fillId="0" borderId="16" xfId="0" applyFont="1" applyBorder="1" applyAlignment="1">
      <alignment wrapText="1"/>
    </xf>
    <xf numFmtId="0" fontId="7" fillId="0" borderId="8" xfId="0" applyFont="1" applyBorder="1"/>
    <xf numFmtId="3" fontId="4" fillId="29" borderId="12" xfId="0" applyNumberFormat="1" applyFont="1" applyFill="1" applyBorder="1"/>
    <xf numFmtId="1" fontId="0" fillId="0" borderId="33" xfId="0" applyNumberFormat="1" applyBorder="1"/>
    <xf numFmtId="10" fontId="0" fillId="0" borderId="34" xfId="2" applyNumberFormat="1" applyFont="1" applyFill="1" applyBorder="1"/>
    <xf numFmtId="1" fontId="0" fillId="0" borderId="11" xfId="0" applyNumberFormat="1" applyBorder="1"/>
    <xf numFmtId="167" fontId="0" fillId="0" borderId="12" xfId="2" applyNumberFormat="1" applyFont="1" applyFill="1" applyBorder="1"/>
    <xf numFmtId="10" fontId="0" fillId="0" borderId="12" xfId="2" applyNumberFormat="1" applyFont="1" applyFill="1" applyBorder="1"/>
    <xf numFmtId="10" fontId="0" fillId="0" borderId="12" xfId="0" applyNumberFormat="1" applyBorder="1"/>
    <xf numFmtId="10" fontId="0" fillId="0" borderId="20" xfId="0" applyNumberFormat="1" applyBorder="1"/>
    <xf numFmtId="10" fontId="0" fillId="0" borderId="32" xfId="2" applyNumberFormat="1" applyFont="1" applyFill="1" applyBorder="1"/>
    <xf numFmtId="1" fontId="0" fillId="0" borderId="102" xfId="0" applyNumberFormat="1" applyBorder="1"/>
    <xf numFmtId="1" fontId="4" fillId="2" borderId="69" xfId="0" applyNumberFormat="1" applyFont="1" applyFill="1" applyBorder="1"/>
    <xf numFmtId="0" fontId="23" fillId="0" borderId="0" xfId="0" applyFont="1"/>
    <xf numFmtId="0" fontId="4" fillId="29" borderId="12" xfId="0" applyFont="1" applyFill="1" applyBorder="1"/>
    <xf numFmtId="10" fontId="4" fillId="0" borderId="12" xfId="0" applyNumberFormat="1" applyFont="1" applyBorder="1"/>
    <xf numFmtId="0" fontId="6" fillId="0" borderId="12" xfId="0" applyFont="1" applyBorder="1"/>
    <xf numFmtId="3" fontId="4" fillId="0" borderId="0" xfId="0" applyNumberFormat="1" applyFont="1"/>
    <xf numFmtId="10" fontId="4" fillId="0" borderId="0" xfId="0" applyNumberFormat="1" applyFont="1"/>
    <xf numFmtId="0" fontId="6" fillId="0" borderId="0" xfId="0" applyFont="1"/>
    <xf numFmtId="0" fontId="7" fillId="0" borderId="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167" fontId="4" fillId="0" borderId="54" xfId="2" applyNumberFormat="1" applyFont="1" applyFill="1" applyBorder="1" applyAlignment="1">
      <alignment horizontal="center"/>
    </xf>
    <xf numFmtId="0" fontId="4" fillId="2" borderId="0" xfId="0" applyFont="1" applyFill="1"/>
    <xf numFmtId="0" fontId="4" fillId="2" borderId="2" xfId="0" applyFont="1" applyFill="1" applyBorder="1"/>
    <xf numFmtId="0" fontId="9" fillId="7" borderId="3" xfId="0" applyFont="1" applyFill="1" applyBorder="1" applyAlignment="1">
      <alignment horizontal="center" wrapText="1"/>
    </xf>
    <xf numFmtId="0" fontId="9" fillId="7" borderId="4" xfId="0" applyFont="1" applyFill="1" applyBorder="1" applyAlignment="1">
      <alignment horizontal="center" wrapText="1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24" xfId="0" applyFont="1" applyBorder="1" applyAlignment="1">
      <alignment horizontal="left" wrapText="1"/>
    </xf>
    <xf numFmtId="0" fontId="7" fillId="0" borderId="25" xfId="0" applyFont="1" applyBorder="1" applyAlignment="1">
      <alignment horizontal="left" wrapText="1"/>
    </xf>
    <xf numFmtId="0" fontId="4" fillId="2" borderId="30" xfId="0" applyFont="1" applyFill="1" applyBorder="1"/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4" fillId="2" borderId="29" xfId="0" applyFont="1" applyFill="1" applyBorder="1"/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78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vertical="center" textRotation="90"/>
    </xf>
    <xf numFmtId="0" fontId="10" fillId="2" borderId="14" xfId="0" applyFont="1" applyFill="1" applyBorder="1" applyAlignment="1">
      <alignment horizontal="center" vertical="center" textRotation="90"/>
    </xf>
    <xf numFmtId="0" fontId="10" fillId="2" borderId="43" xfId="0" applyFont="1" applyFill="1" applyBorder="1" applyAlignment="1">
      <alignment horizontal="center" vertical="center" textRotation="90"/>
    </xf>
    <xf numFmtId="0" fontId="6" fillId="5" borderId="17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7" fillId="2" borderId="12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4" fillId="0" borderId="8" xfId="0" applyFont="1" applyBorder="1"/>
    <xf numFmtId="0" fontId="6" fillId="5" borderId="67" xfId="0" applyFont="1" applyFill="1" applyBorder="1" applyAlignment="1">
      <alignment horizontal="center"/>
    </xf>
    <xf numFmtId="0" fontId="6" fillId="5" borderId="74" xfId="0" applyFont="1" applyFill="1" applyBorder="1" applyAlignment="1">
      <alignment horizontal="center"/>
    </xf>
    <xf numFmtId="0" fontId="6" fillId="5" borderId="60" xfId="0" applyFont="1" applyFill="1" applyBorder="1" applyAlignment="1">
      <alignment horizontal="center"/>
    </xf>
    <xf numFmtId="0" fontId="6" fillId="5" borderId="61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1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5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21" borderId="0" xfId="0" applyFont="1" applyFill="1" applyAlignment="1">
      <alignment horizontal="left"/>
    </xf>
    <xf numFmtId="0" fontId="14" fillId="0" borderId="29" xfId="0" applyFont="1" applyBorder="1" applyAlignment="1">
      <alignment horizontal="center"/>
    </xf>
    <xf numFmtId="0" fontId="3" fillId="0" borderId="87" xfId="0" applyFont="1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171" fontId="0" fillId="13" borderId="80" xfId="1" applyNumberFormat="1" applyFont="1" applyFill="1" applyBorder="1"/>
    <xf numFmtId="171" fontId="0" fillId="13" borderId="17" xfId="1" applyNumberFormat="1" applyFont="1" applyFill="1" applyBorder="1"/>
    <xf numFmtId="171" fontId="0" fillId="13" borderId="81" xfId="1" applyNumberFormat="1" applyFont="1" applyFill="1" applyBorder="1"/>
    <xf numFmtId="171" fontId="0" fillId="12" borderId="34" xfId="1" applyNumberFormat="1" applyFont="1" applyFill="1" applyBorder="1"/>
    <xf numFmtId="171" fontId="0" fillId="12" borderId="12" xfId="1" applyNumberFormat="1" applyFont="1" applyFill="1" applyBorder="1"/>
    <xf numFmtId="171" fontId="0" fillId="12" borderId="20" xfId="1" applyNumberFormat="1" applyFont="1" applyFill="1" applyBorder="1"/>
    <xf numFmtId="173" fontId="4" fillId="0" borderId="12" xfId="0" applyNumberFormat="1" applyFont="1" applyBorder="1"/>
    <xf numFmtId="1" fontId="4" fillId="0" borderId="12" xfId="0" applyNumberFormat="1" applyFont="1" applyBorder="1"/>
    <xf numFmtId="1" fontId="7" fillId="2" borderId="12" xfId="0" applyNumberFormat="1" applyFont="1" applyFill="1" applyBorder="1" applyAlignment="1">
      <alignment horizontal="left" wrapText="1"/>
    </xf>
    <xf numFmtId="173" fontId="4" fillId="0" borderId="12" xfId="0" applyNumberFormat="1" applyFont="1" applyBorder="1" applyAlignment="1">
      <alignment horizontal="right" wrapText="1"/>
    </xf>
    <xf numFmtId="173" fontId="7" fillId="0" borderId="12" xfId="0" applyNumberFormat="1" applyFont="1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1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tyles" Target="styles.xml"/><Relationship Id="rId89" Type="http://schemas.openxmlformats.org/officeDocument/2006/relationships/customXml" Target="../customXml/item3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88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ustomXml" Target="../customXml/item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CA6A0-2EE1-4743-9CA5-86C3151910DE}">
  <dimension ref="A1:O20"/>
  <sheetViews>
    <sheetView zoomScale="110" zoomScaleNormal="110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G2" sqref="G2"/>
    </sheetView>
  </sheetViews>
  <sheetFormatPr defaultRowHeight="14.5"/>
  <cols>
    <col min="1" max="1" width="7.26953125" customWidth="1"/>
    <col min="2" max="2" width="7.54296875" customWidth="1"/>
    <col min="3" max="3" width="8.7265625" customWidth="1"/>
    <col min="4" max="4" width="8.26953125" customWidth="1"/>
    <col min="5" max="5" width="8.453125" customWidth="1"/>
    <col min="6" max="6" width="9.1796875" bestFit="1" customWidth="1"/>
    <col min="7" max="7" width="11.81640625" customWidth="1"/>
    <col min="8" max="9" width="9.1796875" customWidth="1"/>
    <col min="10" max="10" width="10.7265625" bestFit="1" customWidth="1"/>
    <col min="11" max="11" width="14.26953125" bestFit="1" customWidth="1"/>
    <col min="12" max="12" width="13.26953125" bestFit="1" customWidth="1"/>
    <col min="13" max="13" width="15" bestFit="1" customWidth="1"/>
    <col min="14" max="14" width="14.7265625" bestFit="1" customWidth="1"/>
    <col min="15" max="15" width="17" bestFit="1" customWidth="1"/>
  </cols>
  <sheetData>
    <row r="1" spans="1:15" ht="15" thickBot="1">
      <c r="A1" s="262" t="s">
        <v>0</v>
      </c>
      <c r="B1" s="263" t="s">
        <v>1</v>
      </c>
      <c r="C1" s="264" t="s">
        <v>2</v>
      </c>
      <c r="D1" s="265" t="s">
        <v>3</v>
      </c>
      <c r="E1" s="266" t="s">
        <v>4</v>
      </c>
      <c r="F1" s="299" t="s">
        <v>5</v>
      </c>
      <c r="G1" s="300" t="s">
        <v>6</v>
      </c>
      <c r="H1" s="32"/>
      <c r="I1" s="32"/>
      <c r="J1" s="256" t="s">
        <v>7</v>
      </c>
      <c r="K1" s="256" t="s">
        <v>8</v>
      </c>
      <c r="L1" s="256" t="s">
        <v>9</v>
      </c>
      <c r="M1" s="256" t="s">
        <v>10</v>
      </c>
      <c r="N1" s="256" t="s">
        <v>11</v>
      </c>
      <c r="O1" s="256" t="s">
        <v>12</v>
      </c>
    </row>
    <row r="2" spans="1:15">
      <c r="A2" s="268">
        <v>5038</v>
      </c>
      <c r="B2" s="269">
        <v>65</v>
      </c>
      <c r="C2" s="270">
        <f>'GS5038 SDGs Calcs'!C2</f>
        <v>0.95</v>
      </c>
      <c r="D2" s="33">
        <f>'GS5038 SDGs Calcs'!C11</f>
        <v>0.72</v>
      </c>
      <c r="E2" s="568">
        <f>'GS5038 SDGs Calcs'!C16</f>
        <v>2227</v>
      </c>
      <c r="F2" s="565">
        <f>'GS5038 SDGs Calcs'!C22</f>
        <v>4108</v>
      </c>
      <c r="G2" s="301">
        <f>'GS5038 PTDS'!O7</f>
        <v>783162.89999999991</v>
      </c>
      <c r="H2" s="34"/>
      <c r="I2" s="34"/>
      <c r="J2" s="487">
        <f>'Maintenance '!$BL$9</f>
        <v>0</v>
      </c>
      <c r="K2" s="488">
        <f>'GS5038 PTDS'!C23</f>
        <v>0</v>
      </c>
      <c r="L2" s="258">
        <f>'GS5038 PTDS'!O7</f>
        <v>783162.89999999991</v>
      </c>
      <c r="M2" s="258">
        <f>'GS5038 PTDS'!O15</f>
        <v>1129469.25</v>
      </c>
      <c r="N2" s="258">
        <f>'GS5038 PTDS'!G8</f>
        <v>2345</v>
      </c>
      <c r="O2" s="259">
        <f>'GS5038 PTDS'!H8</f>
        <v>1626</v>
      </c>
    </row>
    <row r="3" spans="1:15">
      <c r="A3" s="35">
        <v>5039</v>
      </c>
      <c r="B3" s="241">
        <v>66</v>
      </c>
      <c r="C3" s="267">
        <f>'GS5039 SDGs Calcs'!C2</f>
        <v>0.95</v>
      </c>
      <c r="D3" s="36">
        <f>'GS5039 SDGs Calcs'!C11</f>
        <v>0.72</v>
      </c>
      <c r="E3" s="569">
        <f>'GS5039 SDGs Calcs'!C16</f>
        <v>2214</v>
      </c>
      <c r="F3" s="566">
        <f>'GS5039 SDGs Calcs'!C22</f>
        <v>4089</v>
      </c>
      <c r="G3" s="301">
        <f>'GS5039 PTDs'!O7</f>
        <v>779309.7</v>
      </c>
      <c r="H3" s="34"/>
      <c r="I3" s="34"/>
      <c r="J3" s="489">
        <f>'Maintenance '!$BL$15</f>
        <v>0</v>
      </c>
      <c r="K3" s="490">
        <f>'GS5039 PTDs'!C23</f>
        <v>0</v>
      </c>
      <c r="L3" s="257">
        <f>'GS5039 PTDs'!O7</f>
        <v>779309.7</v>
      </c>
      <c r="M3" s="257">
        <f>'GS5039 PTDs'!O16</f>
        <v>1122726.1499999999</v>
      </c>
      <c r="N3" s="257">
        <f>'GS5039 PTDs'!H7</f>
        <v>2331</v>
      </c>
      <c r="O3" s="260">
        <f>'GS5039 PTDs'!I7</f>
        <v>1618</v>
      </c>
    </row>
    <row r="4" spans="1:15">
      <c r="A4" s="35">
        <v>5040</v>
      </c>
      <c r="B4" s="241">
        <v>67</v>
      </c>
      <c r="C4" s="267">
        <f>'GS5040 SDG Calcs'!C2</f>
        <v>0.95</v>
      </c>
      <c r="D4" s="36">
        <f>'GS5040 SDG Calcs'!C11</f>
        <v>0.72</v>
      </c>
      <c r="E4" s="569">
        <f>'GS5040 SDG Calcs'!C16</f>
        <v>2272</v>
      </c>
      <c r="F4" s="566">
        <f>'GS5040 SDG Calcs'!C22</f>
        <v>4141</v>
      </c>
      <c r="G4" s="301">
        <f>'GS5040 PTDs'!O7</f>
        <v>789637.14999999991</v>
      </c>
      <c r="H4" s="34"/>
      <c r="I4" s="34"/>
      <c r="J4" s="489">
        <f>'Maintenance '!$BL$21</f>
        <v>0</v>
      </c>
      <c r="K4" s="491">
        <f>'GS5040 PTDs'!C24</f>
        <v>0</v>
      </c>
      <c r="L4" s="257">
        <f>'GS5040 PTDs'!O7</f>
        <v>789637.14999999991</v>
      </c>
      <c r="M4" s="257">
        <f>'GS5040 PTDs'!O16</f>
        <v>1156651.6000000001</v>
      </c>
      <c r="N4" s="257">
        <f>'GS5040 PTDs'!H7</f>
        <v>2392</v>
      </c>
      <c r="O4" s="260">
        <f>'GS5040 PTDs'!I7</f>
        <v>1633</v>
      </c>
    </row>
    <row r="5" spans="1:15">
      <c r="A5" s="35">
        <v>5041</v>
      </c>
      <c r="B5" s="241">
        <v>68</v>
      </c>
      <c r="C5" s="267">
        <f>'GS5041 SDG Calcs'!C2</f>
        <v>0.95</v>
      </c>
      <c r="D5" s="36">
        <f>'GS5041 SDG Calcs'!C11</f>
        <v>0.72</v>
      </c>
      <c r="E5" s="569">
        <f>'GS5041 SDG Calcs'!C16</f>
        <v>2337</v>
      </c>
      <c r="F5" s="566">
        <f>'GS5041 SDG Calcs'!C22</f>
        <v>4014</v>
      </c>
      <c r="G5" s="301">
        <f>'GS5041 PTDs'!O7</f>
        <v>765341.84999999986</v>
      </c>
      <c r="H5" s="34"/>
      <c r="I5" s="34"/>
      <c r="J5" s="489">
        <f>'Maintenance '!$BL$27</f>
        <v>0</v>
      </c>
      <c r="K5" s="491">
        <f>'GS5041 PTDs'!C23</f>
        <v>0</v>
      </c>
      <c r="L5" s="257">
        <f>'GS5041 PTDs'!O7</f>
        <v>765341.84999999986</v>
      </c>
      <c r="M5" s="257">
        <f>'GS5041 PTDs'!O17</f>
        <v>1184858.9999999998</v>
      </c>
      <c r="N5" s="257">
        <f>'GS5041 PTDs'!H7</f>
        <v>2460</v>
      </c>
      <c r="O5" s="260">
        <f>'GS5041 PTDs'!I7</f>
        <v>1589</v>
      </c>
    </row>
    <row r="6" spans="1:15">
      <c r="A6" s="35">
        <v>5042</v>
      </c>
      <c r="B6" s="241">
        <v>69</v>
      </c>
      <c r="C6" s="267">
        <f>'GS5042 SDG Calcs'!C2</f>
        <v>0.95</v>
      </c>
      <c r="D6" s="36">
        <f>'GS5042 SDG Calcs'!C11</f>
        <v>0.72</v>
      </c>
      <c r="E6" s="569">
        <f>'GS5042 SDG Calcs'!C16</f>
        <v>2187</v>
      </c>
      <c r="F6" s="566">
        <f>'GS5042 SDG Calcs'!C22</f>
        <v>3713</v>
      </c>
      <c r="G6" s="301">
        <f>'GS5042 PTDs'!O7</f>
        <v>707711.99999999977</v>
      </c>
      <c r="H6" s="34"/>
      <c r="I6" s="34"/>
      <c r="J6" s="489">
        <f>'Maintenance '!$BL33</f>
        <v>3</v>
      </c>
      <c r="K6" s="491">
        <f>'GS5042 PTDs'!C23</f>
        <v>1.6438356164383563E-3</v>
      </c>
      <c r="L6" s="257">
        <f>'GS5042 PTDs'!O7</f>
        <v>707711.99999999977</v>
      </c>
      <c r="M6" s="257">
        <f>'GS5042 PTDs'!O16</f>
        <v>1120179.2</v>
      </c>
      <c r="N6" s="257">
        <f>'GS5042 PTDs'!H7</f>
        <v>2303</v>
      </c>
      <c r="O6" s="260">
        <f>'GS5042 PTDs'!I7</f>
        <v>1455</v>
      </c>
    </row>
    <row r="7" spans="1:15">
      <c r="A7" s="35">
        <v>5043</v>
      </c>
      <c r="B7" s="241">
        <v>70</v>
      </c>
      <c r="C7" s="267">
        <f>'GS5043 SDG Calcs'!C2</f>
        <v>0.95</v>
      </c>
      <c r="D7" s="36">
        <f>'GS5043 SDG Calcs'!C11</f>
        <v>0.72</v>
      </c>
      <c r="E7" s="569">
        <f>'GS5043 SDG Calcs'!C16</f>
        <v>2076</v>
      </c>
      <c r="F7" s="566">
        <f>'GS5043 SDG Calcs'!C22</f>
        <v>4179</v>
      </c>
      <c r="G7" s="301">
        <f>'GS5043 PTDs'!O7</f>
        <v>796772.6</v>
      </c>
      <c r="H7" s="34"/>
      <c r="I7" s="34"/>
      <c r="J7" s="489">
        <f>'Maintenance '!$BL$39</f>
        <v>0</v>
      </c>
      <c r="K7" s="491">
        <f>'GS5043 PTDs'!C23</f>
        <v>0</v>
      </c>
      <c r="L7" s="257">
        <f>'GS5043 PTDs'!O7</f>
        <v>796772.6</v>
      </c>
      <c r="M7" s="257">
        <f>'GS5043 PTDs'!O16</f>
        <v>1054963.5999999999</v>
      </c>
      <c r="N7" s="257">
        <f>'GS5043 PTDs'!H7</f>
        <v>2186</v>
      </c>
      <c r="O7" s="260">
        <f>'GS5043 PTDs'!I7</f>
        <v>1651</v>
      </c>
    </row>
    <row r="8" spans="1:15">
      <c r="A8" s="35">
        <v>5825</v>
      </c>
      <c r="B8" s="241">
        <v>119</v>
      </c>
      <c r="C8" s="267">
        <f>'GS5825 SDG Calcs'!C2</f>
        <v>0.95</v>
      </c>
      <c r="D8" s="36">
        <f>'GS5825 SDG Calcs'!C11</f>
        <v>0.72</v>
      </c>
      <c r="E8" s="569">
        <f>'GS5825 SDG Calcs'!C16</f>
        <v>2428</v>
      </c>
      <c r="F8" s="566">
        <f>'GS5825 SDG Calcs'!C22</f>
        <v>6529</v>
      </c>
      <c r="G8" s="301">
        <f>'GS5825 PTDs'!Q9</f>
        <v>1244507.5999999999</v>
      </c>
      <c r="H8" s="34"/>
      <c r="I8" s="34"/>
      <c r="J8" s="489">
        <f>'Maintenance '!$BL$47</f>
        <v>0</v>
      </c>
      <c r="K8" s="491">
        <f>'GS5825 PTDs'!C24</f>
        <v>0</v>
      </c>
      <c r="L8" s="257">
        <f>'GS5825 PTDs'!Q9</f>
        <v>1244507.5999999999</v>
      </c>
      <c r="M8" s="257">
        <f>'GS5825 PTDs'!Q21</f>
        <v>2724554.3999999994</v>
      </c>
      <c r="N8" s="257">
        <f>'GS5825 PTDs'!H9</f>
        <v>2556</v>
      </c>
      <c r="O8" s="260">
        <f>'GS5825 PTDs'!I9</f>
        <v>2198</v>
      </c>
    </row>
    <row r="9" spans="1:15">
      <c r="A9" s="35">
        <v>5826</v>
      </c>
      <c r="B9" s="241">
        <v>120</v>
      </c>
      <c r="C9" s="267">
        <f>'GS5826 SDG Calcs'!C2</f>
        <v>0.95</v>
      </c>
      <c r="D9" s="36">
        <f>'GS5826 SDG Calcs'!C11</f>
        <v>0.72</v>
      </c>
      <c r="E9" s="569">
        <f>'GS5826 SDG Calcs'!C16</f>
        <v>2281</v>
      </c>
      <c r="F9" s="566">
        <f>'GS5826 SDG Calcs'!C22</f>
        <v>6351</v>
      </c>
      <c r="G9" s="301">
        <f>'GS5826 PTDs'!Q8</f>
        <v>1210535.5999999999</v>
      </c>
      <c r="H9" s="34"/>
      <c r="I9" s="34"/>
      <c r="J9" s="489">
        <f>'Maintenance '!$BL$54</f>
        <v>0</v>
      </c>
      <c r="K9" s="491">
        <f>'GS5826 PTDs'!C23</f>
        <v>0</v>
      </c>
      <c r="L9" s="257">
        <f>'GS5826 PTDs'!Q8</f>
        <v>1210535.5999999999</v>
      </c>
      <c r="M9" s="257">
        <f>'GS5826 PTDs'!Q18</f>
        <v>1321220.0999999999</v>
      </c>
      <c r="N9" s="257">
        <f>'GS5826 PTDs'!H8</f>
        <v>2402</v>
      </c>
      <c r="O9" s="260">
        <f>'GS5826 PTDs'!I8</f>
        <v>2138</v>
      </c>
    </row>
    <row r="10" spans="1:15">
      <c r="A10" s="35">
        <v>5827</v>
      </c>
      <c r="B10" s="241">
        <v>121</v>
      </c>
      <c r="C10" s="267">
        <f>'GS5827 SDG Calcs'!C2</f>
        <v>0.95</v>
      </c>
      <c r="D10" s="36">
        <f>'GS5827 SDG Calcs'!C11</f>
        <v>0.72</v>
      </c>
      <c r="E10" s="569">
        <f>'GS5827 SDG Calcs'!C16</f>
        <v>2637</v>
      </c>
      <c r="F10" s="566">
        <f>'GS5827 SDG Calcs'!C22</f>
        <v>5690</v>
      </c>
      <c r="G10" s="301">
        <f>'GS5827 PTDs'!Q8</f>
        <v>1084839.2</v>
      </c>
      <c r="H10" s="34"/>
      <c r="I10" s="34"/>
      <c r="J10" s="489">
        <f>'Maintenance '!$BL$61</f>
        <v>0</v>
      </c>
      <c r="K10" s="491">
        <f>'GS5827 PTDs'!C23</f>
        <v>0</v>
      </c>
      <c r="L10" s="257">
        <f>'GS5827 PTDs'!Q8</f>
        <v>1084839.2</v>
      </c>
      <c r="M10" s="257">
        <f>'GS5827 PTDs'!Q18</f>
        <v>1526938.7999999998</v>
      </c>
      <c r="N10" s="257">
        <f>'GS5827 PTDs'!H8</f>
        <v>2776</v>
      </c>
      <c r="O10" s="260">
        <f>'GS5827 PTDs'!I8</f>
        <v>1916</v>
      </c>
    </row>
    <row r="11" spans="1:15">
      <c r="A11" s="35">
        <v>7330</v>
      </c>
      <c r="B11" s="241">
        <v>176</v>
      </c>
      <c r="C11" s="267">
        <f>'GS7330 SDG Calcs'!C2</f>
        <v>0.95</v>
      </c>
      <c r="D11" s="36">
        <f>'GS7330 SDG Calcs'!C11</f>
        <v>0.72</v>
      </c>
      <c r="E11" s="569">
        <f>'GS7330 SDG Calcs'!C16</f>
        <v>2966</v>
      </c>
      <c r="F11" s="566">
        <f>'GS7330 SDG Calcs'!C22</f>
        <v>4648</v>
      </c>
      <c r="G11" s="301">
        <f>'GS7330 PTDs'!O8</f>
        <v>886031.75</v>
      </c>
      <c r="H11" s="34"/>
      <c r="I11" s="34"/>
      <c r="J11" s="489">
        <f>'Maintenance '!$BL$68</f>
        <v>0</v>
      </c>
      <c r="K11" s="491">
        <f>'GS7330 PTDs'!C23</f>
        <v>0</v>
      </c>
      <c r="L11" s="257">
        <f>'GS7330 PTDs'!O8</f>
        <v>886031.75</v>
      </c>
      <c r="M11" s="257">
        <f>'GS7330 PTDs'!O18</f>
        <v>1527927.75</v>
      </c>
      <c r="N11" s="257">
        <f>'GS7330 PTDs'!H8</f>
        <v>3123</v>
      </c>
      <c r="O11" s="260">
        <f>'GS7330 PTDs'!I8</f>
        <v>1811</v>
      </c>
    </row>
    <row r="12" spans="1:15">
      <c r="A12" s="35">
        <v>7331</v>
      </c>
      <c r="B12" s="241">
        <v>177</v>
      </c>
      <c r="C12" s="267">
        <f>'GS7331 SDG Calcs'!C2</f>
        <v>0.95</v>
      </c>
      <c r="D12" s="36">
        <f>'GS7331 SDG Calcs'!C11</f>
        <v>0.72</v>
      </c>
      <c r="E12" s="569">
        <f>'GS7331 SDG Calcs'!C16</f>
        <v>2671</v>
      </c>
      <c r="F12" s="566">
        <f>'GS7331 SDG Calcs'!C22</f>
        <v>4575</v>
      </c>
      <c r="G12" s="301">
        <f>'GS7331 PTDs'!Q7</f>
        <v>872476.2</v>
      </c>
      <c r="H12" s="34"/>
      <c r="I12" s="34"/>
      <c r="J12" s="489">
        <f>'Maintenance '!$BL$74</f>
        <v>0</v>
      </c>
      <c r="K12" s="491">
        <f>'GS7331 PTDs'!C23</f>
        <v>0</v>
      </c>
      <c r="L12" s="257">
        <f>'GS7331 PTDs'!Q7</f>
        <v>872476.2</v>
      </c>
      <c r="M12" s="257">
        <f>'GS7331 PTDs'!Q16</f>
        <v>1546740.5999999999</v>
      </c>
      <c r="N12" s="257">
        <f>'GS7331 PTDs'!H7</f>
        <v>2812</v>
      </c>
      <c r="O12" s="260">
        <f>'GS7331 PTDs'!I7</f>
        <v>1578</v>
      </c>
    </row>
    <row r="13" spans="1:15">
      <c r="A13" s="35">
        <v>7332</v>
      </c>
      <c r="B13" s="241">
        <v>178</v>
      </c>
      <c r="C13" s="267">
        <f>'GS7332 SDG Calcs'!C2</f>
        <v>0.95</v>
      </c>
      <c r="D13" s="36">
        <f>'GS7332 SDG Calcs'!C11</f>
        <v>0.72</v>
      </c>
      <c r="E13" s="569">
        <f>'GS7332 SDG Calcs'!C16</f>
        <v>3258</v>
      </c>
      <c r="F13" s="566">
        <f>'GS7332 SDG Calcs'!C22</f>
        <v>6338</v>
      </c>
      <c r="G13" s="301">
        <f>'GS7332 PTDs'!Q8</f>
        <v>1208270.7999999998</v>
      </c>
      <c r="H13" s="34"/>
      <c r="I13" s="34"/>
      <c r="J13" s="489">
        <f>'Maintenance '!$BL$81</f>
        <v>4</v>
      </c>
      <c r="K13" s="491">
        <f>'GS7332 PTDs'!C23</f>
        <v>6.7114093959731542E-3</v>
      </c>
      <c r="L13" s="257">
        <f>'GS7332 PTDs'!Q8</f>
        <v>1208270.7999999998</v>
      </c>
      <c r="M13" s="257">
        <f>'GS7332 PTDs'!Q18</f>
        <v>1886671.5000000002</v>
      </c>
      <c r="N13" s="257">
        <f>'GS7332 PTDs'!H8</f>
        <v>3430</v>
      </c>
      <c r="O13" s="260">
        <f>'GS7332 PTDs'!I8</f>
        <v>2134</v>
      </c>
    </row>
    <row r="14" spans="1:15">
      <c r="A14" s="35">
        <v>7333</v>
      </c>
      <c r="B14" s="241">
        <v>179</v>
      </c>
      <c r="C14" s="267">
        <f>'GS7333 SDG Calcs'!C2</f>
        <v>0.95</v>
      </c>
      <c r="D14" s="36">
        <f>'GS7333 SDG Calcs'!C11</f>
        <v>0.72</v>
      </c>
      <c r="E14" s="569">
        <f>'GS7333 SDG Calcs'!C16</f>
        <v>3046</v>
      </c>
      <c r="F14" s="566">
        <f>'GS7333 SDG Calcs'!C22</f>
        <v>6303</v>
      </c>
      <c r="G14" s="301">
        <f>'GS7333 PTDs'!Q8</f>
        <v>1201476.3999999999</v>
      </c>
      <c r="H14" s="34"/>
      <c r="I14" s="34"/>
      <c r="J14" s="489">
        <f>'Maintenance '!$BL$88</f>
        <v>0</v>
      </c>
      <c r="K14" s="492">
        <f>'GS7333 PTDs'!C23</f>
        <v>0</v>
      </c>
      <c r="L14" s="257">
        <f>'GS7333 PTDs'!Q8</f>
        <v>1201476.3999999999</v>
      </c>
      <c r="M14" s="257">
        <f>'GS7333 PTDs'!Q18</f>
        <v>1764010.35</v>
      </c>
      <c r="N14" s="257">
        <f>'GS7333 PTDs'!H8</f>
        <v>3207</v>
      </c>
      <c r="O14" s="260">
        <f>'GS7333 PTDs'!I8</f>
        <v>2122</v>
      </c>
    </row>
    <row r="15" spans="1:15">
      <c r="A15" s="35">
        <v>7334</v>
      </c>
      <c r="B15" s="241">
        <v>180</v>
      </c>
      <c r="C15" s="267">
        <f>'GS7334 SDG Calcs'!C2</f>
        <v>0.95</v>
      </c>
      <c r="D15" s="36">
        <f>'GS7334 SDG Calcs'!C11</f>
        <v>0.72</v>
      </c>
      <c r="E15" s="569">
        <f>'GS7334 SDG Calcs'!C16</f>
        <v>2773</v>
      </c>
      <c r="F15" s="566">
        <f>'GS7334 SDG Calcs'!C22</f>
        <v>5486</v>
      </c>
      <c r="G15" s="301">
        <f>'GS7334 PTDs'!Q7</f>
        <v>1045997.5</v>
      </c>
      <c r="H15" s="34"/>
      <c r="I15" s="34"/>
      <c r="J15" s="489">
        <f>'Maintenance '!$BL$94</f>
        <v>0</v>
      </c>
      <c r="K15" s="492">
        <f>'GS7334 PTDs'!C23</f>
        <v>0</v>
      </c>
      <c r="L15" s="257">
        <f>'GS7334 PTDs'!Q7</f>
        <v>1045997.5</v>
      </c>
      <c r="M15" s="257">
        <f>'GS7334 PTDs'!Q16</f>
        <v>1605595.9500000002</v>
      </c>
      <c r="N15" s="257">
        <f>'GS7334 PTDs'!H7</f>
        <v>2919</v>
      </c>
      <c r="O15" s="260">
        <f>'GS7334 PTDs'!I7</f>
        <v>1805</v>
      </c>
    </row>
    <row r="16" spans="1:15">
      <c r="A16" s="35">
        <v>7335</v>
      </c>
      <c r="B16" s="241">
        <v>181</v>
      </c>
      <c r="C16" s="267">
        <f>'GS7335 SDG Calcs'!C2</f>
        <v>0.95</v>
      </c>
      <c r="D16" s="36">
        <f>'GS7335 SDG Calcs'!C11</f>
        <v>0.72</v>
      </c>
      <c r="E16" s="569">
        <f>'GS7335 SDG Calcs'!C16</f>
        <v>2845</v>
      </c>
      <c r="F16" s="566">
        <f>'GS7335 SDG Calcs'!C22</f>
        <v>4395</v>
      </c>
      <c r="G16" s="301">
        <f>'GS7335 PTDs'!O7</f>
        <v>837580.79999999981</v>
      </c>
      <c r="H16" s="34"/>
      <c r="I16" s="34"/>
      <c r="J16" s="489">
        <f>'Maintenance '!$BL$100</f>
        <v>0</v>
      </c>
      <c r="K16" s="492">
        <f>'GS7335 PTDs'!C23</f>
        <v>0</v>
      </c>
      <c r="L16" s="257">
        <f>'GS7335 PTDs'!O7</f>
        <v>837580.79999999981</v>
      </c>
      <c r="M16" s="257">
        <f>'GS7335 PTDs'!O16</f>
        <v>1456767.9999999998</v>
      </c>
      <c r="N16" s="257">
        <f>'GS7335 PTDs'!H7</f>
        <v>2995</v>
      </c>
      <c r="O16" s="260">
        <f>'GS7335 PTDs'!I7</f>
        <v>1722</v>
      </c>
    </row>
    <row r="17" spans="1:15">
      <c r="A17" s="37">
        <v>7336</v>
      </c>
      <c r="B17" s="271">
        <v>182</v>
      </c>
      <c r="C17" s="272">
        <f>'GS7336 SDG Calcs'!C2</f>
        <v>0.95</v>
      </c>
      <c r="D17" s="38">
        <f>'GS7336 SDG Calcs'!C11</f>
        <v>0.72</v>
      </c>
      <c r="E17" s="570">
        <f>'GS7336 SDG Calcs'!C16</f>
        <v>3008</v>
      </c>
      <c r="F17" s="567">
        <f>'GS7336 SDG Calcs'!C22</f>
        <v>4613</v>
      </c>
      <c r="G17" s="301">
        <f>'GS7336 PTDs'!O7</f>
        <v>879232.59999999986</v>
      </c>
      <c r="H17" s="34"/>
      <c r="I17" s="34"/>
      <c r="J17" s="489">
        <f>'Maintenance '!$BL$106</f>
        <v>0</v>
      </c>
      <c r="K17" s="493">
        <f>'GS7336 PTDs'!C23</f>
        <v>0</v>
      </c>
      <c r="L17" s="261">
        <f>'GS7336 PTDs'!O7</f>
        <v>879232.59999999986</v>
      </c>
      <c r="M17" s="261">
        <f>'GS7336 PTDs'!O16</f>
        <v>1735991.0499999998</v>
      </c>
      <c r="N17" s="261">
        <f>'GS7336 PTDs'!H7</f>
        <v>3167</v>
      </c>
      <c r="O17" s="39">
        <f>'GS7336 PTDs'!I7</f>
        <v>1604</v>
      </c>
    </row>
    <row r="19" spans="1:15" ht="15" thickBot="1">
      <c r="A19" s="40" t="s">
        <v>13</v>
      </c>
      <c r="B19" s="41"/>
      <c r="C19" s="41"/>
      <c r="D19" s="41"/>
      <c r="E19" s="42">
        <f>SUM(E2:E17)</f>
        <v>41226</v>
      </c>
      <c r="F19" s="42">
        <f>SUM(F2:F17)</f>
        <v>79172</v>
      </c>
      <c r="G19" s="43"/>
      <c r="H19" s="43"/>
      <c r="I19" s="43"/>
      <c r="J19" s="42">
        <f>SUM(J2:J17)</f>
        <v>7</v>
      </c>
      <c r="K19" s="42"/>
      <c r="L19" s="42">
        <f>SUM(L2:L17)</f>
        <v>15092884.649999997</v>
      </c>
      <c r="M19" s="42">
        <f>SUM(M2:M17)</f>
        <v>23865267.300000001</v>
      </c>
      <c r="N19" s="42">
        <f>SUM(N2:N17)</f>
        <v>43404</v>
      </c>
      <c r="O19" s="44">
        <f>SUM(O2:O17)</f>
        <v>28600</v>
      </c>
    </row>
    <row r="20" spans="1:15" ht="15" thickBot="1">
      <c r="A20" s="45" t="s">
        <v>14</v>
      </c>
      <c r="B20" s="3"/>
      <c r="C20" s="3"/>
      <c r="D20" s="3"/>
      <c r="E20" s="46">
        <f>AVERAGE(E2:E17)</f>
        <v>2576.625</v>
      </c>
      <c r="F20" s="46">
        <f>AVERAGE(F2:F17)</f>
        <v>4948.25</v>
      </c>
      <c r="G20" s="43"/>
      <c r="H20" s="43"/>
      <c r="I20" s="43"/>
      <c r="J20" s="46">
        <f t="shared" ref="J20:O20" si="0">AVERAGE(J2:J17)</f>
        <v>0.4375</v>
      </c>
      <c r="K20" s="494">
        <f t="shared" si="0"/>
        <v>5.2220281327571938E-4</v>
      </c>
      <c r="L20" s="46">
        <f t="shared" si="0"/>
        <v>943305.29062499979</v>
      </c>
      <c r="M20" s="46">
        <f t="shared" si="0"/>
        <v>1491579.20625</v>
      </c>
      <c r="N20" s="46">
        <f t="shared" si="0"/>
        <v>2712.75</v>
      </c>
      <c r="O20" s="47">
        <f t="shared" si="0"/>
        <v>1787.5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7E2A7-19A5-434D-8663-AF595D4412A6}">
  <dimension ref="A1:O39"/>
  <sheetViews>
    <sheetView topLeftCell="A13" zoomScale="80" zoomScaleNormal="80" workbookViewId="0">
      <selection activeCell="E6" sqref="E6"/>
    </sheetView>
  </sheetViews>
  <sheetFormatPr defaultColWidth="14.54296875" defaultRowHeight="21.65" customHeight="1"/>
  <cols>
    <col min="1" max="1" width="77.1796875" customWidth="1"/>
    <col min="2" max="2" width="15.7265625" bestFit="1" customWidth="1"/>
    <col min="3" max="3" width="10" bestFit="1" customWidth="1"/>
    <col min="4" max="4" width="11.81640625" customWidth="1"/>
    <col min="5" max="5" width="39.54296875" bestFit="1" customWidth="1"/>
    <col min="7" max="7" width="77.1796875" bestFit="1" customWidth="1"/>
    <col min="8" max="8" width="15.7265625" bestFit="1" customWidth="1"/>
    <col min="9" max="9" width="10" bestFit="1" customWidth="1"/>
    <col min="10" max="10" width="9.453125" customWidth="1"/>
    <col min="12" max="12" width="77.1796875" bestFit="1" customWidth="1"/>
    <col min="13" max="13" width="15.7265625" bestFit="1" customWidth="1"/>
    <col min="14" max="14" width="10" bestFit="1" customWidth="1"/>
    <col min="15" max="15" width="10.453125" customWidth="1"/>
  </cols>
  <sheetData>
    <row r="1" spans="1:15" ht="21.65" customHeight="1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</row>
    <row r="2" spans="1:15" ht="21.6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1.65" customHeight="1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</row>
    <row r="4" spans="1:15" ht="21.65" customHeight="1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</row>
    <row r="5" spans="1:15" ht="21.65" customHeight="1">
      <c r="A5" s="9" t="s">
        <v>96</v>
      </c>
      <c r="B5" s="9" t="s">
        <v>97</v>
      </c>
      <c r="C5" s="9"/>
      <c r="D5" s="87">
        <f>'GS5039 PTDs'!O16</f>
        <v>1122726.1499999999</v>
      </c>
      <c r="E5" s="85" t="s">
        <v>207</v>
      </c>
      <c r="F5" s="2"/>
      <c r="G5" s="9" t="s">
        <v>96</v>
      </c>
      <c r="H5" s="9" t="s">
        <v>97</v>
      </c>
      <c r="I5" s="9"/>
      <c r="J5" s="87">
        <f>'GS5039 PTDs'!L16</f>
        <v>473892.29999999993</v>
      </c>
      <c r="K5" s="2"/>
      <c r="L5" s="9" t="s">
        <v>96</v>
      </c>
      <c r="M5" s="9" t="s">
        <v>97</v>
      </c>
      <c r="N5" s="9"/>
      <c r="O5" s="87">
        <f>'GS5039 PTDs'!N16</f>
        <v>648833.84999999986</v>
      </c>
    </row>
    <row r="6" spans="1:15" ht="21.65" customHeight="1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</row>
    <row r="7" spans="1:15" ht="21.65" customHeight="1">
      <c r="A7" s="88" t="s">
        <v>103</v>
      </c>
      <c r="B7" s="9" t="s">
        <v>104</v>
      </c>
      <c r="C7" s="9" t="s">
        <v>105</v>
      </c>
      <c r="D7" s="86">
        <v>7.5</v>
      </c>
      <c r="E7" s="85" t="s">
        <v>162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</row>
    <row r="8" spans="1:15" ht="21.65" customHeight="1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</row>
    <row r="9" spans="1:15" ht="21.65" customHeight="1">
      <c r="A9" s="9" t="s">
        <v>110</v>
      </c>
      <c r="B9" s="9" t="s">
        <v>111</v>
      </c>
      <c r="C9" s="9" t="s">
        <v>112</v>
      </c>
      <c r="D9" s="86">
        <f>ROUNDDOWN((1-D4)*D5*D6*(D7+D8),0)</f>
        <v>3368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1421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1946</v>
      </c>
    </row>
    <row r="10" spans="1:15" ht="21.65" customHeight="1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21.65" customHeight="1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</row>
    <row r="12" spans="1:15" ht="21.65" customHeight="1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</row>
    <row r="13" spans="1:15" ht="21.65" customHeight="1">
      <c r="A13" s="9" t="s">
        <v>96</v>
      </c>
      <c r="B13" s="9" t="s">
        <v>97</v>
      </c>
      <c r="C13" s="9"/>
      <c r="D13" s="87">
        <f>D5</f>
        <v>1122726.1499999999</v>
      </c>
      <c r="E13" s="85" t="s">
        <v>208</v>
      </c>
      <c r="F13" s="2"/>
      <c r="G13" s="9" t="s">
        <v>96</v>
      </c>
      <c r="H13" s="9" t="s">
        <v>97</v>
      </c>
      <c r="I13" s="9"/>
      <c r="J13" s="87">
        <f>J5</f>
        <v>473892.29999999993</v>
      </c>
      <c r="K13" s="2"/>
      <c r="L13" s="9" t="s">
        <v>96</v>
      </c>
      <c r="M13" s="9" t="s">
        <v>97</v>
      </c>
      <c r="N13" s="9"/>
      <c r="O13" s="87">
        <v>215175</v>
      </c>
    </row>
    <row r="14" spans="1:15" ht="21.65" customHeight="1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</row>
    <row r="15" spans="1:15" ht="21.65" customHeight="1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</row>
    <row r="16" spans="1:15" ht="21.65" customHeight="1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</row>
    <row r="17" spans="1:15" ht="21.65" customHeight="1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v>0</v>
      </c>
      <c r="K17" s="2"/>
      <c r="L17" s="9" t="s">
        <v>121</v>
      </c>
      <c r="M17" s="9" t="s">
        <v>122</v>
      </c>
      <c r="N17" s="9" t="s">
        <v>112</v>
      </c>
      <c r="O17" s="86">
        <v>0</v>
      </c>
    </row>
    <row r="18" spans="1:15" ht="21.65" customHeight="1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1.65" customHeight="1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</row>
    <row r="20" spans="1:15" ht="21.65" customHeight="1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</row>
    <row r="21" spans="1:15" ht="21.65" customHeight="1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</row>
    <row r="22" spans="1:15" ht="21.65" customHeight="1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86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D22</f>
        <v>9.4600000000000009</v>
      </c>
    </row>
    <row r="23" spans="1:15" ht="21.65" customHeight="1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</row>
    <row r="24" spans="1:15" ht="21.65" customHeight="1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21.65" customHeight="1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</row>
    <row r="26" spans="1:15" ht="21.65" customHeight="1">
      <c r="A26" s="9" t="s">
        <v>28</v>
      </c>
      <c r="B26" s="9" t="s">
        <v>29</v>
      </c>
      <c r="C26" s="9" t="s">
        <v>30</v>
      </c>
      <c r="D26" s="87">
        <f>ROUNDDOWN(D9*((D20*D21)+D22)*D23,0)</f>
        <v>6205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2617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3585</v>
      </c>
    </row>
    <row r="27" spans="1:15" ht="21.65" customHeight="1">
      <c r="A27" s="9" t="s">
        <v>31</v>
      </c>
      <c r="B27" s="9" t="s">
        <v>32</v>
      </c>
      <c r="C27" s="9" t="s">
        <v>30</v>
      </c>
      <c r="D27" s="86">
        <f>D17*((D20*D21)+D22)*D229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J17*((J20*J21)+J22)*J229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O17*((O20*O21)+O22)*O229</f>
        <v>0</v>
      </c>
    </row>
    <row r="28" spans="1:15" ht="21.65" customHeight="1">
      <c r="A28" s="9" t="s">
        <v>33</v>
      </c>
      <c r="B28" s="9" t="s">
        <v>34</v>
      </c>
      <c r="C28" s="9" t="s">
        <v>35</v>
      </c>
      <c r="D28" s="89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9">
        <f>D28</f>
        <v>0.95</v>
      </c>
      <c r="K28" s="2"/>
      <c r="L28" s="9" t="s">
        <v>33</v>
      </c>
      <c r="M28" s="9" t="s">
        <v>34</v>
      </c>
      <c r="N28" s="9" t="s">
        <v>35</v>
      </c>
      <c r="O28" s="89">
        <f>D28</f>
        <v>0.95</v>
      </c>
    </row>
    <row r="29" spans="1:15" ht="21.65" customHeight="1">
      <c r="A29" s="9" t="s">
        <v>36</v>
      </c>
      <c r="B29" s="9" t="s">
        <v>37</v>
      </c>
      <c r="C29" s="9" t="s">
        <v>30</v>
      </c>
      <c r="D29" s="86">
        <v>0</v>
      </c>
      <c r="E29" s="302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</row>
    <row r="30" spans="1:15" ht="21.65" customHeight="1">
      <c r="A30" s="9" t="s">
        <v>90</v>
      </c>
      <c r="B30" s="9" t="s">
        <v>39</v>
      </c>
      <c r="C30" s="9" t="s">
        <v>30</v>
      </c>
      <c r="D30" s="86">
        <f>ROUNDDOWN(((D26-D27)*D28)-D29,0)</f>
        <v>5894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2486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3405</v>
      </c>
    </row>
    <row r="31" spans="1:15" ht="21.65" customHeight="1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21.65" customHeight="1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</row>
    <row r="33" spans="1:15" ht="21.65" customHeight="1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I33" s="16"/>
      <c r="J33" s="91">
        <v>1</v>
      </c>
      <c r="K33" s="2"/>
      <c r="L33" s="90" t="s">
        <v>41</v>
      </c>
      <c r="N33" s="16"/>
      <c r="O33" s="91">
        <v>1</v>
      </c>
    </row>
    <row r="34" spans="1:15" ht="21.65" customHeight="1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</row>
    <row r="35" spans="1:15" ht="21.65" customHeight="1">
      <c r="A35" s="93" t="s">
        <v>140</v>
      </c>
      <c r="B35" s="94" t="s">
        <v>39</v>
      </c>
      <c r="C35" s="95" t="s">
        <v>30</v>
      </c>
      <c r="D35" s="96">
        <f>ROUNDDOWN(D30*(1-D34),0)</f>
        <v>5894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2486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3405</v>
      </c>
    </row>
    <row r="36" spans="1:15" ht="21.6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21.65" customHeight="1">
      <c r="A37" s="93" t="s">
        <v>141</v>
      </c>
      <c r="B37" s="94"/>
      <c r="C37" s="95" t="s">
        <v>30</v>
      </c>
      <c r="D37" s="96">
        <f>J37+O37</f>
        <v>5891</v>
      </c>
      <c r="E37" s="2"/>
      <c r="F37" s="2"/>
      <c r="G37" s="93" t="s">
        <v>141</v>
      </c>
      <c r="H37" s="94"/>
      <c r="I37" s="95" t="s">
        <v>30</v>
      </c>
      <c r="J37" s="96">
        <f>J35</f>
        <v>2486</v>
      </c>
      <c r="K37" s="2"/>
      <c r="L37" s="93" t="s">
        <v>141</v>
      </c>
      <c r="M37" s="94"/>
      <c r="N37" s="95" t="s">
        <v>30</v>
      </c>
      <c r="O37" s="96">
        <f>O35</f>
        <v>3405</v>
      </c>
    </row>
    <row r="38" spans="1:15" ht="21.65" customHeight="1">
      <c r="A38" s="1"/>
      <c r="B38" s="2"/>
      <c r="C38" s="2"/>
      <c r="D38" s="2"/>
      <c r="E38" s="2"/>
      <c r="F38" s="2"/>
      <c r="G38" s="1"/>
      <c r="H38" s="2"/>
      <c r="I38" s="2"/>
      <c r="J38" s="2"/>
      <c r="K38" s="2"/>
      <c r="L38" s="1"/>
      <c r="M38" s="2"/>
      <c r="N38" s="2"/>
      <c r="O38" s="2"/>
    </row>
    <row r="39" spans="1:15" ht="21.6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</sheetData>
  <mergeCells count="18">
    <mergeCell ref="A1:D1"/>
    <mergeCell ref="G1:J1"/>
    <mergeCell ref="L1:O1"/>
    <mergeCell ref="A3:D3"/>
    <mergeCell ref="G3:J3"/>
    <mergeCell ref="L3:O3"/>
    <mergeCell ref="A11:D11"/>
    <mergeCell ref="G11:J11"/>
    <mergeCell ref="L11:O11"/>
    <mergeCell ref="A19:D19"/>
    <mergeCell ref="G19:J19"/>
    <mergeCell ref="L19:O19"/>
    <mergeCell ref="A25:D25"/>
    <mergeCell ref="G25:J25"/>
    <mergeCell ref="L25:O25"/>
    <mergeCell ref="A32:D32"/>
    <mergeCell ref="G32:J32"/>
    <mergeCell ref="L32:O3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76465-1941-401A-82A0-A2C5D7CDE8FE}">
  <dimension ref="A1:E22"/>
  <sheetViews>
    <sheetView topLeftCell="B8" workbookViewId="0">
      <selection activeCell="C17" sqref="C17"/>
    </sheetView>
  </sheetViews>
  <sheetFormatPr defaultRowHeight="14.5"/>
  <cols>
    <col min="1" max="1" width="20.1796875" bestFit="1" customWidth="1"/>
    <col min="2" max="2" width="123.453125" customWidth="1"/>
    <col min="3" max="3" width="26" customWidth="1"/>
    <col min="5" max="5" width="36.54296875" customWidth="1"/>
  </cols>
  <sheetData>
    <row r="1" spans="1:5" s="32" customFormat="1" ht="35.15" customHeight="1">
      <c r="A1" s="128" t="s">
        <v>145</v>
      </c>
      <c r="B1" s="137" t="s">
        <v>146</v>
      </c>
      <c r="C1" s="137" t="s">
        <v>147</v>
      </c>
      <c r="D1" s="137" t="s">
        <v>148</v>
      </c>
      <c r="E1" s="128" t="s">
        <v>92</v>
      </c>
    </row>
    <row r="2" spans="1:5" ht="26.15" customHeight="1">
      <c r="A2" s="100" t="s">
        <v>149</v>
      </c>
      <c r="B2" s="88" t="s">
        <v>150</v>
      </c>
      <c r="C2" s="245">
        <f>((C3-C4)/C3)*C8</f>
        <v>0.95</v>
      </c>
      <c r="D2" s="9" t="s">
        <v>151</v>
      </c>
      <c r="E2" s="88"/>
    </row>
    <row r="3" spans="1:5" ht="22" customHeight="1">
      <c r="A3" s="9" t="s">
        <v>152</v>
      </c>
      <c r="B3" s="88" t="s">
        <v>153</v>
      </c>
      <c r="C3" s="54">
        <f>C5*C6</f>
        <v>3.0000000000000001E-3</v>
      </c>
      <c r="D3" s="9" t="s">
        <v>154</v>
      </c>
      <c r="E3" s="88"/>
    </row>
    <row r="4" spans="1:5" ht="19" customHeight="1">
      <c r="A4" s="101" t="s">
        <v>155</v>
      </c>
      <c r="B4" s="88" t="s">
        <v>156</v>
      </c>
      <c r="C4" s="54">
        <f>C5*C7</f>
        <v>0</v>
      </c>
      <c r="D4" s="9" t="s">
        <v>154</v>
      </c>
      <c r="E4" s="88"/>
    </row>
    <row r="5" spans="1:5" ht="21.65" customHeight="1">
      <c r="A5" s="9" t="s">
        <v>100</v>
      </c>
      <c r="B5" s="88" t="s">
        <v>158</v>
      </c>
      <c r="C5" s="54">
        <f>'GS5039 ER Calcs'!D6</f>
        <v>4.0000000000000002E-4</v>
      </c>
      <c r="D5" s="9" t="s">
        <v>159</v>
      </c>
      <c r="E5" s="85" t="s">
        <v>102</v>
      </c>
    </row>
    <row r="6" spans="1:5" ht="21" customHeight="1">
      <c r="A6" s="9" t="s">
        <v>104</v>
      </c>
      <c r="B6" s="88" t="s">
        <v>160</v>
      </c>
      <c r="C6" s="54">
        <v>7.5</v>
      </c>
      <c r="D6" s="9" t="s">
        <v>161</v>
      </c>
      <c r="E6" s="85" t="s">
        <v>162</v>
      </c>
    </row>
    <row r="7" spans="1:5" ht="16" customHeight="1">
      <c r="A7" s="9" t="s">
        <v>163</v>
      </c>
      <c r="B7" s="88" t="s">
        <v>164</v>
      </c>
      <c r="C7" s="54">
        <v>0</v>
      </c>
      <c r="D7" s="9" t="s">
        <v>161</v>
      </c>
      <c r="E7" s="85" t="s">
        <v>109</v>
      </c>
    </row>
    <row r="8" spans="1:5" ht="20.149999999999999" customHeight="1">
      <c r="A8" s="9" t="s">
        <v>209</v>
      </c>
      <c r="B8" s="88" t="s">
        <v>166</v>
      </c>
      <c r="C8" s="102">
        <f>'GS5039 ER Calcs'!D28</f>
        <v>0.95</v>
      </c>
      <c r="D8" s="9" t="s">
        <v>151</v>
      </c>
      <c r="E8" s="85" t="s">
        <v>210</v>
      </c>
    </row>
    <row r="9" spans="1:5">
      <c r="A9" s="1"/>
      <c r="B9" s="1"/>
      <c r="C9" s="1"/>
      <c r="D9" s="1"/>
      <c r="E9" s="88"/>
    </row>
    <row r="10" spans="1:5" s="32" customFormat="1">
      <c r="A10" s="137" t="s">
        <v>167</v>
      </c>
      <c r="B10" s="137" t="s">
        <v>146</v>
      </c>
      <c r="C10" s="137" t="s">
        <v>168</v>
      </c>
      <c r="D10" s="137" t="s">
        <v>148</v>
      </c>
      <c r="E10" s="139"/>
    </row>
    <row r="11" spans="1:5">
      <c r="A11" s="88" t="s">
        <v>169</v>
      </c>
      <c r="B11" s="9" t="s">
        <v>170</v>
      </c>
      <c r="C11" s="105">
        <f>C13-C12</f>
        <v>0.72</v>
      </c>
      <c r="D11" s="9" t="s">
        <v>171</v>
      </c>
      <c r="E11" s="88"/>
    </row>
    <row r="12" spans="1:5">
      <c r="A12" s="88" t="s">
        <v>211</v>
      </c>
      <c r="B12" s="9" t="s">
        <v>173</v>
      </c>
      <c r="C12" s="57">
        <v>0</v>
      </c>
      <c r="D12" s="9" t="s">
        <v>171</v>
      </c>
      <c r="E12" s="88" t="s">
        <v>174</v>
      </c>
    </row>
    <row r="13" spans="1:5">
      <c r="A13" s="88" t="s">
        <v>212</v>
      </c>
      <c r="B13" s="9" t="s">
        <v>176</v>
      </c>
      <c r="C13" s="478">
        <v>0.72</v>
      </c>
      <c r="D13" s="9" t="s">
        <v>171</v>
      </c>
      <c r="E13" s="88" t="s">
        <v>213</v>
      </c>
    </row>
    <row r="14" spans="1:5">
      <c r="A14" s="1"/>
      <c r="B14" s="1"/>
      <c r="C14" s="1"/>
      <c r="D14" s="1"/>
      <c r="E14" s="88"/>
    </row>
    <row r="15" spans="1:5" s="32" customFormat="1" ht="32.15" customHeight="1">
      <c r="A15" s="128" t="s">
        <v>178</v>
      </c>
      <c r="B15" s="137" t="s">
        <v>146</v>
      </c>
      <c r="C15" s="137" t="s">
        <v>179</v>
      </c>
      <c r="D15" s="137" t="s">
        <v>148</v>
      </c>
      <c r="E15" s="139"/>
    </row>
    <row r="16" spans="1:5">
      <c r="A16" s="88" t="s">
        <v>180</v>
      </c>
      <c r="B16" s="9" t="s">
        <v>181</v>
      </c>
      <c r="C16" s="105">
        <f>ROUNDDOWN(C17*(1-C18)*C19,0)</f>
        <v>2214</v>
      </c>
      <c r="D16" s="9" t="s">
        <v>182</v>
      </c>
      <c r="E16" s="88"/>
    </row>
    <row r="17" spans="1:5">
      <c r="A17" s="88" t="s">
        <v>183</v>
      </c>
      <c r="B17" s="9" t="s">
        <v>184</v>
      </c>
      <c r="C17" s="571">
        <f>'GS5039 PTDs'!H7</f>
        <v>2331</v>
      </c>
      <c r="D17" s="9" t="s">
        <v>182</v>
      </c>
      <c r="E17" s="88" t="s">
        <v>185</v>
      </c>
    </row>
    <row r="18" spans="1:5">
      <c r="A18" s="88" t="s">
        <v>94</v>
      </c>
      <c r="B18" s="9" t="s">
        <v>186</v>
      </c>
      <c r="C18" s="106">
        <f>'GS5039 ER Calcs'!D4</f>
        <v>0</v>
      </c>
      <c r="D18" s="9" t="s">
        <v>151</v>
      </c>
      <c r="E18" s="88" t="s">
        <v>174</v>
      </c>
    </row>
    <row r="19" spans="1:5" ht="18" customHeight="1">
      <c r="A19" s="88" t="s">
        <v>209</v>
      </c>
      <c r="B19" s="9" t="s">
        <v>166</v>
      </c>
      <c r="C19" s="107">
        <f>'GS5039 ER Calcs'!D28</f>
        <v>0.95</v>
      </c>
      <c r="D19" s="9" t="s">
        <v>151</v>
      </c>
      <c r="E19" s="85" t="s">
        <v>138</v>
      </c>
    </row>
    <row r="20" spans="1:5">
      <c r="A20" s="1"/>
      <c r="B20" s="1"/>
      <c r="C20" s="1"/>
      <c r="D20" s="1"/>
      <c r="E20" s="88"/>
    </row>
    <row r="21" spans="1:5" s="32" customFormat="1" ht="26.5" customHeight="1">
      <c r="A21" s="128" t="s">
        <v>187</v>
      </c>
      <c r="B21" s="137" t="s">
        <v>146</v>
      </c>
      <c r="C21" s="137"/>
      <c r="D21" s="137" t="s">
        <v>148</v>
      </c>
      <c r="E21" s="139"/>
    </row>
    <row r="22" spans="1:5">
      <c r="A22" s="88" t="s">
        <v>188</v>
      </c>
      <c r="B22" s="9" t="s">
        <v>189</v>
      </c>
      <c r="C22" s="108">
        <f>'GS5039 ER Calcs'!D37</f>
        <v>4089</v>
      </c>
      <c r="D22" s="9" t="s">
        <v>190</v>
      </c>
      <c r="E22" s="88" t="s">
        <v>191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895EA-FD2F-461D-8861-1740E846EBA5}">
  <dimension ref="A1:O34"/>
  <sheetViews>
    <sheetView topLeftCell="A2" workbookViewId="0">
      <selection sqref="A1:D1"/>
    </sheetView>
  </sheetViews>
  <sheetFormatPr defaultRowHeight="14.5"/>
  <cols>
    <col min="1" max="1" width="39" bestFit="1" customWidth="1"/>
    <col min="4" max="4" width="9.7265625" customWidth="1"/>
  </cols>
  <sheetData>
    <row r="1" spans="1:15" ht="37" customHeight="1" thickBot="1">
      <c r="A1" s="521" t="s">
        <v>214</v>
      </c>
      <c r="B1" s="522"/>
      <c r="C1" s="522"/>
      <c r="D1" s="522"/>
      <c r="E1" s="4"/>
      <c r="F1" s="4"/>
      <c r="G1" s="4"/>
      <c r="H1" s="521" t="s">
        <v>16</v>
      </c>
      <c r="I1" s="522"/>
      <c r="J1" s="522"/>
      <c r="K1" s="522"/>
      <c r="L1" s="522"/>
      <c r="M1" s="522"/>
      <c r="N1" s="522"/>
    </row>
    <row r="2" spans="1:15" ht="1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</row>
    <row r="3" spans="1:15" ht="14.5" customHeight="1">
      <c r="A3" s="523" t="s">
        <v>17</v>
      </c>
      <c r="B3" s="524"/>
      <c r="C3" s="524"/>
      <c r="D3" s="524"/>
      <c r="E3" s="2"/>
      <c r="F3" s="4"/>
      <c r="G3" s="4"/>
      <c r="H3" s="528" t="s">
        <v>18</v>
      </c>
      <c r="I3" s="529"/>
      <c r="J3" s="529"/>
      <c r="K3" s="529"/>
      <c r="L3" s="529"/>
      <c r="M3" s="529"/>
      <c r="N3" s="529"/>
    </row>
    <row r="4" spans="1:15" ht="29">
      <c r="A4" s="518" t="s">
        <v>19</v>
      </c>
      <c r="B4" s="519"/>
      <c r="C4" s="519"/>
      <c r="D4" s="519"/>
      <c r="E4" s="2"/>
      <c r="F4" s="4"/>
      <c r="G4" s="4"/>
      <c r="H4" s="6" t="s">
        <v>20</v>
      </c>
      <c r="I4" s="7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6" t="s">
        <v>26</v>
      </c>
      <c r="O4" s="6" t="s">
        <v>27</v>
      </c>
    </row>
    <row r="5" spans="1:15">
      <c r="A5" s="8" t="s">
        <v>28</v>
      </c>
      <c r="B5" s="9" t="s">
        <v>29</v>
      </c>
      <c r="C5" s="9" t="s">
        <v>30</v>
      </c>
      <c r="D5" s="10">
        <f>'GS5040 ER Calcs'!J26</f>
        <v>1833</v>
      </c>
      <c r="E5" s="2"/>
      <c r="F5" s="4"/>
      <c r="G5" s="4"/>
      <c r="H5" s="11">
        <v>2016</v>
      </c>
      <c r="I5" s="110">
        <v>294</v>
      </c>
      <c r="J5" s="110"/>
      <c r="K5" s="110"/>
      <c r="L5" s="110"/>
      <c r="M5" s="384"/>
      <c r="N5" s="382"/>
      <c r="O5" s="20">
        <f>SUM(I5:L5)</f>
        <v>294</v>
      </c>
    </row>
    <row r="6" spans="1:15">
      <c r="A6" s="8" t="s">
        <v>31</v>
      </c>
      <c r="B6" s="9" t="s">
        <v>32</v>
      </c>
      <c r="C6" s="9" t="s">
        <v>30</v>
      </c>
      <c r="D6" s="10">
        <f>'GS5040 ER Calcs'!J27</f>
        <v>0</v>
      </c>
      <c r="E6" s="2"/>
      <c r="F6" s="4"/>
      <c r="G6" s="4"/>
      <c r="H6" s="11">
        <v>2017</v>
      </c>
      <c r="I6" s="110">
        <v>7947</v>
      </c>
      <c r="J6" s="110">
        <v>2053</v>
      </c>
      <c r="K6" s="110"/>
      <c r="L6" s="110"/>
      <c r="M6" s="384"/>
      <c r="N6" s="382"/>
      <c r="O6" s="20">
        <f>SUM(I6:L6)</f>
        <v>10000</v>
      </c>
    </row>
    <row r="7" spans="1:15">
      <c r="A7" s="8" t="s">
        <v>33</v>
      </c>
      <c r="B7" s="9" t="s">
        <v>34</v>
      </c>
      <c r="C7" s="9" t="s">
        <v>35</v>
      </c>
      <c r="D7" s="252">
        <f>'GS5040 ER Calcs'!J28</f>
        <v>0.95</v>
      </c>
      <c r="E7" s="2"/>
      <c r="F7" s="4"/>
      <c r="G7" s="4"/>
      <c r="H7" s="11">
        <v>2018</v>
      </c>
      <c r="I7" s="110"/>
      <c r="J7" s="110">
        <v>10000</v>
      </c>
      <c r="K7" s="110"/>
      <c r="L7" s="110"/>
      <c r="M7" s="384"/>
      <c r="N7" s="382"/>
      <c r="O7" s="20">
        <f>SUM(I7:L7)</f>
        <v>10000</v>
      </c>
    </row>
    <row r="8" spans="1:15">
      <c r="A8" s="8" t="s">
        <v>36</v>
      </c>
      <c r="B8" s="9" t="s">
        <v>37</v>
      </c>
      <c r="C8" s="9" t="s">
        <v>30</v>
      </c>
      <c r="D8" s="10">
        <f>'GS5040 ER Calcs'!J29</f>
        <v>0</v>
      </c>
      <c r="E8" s="2"/>
      <c r="F8" s="4"/>
      <c r="G8" s="4"/>
      <c r="H8" s="11">
        <v>2019</v>
      </c>
      <c r="I8" s="110"/>
      <c r="J8" s="110">
        <v>4137</v>
      </c>
      <c r="K8" s="110">
        <v>1584</v>
      </c>
      <c r="L8" s="110"/>
      <c r="M8" s="384"/>
      <c r="N8" s="382"/>
      <c r="O8" s="20">
        <f>SUM(I8:L8)</f>
        <v>5721</v>
      </c>
    </row>
    <row r="9" spans="1:15">
      <c r="A9" s="8"/>
      <c r="B9" s="9"/>
      <c r="C9" s="9"/>
      <c r="D9" s="14"/>
      <c r="E9" s="2"/>
      <c r="F9" s="4"/>
      <c r="G9" s="4"/>
      <c r="H9" s="11">
        <v>2020</v>
      </c>
      <c r="I9" s="110"/>
      <c r="J9" s="110"/>
      <c r="K9" s="110">
        <v>1125</v>
      </c>
      <c r="L9" s="254">
        <v>1500</v>
      </c>
      <c r="M9" s="385"/>
      <c r="N9" s="382"/>
      <c r="O9" s="20">
        <f>SUM(I9:L9)</f>
        <v>2625</v>
      </c>
    </row>
    <row r="10" spans="1:15">
      <c r="A10" s="8" t="s">
        <v>38</v>
      </c>
      <c r="B10" s="9" t="s">
        <v>39</v>
      </c>
      <c r="C10" s="9" t="s">
        <v>30</v>
      </c>
      <c r="D10" s="10">
        <f>'GS5040 ER Calcs'!J30</f>
        <v>1741</v>
      </c>
      <c r="E10" s="2"/>
      <c r="F10" s="4"/>
      <c r="G10" s="4"/>
      <c r="H10" s="130">
        <v>2021</v>
      </c>
      <c r="I10" s="110"/>
      <c r="J10" s="110"/>
      <c r="K10" s="57"/>
      <c r="L10" s="254">
        <v>1065</v>
      </c>
      <c r="M10" s="385">
        <v>1594</v>
      </c>
      <c r="N10" s="382"/>
      <c r="O10" s="20">
        <f>SUM(I10:M10)</f>
        <v>2659</v>
      </c>
    </row>
    <row r="11" spans="1:15">
      <c r="A11" s="518" t="s">
        <v>40</v>
      </c>
      <c r="B11" s="519"/>
      <c r="C11" s="519"/>
      <c r="D11" s="519"/>
      <c r="E11" s="2"/>
      <c r="F11" s="4"/>
      <c r="G11" s="4"/>
      <c r="H11" s="11">
        <v>2022</v>
      </c>
      <c r="I11" s="110"/>
      <c r="J11" s="110"/>
      <c r="K11" s="57"/>
      <c r="L11" s="254"/>
      <c r="M11" s="385">
        <v>1124</v>
      </c>
      <c r="N11" s="383">
        <f>D32</f>
        <v>1741</v>
      </c>
      <c r="O11" s="20">
        <f>SUM(I11:N11)</f>
        <v>2865</v>
      </c>
    </row>
    <row r="12" spans="1:15">
      <c r="A12" s="15" t="s">
        <v>41</v>
      </c>
      <c r="B12" s="9"/>
      <c r="C12" s="16"/>
      <c r="D12" s="17">
        <f>'GS5040 ER Calcs'!J33</f>
        <v>1</v>
      </c>
      <c r="E12" s="2"/>
      <c r="F12" s="4"/>
      <c r="G12" s="4"/>
      <c r="N12" s="383">
        <f>D33</f>
        <v>2400</v>
      </c>
      <c r="O12" s="20">
        <f>SUM(I12:N12)</f>
        <v>2400</v>
      </c>
    </row>
    <row r="13" spans="1:15">
      <c r="A13" s="15" t="s">
        <v>43</v>
      </c>
      <c r="B13" s="9" t="s">
        <v>42</v>
      </c>
      <c r="C13" s="16" t="s">
        <v>44</v>
      </c>
      <c r="D13" s="17">
        <f>'GS5040 ER Calcs'!J34</f>
        <v>0</v>
      </c>
      <c r="E13" s="2"/>
      <c r="F13" s="4"/>
      <c r="G13" s="4"/>
      <c r="H13" s="131" t="s">
        <v>13</v>
      </c>
      <c r="I13" s="18">
        <f>SUM(I5:I10)</f>
        <v>8241</v>
      </c>
      <c r="J13" s="18">
        <f>SUM(J5:J10)</f>
        <v>16190</v>
      </c>
      <c r="K13" s="18">
        <f>SUM(K5:K11)</f>
        <v>2709</v>
      </c>
      <c r="L13" s="18">
        <f>SUM(L5:L11)</f>
        <v>2565</v>
      </c>
      <c r="M13" s="18">
        <f>SUM(M5:M12)</f>
        <v>2718</v>
      </c>
      <c r="N13" s="131">
        <f>SUM(N5:N12)</f>
        <v>4141</v>
      </c>
      <c r="O13" s="18">
        <f>SUM(O5:O12)</f>
        <v>36564</v>
      </c>
    </row>
    <row r="14" spans="1:15" ht="15" thickBot="1">
      <c r="A14" s="21" t="s">
        <v>38</v>
      </c>
      <c r="B14" s="22" t="s">
        <v>39</v>
      </c>
      <c r="C14" s="22" t="s">
        <v>30</v>
      </c>
      <c r="D14" s="236">
        <f>'GS5040 ER Calcs'!J35</f>
        <v>1741</v>
      </c>
      <c r="E14" s="2"/>
      <c r="F14" s="4"/>
      <c r="G14" s="4"/>
      <c r="H14" s="4"/>
      <c r="I14" s="4"/>
      <c r="J14" s="4"/>
      <c r="K14" s="4"/>
      <c r="L14" s="4"/>
      <c r="M14" s="4"/>
      <c r="N14" s="2"/>
    </row>
    <row r="15" spans="1:15" ht="15" thickBot="1">
      <c r="A15" s="21" t="s">
        <v>45</v>
      </c>
      <c r="B15" s="22" t="s">
        <v>39</v>
      </c>
      <c r="C15" s="22" t="s">
        <v>30</v>
      </c>
      <c r="D15" s="23">
        <f>'GS5040 ER Calcs'!J37</f>
        <v>1741</v>
      </c>
      <c r="E15" s="2"/>
      <c r="F15" s="4"/>
      <c r="G15" s="4"/>
      <c r="H15" s="4"/>
      <c r="I15" s="4"/>
      <c r="J15" s="4"/>
      <c r="K15" s="4"/>
      <c r="L15" s="4"/>
      <c r="M15" s="4"/>
      <c r="N15" s="2"/>
    </row>
    <row r="16" spans="1:15" ht="15" thickBot="1">
      <c r="A16" s="4"/>
      <c r="B16" s="4"/>
      <c r="C16" s="4"/>
      <c r="D16" s="4"/>
      <c r="E16" s="2"/>
      <c r="F16" s="4"/>
      <c r="G16" s="4"/>
      <c r="H16" s="4"/>
      <c r="I16" s="4"/>
      <c r="J16" s="4"/>
      <c r="K16" s="4"/>
      <c r="L16" s="4"/>
      <c r="M16" s="4"/>
      <c r="N16" s="2"/>
    </row>
    <row r="17" spans="1:14" ht="14.5" customHeight="1">
      <c r="A17" s="523" t="s">
        <v>46</v>
      </c>
      <c r="B17" s="524"/>
      <c r="C17" s="524"/>
      <c r="D17" s="524"/>
      <c r="E17" s="4"/>
      <c r="F17" s="4"/>
      <c r="G17" s="4"/>
      <c r="H17" s="4"/>
      <c r="I17" s="4"/>
      <c r="J17" s="4"/>
      <c r="K17" s="4"/>
      <c r="L17" s="4"/>
      <c r="M17" s="4"/>
      <c r="N17" s="2"/>
    </row>
    <row r="18" spans="1:14">
      <c r="A18" s="518" t="s">
        <v>19</v>
      </c>
      <c r="B18" s="519"/>
      <c r="C18" s="519"/>
      <c r="D18" s="519"/>
      <c r="E18" s="4"/>
      <c r="F18" s="4"/>
      <c r="G18" s="4"/>
      <c r="H18" s="4"/>
      <c r="I18" s="4"/>
      <c r="J18" s="4"/>
      <c r="K18" s="4"/>
      <c r="L18" s="4"/>
      <c r="M18" s="4"/>
      <c r="N18" s="2"/>
    </row>
    <row r="19" spans="1:14">
      <c r="A19" s="8" t="s">
        <v>28</v>
      </c>
      <c r="B19" s="9" t="s">
        <v>29</v>
      </c>
      <c r="C19" s="9" t="s">
        <v>30</v>
      </c>
      <c r="D19" s="10">
        <f>'GS5040 ER Calcs'!O26</f>
        <v>2527</v>
      </c>
      <c r="E19" s="4"/>
      <c r="F19" s="4"/>
      <c r="G19" s="4"/>
      <c r="H19" s="4"/>
      <c r="I19" s="4"/>
      <c r="J19" s="4"/>
      <c r="K19" s="4"/>
      <c r="L19" s="4"/>
      <c r="M19" s="4"/>
      <c r="N19" s="2"/>
    </row>
    <row r="20" spans="1:14">
      <c r="A20" s="8" t="s">
        <v>31</v>
      </c>
      <c r="B20" s="9" t="s">
        <v>32</v>
      </c>
      <c r="C20" s="9" t="s">
        <v>30</v>
      </c>
      <c r="D20" s="10">
        <f>'GS5040 ER Calcs'!O27</f>
        <v>0</v>
      </c>
      <c r="E20" s="4"/>
      <c r="F20" s="4"/>
      <c r="G20" s="4"/>
      <c r="H20" s="4"/>
      <c r="I20" s="4"/>
      <c r="J20" s="4"/>
      <c r="K20" s="4"/>
      <c r="L20" s="4"/>
      <c r="M20" s="4"/>
      <c r="N20" s="2"/>
    </row>
    <row r="21" spans="1:14">
      <c r="A21" s="8" t="s">
        <v>33</v>
      </c>
      <c r="B21" s="9" t="s">
        <v>34</v>
      </c>
      <c r="C21" s="9" t="s">
        <v>35</v>
      </c>
      <c r="D21" s="252">
        <f>'GS5040 ER Calcs'!O28</f>
        <v>0.95</v>
      </c>
      <c r="E21" s="4"/>
      <c r="F21" s="4"/>
      <c r="G21" s="4"/>
      <c r="H21" s="4"/>
      <c r="I21" s="4"/>
      <c r="J21" s="4"/>
      <c r="K21" s="4"/>
      <c r="L21" s="4"/>
      <c r="M21" s="4"/>
      <c r="N21" s="2"/>
    </row>
    <row r="22" spans="1:14">
      <c r="A22" s="8" t="s">
        <v>36</v>
      </c>
      <c r="B22" s="9" t="s">
        <v>37</v>
      </c>
      <c r="C22" s="9" t="s">
        <v>30</v>
      </c>
      <c r="D22" s="10">
        <f>'GS5040 ER Calcs'!O29</f>
        <v>0</v>
      </c>
      <c r="E22" s="4"/>
      <c r="F22" s="4"/>
      <c r="G22" s="4"/>
      <c r="H22" s="4"/>
      <c r="I22" s="4"/>
      <c r="J22" s="4"/>
      <c r="K22" s="4"/>
      <c r="L22" s="4"/>
      <c r="M22" s="4"/>
      <c r="N22" s="2"/>
    </row>
    <row r="23" spans="1:14">
      <c r="A23" s="8" t="s">
        <v>38</v>
      </c>
      <c r="B23" s="9" t="s">
        <v>39</v>
      </c>
      <c r="C23" s="9" t="s">
        <v>30</v>
      </c>
      <c r="D23" s="10">
        <f>'GS5040 ER Calcs'!O30</f>
        <v>2400</v>
      </c>
      <c r="E23" s="4"/>
      <c r="F23" s="4"/>
      <c r="G23" s="4"/>
      <c r="H23" s="4"/>
      <c r="I23" s="4"/>
      <c r="J23" s="4"/>
      <c r="K23" s="4"/>
      <c r="L23" s="4"/>
      <c r="M23" s="4"/>
      <c r="N23" s="2"/>
    </row>
    <row r="24" spans="1:14">
      <c r="A24" s="518" t="s">
        <v>40</v>
      </c>
      <c r="B24" s="519"/>
      <c r="C24" s="519"/>
      <c r="D24" s="519"/>
      <c r="E24" s="4"/>
      <c r="F24" s="4"/>
      <c r="G24" s="4"/>
      <c r="H24" s="4"/>
      <c r="I24" s="4"/>
      <c r="J24" s="4"/>
      <c r="K24" s="4"/>
      <c r="L24" s="4"/>
      <c r="M24" s="4"/>
      <c r="N24" s="2"/>
    </row>
    <row r="25" spans="1:14">
      <c r="A25" s="15" t="s">
        <v>41</v>
      </c>
      <c r="B25" s="9" t="s">
        <v>42</v>
      </c>
      <c r="C25" s="16"/>
      <c r="D25" s="17">
        <f>'GS5040 ER Calcs'!O33</f>
        <v>1</v>
      </c>
      <c r="E25" s="4"/>
      <c r="F25" s="4"/>
      <c r="G25" s="4"/>
      <c r="H25" s="4"/>
      <c r="I25" s="4"/>
      <c r="J25" s="4"/>
      <c r="K25" s="4"/>
      <c r="L25" s="4"/>
      <c r="M25" s="4"/>
      <c r="N25" s="2"/>
    </row>
    <row r="26" spans="1:14">
      <c r="A26" s="15" t="s">
        <v>43</v>
      </c>
      <c r="B26" s="2"/>
      <c r="C26" s="16" t="s">
        <v>44</v>
      </c>
      <c r="D26" s="17">
        <f>'GS5040 ER Calcs'!O34</f>
        <v>0</v>
      </c>
      <c r="E26" s="4"/>
      <c r="F26" s="4"/>
      <c r="G26" s="4"/>
      <c r="H26" s="4"/>
      <c r="I26" s="4"/>
      <c r="J26" s="4"/>
      <c r="K26" s="4"/>
      <c r="L26" s="4"/>
      <c r="M26" s="4"/>
      <c r="N26" s="2"/>
    </row>
    <row r="27" spans="1:14" ht="15" thickBot="1">
      <c r="A27" s="21" t="s">
        <v>38</v>
      </c>
      <c r="B27" s="22" t="s">
        <v>39</v>
      </c>
      <c r="C27" s="22" t="s">
        <v>30</v>
      </c>
      <c r="D27" s="236">
        <f>'GS5040 ER Calcs'!O35</f>
        <v>2400</v>
      </c>
      <c r="E27" s="4"/>
      <c r="F27" s="4"/>
      <c r="G27" s="4"/>
      <c r="H27" s="4"/>
      <c r="I27" s="4"/>
      <c r="J27" s="4"/>
      <c r="K27" s="4"/>
      <c r="L27" s="4"/>
      <c r="M27" s="4"/>
      <c r="N27" s="2"/>
    </row>
    <row r="28" spans="1:14" ht="15" thickBot="1">
      <c r="A28" s="21" t="s">
        <v>45</v>
      </c>
      <c r="B28" s="22" t="s">
        <v>39</v>
      </c>
      <c r="C28" s="22" t="s">
        <v>30</v>
      </c>
      <c r="D28" s="23">
        <f>'GS5040 ER Calcs'!O37</f>
        <v>2400</v>
      </c>
      <c r="E28" s="4"/>
      <c r="F28" s="4"/>
      <c r="G28" s="4"/>
      <c r="H28" s="4"/>
      <c r="I28" s="4"/>
      <c r="J28" s="4"/>
      <c r="K28" s="4"/>
      <c r="L28" s="4"/>
      <c r="M28" s="4"/>
      <c r="N28" s="2"/>
    </row>
    <row r="29" spans="1:14" ht="15" thickBot="1">
      <c r="A29" s="2"/>
      <c r="B29" s="508"/>
      <c r="C29" s="508"/>
      <c r="D29" s="2"/>
      <c r="E29" s="4"/>
      <c r="F29" s="4"/>
      <c r="G29" s="4"/>
      <c r="H29" s="4"/>
      <c r="I29" s="4"/>
      <c r="J29" s="4"/>
      <c r="K29" s="4"/>
      <c r="L29" s="4"/>
      <c r="M29" s="4"/>
      <c r="N29" s="2"/>
    </row>
    <row r="30" spans="1:14" ht="15.65" customHeight="1">
      <c r="A30" s="509" t="s">
        <v>47</v>
      </c>
      <c r="B30" s="510"/>
      <c r="C30" s="510"/>
      <c r="D30" s="510"/>
      <c r="E30" s="2"/>
      <c r="F30" s="2"/>
      <c r="G30" s="507"/>
      <c r="H30" s="507"/>
      <c r="I30" s="2"/>
      <c r="J30" s="2"/>
      <c r="K30" s="2"/>
      <c r="L30" s="2"/>
      <c r="M30" s="2"/>
      <c r="N30" s="2"/>
    </row>
    <row r="31" spans="1:14">
      <c r="A31" s="511" t="s">
        <v>19</v>
      </c>
      <c r="B31" s="512"/>
      <c r="C31" s="512"/>
      <c r="D31" s="512"/>
      <c r="E31" s="2"/>
      <c r="F31" s="2"/>
      <c r="G31" s="507"/>
      <c r="H31" s="507"/>
      <c r="I31" s="2"/>
      <c r="J31" s="2"/>
      <c r="K31" s="2"/>
      <c r="L31" s="2"/>
      <c r="M31" s="2"/>
      <c r="N31" s="2"/>
    </row>
    <row r="32" spans="1:14" ht="14.5" customHeight="1">
      <c r="A32" s="513">
        <v>2022</v>
      </c>
      <c r="B32" s="514"/>
      <c r="C32" s="514"/>
      <c r="D32" s="25">
        <f>D15</f>
        <v>1741</v>
      </c>
      <c r="E32" s="2"/>
      <c r="F32" s="2"/>
      <c r="G32" s="507"/>
      <c r="H32" s="507"/>
      <c r="I32" s="2"/>
      <c r="J32" s="2"/>
      <c r="K32" s="2"/>
      <c r="L32" s="2"/>
      <c r="M32" s="2"/>
      <c r="N32" s="2"/>
    </row>
    <row r="33" spans="1:14" ht="15" thickBot="1">
      <c r="A33" s="515">
        <v>2023</v>
      </c>
      <c r="B33" s="516"/>
      <c r="C33" s="516"/>
      <c r="D33" s="26">
        <f>D28</f>
        <v>2400</v>
      </c>
      <c r="E33" s="2"/>
      <c r="F33" s="2"/>
      <c r="G33" s="507"/>
      <c r="H33" s="507"/>
      <c r="I33" s="2"/>
      <c r="J33" s="2"/>
      <c r="K33" s="2"/>
      <c r="L33" s="2"/>
      <c r="M33" s="2"/>
      <c r="N33" s="2"/>
    </row>
    <row r="34" spans="1:14" ht="17.5" customHeight="1" thickBot="1">
      <c r="A34" s="27" t="s">
        <v>48</v>
      </c>
      <c r="B34" s="29"/>
      <c r="C34" s="30"/>
      <c r="D34" s="31">
        <f>D32+D33</f>
        <v>4141</v>
      </c>
      <c r="E34" s="2"/>
      <c r="F34" s="2"/>
      <c r="G34" s="507"/>
      <c r="H34" s="507"/>
      <c r="I34" s="2"/>
      <c r="J34" s="2"/>
      <c r="K34" s="2"/>
      <c r="L34" s="2"/>
      <c r="M34" s="2"/>
      <c r="N34" s="2"/>
    </row>
  </sheetData>
  <mergeCells count="19">
    <mergeCell ref="G30:H30"/>
    <mergeCell ref="A1:D1"/>
    <mergeCell ref="H1:N1"/>
    <mergeCell ref="A3:D3"/>
    <mergeCell ref="H3:N3"/>
    <mergeCell ref="A4:D4"/>
    <mergeCell ref="A11:D11"/>
    <mergeCell ref="A17:D17"/>
    <mergeCell ref="A18:D18"/>
    <mergeCell ref="A24:D24"/>
    <mergeCell ref="B29:C29"/>
    <mergeCell ref="A30:D30"/>
    <mergeCell ref="G34:H34"/>
    <mergeCell ref="A31:D31"/>
    <mergeCell ref="G31:H31"/>
    <mergeCell ref="A32:C32"/>
    <mergeCell ref="G32:H32"/>
    <mergeCell ref="A33:C33"/>
    <mergeCell ref="G33:H33"/>
  </mergeCells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1DA1D-48CB-4477-9371-2D70494857F4}">
  <dimension ref="A1:P29"/>
  <sheetViews>
    <sheetView workbookViewId="0">
      <selection activeCell="B14" sqref="B14"/>
    </sheetView>
  </sheetViews>
  <sheetFormatPr defaultRowHeight="14.5"/>
  <cols>
    <col min="1" max="1" width="29.1796875" customWidth="1"/>
    <col min="2" max="2" width="16.453125" customWidth="1"/>
    <col min="3" max="3" width="15.1796875" bestFit="1" customWidth="1"/>
    <col min="4" max="4" width="16.54296875" customWidth="1"/>
    <col min="5" max="5" width="14.7265625" customWidth="1"/>
    <col min="6" max="6" width="17.1796875" bestFit="1" customWidth="1"/>
    <col min="7" max="7" width="18.26953125" customWidth="1"/>
    <col min="8" max="8" width="15.54296875" customWidth="1"/>
    <col min="9" max="9" width="17.81640625" customWidth="1"/>
    <col min="11" max="11" width="11.54296875" customWidth="1"/>
    <col min="13" max="13" width="9.81640625" customWidth="1"/>
    <col min="14" max="14" width="10.26953125" customWidth="1"/>
    <col min="15" max="15" width="11.453125" customWidth="1"/>
  </cols>
  <sheetData>
    <row r="1" spans="1:16" ht="43.5">
      <c r="A1" s="48" t="s">
        <v>0</v>
      </c>
      <c r="B1" s="49" t="s">
        <v>49</v>
      </c>
      <c r="C1" s="49" t="s">
        <v>50</v>
      </c>
      <c r="D1" s="49" t="s">
        <v>51</v>
      </c>
      <c r="E1" s="49" t="s">
        <v>52</v>
      </c>
      <c r="F1" s="49" t="s">
        <v>192</v>
      </c>
      <c r="G1" s="49" t="s">
        <v>53</v>
      </c>
      <c r="H1" s="50" t="s">
        <v>54</v>
      </c>
      <c r="I1" s="50" t="s">
        <v>11</v>
      </c>
      <c r="J1" s="2"/>
      <c r="K1" s="51" t="s">
        <v>55</v>
      </c>
      <c r="L1" s="52" t="s">
        <v>56</v>
      </c>
      <c r="M1" s="5" t="s">
        <v>57</v>
      </c>
      <c r="N1" s="53" t="s">
        <v>58</v>
      </c>
      <c r="O1" s="50" t="s">
        <v>59</v>
      </c>
    </row>
    <row r="2" spans="1:16" ht="15.5">
      <c r="A2" s="530" t="s">
        <v>215</v>
      </c>
      <c r="B2" s="9" t="s">
        <v>216</v>
      </c>
      <c r="C2" s="54" t="s">
        <v>217</v>
      </c>
      <c r="D2" s="9">
        <v>14.600440000000001</v>
      </c>
      <c r="E2" s="9">
        <v>39.464060000000003</v>
      </c>
      <c r="F2" s="55">
        <v>42665</v>
      </c>
      <c r="G2" s="9">
        <v>55</v>
      </c>
      <c r="H2" s="9">
        <v>200</v>
      </c>
      <c r="I2" s="476">
        <f>IF(H2&lt;371,H2,371)</f>
        <v>200</v>
      </c>
      <c r="J2" s="2"/>
      <c r="K2" s="359">
        <f>$E$19</f>
        <v>203.29999999999998</v>
      </c>
      <c r="L2" s="277">
        <f>K2*I2</f>
        <v>40660</v>
      </c>
      <c r="M2" s="287">
        <f>$E$20</f>
        <v>280.25</v>
      </c>
      <c r="N2" s="278">
        <f>M2*I2</f>
        <v>56050</v>
      </c>
      <c r="O2" s="279">
        <f>L2+N2</f>
        <v>96710</v>
      </c>
    </row>
    <row r="3" spans="1:16" ht="15.5">
      <c r="A3" s="531"/>
      <c r="B3" s="9" t="s">
        <v>218</v>
      </c>
      <c r="C3" s="54" t="s">
        <v>219</v>
      </c>
      <c r="D3" s="9">
        <v>14.619160000000001</v>
      </c>
      <c r="E3" s="9">
        <v>39.45731</v>
      </c>
      <c r="F3" s="55">
        <v>42666</v>
      </c>
      <c r="G3" s="9">
        <v>152</v>
      </c>
      <c r="H3" s="9">
        <v>645</v>
      </c>
      <c r="I3" s="476">
        <v>355</v>
      </c>
      <c r="J3" s="133"/>
      <c r="K3" s="359">
        <f>$E$19</f>
        <v>203.29999999999998</v>
      </c>
      <c r="L3" s="277">
        <f t="shared" ref="L3:L6" si="0">K3*I3</f>
        <v>72171.5</v>
      </c>
      <c r="M3" s="287">
        <f>$E$20</f>
        <v>280.25</v>
      </c>
      <c r="N3" s="278">
        <f t="shared" ref="N3:N6" si="1">M3*I3</f>
        <v>99488.75</v>
      </c>
      <c r="O3" s="279">
        <f>L3+N3</f>
        <v>171660.25</v>
      </c>
    </row>
    <row r="4" spans="1:16" ht="15.5">
      <c r="A4" s="531"/>
      <c r="B4" s="9" t="s">
        <v>220</v>
      </c>
      <c r="C4" s="9" t="s">
        <v>221</v>
      </c>
      <c r="D4" s="9">
        <v>14.521739999999999</v>
      </c>
      <c r="E4" s="9">
        <v>38.788469999999997</v>
      </c>
      <c r="F4" s="55">
        <v>42731</v>
      </c>
      <c r="G4" s="9">
        <v>120</v>
      </c>
      <c r="H4" s="9">
        <v>450</v>
      </c>
      <c r="I4" s="476">
        <f>IF(H4&lt;336,H4,336)</f>
        <v>336</v>
      </c>
      <c r="J4" s="133"/>
      <c r="K4" s="359">
        <f>$E$19</f>
        <v>203.29999999999998</v>
      </c>
      <c r="L4" s="277">
        <f t="shared" si="0"/>
        <v>68308.799999999988</v>
      </c>
      <c r="M4" s="287">
        <f>$E$20</f>
        <v>280.25</v>
      </c>
      <c r="N4" s="278">
        <f t="shared" si="1"/>
        <v>94164</v>
      </c>
      <c r="O4" s="279">
        <f>L4+N4</f>
        <v>162472.79999999999</v>
      </c>
    </row>
    <row r="5" spans="1:16" ht="15.5">
      <c r="A5" s="531"/>
      <c r="B5" s="9" t="s">
        <v>222</v>
      </c>
      <c r="C5" s="9" t="s">
        <v>223</v>
      </c>
      <c r="D5" s="9">
        <v>14.536250000000001</v>
      </c>
      <c r="E5" s="9">
        <v>38.711190000000002</v>
      </c>
      <c r="F5" s="55">
        <v>42732</v>
      </c>
      <c r="G5" s="9">
        <v>99</v>
      </c>
      <c r="H5" s="9">
        <v>394</v>
      </c>
      <c r="I5" s="476">
        <f>IF(H5&lt;371,H5,371)</f>
        <v>371</v>
      </c>
      <c r="J5" s="133"/>
      <c r="K5" s="359">
        <f>$E$19</f>
        <v>203.29999999999998</v>
      </c>
      <c r="L5" s="277">
        <f t="shared" si="0"/>
        <v>75424.299999999988</v>
      </c>
      <c r="M5" s="287">
        <f>$E$20</f>
        <v>280.25</v>
      </c>
      <c r="N5" s="278">
        <f t="shared" si="1"/>
        <v>103972.75</v>
      </c>
      <c r="O5" s="279">
        <f>L5+N5</f>
        <v>179397.05</v>
      </c>
    </row>
    <row r="6" spans="1:16" ht="15.5">
      <c r="A6" s="532"/>
      <c r="B6" s="9" t="s">
        <v>224</v>
      </c>
      <c r="C6" s="9" t="s">
        <v>225</v>
      </c>
      <c r="D6" s="58">
        <v>14.70787</v>
      </c>
      <c r="E6" s="58">
        <v>38.847749999999998</v>
      </c>
      <c r="F6" s="55">
        <v>42759</v>
      </c>
      <c r="G6" s="9">
        <v>209</v>
      </c>
      <c r="H6" s="9">
        <v>703</v>
      </c>
      <c r="I6" s="476">
        <f>IF(H6&lt;371,H6,371)</f>
        <v>371</v>
      </c>
      <c r="J6" s="133"/>
      <c r="K6" s="359">
        <f>$E$19</f>
        <v>203.29999999999998</v>
      </c>
      <c r="L6" s="277">
        <f t="shared" si="0"/>
        <v>75424.299999999988</v>
      </c>
      <c r="M6" s="287">
        <f>$E$20</f>
        <v>280.25</v>
      </c>
      <c r="N6" s="278">
        <f t="shared" si="1"/>
        <v>103972.75</v>
      </c>
      <c r="O6" s="279">
        <f>L6+N6</f>
        <v>179397.05</v>
      </c>
    </row>
    <row r="7" spans="1:16" ht="15" thickBot="1">
      <c r="A7" s="118"/>
      <c r="B7" s="1"/>
      <c r="C7" s="2"/>
      <c r="D7" s="2"/>
      <c r="E7" s="2"/>
      <c r="F7" s="62"/>
      <c r="G7" s="63" t="s">
        <v>13</v>
      </c>
      <c r="H7" s="64">
        <f>SUM(H2:H6)</f>
        <v>2392</v>
      </c>
      <c r="I7" s="64">
        <f>SUM(I2:I6)</f>
        <v>1633</v>
      </c>
      <c r="J7" s="2"/>
      <c r="K7" s="2"/>
      <c r="L7" s="119">
        <f>SUM(L2:L6)</f>
        <v>331988.89999999997</v>
      </c>
      <c r="M7" s="119"/>
      <c r="N7" s="119">
        <f>SUM(N2:N6)</f>
        <v>457648.25</v>
      </c>
      <c r="O7" s="119">
        <f>SUM(O2:O6)</f>
        <v>789637.14999999991</v>
      </c>
      <c r="P7" t="s">
        <v>205</v>
      </c>
    </row>
    <row r="8" spans="1:16">
      <c r="A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6" ht="15" thickBo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6" ht="43.5">
      <c r="C10" s="67"/>
      <c r="D10" s="2"/>
      <c r="E10" s="2"/>
      <c r="F10" s="2"/>
      <c r="G10" s="2"/>
      <c r="H10" s="2"/>
      <c r="I10" s="2"/>
      <c r="J10" s="2"/>
      <c r="K10" s="51" t="s">
        <v>55</v>
      </c>
      <c r="L10" s="52" t="s">
        <v>56</v>
      </c>
      <c r="M10" s="5" t="s">
        <v>57</v>
      </c>
      <c r="N10" s="53" t="s">
        <v>58</v>
      </c>
      <c r="O10" s="50" t="s">
        <v>59</v>
      </c>
    </row>
    <row r="11" spans="1:16" ht="15" thickBot="1">
      <c r="B11" s="66" t="s">
        <v>76</v>
      </c>
      <c r="C11" s="2"/>
      <c r="D11" s="2"/>
      <c r="E11" s="2"/>
      <c r="F11" s="2"/>
      <c r="G11" s="2"/>
      <c r="H11" s="2"/>
      <c r="I11" s="2"/>
      <c r="J11" s="2"/>
      <c r="K11" s="359">
        <f>$E$19</f>
        <v>203.29999999999998</v>
      </c>
      <c r="L11" s="277">
        <f>K11*H2</f>
        <v>40660</v>
      </c>
      <c r="M11" s="287">
        <f>$E$20</f>
        <v>280.25</v>
      </c>
      <c r="N11" s="278">
        <f>M11*H2</f>
        <v>56050</v>
      </c>
      <c r="O11" s="279">
        <f>L11+N11</f>
        <v>96710</v>
      </c>
    </row>
    <row r="12" spans="1:16">
      <c r="A12" s="68" t="s">
        <v>77</v>
      </c>
      <c r="B12" s="69">
        <v>44713</v>
      </c>
      <c r="C12" s="2"/>
      <c r="J12" s="2"/>
      <c r="K12" s="359">
        <f>$E$19</f>
        <v>203.29999999999998</v>
      </c>
      <c r="L12" s="277">
        <f t="shared" ref="L12:L15" si="2">K12*H3</f>
        <v>131128.5</v>
      </c>
      <c r="M12" s="287">
        <f>$E$20</f>
        <v>280.25</v>
      </c>
      <c r="N12" s="278">
        <f t="shared" ref="N12:N15" si="3">M12*H3</f>
        <v>180761.25</v>
      </c>
      <c r="O12" s="279">
        <f t="shared" ref="O12:O15" si="4">L12+N12</f>
        <v>311889.75</v>
      </c>
    </row>
    <row r="13" spans="1:16" ht="14.5" customHeight="1" thickBot="1">
      <c r="A13" s="123" t="s">
        <v>78</v>
      </c>
      <c r="B13" s="310">
        <v>45221</v>
      </c>
      <c r="C13" s="2"/>
      <c r="J13" s="24"/>
      <c r="K13" s="359">
        <f>$E$19</f>
        <v>203.29999999999998</v>
      </c>
      <c r="L13" s="277">
        <f t="shared" si="2"/>
        <v>91484.999999999985</v>
      </c>
      <c r="M13" s="287">
        <f>$E$20</f>
        <v>280.25</v>
      </c>
      <c r="N13" s="278">
        <f t="shared" si="3"/>
        <v>126112.5</v>
      </c>
      <c r="O13" s="279">
        <f t="shared" si="4"/>
        <v>217597.5</v>
      </c>
    </row>
    <row r="14" spans="1:16" ht="14.5" customHeight="1" thickBot="1">
      <c r="A14" s="123" t="s">
        <v>79</v>
      </c>
      <c r="B14" s="310">
        <v>44926</v>
      </c>
      <c r="C14" s="2"/>
      <c r="J14" s="24"/>
      <c r="K14" s="359">
        <f>$E$19</f>
        <v>203.29999999999998</v>
      </c>
      <c r="L14" s="277">
        <f t="shared" si="2"/>
        <v>80100.2</v>
      </c>
      <c r="M14" s="287">
        <f>$E$20</f>
        <v>280.25</v>
      </c>
      <c r="N14" s="278">
        <f t="shared" si="3"/>
        <v>110418.5</v>
      </c>
      <c r="O14" s="279">
        <f t="shared" si="4"/>
        <v>190518.7</v>
      </c>
    </row>
    <row r="15" spans="1:16" ht="14.5" customHeight="1" thickBot="1">
      <c r="A15" s="72"/>
      <c r="B15" s="67"/>
      <c r="C15" s="2"/>
      <c r="J15" s="24"/>
      <c r="K15" s="359">
        <f>$E$19</f>
        <v>203.29999999999998</v>
      </c>
      <c r="L15" s="277">
        <f t="shared" si="2"/>
        <v>142919.9</v>
      </c>
      <c r="M15" s="287">
        <f>$E$20</f>
        <v>280.25</v>
      </c>
      <c r="N15" s="278">
        <f t="shared" si="3"/>
        <v>197015.75</v>
      </c>
      <c r="O15" s="279">
        <f t="shared" si="4"/>
        <v>339935.65</v>
      </c>
    </row>
    <row r="16" spans="1:16" ht="15" thickBot="1">
      <c r="A16" s="72"/>
      <c r="B16" s="67"/>
      <c r="C16" s="2"/>
      <c r="J16" s="2"/>
      <c r="K16" s="2"/>
      <c r="L16" s="119">
        <f>SUM(L11:L15)</f>
        <v>486293.6</v>
      </c>
      <c r="M16" s="120"/>
      <c r="N16" s="121">
        <f>SUM(N11:N15)</f>
        <v>670358</v>
      </c>
      <c r="O16" s="122">
        <f>SUM(O11:O15)</f>
        <v>1156651.6000000001</v>
      </c>
      <c r="P16" t="s">
        <v>80</v>
      </c>
    </row>
    <row r="17" spans="1:15">
      <c r="A17" s="334"/>
      <c r="B17" s="335" t="s">
        <v>81</v>
      </c>
      <c r="C17" s="2"/>
      <c r="D17" s="2"/>
      <c r="E17" s="2"/>
      <c r="F17" s="2"/>
      <c r="J17" s="2"/>
    </row>
    <row r="18" spans="1:15" ht="24" customHeight="1">
      <c r="A18" s="195" t="s">
        <v>82</v>
      </c>
      <c r="B18" s="341">
        <f>10000/365</f>
        <v>27.397260273972602</v>
      </c>
      <c r="C18" s="57" t="s">
        <v>8</v>
      </c>
      <c r="D18" s="132" t="s">
        <v>83</v>
      </c>
      <c r="E18" s="338" t="s">
        <v>84</v>
      </c>
      <c r="F18" s="342" t="s">
        <v>226</v>
      </c>
      <c r="J18" s="2"/>
      <c r="K18" s="2"/>
      <c r="L18" s="2"/>
      <c r="M18" s="2"/>
      <c r="N18" s="2"/>
      <c r="O18" s="2"/>
    </row>
    <row r="19" spans="1:15">
      <c r="A19" s="195" t="s">
        <v>86</v>
      </c>
      <c r="B19" s="201">
        <f>B14-B12+1</f>
        <v>214</v>
      </c>
      <c r="C19" s="132">
        <f>'Maintenance '!BI21/(B19*COUNTA($B$2:$B$6))</f>
        <v>0</v>
      </c>
      <c r="D19" s="336">
        <v>0.95</v>
      </c>
      <c r="E19" s="278">
        <f>D19*B19</f>
        <v>203.29999999999998</v>
      </c>
      <c r="F19" s="188">
        <f>B19</f>
        <v>214</v>
      </c>
      <c r="J19" s="2"/>
      <c r="K19" s="2"/>
      <c r="L19" s="2"/>
      <c r="M19" s="2"/>
      <c r="N19" s="2"/>
      <c r="O19" s="2"/>
    </row>
    <row r="20" spans="1:15">
      <c r="A20" s="195" t="s">
        <v>87</v>
      </c>
      <c r="B20" s="188">
        <f>B13-B14</f>
        <v>295</v>
      </c>
      <c r="C20" s="132">
        <f>'Maintenance '!BJ21/(B20*COUNTA($B$2:$B$6))</f>
        <v>0</v>
      </c>
      <c r="D20" s="196">
        <v>0.95</v>
      </c>
      <c r="E20" s="278">
        <f>D20*B20</f>
        <v>280.25</v>
      </c>
      <c r="F20" s="188">
        <f>B20</f>
        <v>295</v>
      </c>
      <c r="G20" s="2"/>
      <c r="H20" s="330"/>
    </row>
    <row r="21" spans="1:15" ht="17.149999999999999" customHeight="1">
      <c r="A21" s="197" t="s">
        <v>88</v>
      </c>
      <c r="B21" s="57">
        <f>B19+B20</f>
        <v>509</v>
      </c>
      <c r="C21" s="250"/>
      <c r="D21" s="57"/>
      <c r="G21" s="2"/>
      <c r="H21" s="330"/>
      <c r="I21" s="24"/>
    </row>
    <row r="22" spans="1:15">
      <c r="A22" s="2"/>
      <c r="E22" s="2"/>
      <c r="F22" s="2"/>
      <c r="G22" s="2"/>
      <c r="H22" s="331"/>
      <c r="I22" s="332"/>
    </row>
    <row r="23" spans="1:15">
      <c r="G23" s="2"/>
      <c r="H23" s="331"/>
      <c r="I23" s="2"/>
    </row>
    <row r="24" spans="1:15">
      <c r="A24" s="197" t="s">
        <v>89</v>
      </c>
      <c r="B24" s="202">
        <f>(B20+B21)*COUNTA(B2:B6)</f>
        <v>4020</v>
      </c>
      <c r="C24" s="337">
        <f>'Maintenance '!BL21/B24</f>
        <v>0</v>
      </c>
      <c r="D24" s="2"/>
      <c r="E24" s="2"/>
      <c r="F24" s="2"/>
      <c r="G24" s="2"/>
      <c r="I24" s="2"/>
      <c r="J24" s="333"/>
      <c r="K24" s="4"/>
    </row>
    <row r="25" spans="1:15">
      <c r="D25" s="507"/>
      <c r="E25" s="507"/>
      <c r="F25" s="2"/>
      <c r="G25" s="2"/>
      <c r="H25" s="2"/>
      <c r="I25" s="2"/>
      <c r="J25" s="333"/>
      <c r="K25" s="67"/>
    </row>
    <row r="26" spans="1:15">
      <c r="D26" s="61"/>
      <c r="E26" s="61"/>
      <c r="F26" s="67"/>
      <c r="G26" s="303"/>
      <c r="H26" s="2"/>
      <c r="I26" s="2"/>
      <c r="J26" s="2"/>
      <c r="K26" s="67"/>
    </row>
    <row r="27" spans="1:15">
      <c r="J27" s="2"/>
    </row>
    <row r="28" spans="1:15">
      <c r="J28" s="2"/>
      <c r="K28" s="2"/>
    </row>
    <row r="29" spans="1:15">
      <c r="J29" s="2"/>
      <c r="K29" s="24"/>
    </row>
  </sheetData>
  <mergeCells count="2">
    <mergeCell ref="D25:E25"/>
    <mergeCell ref="A2:A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1161-4397-4BCF-B987-C57EC6F266D9}">
  <dimension ref="A1:O39"/>
  <sheetViews>
    <sheetView topLeftCell="A9" zoomScale="93" zoomScaleNormal="93" workbookViewId="0">
      <selection activeCell="B34" sqref="B34"/>
    </sheetView>
  </sheetViews>
  <sheetFormatPr defaultRowHeight="14.5"/>
  <cols>
    <col min="1" max="1" width="89" bestFit="1" customWidth="1"/>
    <col min="2" max="2" width="18.7265625" bestFit="1" customWidth="1"/>
    <col min="3" max="3" width="12.453125" bestFit="1" customWidth="1"/>
    <col min="4" max="4" width="14" bestFit="1" customWidth="1"/>
    <col min="5" max="5" width="46" bestFit="1" customWidth="1"/>
    <col min="7" max="7" width="89" bestFit="1" customWidth="1"/>
    <col min="8" max="8" width="18.7265625" bestFit="1" customWidth="1"/>
    <col min="9" max="9" width="12.453125" bestFit="1" customWidth="1"/>
    <col min="10" max="10" width="14" bestFit="1" customWidth="1"/>
    <col min="12" max="12" width="89" bestFit="1" customWidth="1"/>
    <col min="13" max="13" width="18.7265625" bestFit="1" customWidth="1"/>
    <col min="14" max="14" width="12.453125" bestFit="1" customWidth="1"/>
    <col min="15" max="15" width="14" bestFit="1" customWidth="1"/>
  </cols>
  <sheetData>
    <row r="1" spans="1:15" ht="14.5" customHeight="1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</row>
    <row r="4" spans="1:15" ht="29.15" customHeight="1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</row>
    <row r="5" spans="1:15" ht="27" customHeight="1">
      <c r="A5" s="9" t="s">
        <v>96</v>
      </c>
      <c r="B5" s="9" t="s">
        <v>97</v>
      </c>
      <c r="C5" s="9"/>
      <c r="D5" s="87">
        <f>'GS5040 PTDs'!O7</f>
        <v>789637.14999999991</v>
      </c>
      <c r="E5" s="85" t="s">
        <v>98</v>
      </c>
      <c r="F5" s="2"/>
      <c r="G5" s="9" t="s">
        <v>96</v>
      </c>
      <c r="H5" s="9" t="s">
        <v>97</v>
      </c>
      <c r="I5" s="9"/>
      <c r="J5" s="87">
        <f>'GS5040 PTDs'!L7</f>
        <v>331988.89999999997</v>
      </c>
      <c r="K5" s="2"/>
      <c r="L5" s="9" t="s">
        <v>96</v>
      </c>
      <c r="M5" s="9" t="s">
        <v>97</v>
      </c>
      <c r="N5" s="9"/>
      <c r="O5" s="87">
        <f>'GS5040 PTDs'!N7</f>
        <v>457648.25</v>
      </c>
    </row>
    <row r="6" spans="1:15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</row>
    <row r="7" spans="1:15" ht="73" customHeight="1">
      <c r="A7" s="88" t="s">
        <v>103</v>
      </c>
      <c r="B7" s="9" t="s">
        <v>104</v>
      </c>
      <c r="C7" s="9" t="s">
        <v>105</v>
      </c>
      <c r="D7" s="86">
        <v>7.5</v>
      </c>
      <c r="E7" s="85" t="s">
        <v>162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</row>
    <row r="8" spans="1:15" ht="30.65" customHeight="1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</row>
    <row r="9" spans="1:15">
      <c r="A9" s="9" t="s">
        <v>110</v>
      </c>
      <c r="B9" s="9" t="s">
        <v>111</v>
      </c>
      <c r="C9" s="9" t="s">
        <v>112</v>
      </c>
      <c r="D9" s="86">
        <f>ROUNDDOWN((1-D4)*D5*D6*(D7+D8),0)</f>
        <v>2368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995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1372</v>
      </c>
    </row>
    <row r="10" spans="1:15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</row>
    <row r="12" spans="1:15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</row>
    <row r="13" spans="1:15" ht="63.65" customHeight="1">
      <c r="A13" s="9" t="s">
        <v>96</v>
      </c>
      <c r="B13" s="9" t="s">
        <v>97</v>
      </c>
      <c r="C13" s="9"/>
      <c r="D13" s="87">
        <f>D5</f>
        <v>789637.14999999991</v>
      </c>
      <c r="E13" s="85" t="s">
        <v>115</v>
      </c>
      <c r="F13" s="2"/>
      <c r="G13" s="9" t="s">
        <v>96</v>
      </c>
      <c r="H13" s="9" t="s">
        <v>97</v>
      </c>
      <c r="I13" s="9"/>
      <c r="J13" s="87">
        <f>J5</f>
        <v>331988.89999999997</v>
      </c>
      <c r="K13" s="2"/>
      <c r="L13" s="9" t="s">
        <v>96</v>
      </c>
      <c r="M13" s="9" t="s">
        <v>97</v>
      </c>
      <c r="N13" s="9"/>
      <c r="O13" s="87">
        <f>O5</f>
        <v>457648.25</v>
      </c>
    </row>
    <row r="14" spans="1:15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</row>
    <row r="15" spans="1:15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</row>
    <row r="16" spans="1:15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</row>
    <row r="17" spans="1:15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227</v>
      </c>
      <c r="M17" s="9" t="s">
        <v>122</v>
      </c>
      <c r="N17" s="9" t="s">
        <v>112</v>
      </c>
      <c r="O17" s="86">
        <f>ROUNDDOWN((1+O12)*O13*O14*(O16+O16),0)</f>
        <v>0</v>
      </c>
    </row>
    <row r="18" spans="1:15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</row>
    <row r="20" spans="1:15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</row>
    <row r="21" spans="1:15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</row>
    <row r="22" spans="1:15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D22</f>
        <v>9.4600000000000009</v>
      </c>
    </row>
    <row r="23" spans="1:15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</row>
    <row r="24" spans="1:15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</row>
    <row r="26" spans="1:15">
      <c r="A26" s="9" t="s">
        <v>28</v>
      </c>
      <c r="B26" s="9" t="s">
        <v>29</v>
      </c>
      <c r="C26" s="9" t="s">
        <v>30</v>
      </c>
      <c r="D26" s="87">
        <f>ROUNDDOWN(D9*((D20*D21)+D22)*D23,0)</f>
        <v>4362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1833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2527</v>
      </c>
    </row>
    <row r="27" spans="1:15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O17*((O20*O21)+O22)*O230</f>
        <v>0</v>
      </c>
    </row>
    <row r="28" spans="1:15" ht="26.5" customHeight="1">
      <c r="A28" s="9" t="s">
        <v>33</v>
      </c>
      <c r="B28" s="9" t="s">
        <v>34</v>
      </c>
      <c r="C28" s="9" t="s">
        <v>35</v>
      </c>
      <c r="D28" s="89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9">
        <f>D28</f>
        <v>0.95</v>
      </c>
      <c r="K28" s="2"/>
      <c r="L28" s="9" t="s">
        <v>33</v>
      </c>
      <c r="M28" s="9" t="s">
        <v>34</v>
      </c>
      <c r="N28" s="9" t="s">
        <v>35</v>
      </c>
      <c r="O28" s="89">
        <f>D28</f>
        <v>0.95</v>
      </c>
    </row>
    <row r="29" spans="1:15" ht="28" customHeight="1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</row>
    <row r="30" spans="1:15">
      <c r="A30" s="9" t="s">
        <v>90</v>
      </c>
      <c r="B30" s="9" t="s">
        <v>39</v>
      </c>
      <c r="C30" s="9" t="s">
        <v>30</v>
      </c>
      <c r="D30" s="86">
        <f>ROUNDDOWN(((D26-D27)*D28)-D29,0)</f>
        <v>4143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1741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2400</v>
      </c>
    </row>
    <row r="31" spans="1:15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</row>
    <row r="33" spans="1:15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N33" s="16"/>
      <c r="O33" s="91">
        <v>1</v>
      </c>
    </row>
    <row r="34" spans="1:15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</row>
    <row r="35" spans="1:15">
      <c r="A35" s="93" t="s">
        <v>140</v>
      </c>
      <c r="B35" s="94" t="s">
        <v>39</v>
      </c>
      <c r="C35" s="95" t="s">
        <v>30</v>
      </c>
      <c r="D35" s="96">
        <f>ROUNDDOWN(D30*(1-D34),0)</f>
        <v>4143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1741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2400</v>
      </c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93" t="s">
        <v>141</v>
      </c>
      <c r="B37" s="94"/>
      <c r="C37" s="95" t="s">
        <v>30</v>
      </c>
      <c r="D37" s="246">
        <f>J37+O37</f>
        <v>4141</v>
      </c>
      <c r="E37" s="2"/>
      <c r="F37" s="2"/>
      <c r="G37" s="93" t="s">
        <v>141</v>
      </c>
      <c r="H37" s="94"/>
      <c r="I37" s="95" t="s">
        <v>30</v>
      </c>
      <c r="J37" s="96">
        <f>IF(J35&gt;'GS5040 PTDs'!B18*'GS5040 PTDs'!B19,'GS5040 PTDs'!B18*'GS5040 PTDs'!B19,'GS5040 ER Calcs'!J35)</f>
        <v>1741</v>
      </c>
      <c r="K37" s="2"/>
      <c r="L37" s="93" t="s">
        <v>141</v>
      </c>
      <c r="M37" s="94"/>
      <c r="N37" s="95" t="s">
        <v>30</v>
      </c>
      <c r="O37" s="96">
        <f>IF(O35&gt;'GS5040 PTDs'!B18*'GS5040 PTDs'!B20,'GS5040 PTDs'!B18*'GS5040 PTDs'!B20,'GS5040 ER Calcs'!O35)</f>
        <v>2400</v>
      </c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" t="s">
        <v>142</v>
      </c>
      <c r="B39" s="2"/>
      <c r="C39" s="2"/>
      <c r="D39" s="2"/>
      <c r="E39" s="2"/>
      <c r="F39" s="2"/>
      <c r="G39" s="1" t="s">
        <v>142</v>
      </c>
      <c r="H39" s="2"/>
      <c r="I39" s="2"/>
      <c r="J39" s="2"/>
      <c r="K39" s="2"/>
      <c r="L39" s="1" t="s">
        <v>142</v>
      </c>
      <c r="M39" s="2"/>
      <c r="N39" s="2"/>
      <c r="O39" s="2"/>
    </row>
  </sheetData>
  <mergeCells count="18">
    <mergeCell ref="A1:D1"/>
    <mergeCell ref="G1:J1"/>
    <mergeCell ref="L1:O1"/>
    <mergeCell ref="A3:D3"/>
    <mergeCell ref="G3:J3"/>
    <mergeCell ref="L3:O3"/>
    <mergeCell ref="A11:D11"/>
    <mergeCell ref="G11:J11"/>
    <mergeCell ref="L11:O11"/>
    <mergeCell ref="A19:D19"/>
    <mergeCell ref="G19:J19"/>
    <mergeCell ref="L19:O19"/>
    <mergeCell ref="A25:D25"/>
    <mergeCell ref="G25:J25"/>
    <mergeCell ref="L25:O25"/>
    <mergeCell ref="A32:D32"/>
    <mergeCell ref="G32:J32"/>
    <mergeCell ref="L32:O3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9EAC-0857-4236-A290-CE7073E15D85}">
  <dimension ref="A1:O38"/>
  <sheetViews>
    <sheetView topLeftCell="A8" workbookViewId="0">
      <selection activeCell="E14" sqref="E14"/>
    </sheetView>
  </sheetViews>
  <sheetFormatPr defaultRowHeight="14.5"/>
  <cols>
    <col min="1" max="1" width="77.1796875" bestFit="1" customWidth="1"/>
    <col min="2" max="2" width="15.7265625" bestFit="1" customWidth="1"/>
    <col min="3" max="3" width="10" bestFit="1" customWidth="1"/>
    <col min="4" max="4" width="11.81640625" bestFit="1" customWidth="1"/>
    <col min="5" max="5" width="39.54296875" bestFit="1" customWidth="1"/>
    <col min="7" max="7" width="77.1796875" bestFit="1" customWidth="1"/>
    <col min="8" max="8" width="15.7265625" bestFit="1" customWidth="1"/>
    <col min="9" max="9" width="10" bestFit="1" customWidth="1"/>
    <col min="10" max="10" width="11.81640625" bestFit="1" customWidth="1"/>
    <col min="12" max="12" width="77.1796875" bestFit="1" customWidth="1"/>
    <col min="13" max="13" width="15.7265625" bestFit="1" customWidth="1"/>
    <col min="14" max="14" width="10" bestFit="1" customWidth="1"/>
    <col min="15" max="15" width="11.81640625" bestFit="1" customWidth="1"/>
  </cols>
  <sheetData>
    <row r="1" spans="1:15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4.15" customHeight="1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</row>
    <row r="4" spans="1:15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</row>
    <row r="5" spans="1:15" ht="16.5" customHeight="1">
      <c r="A5" s="9" t="s">
        <v>96</v>
      </c>
      <c r="B5" s="9" t="s">
        <v>97</v>
      </c>
      <c r="C5" s="9"/>
      <c r="D5" s="87">
        <f>'GS5040 PTDs'!O16</f>
        <v>1156651.6000000001</v>
      </c>
      <c r="E5" s="85" t="s">
        <v>207</v>
      </c>
      <c r="F5" s="2"/>
      <c r="G5" s="9" t="s">
        <v>96</v>
      </c>
      <c r="H5" s="9" t="s">
        <v>97</v>
      </c>
      <c r="I5" s="9"/>
      <c r="J5" s="87">
        <f>'GS5040 PTDs'!L16</f>
        <v>486293.6</v>
      </c>
      <c r="K5" s="2"/>
      <c r="L5" s="9" t="s">
        <v>96</v>
      </c>
      <c r="M5" s="9" t="s">
        <v>97</v>
      </c>
      <c r="N5" s="9"/>
      <c r="O5" s="87">
        <f>'GS5040 PTDs'!N16</f>
        <v>670358</v>
      </c>
    </row>
    <row r="6" spans="1:15" ht="21" customHeight="1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</row>
    <row r="7" spans="1:15" ht="19" customHeight="1">
      <c r="A7" s="88" t="s">
        <v>103</v>
      </c>
      <c r="B7" s="9" t="s">
        <v>104</v>
      </c>
      <c r="C7" s="9" t="s">
        <v>105</v>
      </c>
      <c r="D7" s="86">
        <v>7.5</v>
      </c>
      <c r="E7" s="85" t="s">
        <v>162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</row>
    <row r="8" spans="1:15" ht="24" customHeight="1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</row>
    <row r="9" spans="1:15">
      <c r="A9" s="9" t="s">
        <v>110</v>
      </c>
      <c r="B9" s="9" t="s">
        <v>111</v>
      </c>
      <c r="C9" s="9" t="s">
        <v>112</v>
      </c>
      <c r="D9" s="86">
        <f>ROUNDDOWN((1-D4)*D5*D6*(D7+D8),0)</f>
        <v>3469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1458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2011</v>
      </c>
    </row>
    <row r="10" spans="1:15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</row>
    <row r="12" spans="1:15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</row>
    <row r="13" spans="1:15" ht="21.65" customHeight="1">
      <c r="A13" s="9" t="s">
        <v>96</v>
      </c>
      <c r="B13" s="9" t="s">
        <v>97</v>
      </c>
      <c r="C13" s="9"/>
      <c r="D13" s="87">
        <f>D5</f>
        <v>1156651.6000000001</v>
      </c>
      <c r="E13" s="85" t="s">
        <v>208</v>
      </c>
      <c r="F13" s="2"/>
      <c r="G13" s="9" t="s">
        <v>96</v>
      </c>
      <c r="H13" s="9" t="s">
        <v>97</v>
      </c>
      <c r="I13" s="9"/>
      <c r="J13" s="87">
        <f>J5</f>
        <v>486293.6</v>
      </c>
      <c r="K13" s="2"/>
      <c r="L13" s="9" t="s">
        <v>96</v>
      </c>
      <c r="M13" s="9" t="s">
        <v>97</v>
      </c>
      <c r="N13" s="9"/>
      <c r="O13" s="87">
        <f>O5</f>
        <v>670358</v>
      </c>
    </row>
    <row r="14" spans="1:15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</row>
    <row r="15" spans="1:15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</row>
    <row r="16" spans="1:15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</row>
    <row r="17" spans="1:15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227</v>
      </c>
      <c r="M17" s="9" t="s">
        <v>122</v>
      </c>
      <c r="N17" s="9" t="s">
        <v>112</v>
      </c>
      <c r="O17" s="86">
        <f>ROUNDDOWN((1+O12)*O13*O14*(O16+O16),0)</f>
        <v>0</v>
      </c>
    </row>
    <row r="18" spans="1:15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</row>
    <row r="20" spans="1:15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</row>
    <row r="21" spans="1:15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</row>
    <row r="22" spans="1:15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D22</f>
        <v>9.4600000000000009</v>
      </c>
    </row>
    <row r="23" spans="1:15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</row>
    <row r="24" spans="1:15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</row>
    <row r="26" spans="1:15">
      <c r="A26" s="9" t="s">
        <v>28</v>
      </c>
      <c r="B26" s="9" t="s">
        <v>29</v>
      </c>
      <c r="C26" s="9" t="s">
        <v>30</v>
      </c>
      <c r="D26" s="87">
        <f>ROUNDDOWN(D9*((D20*D21)+D22)*D23,0)</f>
        <v>6391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2686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3704</v>
      </c>
    </row>
    <row r="27" spans="1:15">
      <c r="A27" s="9" t="s">
        <v>31</v>
      </c>
      <c r="B27" s="9" t="s">
        <v>32</v>
      </c>
      <c r="C27" s="9" t="s">
        <v>30</v>
      </c>
      <c r="D27" s="86">
        <f>D17*((D20*D21)+D22)*D229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J17*((J20*J21)+J22)*J229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O17*((O20*O21)+O22)*O229</f>
        <v>0</v>
      </c>
    </row>
    <row r="28" spans="1:15" ht="19" customHeight="1">
      <c r="A28" s="9" t="s">
        <v>33</v>
      </c>
      <c r="B28" s="9" t="s">
        <v>34</v>
      </c>
      <c r="C28" s="9" t="s">
        <v>35</v>
      </c>
      <c r="D28" s="89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9">
        <f>D28</f>
        <v>0.95</v>
      </c>
      <c r="K28" s="2"/>
      <c r="L28" s="9" t="s">
        <v>33</v>
      </c>
      <c r="M28" s="9" t="s">
        <v>34</v>
      </c>
      <c r="N28" s="9" t="s">
        <v>35</v>
      </c>
      <c r="O28" s="89">
        <f>D28</f>
        <v>0.95</v>
      </c>
    </row>
    <row r="29" spans="1:15" ht="21.65" customHeight="1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</row>
    <row r="30" spans="1:15">
      <c r="A30" s="9" t="s">
        <v>90</v>
      </c>
      <c r="B30" s="9" t="s">
        <v>39</v>
      </c>
      <c r="C30" s="9" t="s">
        <v>30</v>
      </c>
      <c r="D30" s="86">
        <f>ROUNDDOWN(((D26-D27)*D28)-D29,0)</f>
        <v>6071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2551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3518</v>
      </c>
    </row>
    <row r="31" spans="1:15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</row>
    <row r="33" spans="1:15" ht="19" customHeight="1">
      <c r="A33" s="90" t="s">
        <v>41</v>
      </c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N33" s="16"/>
      <c r="O33" s="91">
        <v>1</v>
      </c>
    </row>
    <row r="34" spans="1:15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</row>
    <row r="35" spans="1:15">
      <c r="A35" s="93" t="s">
        <v>140</v>
      </c>
      <c r="B35" s="94" t="s">
        <v>39</v>
      </c>
      <c r="C35" s="95" t="s">
        <v>30</v>
      </c>
      <c r="D35" s="246">
        <f>ROUNDDOWN(D30*(1-D34),0)</f>
        <v>6071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2551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3518</v>
      </c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93" t="s">
        <v>141</v>
      </c>
      <c r="B37" s="94"/>
      <c r="C37" s="95" t="s">
        <v>30</v>
      </c>
      <c r="D37" s="246">
        <f>O37+J37</f>
        <v>6069</v>
      </c>
      <c r="E37" s="2"/>
      <c r="F37" s="2"/>
      <c r="G37" s="93" t="s">
        <v>141</v>
      </c>
      <c r="H37" s="94"/>
      <c r="I37" s="95" t="s">
        <v>30</v>
      </c>
      <c r="J37" s="246">
        <f>J35</f>
        <v>2551</v>
      </c>
      <c r="K37" s="2"/>
      <c r="L37" s="93" t="s">
        <v>141</v>
      </c>
      <c r="M37" s="94"/>
      <c r="N37" s="95" t="s">
        <v>30</v>
      </c>
      <c r="O37" s="246">
        <f>O35</f>
        <v>3518</v>
      </c>
    </row>
    <row r="38" spans="1:15">
      <c r="A38" s="1"/>
      <c r="B38" s="2"/>
      <c r="C38" s="2"/>
      <c r="D38" s="2"/>
      <c r="E38" s="2"/>
      <c r="F38" s="2"/>
      <c r="G38" s="1"/>
      <c r="H38" s="2"/>
      <c r="I38" s="2"/>
      <c r="J38" s="2"/>
      <c r="K38" s="2"/>
      <c r="L38" s="1"/>
      <c r="M38" s="2"/>
      <c r="N38" s="2"/>
      <c r="O38" s="2"/>
    </row>
  </sheetData>
  <mergeCells count="18">
    <mergeCell ref="A1:D1"/>
    <mergeCell ref="G1:J1"/>
    <mergeCell ref="L1:O1"/>
    <mergeCell ref="A3:D3"/>
    <mergeCell ref="G3:J3"/>
    <mergeCell ref="L3:O3"/>
    <mergeCell ref="A11:D11"/>
    <mergeCell ref="G11:J11"/>
    <mergeCell ref="L11:O11"/>
    <mergeCell ref="A19:D19"/>
    <mergeCell ref="G19:J19"/>
    <mergeCell ref="L19:O19"/>
    <mergeCell ref="A25:D25"/>
    <mergeCell ref="G25:J25"/>
    <mergeCell ref="L25:O25"/>
    <mergeCell ref="A32:D32"/>
    <mergeCell ref="G32:J32"/>
    <mergeCell ref="L32:O3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6A0A6-A9E1-4F61-AEA8-B09CE69A7043}">
  <dimension ref="A1:E22"/>
  <sheetViews>
    <sheetView tabSelected="1" topLeftCell="B8" workbookViewId="0">
      <selection activeCell="C17" sqref="C17"/>
    </sheetView>
  </sheetViews>
  <sheetFormatPr defaultRowHeight="14.5"/>
  <cols>
    <col min="1" max="1" width="20.81640625" customWidth="1"/>
    <col min="2" max="2" width="123.453125" customWidth="1"/>
    <col min="3" max="3" width="28.54296875" bestFit="1" customWidth="1"/>
    <col min="5" max="5" width="37.7265625" bestFit="1" customWidth="1"/>
  </cols>
  <sheetData>
    <row r="1" spans="1:5" s="32" customFormat="1" ht="64" customHeight="1">
      <c r="A1" s="128" t="s">
        <v>145</v>
      </c>
      <c r="B1" s="137" t="s">
        <v>146</v>
      </c>
      <c r="C1" s="137" t="s">
        <v>147</v>
      </c>
      <c r="D1" s="137" t="s">
        <v>148</v>
      </c>
      <c r="E1" s="99" t="s">
        <v>92</v>
      </c>
    </row>
    <row r="2" spans="1:5" ht="21" customHeight="1">
      <c r="A2" s="100" t="s">
        <v>149</v>
      </c>
      <c r="B2" s="88" t="s">
        <v>150</v>
      </c>
      <c r="C2" s="129">
        <f>((C3-C4)/C3)*C8</f>
        <v>0.95</v>
      </c>
      <c r="D2" s="9" t="s">
        <v>151</v>
      </c>
      <c r="E2" s="9"/>
    </row>
    <row r="3" spans="1:5" ht="38.15" customHeight="1">
      <c r="A3" s="9" t="s">
        <v>152</v>
      </c>
      <c r="B3" s="88" t="s">
        <v>153</v>
      </c>
      <c r="C3" s="54">
        <f>C5*C6</f>
        <v>3.0000000000000001E-3</v>
      </c>
      <c r="D3" s="9" t="s">
        <v>154</v>
      </c>
      <c r="E3" s="9"/>
    </row>
    <row r="4" spans="1:5" ht="32.15" customHeight="1">
      <c r="A4" s="101" t="s">
        <v>155</v>
      </c>
      <c r="B4" s="88" t="s">
        <v>156</v>
      </c>
      <c r="C4" s="54">
        <f>C5*C7</f>
        <v>0</v>
      </c>
      <c r="D4" s="9" t="s">
        <v>154</v>
      </c>
      <c r="E4" s="9"/>
    </row>
    <row r="5" spans="1:5" ht="34.5" customHeight="1">
      <c r="A5" s="9" t="s">
        <v>100</v>
      </c>
      <c r="B5" s="88" t="s">
        <v>158</v>
      </c>
      <c r="C5" s="54">
        <f>'GS5040 ER Calcs'!D6</f>
        <v>4.0000000000000002E-4</v>
      </c>
      <c r="D5" s="9" t="s">
        <v>159</v>
      </c>
      <c r="E5" s="57" t="s">
        <v>102</v>
      </c>
    </row>
    <row r="6" spans="1:5" ht="35.5" customHeight="1">
      <c r="A6" s="9" t="s">
        <v>104</v>
      </c>
      <c r="B6" s="88" t="s">
        <v>160</v>
      </c>
      <c r="C6" s="54">
        <v>7.5</v>
      </c>
      <c r="D6" s="9" t="s">
        <v>161</v>
      </c>
      <c r="E6" s="57" t="s">
        <v>162</v>
      </c>
    </row>
    <row r="7" spans="1:5" ht="35.5" customHeight="1">
      <c r="A7" s="9" t="s">
        <v>163</v>
      </c>
      <c r="B7" s="88" t="s">
        <v>164</v>
      </c>
      <c r="C7" s="54">
        <v>0</v>
      </c>
      <c r="D7" s="9" t="s">
        <v>161</v>
      </c>
      <c r="E7" s="57" t="s">
        <v>109</v>
      </c>
    </row>
    <row r="8" spans="1:5" ht="23.5" customHeight="1">
      <c r="A8" s="9" t="s">
        <v>209</v>
      </c>
      <c r="B8" s="88" t="s">
        <v>166</v>
      </c>
      <c r="C8" s="102">
        <f>'GS5040 ER Calcs'!D28</f>
        <v>0.95</v>
      </c>
      <c r="D8" s="9" t="s">
        <v>151</v>
      </c>
      <c r="E8" s="57" t="s">
        <v>138</v>
      </c>
    </row>
    <row r="9" spans="1:5">
      <c r="A9" s="1"/>
      <c r="B9" s="1"/>
      <c r="C9" s="1"/>
      <c r="D9" s="1"/>
      <c r="E9" s="9"/>
    </row>
    <row r="10" spans="1:5" s="32" customFormat="1">
      <c r="A10" s="137" t="s">
        <v>167</v>
      </c>
      <c r="B10" s="137" t="s">
        <v>146</v>
      </c>
      <c r="C10" s="137" t="s">
        <v>168</v>
      </c>
      <c r="D10" s="137" t="s">
        <v>148</v>
      </c>
      <c r="E10" s="94"/>
    </row>
    <row r="11" spans="1:5" ht="17.149999999999999" customHeight="1">
      <c r="A11" s="88" t="s">
        <v>169</v>
      </c>
      <c r="B11" s="9" t="s">
        <v>170</v>
      </c>
      <c r="C11" s="105">
        <f>C13-C12</f>
        <v>0.72</v>
      </c>
      <c r="D11" s="9" t="s">
        <v>171</v>
      </c>
      <c r="E11" s="134" t="s">
        <v>177</v>
      </c>
    </row>
    <row r="12" spans="1:5">
      <c r="A12" s="88" t="s">
        <v>211</v>
      </c>
      <c r="B12" s="9" t="s">
        <v>173</v>
      </c>
      <c r="C12" s="57">
        <v>0</v>
      </c>
      <c r="D12" s="9" t="s">
        <v>171</v>
      </c>
      <c r="E12" s="9" t="s">
        <v>174</v>
      </c>
    </row>
    <row r="13" spans="1:5">
      <c r="A13" s="88" t="s">
        <v>212</v>
      </c>
      <c r="B13" s="9" t="s">
        <v>176</v>
      </c>
      <c r="C13" s="478">
        <v>0.72</v>
      </c>
      <c r="D13" s="9" t="s">
        <v>171</v>
      </c>
      <c r="E13" s="9" t="s">
        <v>213</v>
      </c>
    </row>
    <row r="14" spans="1:5">
      <c r="A14" s="1"/>
      <c r="B14" s="1"/>
      <c r="C14" s="1"/>
      <c r="D14" s="1"/>
      <c r="E14" s="9"/>
    </row>
    <row r="15" spans="1:5" s="32" customFormat="1" ht="36" customHeight="1">
      <c r="A15" s="128" t="s">
        <v>178</v>
      </c>
      <c r="B15" s="137" t="s">
        <v>146</v>
      </c>
      <c r="C15" s="137" t="s">
        <v>179</v>
      </c>
      <c r="D15" s="137" t="s">
        <v>148</v>
      </c>
      <c r="E15" s="94"/>
    </row>
    <row r="16" spans="1:5">
      <c r="A16" s="88" t="s">
        <v>180</v>
      </c>
      <c r="B16" s="9" t="s">
        <v>181</v>
      </c>
      <c r="C16" s="247">
        <f>ROUNDDOWN(C17*(1-C18)*C19,0)</f>
        <v>2272</v>
      </c>
      <c r="D16" s="9" t="s">
        <v>182</v>
      </c>
      <c r="E16" s="9" t="s">
        <v>228</v>
      </c>
    </row>
    <row r="17" spans="1:5">
      <c r="A17" s="88" t="s">
        <v>183</v>
      </c>
      <c r="B17" s="9" t="s">
        <v>184</v>
      </c>
      <c r="C17" s="572">
        <f>'GS5040 PTDs'!H7</f>
        <v>2392</v>
      </c>
      <c r="D17" s="9" t="s">
        <v>182</v>
      </c>
      <c r="E17" s="135" t="s">
        <v>185</v>
      </c>
    </row>
    <row r="18" spans="1:5" ht="20.149999999999999" customHeight="1">
      <c r="A18" s="88" t="s">
        <v>94</v>
      </c>
      <c r="B18" s="9" t="s">
        <v>186</v>
      </c>
      <c r="C18" s="106">
        <f>'GS5040 ER Calcs'!D4</f>
        <v>0</v>
      </c>
      <c r="D18" s="9" t="s">
        <v>151</v>
      </c>
      <c r="E18" s="9" t="s">
        <v>174</v>
      </c>
    </row>
    <row r="19" spans="1:5" ht="16.5">
      <c r="A19" s="88" t="s">
        <v>209</v>
      </c>
      <c r="B19" s="9" t="s">
        <v>166</v>
      </c>
      <c r="C19" s="107">
        <f>'GS5040 ER Calcs'!D28</f>
        <v>0.95</v>
      </c>
      <c r="D19" s="9" t="s">
        <v>151</v>
      </c>
      <c r="E19" s="57" t="s">
        <v>138</v>
      </c>
    </row>
    <row r="20" spans="1:5">
      <c r="A20" s="1"/>
      <c r="B20" s="1"/>
      <c r="C20" s="1"/>
      <c r="D20" s="1"/>
      <c r="E20" s="9"/>
    </row>
    <row r="21" spans="1:5" s="32" customFormat="1" ht="23.15" customHeight="1">
      <c r="A21" s="128" t="s">
        <v>187</v>
      </c>
      <c r="B21" s="137" t="s">
        <v>146</v>
      </c>
      <c r="C21" s="137"/>
      <c r="D21" s="137" t="s">
        <v>148</v>
      </c>
      <c r="E21" s="138"/>
    </row>
    <row r="22" spans="1:5">
      <c r="A22" s="88" t="s">
        <v>188</v>
      </c>
      <c r="B22" s="9" t="s">
        <v>189</v>
      </c>
      <c r="C22" s="108">
        <f>'GS5040 ER Calcs'!D37</f>
        <v>4141</v>
      </c>
      <c r="D22" s="90" t="s">
        <v>190</v>
      </c>
      <c r="E22" s="136" t="s">
        <v>191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CF551-44B9-4535-9E43-4FF99FEF641D}">
  <dimension ref="A1:O33"/>
  <sheetViews>
    <sheetView workbookViewId="0">
      <selection sqref="A1:D1"/>
    </sheetView>
  </sheetViews>
  <sheetFormatPr defaultRowHeight="14.5"/>
  <cols>
    <col min="1" max="1" width="39" bestFit="1" customWidth="1"/>
    <col min="3" max="3" width="10" bestFit="1" customWidth="1"/>
    <col min="4" max="4" width="9.54296875" customWidth="1"/>
  </cols>
  <sheetData>
    <row r="1" spans="1:15" ht="37" customHeight="1" thickBot="1">
      <c r="A1" s="521" t="s">
        <v>229</v>
      </c>
      <c r="B1" s="522"/>
      <c r="C1" s="522"/>
      <c r="D1" s="522"/>
      <c r="E1" s="4"/>
      <c r="F1" s="4"/>
      <c r="G1" s="4"/>
      <c r="H1" s="521" t="s">
        <v>16</v>
      </c>
      <c r="I1" s="522"/>
      <c r="J1" s="522"/>
      <c r="K1" s="522"/>
      <c r="L1" s="522"/>
      <c r="M1" s="522"/>
      <c r="N1" s="522"/>
    </row>
    <row r="2" spans="1:15" ht="1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</row>
    <row r="3" spans="1:15" ht="14.5" customHeight="1">
      <c r="A3" s="523" t="s">
        <v>17</v>
      </c>
      <c r="B3" s="524"/>
      <c r="C3" s="524"/>
      <c r="D3" s="524"/>
      <c r="E3" s="2"/>
      <c r="F3" s="4"/>
      <c r="G3" s="4"/>
      <c r="H3" s="528" t="s">
        <v>18</v>
      </c>
      <c r="I3" s="529"/>
      <c r="J3" s="529"/>
      <c r="K3" s="529"/>
      <c r="L3" s="529"/>
      <c r="M3" s="529"/>
      <c r="N3" s="529"/>
    </row>
    <row r="4" spans="1:15" ht="29">
      <c r="A4" s="518" t="s">
        <v>19</v>
      </c>
      <c r="B4" s="519"/>
      <c r="C4" s="519"/>
      <c r="D4" s="519"/>
      <c r="E4" s="2"/>
      <c r="F4" s="4"/>
      <c r="G4" s="4"/>
      <c r="H4" s="6" t="s">
        <v>20</v>
      </c>
      <c r="I4" s="7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6" t="s">
        <v>26</v>
      </c>
      <c r="O4" s="6" t="s">
        <v>27</v>
      </c>
    </row>
    <row r="5" spans="1:15">
      <c r="A5" s="8" t="s">
        <v>28</v>
      </c>
      <c r="B5" s="9" t="s">
        <v>29</v>
      </c>
      <c r="C5" s="9" t="s">
        <v>30</v>
      </c>
      <c r="D5" s="10">
        <f>'GS5041 ER Calcs'!J26</f>
        <v>1785</v>
      </c>
      <c r="E5" s="2"/>
      <c r="F5" s="4"/>
      <c r="G5" s="4"/>
      <c r="H5" s="109">
        <v>2016</v>
      </c>
      <c r="I5" s="141">
        <v>254</v>
      </c>
      <c r="J5" s="141"/>
      <c r="K5" s="141"/>
      <c r="L5" s="141"/>
      <c r="M5" s="386"/>
      <c r="N5" s="382"/>
      <c r="O5" s="388">
        <f>SUM(I5:L5)</f>
        <v>254</v>
      </c>
    </row>
    <row r="6" spans="1:15">
      <c r="A6" s="8" t="s">
        <v>31</v>
      </c>
      <c r="B6" s="9" t="s">
        <v>32</v>
      </c>
      <c r="C6" s="9" t="s">
        <v>30</v>
      </c>
      <c r="D6" s="10">
        <f>'GS5041 ER Calcs'!J27</f>
        <v>0</v>
      </c>
      <c r="E6" s="2"/>
      <c r="F6" s="4"/>
      <c r="G6" s="4"/>
      <c r="H6" s="109">
        <v>2017</v>
      </c>
      <c r="I6" s="141">
        <v>7456</v>
      </c>
      <c r="J6" s="141">
        <v>2544</v>
      </c>
      <c r="K6" s="141"/>
      <c r="L6" s="141"/>
      <c r="M6" s="386"/>
      <c r="N6" s="382"/>
      <c r="O6" s="388">
        <f>SUM(I6:L6)</f>
        <v>10000</v>
      </c>
    </row>
    <row r="7" spans="1:15">
      <c r="A7" s="8" t="s">
        <v>33</v>
      </c>
      <c r="B7" s="9" t="s">
        <v>34</v>
      </c>
      <c r="C7" s="9" t="s">
        <v>35</v>
      </c>
      <c r="D7" s="10">
        <f>'GS5041 ER Calcs'!J28</f>
        <v>0.95</v>
      </c>
      <c r="E7" s="2"/>
      <c r="F7" s="4"/>
      <c r="G7" s="4"/>
      <c r="H7" s="109">
        <v>2018</v>
      </c>
      <c r="I7" s="141"/>
      <c r="J7" s="141">
        <v>10000</v>
      </c>
      <c r="K7" s="141"/>
      <c r="L7" s="141"/>
      <c r="M7" s="386"/>
      <c r="N7" s="382"/>
      <c r="O7" s="388">
        <f>SUM(I7:L7)</f>
        <v>10000</v>
      </c>
    </row>
    <row r="8" spans="1:15">
      <c r="A8" s="8" t="s">
        <v>36</v>
      </c>
      <c r="B8" s="9" t="s">
        <v>37</v>
      </c>
      <c r="C8" s="9" t="s">
        <v>30</v>
      </c>
      <c r="D8" s="10">
        <f>'GS5041 ER Calcs'!J29</f>
        <v>0</v>
      </c>
      <c r="E8" s="2"/>
      <c r="F8" s="4"/>
      <c r="G8" s="4"/>
      <c r="H8" s="109">
        <v>2019</v>
      </c>
      <c r="I8" s="141"/>
      <c r="J8" s="141">
        <v>4137</v>
      </c>
      <c r="K8" s="141">
        <v>1498</v>
      </c>
      <c r="L8" s="141"/>
      <c r="M8" s="386"/>
      <c r="N8" s="382"/>
      <c r="O8" s="388">
        <f>SUM(I8:L8)</f>
        <v>5635</v>
      </c>
    </row>
    <row r="9" spans="1:15">
      <c r="A9" s="8" t="s">
        <v>38</v>
      </c>
      <c r="B9" s="9" t="s">
        <v>39</v>
      </c>
      <c r="C9" s="9" t="s">
        <v>30</v>
      </c>
      <c r="D9" s="10">
        <f>'GS5041 ER Calcs'!J30</f>
        <v>1695</v>
      </c>
      <c r="E9" s="2"/>
      <c r="F9" s="4"/>
      <c r="G9" s="4"/>
      <c r="H9" s="109">
        <v>2020</v>
      </c>
      <c r="I9" s="141"/>
      <c r="J9" s="141"/>
      <c r="K9" s="141">
        <v>1064</v>
      </c>
      <c r="L9" s="253">
        <v>1419</v>
      </c>
      <c r="M9" s="387"/>
      <c r="N9" s="382"/>
      <c r="O9" s="388">
        <f>SUM(I9:L9)</f>
        <v>2483</v>
      </c>
    </row>
    <row r="10" spans="1:15">
      <c r="A10" s="518" t="s">
        <v>40</v>
      </c>
      <c r="B10" s="519"/>
      <c r="C10" s="519"/>
      <c r="D10" s="519"/>
      <c r="E10" s="2"/>
      <c r="F10" s="4"/>
      <c r="G10" s="4"/>
      <c r="H10" s="142">
        <v>2021</v>
      </c>
      <c r="I10" s="141"/>
      <c r="J10" s="141"/>
      <c r="K10" s="132"/>
      <c r="L10" s="143">
        <v>1008</v>
      </c>
      <c r="M10" s="389">
        <v>1508</v>
      </c>
      <c r="N10" s="382"/>
      <c r="O10" s="388">
        <f>SUM(I10:M10)</f>
        <v>2516</v>
      </c>
    </row>
    <row r="11" spans="1:15">
      <c r="A11" s="15" t="s">
        <v>41</v>
      </c>
      <c r="B11" s="9" t="s">
        <v>42</v>
      </c>
      <c r="C11" s="16"/>
      <c r="D11" s="17">
        <f>'GS5041 ER Calcs'!J33</f>
        <v>1</v>
      </c>
      <c r="E11" s="2"/>
      <c r="F11" s="4"/>
      <c r="G11" s="4"/>
      <c r="H11" s="109">
        <v>2022</v>
      </c>
      <c r="I11" s="141"/>
      <c r="J11" s="141"/>
      <c r="K11" s="132"/>
      <c r="L11" s="143"/>
      <c r="M11" s="389">
        <v>1064</v>
      </c>
      <c r="N11" s="383">
        <f>D31</f>
        <v>1695</v>
      </c>
      <c r="O11" s="388">
        <f>SUM(I11:N11)</f>
        <v>2759</v>
      </c>
    </row>
    <row r="12" spans="1:15">
      <c r="A12" s="15" t="s">
        <v>43</v>
      </c>
      <c r="B12" s="2"/>
      <c r="C12" s="16" t="s">
        <v>44</v>
      </c>
      <c r="D12" s="17">
        <f>'GS5041 ER Calcs'!J34</f>
        <v>0</v>
      </c>
      <c r="E12" s="2"/>
      <c r="F12" s="4"/>
      <c r="G12" s="4"/>
      <c r="H12" s="109">
        <v>2023</v>
      </c>
      <c r="N12" s="383">
        <f>D32</f>
        <v>2319</v>
      </c>
      <c r="O12" s="388">
        <f>SUM(I12:N12)</f>
        <v>2319</v>
      </c>
    </row>
    <row r="13" spans="1:15" ht="15" thickBot="1">
      <c r="A13" s="21" t="s">
        <v>38</v>
      </c>
      <c r="B13" s="22" t="s">
        <v>39</v>
      </c>
      <c r="C13" s="22" t="s">
        <v>30</v>
      </c>
      <c r="D13" s="236">
        <f>'GS5041 ER Calcs'!J35</f>
        <v>1695</v>
      </c>
      <c r="E13" s="2"/>
      <c r="F13" s="4"/>
      <c r="G13" s="4"/>
      <c r="H13" s="18" t="s">
        <v>13</v>
      </c>
      <c r="I13" s="18">
        <f>SUM(I5:I10)</f>
        <v>7710</v>
      </c>
      <c r="J13" s="18">
        <f>SUM(J5:J10)</f>
        <v>16681</v>
      </c>
      <c r="K13" s="18">
        <f>SUM(K5:K10)</f>
        <v>2562</v>
      </c>
      <c r="L13" s="18">
        <f>SUM(L5:L11)</f>
        <v>2427</v>
      </c>
      <c r="M13" s="18">
        <f>SUM(M5:M12)</f>
        <v>2572</v>
      </c>
      <c r="N13" s="131">
        <f>SUM(N5:N12)</f>
        <v>4014</v>
      </c>
      <c r="O13" s="18">
        <f>SUM(O5:O12)</f>
        <v>35966</v>
      </c>
    </row>
    <row r="14" spans="1:15" ht="15" thickBot="1">
      <c r="A14" s="21" t="s">
        <v>45</v>
      </c>
      <c r="B14" s="22" t="s">
        <v>39</v>
      </c>
      <c r="C14" s="22" t="s">
        <v>30</v>
      </c>
      <c r="D14" s="23">
        <f>'GS5041 ER Calcs'!J37</f>
        <v>1695</v>
      </c>
      <c r="E14" s="2"/>
      <c r="F14" s="4"/>
      <c r="G14" s="4"/>
      <c r="H14" s="4"/>
      <c r="I14" s="4"/>
      <c r="J14" s="4"/>
      <c r="K14" s="4"/>
      <c r="L14" s="4"/>
      <c r="M14" s="4"/>
      <c r="N14" s="2"/>
    </row>
    <row r="15" spans="1:15" ht="15" thickBot="1">
      <c r="A15" s="4"/>
      <c r="B15" s="4"/>
      <c r="C15" s="4"/>
      <c r="D15" s="4"/>
      <c r="E15" s="2"/>
      <c r="F15" s="4"/>
      <c r="G15" s="4"/>
      <c r="H15" s="4"/>
      <c r="I15" s="4"/>
      <c r="J15" s="4"/>
      <c r="K15" s="4"/>
      <c r="L15" s="4"/>
      <c r="M15" s="4"/>
      <c r="N15" s="2"/>
    </row>
    <row r="16" spans="1:15" ht="14.5" customHeight="1">
      <c r="A16" s="523" t="s">
        <v>46</v>
      </c>
      <c r="B16" s="524"/>
      <c r="C16" s="524"/>
      <c r="D16" s="524"/>
      <c r="E16" s="4"/>
      <c r="F16" s="4"/>
      <c r="G16" s="4"/>
      <c r="H16" s="4"/>
      <c r="I16" s="4"/>
      <c r="J16" s="4"/>
      <c r="K16" s="4"/>
      <c r="L16" s="4"/>
      <c r="M16" s="4"/>
      <c r="N16" s="2"/>
    </row>
    <row r="17" spans="1:14">
      <c r="A17" s="518" t="s">
        <v>19</v>
      </c>
      <c r="B17" s="519"/>
      <c r="C17" s="519"/>
      <c r="D17" s="519"/>
      <c r="E17" s="4"/>
      <c r="F17" s="4"/>
      <c r="G17" s="4"/>
      <c r="H17" s="4"/>
      <c r="I17" s="4"/>
      <c r="J17" s="4"/>
      <c r="K17" s="4"/>
      <c r="L17" s="4"/>
      <c r="M17" s="4"/>
      <c r="N17" s="2"/>
    </row>
    <row r="18" spans="1:14">
      <c r="A18" s="8" t="s">
        <v>28</v>
      </c>
      <c r="B18" s="9" t="s">
        <v>29</v>
      </c>
      <c r="C18" s="9" t="s">
        <v>30</v>
      </c>
      <c r="D18" s="10">
        <f>'GS5041 ER Calcs'!O26</f>
        <v>2442</v>
      </c>
      <c r="E18" s="4"/>
      <c r="F18" s="4"/>
      <c r="G18" s="4"/>
      <c r="H18" s="4"/>
      <c r="I18" s="4"/>
      <c r="J18" s="4"/>
      <c r="K18" s="4"/>
      <c r="L18" s="4"/>
      <c r="M18" s="4"/>
      <c r="N18" s="2"/>
    </row>
    <row r="19" spans="1:14">
      <c r="A19" s="8" t="s">
        <v>31</v>
      </c>
      <c r="B19" s="9" t="s">
        <v>32</v>
      </c>
      <c r="C19" s="9" t="s">
        <v>30</v>
      </c>
      <c r="D19" s="10">
        <f>'GS5041 ER Calcs'!O27</f>
        <v>0</v>
      </c>
      <c r="E19" s="4"/>
      <c r="F19" s="4"/>
      <c r="G19" s="4"/>
      <c r="H19" s="4"/>
      <c r="I19" s="4"/>
      <c r="J19" s="4"/>
      <c r="K19" s="4"/>
      <c r="L19" s="4"/>
      <c r="M19" s="4"/>
      <c r="N19" s="2"/>
    </row>
    <row r="20" spans="1:14">
      <c r="A20" s="8" t="s">
        <v>33</v>
      </c>
      <c r="B20" s="9" t="s">
        <v>34</v>
      </c>
      <c r="C20" s="9" t="s">
        <v>35</v>
      </c>
      <c r="D20" s="312">
        <f>'GS5041 ER Calcs'!O28</f>
        <v>0.95</v>
      </c>
      <c r="E20" s="4"/>
      <c r="F20" s="4"/>
      <c r="G20" s="4"/>
      <c r="H20" s="4"/>
      <c r="I20" s="4"/>
      <c r="J20" s="4"/>
      <c r="K20" s="4"/>
      <c r="L20" s="4"/>
      <c r="M20" s="4"/>
      <c r="N20" s="2"/>
    </row>
    <row r="21" spans="1:14">
      <c r="A21" s="8" t="s">
        <v>36</v>
      </c>
      <c r="B21" s="9" t="s">
        <v>37</v>
      </c>
      <c r="C21" s="9" t="s">
        <v>30</v>
      </c>
      <c r="D21" s="10">
        <f>'GS5041 ER Calcs'!O29</f>
        <v>0</v>
      </c>
      <c r="E21" s="4"/>
      <c r="F21" s="4"/>
      <c r="G21" s="4"/>
      <c r="H21" s="4"/>
      <c r="I21" s="4"/>
      <c r="J21" s="4"/>
      <c r="K21" s="4"/>
      <c r="L21" s="4"/>
      <c r="M21" s="4"/>
      <c r="N21" s="2"/>
    </row>
    <row r="22" spans="1:14">
      <c r="A22" s="8" t="s">
        <v>38</v>
      </c>
      <c r="B22" s="9" t="s">
        <v>39</v>
      </c>
      <c r="C22" s="9" t="s">
        <v>30</v>
      </c>
      <c r="D22" s="10">
        <f>'GS5041 ER Calcs'!O30</f>
        <v>2319</v>
      </c>
      <c r="E22" s="4"/>
      <c r="F22" s="4"/>
      <c r="G22" s="4"/>
      <c r="H22" s="4"/>
      <c r="I22" s="4"/>
      <c r="J22" s="4"/>
      <c r="K22" s="4"/>
      <c r="L22" s="4"/>
      <c r="M22" s="4"/>
      <c r="N22" s="2"/>
    </row>
    <row r="23" spans="1:14">
      <c r="A23" s="518" t="s">
        <v>40</v>
      </c>
      <c r="B23" s="519"/>
      <c r="C23" s="519"/>
      <c r="D23" s="519"/>
      <c r="E23" s="4"/>
      <c r="F23" s="4"/>
      <c r="G23" s="4"/>
      <c r="H23" s="4"/>
      <c r="I23" s="4"/>
      <c r="J23" s="4"/>
      <c r="K23" s="4"/>
      <c r="L23" s="4"/>
      <c r="M23" s="4"/>
      <c r="N23" s="2"/>
    </row>
    <row r="24" spans="1:14">
      <c r="A24" s="15" t="s">
        <v>41</v>
      </c>
      <c r="B24" s="9"/>
      <c r="C24" s="16"/>
      <c r="D24" s="17">
        <f>'GS5041 ER Calcs'!O33</f>
        <v>1</v>
      </c>
      <c r="E24" s="4"/>
      <c r="F24" s="4"/>
      <c r="G24" s="4"/>
      <c r="H24" s="4"/>
      <c r="I24" s="4"/>
      <c r="J24" s="4"/>
      <c r="K24" s="4"/>
      <c r="L24" s="4"/>
      <c r="M24" s="4"/>
      <c r="N24" s="2"/>
    </row>
    <row r="25" spans="1:14">
      <c r="A25" s="15" t="s">
        <v>43</v>
      </c>
      <c r="B25" s="9" t="s">
        <v>42</v>
      </c>
      <c r="C25" s="16" t="s">
        <v>44</v>
      </c>
      <c r="D25" s="17">
        <f>'GS5041 ER Calcs'!O34</f>
        <v>0</v>
      </c>
      <c r="E25" s="4"/>
      <c r="F25" s="4"/>
      <c r="G25" s="4"/>
      <c r="H25" s="4"/>
      <c r="I25" s="4"/>
      <c r="J25" s="4"/>
      <c r="K25" s="4"/>
      <c r="L25" s="4"/>
      <c r="M25" s="4"/>
      <c r="N25" s="2"/>
    </row>
    <row r="26" spans="1:14" ht="15" thickBot="1">
      <c r="A26" s="21" t="s">
        <v>38</v>
      </c>
      <c r="B26" s="22" t="s">
        <v>39</v>
      </c>
      <c r="C26" s="22" t="s">
        <v>30</v>
      </c>
      <c r="D26" s="236">
        <f>'GS5041 ER Calcs'!O35</f>
        <v>2319</v>
      </c>
      <c r="E26" s="4"/>
      <c r="F26" s="4"/>
      <c r="G26" s="4"/>
      <c r="H26" s="4"/>
      <c r="I26" s="4"/>
      <c r="J26" s="4"/>
      <c r="K26" s="4"/>
      <c r="L26" s="4"/>
      <c r="M26" s="4"/>
      <c r="N26" s="2"/>
    </row>
    <row r="27" spans="1:14" ht="15" thickBot="1">
      <c r="A27" s="21" t="s">
        <v>45</v>
      </c>
      <c r="B27" s="22" t="s">
        <v>39</v>
      </c>
      <c r="C27" s="22" t="s">
        <v>30</v>
      </c>
      <c r="D27" s="23">
        <f>'GS5041 ER Calcs'!O37</f>
        <v>2319</v>
      </c>
      <c r="E27" s="4"/>
      <c r="F27" s="4"/>
      <c r="G27" s="4"/>
      <c r="H27" s="4"/>
      <c r="I27" s="4"/>
      <c r="J27" s="4"/>
      <c r="K27" s="4"/>
      <c r="L27" s="4"/>
      <c r="M27" s="4"/>
      <c r="N27" s="2"/>
    </row>
    <row r="28" spans="1:14" ht="15" thickBot="1">
      <c r="A28" s="2"/>
      <c r="B28" s="508"/>
      <c r="C28" s="508"/>
      <c r="D28" s="2"/>
      <c r="E28" s="4"/>
      <c r="F28" s="4"/>
      <c r="G28" s="4"/>
      <c r="H28" s="4"/>
      <c r="I28" s="4"/>
      <c r="J28" s="4"/>
      <c r="K28" s="4"/>
      <c r="L28" s="4"/>
      <c r="M28" s="4"/>
      <c r="N28" s="2"/>
    </row>
    <row r="29" spans="1:14" ht="15.65" customHeight="1">
      <c r="A29" s="509" t="s">
        <v>47</v>
      </c>
      <c r="B29" s="510"/>
      <c r="C29" s="510"/>
      <c r="D29" s="510"/>
      <c r="E29" s="2"/>
      <c r="F29" s="2"/>
      <c r="G29" s="507"/>
      <c r="H29" s="507"/>
      <c r="I29" s="4"/>
      <c r="J29" s="4"/>
      <c r="K29" s="4"/>
      <c r="L29" s="4"/>
      <c r="M29" s="4"/>
      <c r="N29" s="2"/>
    </row>
    <row r="30" spans="1:14">
      <c r="A30" s="511" t="s">
        <v>19</v>
      </c>
      <c r="B30" s="512"/>
      <c r="C30" s="512"/>
      <c r="D30" s="512"/>
      <c r="E30" s="2"/>
      <c r="F30" s="2"/>
      <c r="G30" s="507"/>
      <c r="H30" s="507"/>
      <c r="I30" s="2"/>
      <c r="J30" s="2"/>
      <c r="K30" s="2"/>
      <c r="L30" s="2"/>
      <c r="M30" s="2"/>
      <c r="N30" s="2"/>
    </row>
    <row r="31" spans="1:14" ht="14.5" customHeight="1">
      <c r="A31" s="513">
        <v>2022</v>
      </c>
      <c r="B31" s="514"/>
      <c r="C31" s="514"/>
      <c r="D31" s="25">
        <f>D14</f>
        <v>1695</v>
      </c>
      <c r="E31" s="2"/>
      <c r="F31" s="2"/>
      <c r="G31" s="507"/>
      <c r="H31" s="507"/>
      <c r="I31" s="2"/>
      <c r="J31" s="2"/>
      <c r="K31" s="2"/>
      <c r="L31" s="2"/>
      <c r="M31" s="2"/>
      <c r="N31" s="2"/>
    </row>
    <row r="32" spans="1:14" ht="15" thickBot="1">
      <c r="A32" s="515">
        <v>2023</v>
      </c>
      <c r="B32" s="516"/>
      <c r="C32" s="516"/>
      <c r="D32" s="26">
        <f>D27</f>
        <v>2319</v>
      </c>
      <c r="E32" s="2"/>
      <c r="F32" s="2"/>
      <c r="G32" s="507"/>
      <c r="H32" s="507"/>
      <c r="I32" s="2"/>
      <c r="J32" s="2"/>
      <c r="K32" s="2"/>
      <c r="L32" s="2"/>
      <c r="M32" s="2"/>
      <c r="N32" s="2"/>
    </row>
    <row r="33" spans="1:14" ht="21" customHeight="1" thickBot="1">
      <c r="A33" s="27" t="s">
        <v>48</v>
      </c>
      <c r="B33" s="29"/>
      <c r="C33" s="30"/>
      <c r="D33" s="31">
        <f>D31+D32</f>
        <v>4014</v>
      </c>
      <c r="E33" s="2"/>
      <c r="F33" s="2"/>
      <c r="G33" s="507"/>
      <c r="H33" s="507"/>
      <c r="I33" s="2"/>
      <c r="J33" s="2"/>
      <c r="K33" s="2"/>
      <c r="L33" s="2"/>
      <c r="M33" s="2"/>
      <c r="N33" s="2"/>
    </row>
  </sheetData>
  <mergeCells count="19">
    <mergeCell ref="G29:H29"/>
    <mergeCell ref="A1:D1"/>
    <mergeCell ref="H1:N1"/>
    <mergeCell ref="A3:D3"/>
    <mergeCell ref="H3:N3"/>
    <mergeCell ref="A4:D4"/>
    <mergeCell ref="A10:D10"/>
    <mergeCell ref="A16:D16"/>
    <mergeCell ref="A17:D17"/>
    <mergeCell ref="A23:D23"/>
    <mergeCell ref="B28:C28"/>
    <mergeCell ref="A29:D29"/>
    <mergeCell ref="G33:H33"/>
    <mergeCell ref="A30:D30"/>
    <mergeCell ref="G30:H30"/>
    <mergeCell ref="A31:C31"/>
    <mergeCell ref="G31:H31"/>
    <mergeCell ref="A32:C32"/>
    <mergeCell ref="G32:H32"/>
  </mergeCells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C7B79-8E2D-4701-A6DD-83E9291405DD}">
  <dimension ref="A1:O23"/>
  <sheetViews>
    <sheetView workbookViewId="0">
      <selection activeCell="F20" sqref="F20"/>
    </sheetView>
  </sheetViews>
  <sheetFormatPr defaultRowHeight="14.5"/>
  <cols>
    <col min="1" max="1" width="25.54296875" bestFit="1" customWidth="1"/>
    <col min="2" max="2" width="17.26953125" bestFit="1" customWidth="1"/>
    <col min="3" max="3" width="14.54296875" bestFit="1" customWidth="1"/>
    <col min="4" max="4" width="26" customWidth="1"/>
    <col min="5" max="5" width="14.54296875" customWidth="1"/>
    <col min="6" max="6" width="17.1796875" bestFit="1" customWidth="1"/>
    <col min="7" max="7" width="15.1796875" bestFit="1" customWidth="1"/>
    <col min="8" max="8" width="9.81640625" bestFit="1" customWidth="1"/>
    <col min="9" max="9" width="15.54296875" bestFit="1" customWidth="1"/>
    <col min="11" max="11" width="10.26953125" customWidth="1"/>
    <col min="13" max="13" width="10.7265625" customWidth="1"/>
    <col min="15" max="15" width="10" customWidth="1"/>
  </cols>
  <sheetData>
    <row r="1" spans="1:15" ht="43.5">
      <c r="A1" s="48" t="s">
        <v>0</v>
      </c>
      <c r="B1" s="49" t="s">
        <v>49</v>
      </c>
      <c r="C1" s="49" t="s">
        <v>50</v>
      </c>
      <c r="D1" s="49" t="s">
        <v>51</v>
      </c>
      <c r="E1" s="49" t="s">
        <v>52</v>
      </c>
      <c r="F1" s="49" t="s">
        <v>192</v>
      </c>
      <c r="G1" s="49" t="s">
        <v>53</v>
      </c>
      <c r="H1" s="50" t="s">
        <v>54</v>
      </c>
      <c r="I1" s="50" t="s">
        <v>11</v>
      </c>
      <c r="J1" s="2"/>
      <c r="K1" s="51" t="s">
        <v>55</v>
      </c>
      <c r="L1" s="52" t="s">
        <v>56</v>
      </c>
      <c r="M1" s="5" t="s">
        <v>57</v>
      </c>
      <c r="N1" s="53" t="s">
        <v>58</v>
      </c>
      <c r="O1" s="50" t="s">
        <v>59</v>
      </c>
    </row>
    <row r="2" spans="1:15" ht="15.5">
      <c r="A2" s="530" t="s">
        <v>230</v>
      </c>
      <c r="B2" s="9" t="s">
        <v>231</v>
      </c>
      <c r="C2" s="54" t="s">
        <v>232</v>
      </c>
      <c r="D2" s="9">
        <v>14.61063</v>
      </c>
      <c r="E2" s="9">
        <v>39.47063</v>
      </c>
      <c r="F2" s="55">
        <v>42665</v>
      </c>
      <c r="G2" s="9">
        <v>46</v>
      </c>
      <c r="H2" s="9">
        <v>150</v>
      </c>
      <c r="I2" s="476">
        <f>IF(H2&lt;342,H2,342)</f>
        <v>150</v>
      </c>
      <c r="J2" s="2"/>
      <c r="K2" s="231">
        <f>$E$19</f>
        <v>203.29999999999998</v>
      </c>
      <c r="L2" s="235">
        <f>K2*I2</f>
        <v>30494.999999999996</v>
      </c>
      <c r="M2" s="231">
        <f>$E$20</f>
        <v>278.34999999999997</v>
      </c>
      <c r="N2" s="278">
        <f>I2*M2</f>
        <v>41752.499999999993</v>
      </c>
      <c r="O2" s="279">
        <f>L2+N2</f>
        <v>72247.499999999985</v>
      </c>
    </row>
    <row r="3" spans="1:15" ht="15.5">
      <c r="A3" s="531"/>
      <c r="B3" s="9" t="s">
        <v>233</v>
      </c>
      <c r="C3" s="54" t="s">
        <v>234</v>
      </c>
      <c r="D3" s="9">
        <v>14.55251</v>
      </c>
      <c r="E3" s="9">
        <v>39.342959999999998</v>
      </c>
      <c r="F3" s="55">
        <v>42669</v>
      </c>
      <c r="G3" s="9">
        <v>156</v>
      </c>
      <c r="H3" s="9">
        <v>585</v>
      </c>
      <c r="I3" s="476">
        <f>IF(H3&lt;371,H3,371)</f>
        <v>371</v>
      </c>
      <c r="J3" s="133"/>
      <c r="K3" s="231">
        <f>$E$19</f>
        <v>203.29999999999998</v>
      </c>
      <c r="L3" s="235">
        <f t="shared" ref="L3:L6" si="0">K3*I3</f>
        <v>75424.299999999988</v>
      </c>
      <c r="M3" s="231">
        <f>$E$20</f>
        <v>278.34999999999997</v>
      </c>
      <c r="N3" s="278">
        <f t="shared" ref="N3:N6" si="1">I3*M3</f>
        <v>103267.84999999999</v>
      </c>
      <c r="O3" s="279">
        <f t="shared" ref="O3:O6" si="2">L3+N3</f>
        <v>178692.14999999997</v>
      </c>
    </row>
    <row r="4" spans="1:15" ht="15.5">
      <c r="A4" s="531"/>
      <c r="B4" s="9" t="s">
        <v>235</v>
      </c>
      <c r="C4" s="9" t="s">
        <v>236</v>
      </c>
      <c r="D4" s="9">
        <v>14.560320000000001</v>
      </c>
      <c r="E4" s="9">
        <v>38.755769999999998</v>
      </c>
      <c r="F4" s="55">
        <v>42729</v>
      </c>
      <c r="G4" s="9">
        <v>151</v>
      </c>
      <c r="H4" s="9">
        <v>697</v>
      </c>
      <c r="I4" s="476">
        <v>366</v>
      </c>
      <c r="J4" s="133"/>
      <c r="K4" s="231">
        <f>$E$19</f>
        <v>203.29999999999998</v>
      </c>
      <c r="L4" s="235">
        <f t="shared" si="0"/>
        <v>74407.799999999988</v>
      </c>
      <c r="M4" s="231">
        <f>$E$20</f>
        <v>278.34999999999997</v>
      </c>
      <c r="N4" s="278">
        <f t="shared" si="1"/>
        <v>101876.09999999999</v>
      </c>
      <c r="O4" s="279">
        <f t="shared" si="2"/>
        <v>176283.89999999997</v>
      </c>
    </row>
    <row r="5" spans="1:15" ht="15.5">
      <c r="A5" s="531"/>
      <c r="B5" s="9" t="s">
        <v>237</v>
      </c>
      <c r="C5" s="9" t="s">
        <v>238</v>
      </c>
      <c r="D5" s="9">
        <v>14.777710000000001</v>
      </c>
      <c r="E5" s="9">
        <v>39.129069999999999</v>
      </c>
      <c r="F5" s="55">
        <v>42753</v>
      </c>
      <c r="G5" s="9">
        <v>127</v>
      </c>
      <c r="H5" s="9">
        <v>528</v>
      </c>
      <c r="I5" s="476">
        <f>IF(H5&lt;371,H5,371)</f>
        <v>371</v>
      </c>
      <c r="J5" s="133"/>
      <c r="K5" s="231">
        <f>$E$19</f>
        <v>203.29999999999998</v>
      </c>
      <c r="L5" s="235">
        <f t="shared" si="0"/>
        <v>75424.299999999988</v>
      </c>
      <c r="M5" s="231">
        <f>$E$20</f>
        <v>278.34999999999997</v>
      </c>
      <c r="N5" s="278">
        <f t="shared" si="1"/>
        <v>103267.84999999999</v>
      </c>
      <c r="O5" s="279">
        <f t="shared" si="2"/>
        <v>178692.14999999997</v>
      </c>
    </row>
    <row r="6" spans="1:15" ht="15.5">
      <c r="A6" s="532"/>
      <c r="B6" s="9" t="s">
        <v>239</v>
      </c>
      <c r="C6" s="9" t="s">
        <v>240</v>
      </c>
      <c r="D6" s="200">
        <v>14.582929999999999</v>
      </c>
      <c r="E6" s="200">
        <v>38.85257</v>
      </c>
      <c r="F6" s="55">
        <v>42760</v>
      </c>
      <c r="G6" s="9">
        <v>143</v>
      </c>
      <c r="H6" s="9">
        <v>500</v>
      </c>
      <c r="I6" s="476">
        <f>IF(H6&lt;331,H6,331)</f>
        <v>331</v>
      </c>
      <c r="J6" s="133"/>
      <c r="K6" s="231">
        <f>$E$19</f>
        <v>203.29999999999998</v>
      </c>
      <c r="L6" s="235">
        <f t="shared" si="0"/>
        <v>67292.299999999988</v>
      </c>
      <c r="M6" s="231">
        <f>$E$20</f>
        <v>278.34999999999997</v>
      </c>
      <c r="N6" s="278">
        <f t="shared" si="1"/>
        <v>92133.849999999991</v>
      </c>
      <c r="O6" s="279">
        <f t="shared" si="2"/>
        <v>159426.14999999997</v>
      </c>
    </row>
    <row r="7" spans="1:15" ht="15" thickBot="1">
      <c r="A7" s="118"/>
      <c r="B7" s="1"/>
      <c r="C7" s="2"/>
      <c r="D7" s="2"/>
      <c r="E7" s="2"/>
      <c r="F7" s="62"/>
      <c r="G7" s="63" t="s">
        <v>13</v>
      </c>
      <c r="H7" s="64">
        <f>SUM(H2:H6)</f>
        <v>2460</v>
      </c>
      <c r="I7" s="64">
        <f>SUM(I2:I6)</f>
        <v>1589</v>
      </c>
      <c r="J7" s="2"/>
      <c r="K7" s="282"/>
      <c r="L7" s="292">
        <f>SUM(L2:L6)</f>
        <v>323043.69999999995</v>
      </c>
      <c r="M7" s="296"/>
      <c r="N7" s="293">
        <f t="shared" ref="N7:O7" si="3">SUM(N2:N6)</f>
        <v>442298.14999999991</v>
      </c>
      <c r="O7" s="294">
        <f t="shared" si="3"/>
        <v>765341.84999999986</v>
      </c>
    </row>
    <row r="8" spans="1:1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5" thickBo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43.5">
      <c r="C10" s="67"/>
      <c r="D10" s="2"/>
      <c r="E10" s="2"/>
      <c r="F10" s="2"/>
      <c r="G10" s="2"/>
      <c r="H10" s="2"/>
      <c r="I10" s="2"/>
      <c r="J10" s="2"/>
      <c r="K10" s="145" t="s">
        <v>55</v>
      </c>
      <c r="L10" s="48" t="s">
        <v>56</v>
      </c>
      <c r="M10" s="114" t="s">
        <v>57</v>
      </c>
      <c r="N10" s="49" t="s">
        <v>58</v>
      </c>
      <c r="O10" s="50" t="s">
        <v>59</v>
      </c>
    </row>
    <row r="11" spans="1:15" ht="15" thickBot="1">
      <c r="A11" s="2"/>
      <c r="B11" s="66" t="s">
        <v>76</v>
      </c>
      <c r="C11" s="2"/>
      <c r="E11" s="2"/>
      <c r="F11" s="2"/>
      <c r="G11" s="2"/>
      <c r="H11" s="2"/>
      <c r="I11" s="2"/>
      <c r="J11" s="2"/>
      <c r="K11" s="231">
        <f>$E$19</f>
        <v>203.29999999999998</v>
      </c>
      <c r="L11" s="235">
        <f>K11*H2</f>
        <v>30494.999999999996</v>
      </c>
      <c r="M11" s="231">
        <f>$E$20</f>
        <v>278.34999999999997</v>
      </c>
      <c r="N11" s="278">
        <f>H2*M11</f>
        <v>41752.499999999993</v>
      </c>
      <c r="O11" s="279">
        <f>L11+N11</f>
        <v>72247.499999999985</v>
      </c>
    </row>
    <row r="12" spans="1:15" ht="18.5">
      <c r="A12" s="68" t="s">
        <v>77</v>
      </c>
      <c r="B12" s="69">
        <v>44713</v>
      </c>
      <c r="C12" s="541"/>
      <c r="D12" s="73"/>
      <c r="E12" s="2"/>
      <c r="F12" s="2"/>
      <c r="G12" s="2"/>
      <c r="H12" s="2"/>
      <c r="I12" s="2"/>
      <c r="J12" s="2"/>
      <c r="K12" s="231">
        <f>$E$19</f>
        <v>203.29999999999998</v>
      </c>
      <c r="L12" s="235">
        <f t="shared" ref="L12:L15" si="4">K12*H3</f>
        <v>118930.49999999999</v>
      </c>
      <c r="M12" s="231">
        <f>$E$20</f>
        <v>278.34999999999997</v>
      </c>
      <c r="N12" s="278">
        <f t="shared" ref="N12:N15" si="5">H3*M12</f>
        <v>162834.74999999997</v>
      </c>
      <c r="O12" s="279">
        <f t="shared" ref="O12:O15" si="6">L12+N12</f>
        <v>281765.24999999994</v>
      </c>
    </row>
    <row r="13" spans="1:15" ht="58" customHeight="1" thickBot="1">
      <c r="A13" s="123" t="s">
        <v>78</v>
      </c>
      <c r="B13" s="310">
        <v>45219</v>
      </c>
      <c r="C13" s="541"/>
      <c r="D13" s="2"/>
      <c r="E13" s="542"/>
      <c r="F13" s="543"/>
      <c r="G13" s="543"/>
      <c r="H13" s="525"/>
      <c r="I13" s="525"/>
      <c r="J13" s="24"/>
      <c r="K13" s="231">
        <f>$E$19</f>
        <v>203.29999999999998</v>
      </c>
      <c r="L13" s="235">
        <f t="shared" si="4"/>
        <v>141700.09999999998</v>
      </c>
      <c r="M13" s="231">
        <f>$E$20</f>
        <v>278.34999999999997</v>
      </c>
      <c r="N13" s="278">
        <f t="shared" si="5"/>
        <v>194009.94999999998</v>
      </c>
      <c r="O13" s="279">
        <f t="shared" si="6"/>
        <v>335710.04999999993</v>
      </c>
    </row>
    <row r="14" spans="1:15" ht="15" thickBot="1">
      <c r="A14" s="123" t="s">
        <v>79</v>
      </c>
      <c r="B14" s="310">
        <v>44926</v>
      </c>
      <c r="C14" s="2"/>
      <c r="E14" s="542"/>
      <c r="F14" s="543"/>
      <c r="G14" s="543"/>
      <c r="H14" s="525"/>
      <c r="I14" s="525"/>
      <c r="J14" s="24"/>
      <c r="K14" s="231">
        <f>$E$19</f>
        <v>203.29999999999998</v>
      </c>
      <c r="L14" s="235">
        <f t="shared" si="4"/>
        <v>107342.39999999999</v>
      </c>
      <c r="M14" s="231">
        <f>$E$20</f>
        <v>278.34999999999997</v>
      </c>
      <c r="N14" s="278">
        <f t="shared" si="5"/>
        <v>146968.79999999999</v>
      </c>
      <c r="O14" s="279">
        <f t="shared" si="6"/>
        <v>254311.19999999998</v>
      </c>
    </row>
    <row r="15" spans="1:15">
      <c r="C15" s="2"/>
      <c r="D15" s="347"/>
      <c r="E15" s="2"/>
      <c r="H15" s="2"/>
      <c r="J15" s="24"/>
      <c r="K15" s="231">
        <f>$E$19</f>
        <v>203.29999999999998</v>
      </c>
      <c r="L15" s="235">
        <f t="shared" si="4"/>
        <v>101649.99999999999</v>
      </c>
      <c r="M15" s="231">
        <f>$E$20</f>
        <v>278.34999999999997</v>
      </c>
      <c r="N15" s="278">
        <f t="shared" si="5"/>
        <v>139174.99999999997</v>
      </c>
      <c r="O15" s="279">
        <f t="shared" si="6"/>
        <v>240824.99999999994</v>
      </c>
    </row>
    <row r="16" spans="1:15">
      <c r="C16" s="2"/>
      <c r="D16" s="347"/>
      <c r="E16" s="2"/>
      <c r="H16" s="2"/>
      <c r="J16" s="2"/>
      <c r="K16" s="231"/>
      <c r="L16" s="235"/>
      <c r="M16" s="231"/>
      <c r="N16" s="278"/>
      <c r="O16" s="279"/>
    </row>
    <row r="17" spans="1:15" ht="15" thickBot="1">
      <c r="A17" s="188"/>
      <c r="B17" s="188" t="s">
        <v>81</v>
      </c>
      <c r="C17" s="57"/>
      <c r="D17" s="188"/>
      <c r="E17" s="188"/>
      <c r="F17" s="188"/>
      <c r="J17" s="2"/>
      <c r="K17" s="2"/>
      <c r="L17" s="146">
        <f>SUM(L11:L15)</f>
        <v>500118</v>
      </c>
      <c r="M17" s="146"/>
      <c r="N17" s="146">
        <f t="shared" ref="N17:O17" si="7">SUM(N11:N15)</f>
        <v>684741</v>
      </c>
      <c r="O17" s="146">
        <f t="shared" si="7"/>
        <v>1184858.9999999998</v>
      </c>
    </row>
    <row r="18" spans="1:15">
      <c r="A18" s="195" t="s">
        <v>82</v>
      </c>
      <c r="B18" s="77">
        <v>27.4</v>
      </c>
      <c r="C18" s="57" t="s">
        <v>8</v>
      </c>
      <c r="D18" s="57" t="s">
        <v>83</v>
      </c>
      <c r="E18" s="188" t="s">
        <v>241</v>
      </c>
      <c r="F18" s="57" t="s">
        <v>242</v>
      </c>
      <c r="H18" s="2"/>
      <c r="I18" s="2"/>
      <c r="J18" s="2"/>
      <c r="K18" s="2"/>
      <c r="L18" s="2"/>
      <c r="M18" s="2"/>
      <c r="N18" s="2"/>
      <c r="O18" s="2"/>
    </row>
    <row r="19" spans="1:15" ht="19.5" customHeight="1">
      <c r="A19" s="195" t="s">
        <v>86</v>
      </c>
      <c r="B19" s="77">
        <f>B14-B12+1</f>
        <v>214</v>
      </c>
      <c r="C19" s="249">
        <f>'Maintenance '!BI27/($B$19*COUNTA($B$2:$B$6))</f>
        <v>0</v>
      </c>
      <c r="D19" s="196">
        <v>0.95</v>
      </c>
      <c r="E19" s="235">
        <f>B19*D19</f>
        <v>203.29999999999998</v>
      </c>
      <c r="F19" s="188">
        <f>B19</f>
        <v>214</v>
      </c>
      <c r="G19" s="2"/>
      <c r="H19" s="2"/>
      <c r="I19" s="2"/>
      <c r="J19" s="2"/>
      <c r="K19" s="2"/>
      <c r="L19" s="2"/>
      <c r="M19" s="2"/>
      <c r="N19" s="2"/>
      <c r="O19" s="2"/>
    </row>
    <row r="20" spans="1:15">
      <c r="A20" s="195" t="s">
        <v>87</v>
      </c>
      <c r="B20" s="77">
        <f>B13-B14</f>
        <v>293</v>
      </c>
      <c r="C20" s="249">
        <f>'Maintenance '!BJ27/(B20*COUNTA($B$2:$B$6))</f>
        <v>0</v>
      </c>
      <c r="D20" s="196">
        <v>0.95</v>
      </c>
      <c r="E20" s="232">
        <f>B20*D20</f>
        <v>278.34999999999997</v>
      </c>
      <c r="F20" s="57">
        <f>B20</f>
        <v>293</v>
      </c>
      <c r="G20" s="2"/>
      <c r="H20" s="2"/>
      <c r="I20" s="2"/>
      <c r="J20" s="2"/>
      <c r="K20" s="2"/>
      <c r="L20" s="2"/>
      <c r="M20" s="2"/>
      <c r="N20" s="2"/>
      <c r="O20" s="2"/>
    </row>
    <row r="21" spans="1:15">
      <c r="A21" s="197" t="s">
        <v>88</v>
      </c>
      <c r="B21" s="144">
        <v>365</v>
      </c>
      <c r="C21" s="251">
        <f>SUM(C19:C20)</f>
        <v>0</v>
      </c>
      <c r="D21" s="188"/>
      <c r="E21" s="188"/>
      <c r="F21" s="188"/>
    </row>
    <row r="22" spans="1:15">
      <c r="D22" s="2"/>
    </row>
    <row r="23" spans="1:15">
      <c r="A23" s="125" t="s">
        <v>243</v>
      </c>
      <c r="B23" s="82">
        <f>(B19+B20)*COUNTA(B2:B6)</f>
        <v>2535</v>
      </c>
      <c r="C23" s="204">
        <f>'Maintenance '!BL27/B23</f>
        <v>0</v>
      </c>
    </row>
  </sheetData>
  <mergeCells count="7">
    <mergeCell ref="I13:I14"/>
    <mergeCell ref="A2:A6"/>
    <mergeCell ref="C12:C13"/>
    <mergeCell ref="E13:E14"/>
    <mergeCell ref="F13:F14"/>
    <mergeCell ref="G13:G14"/>
    <mergeCell ref="H13:H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CA328-0FE1-4B32-9397-44DC2E265907}">
  <dimension ref="A1:O39"/>
  <sheetViews>
    <sheetView workbookViewId="0">
      <selection activeCell="D37" sqref="D37"/>
    </sheetView>
  </sheetViews>
  <sheetFormatPr defaultRowHeight="14.5"/>
  <cols>
    <col min="1" max="1" width="77.1796875" bestFit="1" customWidth="1"/>
    <col min="2" max="2" width="15.7265625" bestFit="1" customWidth="1"/>
    <col min="3" max="3" width="10" bestFit="1" customWidth="1"/>
    <col min="4" max="4" width="11.81640625" bestFit="1" customWidth="1"/>
    <col min="5" max="5" width="32.453125" bestFit="1" customWidth="1"/>
    <col min="7" max="7" width="67" customWidth="1"/>
    <col min="8" max="8" width="15.7265625" bestFit="1" customWidth="1"/>
    <col min="12" max="12" width="74" customWidth="1"/>
  </cols>
  <sheetData>
    <row r="1" spans="1:15" ht="14.5" customHeight="1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</row>
    <row r="4" spans="1:15" ht="28.5" customHeight="1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</row>
    <row r="5" spans="1:15" ht="45" customHeight="1">
      <c r="A5" s="9" t="s">
        <v>96</v>
      </c>
      <c r="B5" s="9" t="s">
        <v>97</v>
      </c>
      <c r="C5" s="9"/>
      <c r="D5" s="87">
        <f>'GS5041 PTDs'!O7</f>
        <v>765341.84999999986</v>
      </c>
      <c r="E5" s="85" t="s">
        <v>98</v>
      </c>
      <c r="F5" s="2"/>
      <c r="G5" s="9" t="s">
        <v>96</v>
      </c>
      <c r="H5" s="9" t="s">
        <v>97</v>
      </c>
      <c r="I5" s="9"/>
      <c r="J5" s="87">
        <f>'GS5041 PTDs'!L7</f>
        <v>323043.69999999995</v>
      </c>
      <c r="K5" s="2"/>
      <c r="L5" s="9" t="s">
        <v>96</v>
      </c>
      <c r="M5" s="9" t="s">
        <v>97</v>
      </c>
      <c r="N5" s="9"/>
      <c r="O5" s="87">
        <f>'GS5041 PTDs'!N7</f>
        <v>442298.14999999991</v>
      </c>
    </row>
    <row r="6" spans="1:15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</row>
    <row r="7" spans="1:15" ht="34.5" customHeight="1">
      <c r="A7" s="88" t="s">
        <v>103</v>
      </c>
      <c r="B7" s="9" t="s">
        <v>104</v>
      </c>
      <c r="C7" s="9" t="s">
        <v>105</v>
      </c>
      <c r="D7" s="86">
        <v>7.5</v>
      </c>
      <c r="E7" s="85" t="s">
        <v>162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</row>
    <row r="8" spans="1:15" ht="28" customHeight="1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</row>
    <row r="9" spans="1:15">
      <c r="A9" s="9" t="s">
        <v>110</v>
      </c>
      <c r="B9" s="9" t="s">
        <v>111</v>
      </c>
      <c r="C9" s="9" t="s">
        <v>112</v>
      </c>
      <c r="D9" s="86">
        <f>ROUNDDOWN((1-D4)*D5*D6*(D7+D8),0)</f>
        <v>2296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969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1326</v>
      </c>
    </row>
    <row r="10" spans="1:15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</row>
    <row r="12" spans="1:15" ht="16.5" customHeight="1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</row>
    <row r="13" spans="1:15" ht="30.65" customHeight="1">
      <c r="A13" s="9" t="s">
        <v>96</v>
      </c>
      <c r="B13" s="9" t="s">
        <v>97</v>
      </c>
      <c r="C13" s="9"/>
      <c r="D13" s="87">
        <f>D5</f>
        <v>765341.84999999986</v>
      </c>
      <c r="E13" s="85" t="s">
        <v>115</v>
      </c>
      <c r="F13" s="2"/>
      <c r="G13" s="9" t="s">
        <v>96</v>
      </c>
      <c r="H13" s="9" t="s">
        <v>97</v>
      </c>
      <c r="I13" s="9"/>
      <c r="J13" s="87">
        <f>J5</f>
        <v>323043.69999999995</v>
      </c>
      <c r="K13" s="2"/>
      <c r="L13" s="9" t="s">
        <v>96</v>
      </c>
      <c r="M13" s="9" t="s">
        <v>97</v>
      </c>
      <c r="N13" s="9"/>
      <c r="O13" s="87">
        <f>O5</f>
        <v>442298.14999999991</v>
      </c>
    </row>
    <row r="14" spans="1:15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</row>
    <row r="15" spans="1:15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</row>
    <row r="16" spans="1:15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</row>
    <row r="17" spans="1:15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121</v>
      </c>
      <c r="M17" s="9" t="s">
        <v>122</v>
      </c>
      <c r="N17" s="9" t="s">
        <v>112</v>
      </c>
      <c r="O17" s="86">
        <f>ROUNDDOWN((1+O12)*O13*O14*(O16+O16),0)</f>
        <v>0</v>
      </c>
    </row>
    <row r="18" spans="1:15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</row>
    <row r="20" spans="1:15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</row>
    <row r="21" spans="1:15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</row>
    <row r="22" spans="1:15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J22</f>
        <v>9.4600000000000009</v>
      </c>
    </row>
    <row r="23" spans="1:15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</row>
    <row r="24" spans="1:15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</row>
    <row r="26" spans="1:15">
      <c r="A26" s="9" t="s">
        <v>28</v>
      </c>
      <c r="B26" s="9" t="s">
        <v>29</v>
      </c>
      <c r="C26" s="9" t="s">
        <v>30</v>
      </c>
      <c r="D26" s="87">
        <f>ROUNDDOWN(D9*((D20*D21)+D22)*D23,0)</f>
        <v>4230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1785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2442</v>
      </c>
    </row>
    <row r="27" spans="1:15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O17*((O20*O21)+O22)*O230</f>
        <v>0</v>
      </c>
    </row>
    <row r="28" spans="1:15" ht="24.65" customHeight="1">
      <c r="A28" s="9" t="s">
        <v>33</v>
      </c>
      <c r="B28" s="9" t="s">
        <v>34</v>
      </c>
      <c r="C28" s="9" t="s">
        <v>35</v>
      </c>
      <c r="D28" s="89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9">
        <f>D28</f>
        <v>0.95</v>
      </c>
      <c r="K28" s="2"/>
      <c r="L28" s="9" t="s">
        <v>33</v>
      </c>
      <c r="M28" s="9" t="s">
        <v>34</v>
      </c>
      <c r="N28" s="9" t="s">
        <v>35</v>
      </c>
      <c r="O28" s="89">
        <f>D28</f>
        <v>0.95</v>
      </c>
    </row>
    <row r="29" spans="1:15" ht="24.65" customHeight="1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</row>
    <row r="30" spans="1:15">
      <c r="A30" s="9" t="s">
        <v>90</v>
      </c>
      <c r="B30" s="9" t="s">
        <v>39</v>
      </c>
      <c r="C30" s="9" t="s">
        <v>30</v>
      </c>
      <c r="D30" s="86">
        <f>ROUNDDOWN(((D26-D27)*D28)-D29,0)</f>
        <v>4018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1695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2319</v>
      </c>
    </row>
    <row r="31" spans="1:15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</row>
    <row r="33" spans="1:15">
      <c r="A33" s="90" t="s">
        <v>41</v>
      </c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M33" s="9"/>
      <c r="N33" s="16"/>
      <c r="O33" s="91">
        <v>1</v>
      </c>
    </row>
    <row r="34" spans="1:15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</row>
    <row r="35" spans="1:15">
      <c r="A35" s="93" t="s">
        <v>140</v>
      </c>
      <c r="B35" s="94" t="s">
        <v>39</v>
      </c>
      <c r="C35" s="95" t="s">
        <v>30</v>
      </c>
      <c r="D35" s="246">
        <f>ROUNDDOWN(D30*(1-D34),0)</f>
        <v>4018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1695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2319</v>
      </c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93" t="s">
        <v>141</v>
      </c>
      <c r="B37" s="94"/>
      <c r="C37" s="95" t="s">
        <v>30</v>
      </c>
      <c r="D37" s="96">
        <f>J37+O37</f>
        <v>4014</v>
      </c>
      <c r="E37" s="2"/>
      <c r="F37" s="2"/>
      <c r="G37" s="93" t="s">
        <v>141</v>
      </c>
      <c r="H37" s="94"/>
      <c r="I37" s="95" t="s">
        <v>30</v>
      </c>
      <c r="J37" s="96">
        <f>IF(J35&gt;'GS5041 PTDs'!B18*'GS5041 PTDs'!B19,'GS5041 PTDs'!B18*'GS5041 PTDs'!B19,'GS5041 ER Calcs'!J35)</f>
        <v>1695</v>
      </c>
      <c r="K37" s="2"/>
      <c r="L37" s="93" t="s">
        <v>141</v>
      </c>
      <c r="M37" s="94"/>
      <c r="N37" s="95" t="s">
        <v>30</v>
      </c>
      <c r="O37" s="96">
        <f>IF(O35&gt;'GS5041 PTDs'!B18*'GS5041 PTDs'!B20,'GS5041 PTDs'!B18*'GS5041 PTDs'!B20,'GS5041 ER Calcs'!O35)</f>
        <v>2319</v>
      </c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" t="s">
        <v>142</v>
      </c>
      <c r="B39" s="2"/>
      <c r="C39" s="2"/>
      <c r="D39" s="2"/>
      <c r="E39" s="2"/>
      <c r="F39" s="2"/>
      <c r="G39" s="1" t="s">
        <v>142</v>
      </c>
      <c r="H39" s="2"/>
      <c r="I39" s="2"/>
      <c r="J39" s="2"/>
      <c r="K39" s="2"/>
      <c r="L39" s="1" t="s">
        <v>142</v>
      </c>
      <c r="M39" s="2"/>
      <c r="N39" s="2"/>
      <c r="O39" s="2"/>
    </row>
  </sheetData>
  <mergeCells count="18">
    <mergeCell ref="A1:D1"/>
    <mergeCell ref="G1:J1"/>
    <mergeCell ref="L1:O1"/>
    <mergeCell ref="A3:D3"/>
    <mergeCell ref="G3:J3"/>
    <mergeCell ref="L3:O3"/>
    <mergeCell ref="A11:D11"/>
    <mergeCell ref="G11:J11"/>
    <mergeCell ref="L11:O11"/>
    <mergeCell ref="A19:D19"/>
    <mergeCell ref="G19:J19"/>
    <mergeCell ref="L19:O19"/>
    <mergeCell ref="A25:D25"/>
    <mergeCell ref="G25:J25"/>
    <mergeCell ref="L25:O25"/>
    <mergeCell ref="A32:D32"/>
    <mergeCell ref="G32:J32"/>
    <mergeCell ref="L32:O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A8E40-B6AC-41DF-A4BD-9BC4AD3B1119}">
  <dimension ref="A1:R49"/>
  <sheetViews>
    <sheetView topLeftCell="A10" workbookViewId="0">
      <selection activeCell="E33" sqref="E33"/>
    </sheetView>
  </sheetViews>
  <sheetFormatPr defaultRowHeight="14.5"/>
  <cols>
    <col min="2" max="2" width="39" bestFit="1" customWidth="1"/>
    <col min="3" max="3" width="5.453125" bestFit="1" customWidth="1"/>
    <col min="4" max="4" width="10" bestFit="1" customWidth="1"/>
    <col min="5" max="5" width="9.54296875" customWidth="1"/>
    <col min="9" max="9" width="6.54296875" customWidth="1"/>
    <col min="10" max="10" width="7.453125" customWidth="1"/>
    <col min="11" max="11" width="7.54296875" customWidth="1"/>
    <col min="12" max="12" width="6.453125" customWidth="1"/>
    <col min="13" max="14" width="7.81640625" customWidth="1"/>
    <col min="15" max="15" width="9.7265625" customWidth="1"/>
    <col min="16" max="16" width="17.453125" customWidth="1"/>
  </cols>
  <sheetData>
    <row r="1" spans="1:18" ht="15" thickBot="1">
      <c r="A1" s="2"/>
      <c r="B1" s="2"/>
      <c r="C1" s="520"/>
      <c r="D1" s="520"/>
      <c r="E1" s="2"/>
      <c r="F1" s="2"/>
      <c r="G1" s="2"/>
      <c r="H1" s="507"/>
      <c r="I1" s="507"/>
      <c r="J1" s="2"/>
      <c r="K1" s="2"/>
      <c r="L1" s="2"/>
      <c r="M1" s="2"/>
      <c r="N1" s="2"/>
      <c r="O1" s="2"/>
      <c r="P1" s="2"/>
      <c r="Q1" s="2"/>
      <c r="R1" s="2"/>
    </row>
    <row r="2" spans="1:18" ht="37" customHeight="1" thickBot="1">
      <c r="A2" s="2"/>
      <c r="B2" s="521" t="s">
        <v>15</v>
      </c>
      <c r="C2" s="522"/>
      <c r="D2" s="522"/>
      <c r="E2" s="522"/>
      <c r="F2" s="4"/>
      <c r="G2" s="4"/>
      <c r="H2" s="4"/>
      <c r="I2" s="526" t="s">
        <v>16</v>
      </c>
      <c r="J2" s="527"/>
      <c r="K2" s="527"/>
      <c r="L2" s="527"/>
      <c r="M2" s="527"/>
      <c r="N2" s="527"/>
      <c r="O2" s="527"/>
      <c r="P2" s="527"/>
      <c r="Q2" s="2"/>
      <c r="R2" s="2"/>
    </row>
    <row r="3" spans="1:18" ht="15" thickBot="1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  <c r="P3" s="2"/>
      <c r="Q3" s="2"/>
      <c r="R3" s="2"/>
    </row>
    <row r="4" spans="1:18" ht="14.5" customHeight="1">
      <c r="A4" s="2"/>
      <c r="B4" s="523" t="s">
        <v>17</v>
      </c>
      <c r="C4" s="524"/>
      <c r="D4" s="524"/>
      <c r="E4" s="524"/>
      <c r="F4" s="2"/>
      <c r="G4" s="4"/>
      <c r="H4" s="4"/>
      <c r="I4" s="528" t="s">
        <v>18</v>
      </c>
      <c r="J4" s="529"/>
      <c r="K4" s="529"/>
      <c r="L4" s="529"/>
      <c r="M4" s="529"/>
      <c r="N4" s="529"/>
      <c r="O4" s="529"/>
      <c r="P4" s="529"/>
      <c r="Q4" s="2"/>
      <c r="R4" s="2"/>
    </row>
    <row r="5" spans="1:18">
      <c r="A5" s="2"/>
      <c r="B5" s="518" t="s">
        <v>19</v>
      </c>
      <c r="C5" s="519"/>
      <c r="D5" s="519"/>
      <c r="E5" s="519"/>
      <c r="F5" s="2"/>
      <c r="G5" s="4"/>
      <c r="H5" s="4"/>
      <c r="I5" s="6" t="s">
        <v>20</v>
      </c>
      <c r="J5" s="7" t="s">
        <v>21</v>
      </c>
      <c r="K5" s="6" t="s">
        <v>22</v>
      </c>
      <c r="L5" s="6" t="s">
        <v>23</v>
      </c>
      <c r="M5" s="6" t="s">
        <v>24</v>
      </c>
      <c r="N5" s="6" t="s">
        <v>25</v>
      </c>
      <c r="O5" s="6" t="s">
        <v>26</v>
      </c>
      <c r="P5" s="6" t="s">
        <v>27</v>
      </c>
      <c r="Q5" s="2"/>
      <c r="R5" s="2"/>
    </row>
    <row r="6" spans="1:18">
      <c r="A6" s="2"/>
      <c r="B6" s="8" t="s">
        <v>28</v>
      </c>
      <c r="C6" s="9" t="s">
        <v>29</v>
      </c>
      <c r="D6" s="9" t="s">
        <v>30</v>
      </c>
      <c r="E6" s="10">
        <f>'GS5038 ER Calcs'!K27</f>
        <v>1825</v>
      </c>
      <c r="F6" s="2"/>
      <c r="G6" s="4"/>
      <c r="H6" s="4"/>
      <c r="I6" s="109">
        <v>2016</v>
      </c>
      <c r="J6" s="390">
        <v>364</v>
      </c>
      <c r="K6" s="390"/>
      <c r="L6" s="390"/>
      <c r="M6" s="390"/>
      <c r="N6" s="390"/>
      <c r="O6" s="382"/>
      <c r="P6" s="392">
        <v>364</v>
      </c>
      <c r="Q6" s="2"/>
      <c r="R6" s="2"/>
    </row>
    <row r="7" spans="1:18">
      <c r="A7" s="2"/>
      <c r="B7" s="8" t="s">
        <v>31</v>
      </c>
      <c r="C7" s="9" t="s">
        <v>32</v>
      </c>
      <c r="D7" s="9" t="s">
        <v>30</v>
      </c>
      <c r="E7" s="14">
        <f>'GS5038 ER Calcs'!K28</f>
        <v>0</v>
      </c>
      <c r="F7" s="2"/>
      <c r="G7" s="4"/>
      <c r="H7" s="4"/>
      <c r="I7" s="109">
        <v>2017</v>
      </c>
      <c r="J7" s="390">
        <v>7687</v>
      </c>
      <c r="K7" s="390">
        <v>2313</v>
      </c>
      <c r="L7" s="390"/>
      <c r="M7" s="390"/>
      <c r="N7" s="390"/>
      <c r="O7" s="382"/>
      <c r="P7" s="392">
        <v>10000</v>
      </c>
      <c r="Q7" s="2"/>
      <c r="R7" s="2"/>
    </row>
    <row r="8" spans="1:18">
      <c r="A8" s="2"/>
      <c r="B8" s="8" t="s">
        <v>33</v>
      </c>
      <c r="C8" s="9" t="s">
        <v>34</v>
      </c>
      <c r="D8" s="9" t="s">
        <v>35</v>
      </c>
      <c r="E8" s="14">
        <f>'GS5038 ER Calcs'!K29</f>
        <v>0.95</v>
      </c>
      <c r="F8" s="2"/>
      <c r="G8" s="4"/>
      <c r="H8" s="4"/>
      <c r="I8" s="109">
        <v>2018</v>
      </c>
      <c r="J8" s="390"/>
      <c r="K8" s="390">
        <v>10000</v>
      </c>
      <c r="L8" s="390"/>
      <c r="M8" s="390"/>
      <c r="N8" s="390"/>
      <c r="O8" s="382"/>
      <c r="P8" s="392">
        <v>10000</v>
      </c>
      <c r="Q8" s="2"/>
      <c r="R8" s="2"/>
    </row>
    <row r="9" spans="1:18">
      <c r="A9" s="2"/>
      <c r="B9" s="8" t="s">
        <v>36</v>
      </c>
      <c r="C9" s="9" t="s">
        <v>37</v>
      </c>
      <c r="D9" s="9" t="s">
        <v>30</v>
      </c>
      <c r="E9" s="14">
        <f>'GS5038 ER Calcs'!K30</f>
        <v>0</v>
      </c>
      <c r="F9" s="2"/>
      <c r="G9" s="4"/>
      <c r="H9" s="4"/>
      <c r="I9" s="109">
        <v>2019</v>
      </c>
      <c r="J9" s="390"/>
      <c r="K9" s="390">
        <v>4137</v>
      </c>
      <c r="L9" s="390">
        <v>1589</v>
      </c>
      <c r="M9" s="390"/>
      <c r="N9" s="390"/>
      <c r="O9" s="382"/>
      <c r="P9" s="392">
        <v>5726</v>
      </c>
      <c r="Q9" s="2"/>
      <c r="R9" s="2"/>
    </row>
    <row r="10" spans="1:18">
      <c r="A10" s="2"/>
      <c r="B10" s="8" t="s">
        <v>38</v>
      </c>
      <c r="C10" s="9" t="s">
        <v>39</v>
      </c>
      <c r="D10" s="9" t="s">
        <v>30</v>
      </c>
      <c r="E10" s="14">
        <f>'GS5038 ER Calcs'!K31</f>
        <v>1733.75</v>
      </c>
      <c r="F10" s="2"/>
      <c r="G10" s="4"/>
      <c r="H10" s="4"/>
      <c r="I10" s="109">
        <v>2020</v>
      </c>
      <c r="J10" s="390"/>
      <c r="K10" s="390"/>
      <c r="L10" s="390">
        <v>1128</v>
      </c>
      <c r="M10" s="391">
        <v>1504</v>
      </c>
      <c r="N10" s="391"/>
      <c r="O10" s="382"/>
      <c r="P10" s="392">
        <f>SUM(L10:N10)</f>
        <v>2632</v>
      </c>
      <c r="Q10" s="2"/>
      <c r="R10" s="2"/>
    </row>
    <row r="11" spans="1:18">
      <c r="A11" s="2"/>
      <c r="B11" s="518" t="s">
        <v>40</v>
      </c>
      <c r="C11" s="519"/>
      <c r="D11" s="519"/>
      <c r="E11" s="519"/>
      <c r="F11" s="2"/>
      <c r="G11" s="4"/>
      <c r="H11" s="4"/>
      <c r="I11" s="111">
        <v>2021</v>
      </c>
      <c r="J11" s="390"/>
      <c r="K11" s="390"/>
      <c r="L11" s="136"/>
      <c r="M11" s="391">
        <v>1069</v>
      </c>
      <c r="N11" s="391">
        <v>1598</v>
      </c>
      <c r="O11" s="382"/>
      <c r="P11" s="392">
        <f>SUM(L11:N11)</f>
        <v>2667</v>
      </c>
      <c r="Q11" s="2"/>
      <c r="R11" s="2"/>
    </row>
    <row r="12" spans="1:18">
      <c r="A12" s="2"/>
      <c r="B12" s="15" t="s">
        <v>41</v>
      </c>
      <c r="C12" s="9" t="s">
        <v>42</v>
      </c>
      <c r="D12" s="16"/>
      <c r="E12" s="17">
        <f>'GS5038 ER Calcs'!K34</f>
        <v>1</v>
      </c>
      <c r="F12" s="2"/>
      <c r="G12" s="4"/>
      <c r="H12" s="4"/>
      <c r="I12" s="109">
        <v>2022</v>
      </c>
      <c r="J12" s="390"/>
      <c r="K12" s="390"/>
      <c r="L12" s="136"/>
      <c r="M12" s="391"/>
      <c r="N12" s="391">
        <v>1128</v>
      </c>
      <c r="O12" s="383">
        <f>E32</f>
        <v>1733</v>
      </c>
      <c r="P12" s="392">
        <f>SUM(L12:O12)</f>
        <v>2861</v>
      </c>
      <c r="Q12" s="2"/>
      <c r="R12" s="2"/>
    </row>
    <row r="13" spans="1:18">
      <c r="A13" s="2"/>
      <c r="B13" s="15" t="s">
        <v>43</v>
      </c>
      <c r="C13" s="2"/>
      <c r="D13" s="16" t="s">
        <v>44</v>
      </c>
      <c r="E13" s="17">
        <f>'GS5038 ER Calcs'!K35</f>
        <v>0</v>
      </c>
      <c r="F13" s="2"/>
      <c r="G13" s="4"/>
      <c r="H13" s="4"/>
      <c r="I13" s="109">
        <v>2023</v>
      </c>
      <c r="J13" s="382"/>
      <c r="K13" s="382"/>
      <c r="L13" s="382"/>
      <c r="M13" s="382"/>
      <c r="N13" s="382"/>
      <c r="O13" s="383">
        <f>E33</f>
        <v>2375</v>
      </c>
      <c r="P13" s="392">
        <f>SUM(L13:O13)</f>
        <v>2375</v>
      </c>
      <c r="Q13" s="2"/>
      <c r="R13" s="2"/>
    </row>
    <row r="14" spans="1:18" ht="15" thickBot="1">
      <c r="A14" s="2"/>
      <c r="B14" s="21" t="s">
        <v>38</v>
      </c>
      <c r="C14" s="22" t="s">
        <v>39</v>
      </c>
      <c r="D14" s="22" t="s">
        <v>30</v>
      </c>
      <c r="E14" s="236">
        <f>'GS5038 ER Calcs'!K36</f>
        <v>1733</v>
      </c>
      <c r="F14" s="2"/>
      <c r="G14" s="4"/>
      <c r="H14" s="4"/>
      <c r="I14" s="18" t="s">
        <v>13</v>
      </c>
      <c r="J14" s="131">
        <f>SUM(J6:J12)</f>
        <v>8051</v>
      </c>
      <c r="K14" s="393">
        <f>SUM(K6:K12)</f>
        <v>16450</v>
      </c>
      <c r="L14" s="394">
        <f>SUM(L6:L12)</f>
        <v>2717</v>
      </c>
      <c r="M14" s="395">
        <f>SUM(M6:M12)</f>
        <v>2573</v>
      </c>
      <c r="N14" s="395">
        <f>SUM(N6:N12)</f>
        <v>2726</v>
      </c>
      <c r="O14" s="395">
        <f>SUM(O6:O13)</f>
        <v>4108</v>
      </c>
      <c r="P14" s="18">
        <f>SUM(P6:P13)</f>
        <v>36625</v>
      </c>
      <c r="Q14" s="2"/>
      <c r="R14" s="2"/>
    </row>
    <row r="15" spans="1:18" ht="15" thickBot="1">
      <c r="A15" s="2"/>
      <c r="B15" s="21" t="s">
        <v>45</v>
      </c>
      <c r="C15" s="22" t="s">
        <v>39</v>
      </c>
      <c r="D15" s="22" t="s">
        <v>30</v>
      </c>
      <c r="E15" s="23">
        <f>'GS5038 ER Calcs'!K38</f>
        <v>1733</v>
      </c>
      <c r="F15" s="2"/>
      <c r="G15" s="4"/>
      <c r="H15" s="4"/>
      <c r="I15" s="4"/>
      <c r="J15" s="4"/>
      <c r="K15" s="4"/>
      <c r="L15" s="4"/>
      <c r="M15" s="4"/>
      <c r="N15" s="4"/>
      <c r="O15" s="2"/>
      <c r="P15" s="2"/>
      <c r="Q15" s="2"/>
      <c r="R15" s="2"/>
    </row>
    <row r="16" spans="1:18" ht="15" thickBot="1">
      <c r="A16" s="2"/>
      <c r="B16" s="4"/>
      <c r="C16" s="4"/>
      <c r="D16" s="4"/>
      <c r="E16" s="4"/>
      <c r="F16" s="2"/>
      <c r="G16" s="4"/>
      <c r="H16" s="4"/>
      <c r="I16" s="4"/>
      <c r="J16" s="4"/>
      <c r="K16" s="4"/>
      <c r="L16" s="4"/>
      <c r="M16" s="4"/>
      <c r="N16" s="4"/>
      <c r="O16" s="2"/>
      <c r="P16" s="2"/>
      <c r="Q16" s="2"/>
      <c r="R16" s="2"/>
    </row>
    <row r="17" spans="1:18" ht="14.5" customHeight="1">
      <c r="A17" s="2"/>
      <c r="B17" s="523" t="s">
        <v>46</v>
      </c>
      <c r="C17" s="524"/>
      <c r="D17" s="524"/>
      <c r="E17" s="524"/>
      <c r="F17" s="2"/>
      <c r="G17" s="4"/>
      <c r="H17" s="4"/>
      <c r="I17" s="525"/>
      <c r="J17" s="525"/>
      <c r="K17" s="525"/>
      <c r="L17" s="525"/>
      <c r="M17" s="24"/>
      <c r="N17" s="24"/>
      <c r="O17" s="2"/>
      <c r="P17" s="2"/>
      <c r="Q17" s="2"/>
      <c r="R17" s="2"/>
    </row>
    <row r="18" spans="1:18">
      <c r="A18" s="2"/>
      <c r="B18" s="518" t="s">
        <v>19</v>
      </c>
      <c r="C18" s="519"/>
      <c r="D18" s="519"/>
      <c r="E18" s="519"/>
      <c r="F18" s="4"/>
      <c r="G18" s="4"/>
      <c r="H18" s="4"/>
      <c r="I18" s="4"/>
      <c r="J18" s="4"/>
      <c r="K18" s="4"/>
      <c r="L18" s="4"/>
      <c r="M18" s="4"/>
      <c r="N18" s="4"/>
      <c r="O18" s="2"/>
      <c r="P18" s="2"/>
      <c r="Q18" s="2"/>
      <c r="R18" s="2"/>
    </row>
    <row r="19" spans="1:18">
      <c r="A19" s="2"/>
      <c r="B19" s="8" t="s">
        <v>28</v>
      </c>
      <c r="C19" s="9" t="s">
        <v>29</v>
      </c>
      <c r="D19" s="9" t="s">
        <v>30</v>
      </c>
      <c r="E19" s="10">
        <f>'GS5038 ER Calcs'!P27</f>
        <v>2500</v>
      </c>
      <c r="F19" s="4"/>
      <c r="G19" s="4"/>
      <c r="H19" s="4"/>
      <c r="I19" s="4"/>
      <c r="J19" s="4"/>
      <c r="K19" s="4"/>
      <c r="L19" s="4"/>
      <c r="M19" s="4"/>
      <c r="N19" s="4"/>
      <c r="O19" s="2"/>
      <c r="P19" s="2"/>
      <c r="Q19" s="2"/>
      <c r="R19" s="2"/>
    </row>
    <row r="20" spans="1:18">
      <c r="A20" s="2"/>
      <c r="B20" s="8" t="s">
        <v>31</v>
      </c>
      <c r="C20" s="9" t="s">
        <v>32</v>
      </c>
      <c r="D20" s="9" t="s">
        <v>30</v>
      </c>
      <c r="E20" s="10">
        <f>'GS5038 ER Calcs'!P28</f>
        <v>0</v>
      </c>
      <c r="F20" s="4"/>
      <c r="G20" s="4"/>
      <c r="H20" s="4"/>
      <c r="I20" s="4"/>
      <c r="J20" s="4"/>
      <c r="K20" s="4"/>
      <c r="L20" s="4"/>
      <c r="M20" s="4"/>
      <c r="N20" s="4"/>
      <c r="O20" s="2"/>
      <c r="P20" s="2"/>
      <c r="Q20" s="2"/>
      <c r="R20" s="2"/>
    </row>
    <row r="21" spans="1:18">
      <c r="A21" s="2"/>
      <c r="B21" s="8" t="s">
        <v>33</v>
      </c>
      <c r="C21" s="9" t="s">
        <v>34</v>
      </c>
      <c r="D21" s="9" t="s">
        <v>35</v>
      </c>
      <c r="E21" s="308">
        <f>'GS5038 ER Calcs'!P29</f>
        <v>0.95</v>
      </c>
      <c r="F21" s="4"/>
      <c r="G21" s="4"/>
      <c r="H21" s="4"/>
      <c r="I21" s="4"/>
      <c r="J21" s="4"/>
      <c r="K21" s="4"/>
      <c r="L21" s="4"/>
      <c r="M21" s="4"/>
      <c r="N21" s="4"/>
      <c r="O21" s="2"/>
      <c r="P21" s="2"/>
      <c r="Q21" s="2"/>
      <c r="R21" s="2"/>
    </row>
    <row r="22" spans="1:18">
      <c r="A22" s="2"/>
      <c r="B22" s="8" t="s">
        <v>36</v>
      </c>
      <c r="C22" s="9" t="s">
        <v>37</v>
      </c>
      <c r="D22" s="9" t="s">
        <v>30</v>
      </c>
      <c r="E22" s="10">
        <f>'GS5038 ER Calcs'!P30</f>
        <v>0</v>
      </c>
      <c r="F22" s="4"/>
      <c r="G22" s="4"/>
      <c r="H22" s="4"/>
      <c r="I22" s="4"/>
      <c r="J22" s="4"/>
      <c r="K22" s="4"/>
      <c r="L22" s="4"/>
      <c r="M22" s="4"/>
      <c r="N22" s="4"/>
      <c r="O22" s="2"/>
      <c r="P22" s="2"/>
      <c r="Q22" s="2"/>
      <c r="R22" s="2"/>
    </row>
    <row r="23" spans="1:18">
      <c r="A23" s="2"/>
      <c r="B23" s="8" t="s">
        <v>38</v>
      </c>
      <c r="C23" s="9" t="s">
        <v>39</v>
      </c>
      <c r="D23" s="9" t="s">
        <v>30</v>
      </c>
      <c r="E23" s="10">
        <f>'GS5038 ER Calcs'!P31</f>
        <v>2375</v>
      </c>
      <c r="F23" s="4"/>
      <c r="G23" s="4"/>
      <c r="H23" s="4"/>
      <c r="I23" s="4"/>
      <c r="J23" s="4"/>
      <c r="K23" s="4"/>
      <c r="L23" s="4"/>
      <c r="M23" s="4"/>
      <c r="N23" s="4"/>
      <c r="O23" s="2"/>
      <c r="P23" s="2"/>
      <c r="Q23" s="2"/>
      <c r="R23" s="2"/>
    </row>
    <row r="24" spans="1:18">
      <c r="A24" s="2"/>
      <c r="B24" s="518" t="s">
        <v>40</v>
      </c>
      <c r="C24" s="519"/>
      <c r="D24" s="519"/>
      <c r="E24" s="519"/>
      <c r="F24" s="4"/>
      <c r="G24" s="4"/>
      <c r="H24" s="4"/>
      <c r="I24" s="4"/>
      <c r="J24" s="4"/>
      <c r="K24" s="4"/>
      <c r="L24" s="4"/>
      <c r="M24" s="4"/>
      <c r="N24" s="4"/>
      <c r="O24" s="2"/>
      <c r="P24" s="2"/>
      <c r="Q24" s="2"/>
      <c r="R24" s="2"/>
    </row>
    <row r="25" spans="1:18">
      <c r="A25" s="2"/>
      <c r="B25" s="15" t="s">
        <v>41</v>
      </c>
      <c r="C25" s="9" t="s">
        <v>42</v>
      </c>
      <c r="D25" s="16"/>
      <c r="E25" s="17">
        <f>'GS5038 ER Calcs'!P34</f>
        <v>1</v>
      </c>
      <c r="F25" s="4"/>
      <c r="G25" s="4"/>
      <c r="H25" s="4"/>
      <c r="I25" s="4"/>
      <c r="J25" s="4"/>
      <c r="K25" s="4"/>
      <c r="L25" s="4"/>
      <c r="M25" s="4"/>
      <c r="N25" s="4"/>
      <c r="O25" s="2"/>
      <c r="P25" s="2"/>
      <c r="Q25" s="2"/>
      <c r="R25" s="2"/>
    </row>
    <row r="26" spans="1:18">
      <c r="A26" s="2"/>
      <c r="B26" s="15" t="s">
        <v>43</v>
      </c>
      <c r="C26" s="2"/>
      <c r="D26" s="16" t="s">
        <v>44</v>
      </c>
      <c r="E26" s="17">
        <f>'GS5038 ER Calcs'!P35</f>
        <v>0</v>
      </c>
      <c r="F26" s="4"/>
      <c r="G26" s="4"/>
      <c r="H26" s="4"/>
      <c r="I26" s="4"/>
      <c r="J26" s="4"/>
      <c r="K26" s="4"/>
      <c r="L26" s="4"/>
      <c r="M26" s="4"/>
      <c r="N26" s="4"/>
      <c r="O26" s="2"/>
      <c r="P26" s="2"/>
      <c r="Q26" s="2"/>
      <c r="R26" s="2"/>
    </row>
    <row r="27" spans="1:18" ht="15" thickBot="1">
      <c r="A27" s="2"/>
      <c r="B27" s="21" t="s">
        <v>38</v>
      </c>
      <c r="C27" s="22" t="s">
        <v>39</v>
      </c>
      <c r="D27" s="22" t="s">
        <v>30</v>
      </c>
      <c r="E27" s="236">
        <f>'GS5038 ER Calcs'!P36</f>
        <v>2375</v>
      </c>
      <c r="F27" s="4"/>
      <c r="G27" s="4"/>
      <c r="H27" s="4"/>
      <c r="I27" s="4"/>
      <c r="J27" s="4"/>
      <c r="K27" s="4"/>
      <c r="L27" s="4"/>
      <c r="M27" s="4"/>
      <c r="N27" s="4"/>
      <c r="O27" s="2"/>
      <c r="P27" s="2"/>
      <c r="Q27" s="2"/>
      <c r="R27" s="2"/>
    </row>
    <row r="28" spans="1:18" ht="15" thickBot="1">
      <c r="A28" s="2"/>
      <c r="B28" s="21" t="s">
        <v>45</v>
      </c>
      <c r="C28" s="22" t="s">
        <v>39</v>
      </c>
      <c r="D28" s="22" t="s">
        <v>30</v>
      </c>
      <c r="E28" s="23">
        <f>'GS5038 ER Calcs'!P38</f>
        <v>2375</v>
      </c>
      <c r="F28" s="4"/>
      <c r="G28" s="4"/>
      <c r="H28" s="4"/>
      <c r="I28" s="4"/>
      <c r="J28" s="4"/>
      <c r="K28" s="4"/>
      <c r="L28" s="4"/>
      <c r="M28" s="4"/>
      <c r="N28" s="4"/>
      <c r="O28" s="2"/>
      <c r="P28" s="2"/>
      <c r="Q28" s="2"/>
      <c r="R28" s="2"/>
    </row>
    <row r="29" spans="1:18" ht="15" thickBot="1">
      <c r="A29" s="2"/>
      <c r="B29" s="2"/>
      <c r="C29" s="508"/>
      <c r="D29" s="508"/>
      <c r="E29" s="2"/>
      <c r="F29" s="4"/>
      <c r="G29" s="4"/>
      <c r="H29" s="4"/>
      <c r="I29" s="4"/>
      <c r="J29" s="4"/>
      <c r="K29" s="4"/>
      <c r="L29" s="4"/>
      <c r="M29" s="4"/>
      <c r="N29" s="4"/>
      <c r="O29" s="2"/>
      <c r="P29" s="2"/>
      <c r="Q29" s="2"/>
      <c r="R29" s="2"/>
    </row>
    <row r="30" spans="1:18" ht="15.65" customHeight="1">
      <c r="A30" s="2"/>
      <c r="B30" s="509" t="s">
        <v>47</v>
      </c>
      <c r="C30" s="510"/>
      <c r="D30" s="510"/>
      <c r="E30" s="510"/>
      <c r="F30" s="4"/>
      <c r="G30" s="4"/>
      <c r="H30" s="4"/>
      <c r="I30" s="4"/>
      <c r="J30" s="4"/>
      <c r="K30" s="4"/>
      <c r="L30" s="4"/>
      <c r="M30" s="4"/>
      <c r="N30" s="4"/>
      <c r="O30" s="2"/>
      <c r="P30" s="2"/>
      <c r="Q30" s="2"/>
      <c r="R30" s="2"/>
    </row>
    <row r="31" spans="1:18">
      <c r="A31" s="2"/>
      <c r="B31" s="511" t="s">
        <v>19</v>
      </c>
      <c r="C31" s="512"/>
      <c r="D31" s="512"/>
      <c r="E31" s="512"/>
      <c r="F31" s="2"/>
      <c r="G31" s="2"/>
      <c r="H31" s="507"/>
      <c r="I31" s="507"/>
      <c r="J31" s="2"/>
      <c r="K31" s="2"/>
      <c r="L31" s="2"/>
      <c r="M31" s="2"/>
      <c r="N31" s="2"/>
      <c r="O31" s="2"/>
      <c r="P31" s="2"/>
      <c r="Q31" s="2"/>
      <c r="R31" s="2"/>
    </row>
    <row r="32" spans="1:18" ht="14.5" customHeight="1">
      <c r="A32" s="2"/>
      <c r="B32" s="513">
        <v>2022</v>
      </c>
      <c r="C32" s="514"/>
      <c r="D32" s="514"/>
      <c r="E32" s="25">
        <f>E15</f>
        <v>1733</v>
      </c>
      <c r="F32" s="2"/>
      <c r="G32" s="2"/>
      <c r="H32" s="507"/>
      <c r="I32" s="507"/>
      <c r="J32" s="2"/>
      <c r="K32" s="2"/>
      <c r="L32" s="2"/>
      <c r="M32" s="2"/>
      <c r="N32" s="2"/>
      <c r="O32" s="2"/>
      <c r="P32" s="2"/>
      <c r="Q32" s="2"/>
      <c r="R32" s="2"/>
    </row>
    <row r="33" spans="1:18" ht="15" thickBot="1">
      <c r="A33" s="2"/>
      <c r="B33" s="515">
        <v>2023</v>
      </c>
      <c r="C33" s="516"/>
      <c r="D33" s="516"/>
      <c r="E33" s="26">
        <f>E28</f>
        <v>2375</v>
      </c>
      <c r="F33" s="2"/>
      <c r="G33" s="2"/>
      <c r="H33" s="507"/>
      <c r="I33" s="507"/>
      <c r="J33" s="2"/>
      <c r="K33" s="2"/>
      <c r="L33" s="2"/>
      <c r="M33" s="2"/>
      <c r="N33" s="2"/>
      <c r="O33" s="2"/>
      <c r="P33" s="2"/>
      <c r="Q33" s="2"/>
      <c r="R33" s="2"/>
    </row>
    <row r="34" spans="1:18" ht="15" thickBot="1">
      <c r="A34" s="2"/>
      <c r="B34" s="27" t="s">
        <v>48</v>
      </c>
      <c r="C34" s="29"/>
      <c r="D34" s="30"/>
      <c r="E34" s="31">
        <f>E32+E33</f>
        <v>4108</v>
      </c>
      <c r="F34" s="2"/>
      <c r="G34" s="2"/>
      <c r="H34" s="507"/>
      <c r="I34" s="507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A35" s="2"/>
      <c r="B35" s="2"/>
      <c r="C35" s="517"/>
      <c r="D35" s="517"/>
      <c r="E35" s="2"/>
      <c r="F35" s="2"/>
      <c r="G35" s="2"/>
      <c r="H35" s="507"/>
      <c r="I35" s="507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A36" s="2"/>
      <c r="B36" s="2"/>
      <c r="C36" s="507"/>
      <c r="D36" s="507"/>
      <c r="E36" s="2"/>
      <c r="F36" s="2"/>
      <c r="G36" s="2"/>
      <c r="H36" s="507"/>
      <c r="I36" s="507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A37" s="2"/>
      <c r="B37" s="2"/>
      <c r="C37" s="507"/>
      <c r="D37" s="507"/>
      <c r="E37" s="2"/>
      <c r="F37" s="2"/>
      <c r="G37" s="2"/>
      <c r="H37" s="507"/>
      <c r="I37" s="507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A38" s="2"/>
      <c r="B38" s="2"/>
      <c r="C38" s="507"/>
      <c r="D38" s="507"/>
      <c r="E38" s="2"/>
      <c r="F38" s="2"/>
      <c r="G38" s="2"/>
      <c r="H38" s="507"/>
      <c r="I38" s="507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A39" s="2"/>
      <c r="B39" s="2"/>
      <c r="C39" s="507"/>
      <c r="D39" s="507"/>
      <c r="E39" s="2"/>
      <c r="F39" s="2"/>
      <c r="G39" s="2"/>
      <c r="H39" s="507"/>
      <c r="I39" s="507"/>
      <c r="J39" s="2"/>
      <c r="K39" s="2"/>
      <c r="L39" s="2"/>
      <c r="M39" s="2"/>
      <c r="N39" s="2"/>
      <c r="O39" s="2"/>
      <c r="P39" s="2"/>
      <c r="Q39" s="2"/>
      <c r="R39" s="2"/>
    </row>
    <row r="40" spans="1:18">
      <c r="A40" s="2"/>
      <c r="B40" s="2"/>
      <c r="C40" s="507"/>
      <c r="D40" s="507"/>
      <c r="E40" s="2"/>
      <c r="F40" s="2"/>
      <c r="G40" s="2"/>
      <c r="H40" s="507"/>
      <c r="I40" s="507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A41" s="2"/>
      <c r="B41" s="2"/>
      <c r="C41" s="507"/>
      <c r="D41" s="507"/>
      <c r="E41" s="2"/>
      <c r="F41" s="2"/>
      <c r="G41" s="2"/>
      <c r="H41" s="507"/>
      <c r="I41" s="507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507"/>
      <c r="D42" s="507"/>
      <c r="E42" s="2"/>
      <c r="F42" s="2"/>
      <c r="G42" s="2"/>
      <c r="H42" s="507"/>
      <c r="I42" s="507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A43" s="2"/>
      <c r="B43" s="2"/>
      <c r="C43" s="507"/>
      <c r="D43" s="507"/>
      <c r="E43" s="2"/>
      <c r="F43" s="2"/>
      <c r="G43" s="2"/>
      <c r="H43" s="507"/>
      <c r="I43" s="507"/>
      <c r="J43" s="2"/>
      <c r="K43" s="2"/>
      <c r="L43" s="2"/>
      <c r="M43" s="2"/>
      <c r="N43" s="2"/>
      <c r="O43" s="2"/>
      <c r="P43" s="2"/>
      <c r="Q43" s="2"/>
      <c r="R43" s="2"/>
    </row>
    <row r="44" spans="1:18">
      <c r="A44" s="2"/>
      <c r="B44" s="2"/>
      <c r="C44" s="507"/>
      <c r="D44" s="507"/>
      <c r="E44" s="2"/>
      <c r="F44" s="4"/>
      <c r="G44" s="4"/>
      <c r="H44" s="4"/>
      <c r="I44" s="4"/>
      <c r="J44" s="4"/>
      <c r="K44" s="4"/>
      <c r="L44" s="4"/>
      <c r="M44" s="4"/>
      <c r="N44" s="4"/>
      <c r="O44" s="2"/>
      <c r="P44" s="2"/>
      <c r="Q44" s="2"/>
      <c r="R44" s="2"/>
    </row>
    <row r="45" spans="1:18">
      <c r="A45" s="2"/>
      <c r="B45" s="2"/>
      <c r="C45" s="507"/>
      <c r="D45" s="507"/>
      <c r="E45" s="2"/>
      <c r="F45" s="4"/>
      <c r="G45" s="4"/>
      <c r="H45" s="4"/>
      <c r="I45" s="4"/>
      <c r="J45" s="4"/>
      <c r="K45" s="4"/>
      <c r="L45" s="4"/>
      <c r="M45" s="4"/>
      <c r="N45" s="4"/>
      <c r="O45" s="2"/>
      <c r="P45" s="2"/>
      <c r="Q45" s="2"/>
      <c r="R45" s="2"/>
    </row>
    <row r="46" spans="1:18">
      <c r="A46" s="2"/>
      <c r="B46" s="2"/>
      <c r="C46" s="507"/>
      <c r="D46" s="507"/>
      <c r="E46" s="2"/>
      <c r="F46" s="4"/>
      <c r="G46" s="4"/>
      <c r="H46" s="4"/>
      <c r="I46" s="4"/>
      <c r="J46" s="4"/>
      <c r="K46" s="4"/>
      <c r="L46" s="4"/>
      <c r="M46" s="4"/>
      <c r="N46" s="4"/>
      <c r="O46" s="2"/>
      <c r="P46" s="2"/>
      <c r="Q46" s="2"/>
      <c r="R46" s="2"/>
    </row>
    <row r="47" spans="1:18">
      <c r="A47" s="2"/>
      <c r="B47" s="2"/>
      <c r="C47" s="507"/>
      <c r="D47" s="507"/>
      <c r="E47" s="2"/>
      <c r="F47" s="4"/>
      <c r="G47" s="4"/>
      <c r="H47" s="4"/>
      <c r="I47" s="4"/>
      <c r="J47" s="4"/>
      <c r="K47" s="4"/>
      <c r="L47" s="4"/>
      <c r="M47" s="4"/>
      <c r="N47" s="4"/>
      <c r="O47" s="2"/>
      <c r="P47" s="2"/>
      <c r="Q47" s="2"/>
      <c r="R47" s="2"/>
    </row>
    <row r="48" spans="1:18">
      <c r="A48" s="2"/>
      <c r="B48" s="2"/>
      <c r="C48" s="507"/>
      <c r="D48" s="507"/>
      <c r="E48" s="2"/>
      <c r="F48" s="4"/>
      <c r="G48" s="4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>
      <c r="A49" s="2"/>
      <c r="B49" s="2"/>
      <c r="C49" s="507"/>
      <c r="D49" s="507"/>
      <c r="E49" s="2"/>
      <c r="F49" s="2"/>
      <c r="G49" s="2"/>
      <c r="H49" s="507"/>
      <c r="I49" s="507"/>
      <c r="J49" s="2"/>
      <c r="K49" s="2"/>
      <c r="L49" s="2"/>
      <c r="M49" s="2"/>
      <c r="N49" s="2"/>
      <c r="O49" s="2"/>
      <c r="P49" s="2"/>
      <c r="Q49" s="2"/>
      <c r="R49" s="2"/>
    </row>
  </sheetData>
  <mergeCells count="46">
    <mergeCell ref="B24:E24"/>
    <mergeCell ref="C1:D1"/>
    <mergeCell ref="H1:I1"/>
    <mergeCell ref="B2:E2"/>
    <mergeCell ref="B4:E4"/>
    <mergeCell ref="B5:E5"/>
    <mergeCell ref="B11:E11"/>
    <mergeCell ref="B17:E17"/>
    <mergeCell ref="I17:L17"/>
    <mergeCell ref="B18:E18"/>
    <mergeCell ref="I2:P2"/>
    <mergeCell ref="I4:P4"/>
    <mergeCell ref="C36:D36"/>
    <mergeCell ref="H36:I36"/>
    <mergeCell ref="C29:D29"/>
    <mergeCell ref="B30:E30"/>
    <mergeCell ref="B31:E31"/>
    <mergeCell ref="H31:I31"/>
    <mergeCell ref="B32:D32"/>
    <mergeCell ref="H32:I32"/>
    <mergeCell ref="B33:D33"/>
    <mergeCell ref="H33:I33"/>
    <mergeCell ref="H34:I34"/>
    <mergeCell ref="C35:D35"/>
    <mergeCell ref="H35:I35"/>
    <mergeCell ref="C37:D37"/>
    <mergeCell ref="H37:I37"/>
    <mergeCell ref="C38:D38"/>
    <mergeCell ref="H38:I38"/>
    <mergeCell ref="C39:D39"/>
    <mergeCell ref="H39:I39"/>
    <mergeCell ref="C40:D40"/>
    <mergeCell ref="H40:I40"/>
    <mergeCell ref="C41:D41"/>
    <mergeCell ref="H41:I41"/>
    <mergeCell ref="C42:D42"/>
    <mergeCell ref="H42:I42"/>
    <mergeCell ref="C48:D48"/>
    <mergeCell ref="C49:D49"/>
    <mergeCell ref="H49:I49"/>
    <mergeCell ref="C43:D43"/>
    <mergeCell ref="H43:I43"/>
    <mergeCell ref="C44:D44"/>
    <mergeCell ref="C45:D45"/>
    <mergeCell ref="C46:D46"/>
    <mergeCell ref="C47:D47"/>
  </mergeCells>
  <phoneticPr fontId="15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EC585-7C59-4745-8FD8-B62E0F6E34FB}">
  <dimension ref="A1:O38"/>
  <sheetViews>
    <sheetView workbookViewId="0">
      <selection activeCell="D37" sqref="D37"/>
    </sheetView>
  </sheetViews>
  <sheetFormatPr defaultColWidth="20.81640625" defaultRowHeight="13.5" customHeight="1"/>
  <cols>
    <col min="1" max="1" width="77.1796875" bestFit="1" customWidth="1"/>
    <col min="2" max="2" width="15.7265625" bestFit="1" customWidth="1"/>
    <col min="3" max="3" width="10" bestFit="1" customWidth="1"/>
    <col min="4" max="4" width="11.81640625" bestFit="1" customWidth="1"/>
    <col min="5" max="5" width="20.26953125" bestFit="1" customWidth="1"/>
    <col min="7" max="7" width="77.1796875" bestFit="1" customWidth="1"/>
    <col min="8" max="8" width="15.7265625" bestFit="1" customWidth="1"/>
    <col min="9" max="9" width="10" bestFit="1" customWidth="1"/>
    <col min="10" max="10" width="11.81640625" bestFit="1" customWidth="1"/>
    <col min="12" max="12" width="77.1796875" bestFit="1" customWidth="1"/>
    <col min="13" max="13" width="15.7265625" bestFit="1" customWidth="1"/>
    <col min="14" max="14" width="10" bestFit="1" customWidth="1"/>
    <col min="15" max="15" width="11.81640625" bestFit="1" customWidth="1"/>
  </cols>
  <sheetData>
    <row r="1" spans="1:15" ht="13.5" customHeight="1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</row>
    <row r="2" spans="1:15" ht="13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.5" customHeight="1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</row>
    <row r="4" spans="1:15" ht="13.5" customHeight="1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</row>
    <row r="5" spans="1:15" ht="13.5" customHeight="1">
      <c r="A5" s="9" t="s">
        <v>96</v>
      </c>
      <c r="B5" s="9" t="s">
        <v>97</v>
      </c>
      <c r="C5" s="9"/>
      <c r="D5" s="87">
        <f>'GS5041 PTDs'!O17</f>
        <v>1184858.9999999998</v>
      </c>
      <c r="E5" s="85" t="s">
        <v>207</v>
      </c>
      <c r="F5" s="2"/>
      <c r="G5" s="9" t="s">
        <v>96</v>
      </c>
      <c r="H5" s="9" t="s">
        <v>97</v>
      </c>
      <c r="I5" s="9"/>
      <c r="J5" s="87">
        <f>'GS5041 PTDs'!L17</f>
        <v>500118</v>
      </c>
      <c r="K5" s="2"/>
      <c r="L5" s="9" t="s">
        <v>96</v>
      </c>
      <c r="M5" s="9" t="s">
        <v>97</v>
      </c>
      <c r="N5" s="9"/>
      <c r="O5" s="87">
        <f>'GS5041 PTDs'!N17</f>
        <v>684741</v>
      </c>
    </row>
    <row r="6" spans="1:15" ht="13.5" customHeight="1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</row>
    <row r="7" spans="1:15" ht="13.5" customHeight="1">
      <c r="A7" s="88" t="s">
        <v>103</v>
      </c>
      <c r="B7" s="9" t="s">
        <v>104</v>
      </c>
      <c r="C7" s="9" t="s">
        <v>105</v>
      </c>
      <c r="D7" s="86">
        <v>7.5</v>
      </c>
      <c r="E7" s="85" t="s">
        <v>162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</row>
    <row r="8" spans="1:15" ht="13.5" customHeight="1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</row>
    <row r="9" spans="1:15" ht="13.5" customHeight="1">
      <c r="A9" s="9" t="s">
        <v>110</v>
      </c>
      <c r="B9" s="9" t="s">
        <v>111</v>
      </c>
      <c r="C9" s="9" t="s">
        <v>112</v>
      </c>
      <c r="D9" s="86">
        <f>ROUNDDOWN((1-D4)*D5*D6*(D7+D8),0)</f>
        <v>3554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1500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2054</v>
      </c>
    </row>
    <row r="10" spans="1:15" ht="13.5" customHeight="1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3.5" customHeight="1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</row>
    <row r="12" spans="1:15" ht="13.5" customHeight="1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</row>
    <row r="13" spans="1:15" ht="13.5" customHeight="1">
      <c r="A13" s="9" t="s">
        <v>96</v>
      </c>
      <c r="B13" s="9" t="s">
        <v>97</v>
      </c>
      <c r="C13" s="9"/>
      <c r="D13" s="87">
        <f>D5</f>
        <v>1184858.9999999998</v>
      </c>
      <c r="E13" s="85" t="s">
        <v>208</v>
      </c>
      <c r="F13" s="2"/>
      <c r="G13" s="9" t="s">
        <v>96</v>
      </c>
      <c r="H13" s="9" t="s">
        <v>97</v>
      </c>
      <c r="I13" s="9"/>
      <c r="J13" s="87">
        <f>J5</f>
        <v>500118</v>
      </c>
      <c r="K13" s="2"/>
      <c r="L13" s="9" t="s">
        <v>96</v>
      </c>
      <c r="M13" s="9" t="s">
        <v>97</v>
      </c>
      <c r="N13" s="9"/>
      <c r="O13" s="87">
        <f>O5</f>
        <v>684741</v>
      </c>
    </row>
    <row r="14" spans="1:15" ht="13.5" customHeight="1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</row>
    <row r="15" spans="1:15" ht="13.5" customHeight="1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</row>
    <row r="16" spans="1:15" ht="13.5" customHeight="1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</row>
    <row r="17" spans="1:15" ht="13.5" customHeight="1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121</v>
      </c>
      <c r="M17" s="9" t="s">
        <v>122</v>
      </c>
      <c r="N17" s="9" t="s">
        <v>112</v>
      </c>
      <c r="O17" s="86">
        <f>ROUNDDOWN((1+O12)*O13*O14*(O16+O16),0)</f>
        <v>0</v>
      </c>
    </row>
    <row r="18" spans="1:15" ht="13.5" customHeight="1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13.5" customHeight="1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</row>
    <row r="20" spans="1:15" ht="13.5" customHeight="1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</row>
    <row r="21" spans="1:15" ht="13.5" customHeight="1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</row>
    <row r="22" spans="1:15" ht="13.5" customHeight="1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J22</f>
        <v>9.4600000000000009</v>
      </c>
    </row>
    <row r="23" spans="1:15" ht="13.5" customHeight="1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</row>
    <row r="24" spans="1:15" ht="13.5" customHeight="1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13.5" customHeight="1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</row>
    <row r="26" spans="1:15" ht="13.5" customHeight="1">
      <c r="A26" s="9" t="s">
        <v>28</v>
      </c>
      <c r="B26" s="9" t="s">
        <v>29</v>
      </c>
      <c r="C26" s="9" t="s">
        <v>30</v>
      </c>
      <c r="D26" s="87">
        <f>ROUNDDOWN(D9*((D20*D21)+D22)*D23,0)</f>
        <v>6547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2763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3784</v>
      </c>
    </row>
    <row r="27" spans="1:15" ht="13.5" customHeight="1">
      <c r="A27" s="9" t="s">
        <v>31</v>
      </c>
      <c r="B27" s="9" t="s">
        <v>32</v>
      </c>
      <c r="C27" s="9" t="s">
        <v>30</v>
      </c>
      <c r="D27" s="86">
        <f>D17*((D20*D21)+D22)*D229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J17*((J20*J21)+J22)*J229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O17*((O20*O21)+O22)*O229</f>
        <v>0</v>
      </c>
    </row>
    <row r="28" spans="1:15" ht="13.5" customHeight="1">
      <c r="A28" s="9" t="s">
        <v>33</v>
      </c>
      <c r="B28" s="9" t="s">
        <v>34</v>
      </c>
      <c r="C28" s="9" t="s">
        <v>35</v>
      </c>
      <c r="D28" s="89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9">
        <f>D28</f>
        <v>0.95</v>
      </c>
      <c r="K28" s="2"/>
      <c r="L28" s="9" t="s">
        <v>33</v>
      </c>
      <c r="M28" s="9" t="s">
        <v>34</v>
      </c>
      <c r="N28" s="9" t="s">
        <v>35</v>
      </c>
      <c r="O28" s="89">
        <f>D28</f>
        <v>0.95</v>
      </c>
    </row>
    <row r="29" spans="1:15" ht="13.5" customHeight="1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</row>
    <row r="30" spans="1:15" ht="13.5" customHeight="1">
      <c r="A30" s="9" t="s">
        <v>90</v>
      </c>
      <c r="B30" s="9" t="s">
        <v>39</v>
      </c>
      <c r="C30" s="9" t="s">
        <v>30</v>
      </c>
      <c r="D30" s="86">
        <f>ROUNDDOWN(((D26-D27)*D28)-D29,0)</f>
        <v>6219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2624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3594</v>
      </c>
    </row>
    <row r="31" spans="1:15" ht="13.5" customHeight="1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13.5" customHeight="1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</row>
    <row r="33" spans="1:15" ht="13.5" customHeight="1">
      <c r="A33" s="90" t="s">
        <v>41</v>
      </c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M33" s="9"/>
      <c r="N33" s="16"/>
      <c r="O33" s="91">
        <v>1</v>
      </c>
    </row>
    <row r="34" spans="1:15" ht="13.5" customHeight="1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</row>
    <row r="35" spans="1:15" ht="13.5" customHeight="1">
      <c r="A35" s="93" t="s">
        <v>140</v>
      </c>
      <c r="B35" s="94" t="s">
        <v>39</v>
      </c>
      <c r="C35" s="95" t="s">
        <v>30</v>
      </c>
      <c r="D35" s="246">
        <f>ROUNDDOWN(D30*(1-D34),0)</f>
        <v>6219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2624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3594</v>
      </c>
    </row>
    <row r="36" spans="1:15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3.5" customHeight="1">
      <c r="A37" s="93" t="s">
        <v>141</v>
      </c>
      <c r="B37" s="94"/>
      <c r="C37" s="95" t="s">
        <v>30</v>
      </c>
      <c r="D37" s="246">
        <f>O37+J37</f>
        <v>6218</v>
      </c>
      <c r="E37" s="2"/>
      <c r="F37" s="2"/>
      <c r="G37" s="93" t="s">
        <v>141</v>
      </c>
      <c r="H37" s="94"/>
      <c r="I37" s="95" t="s">
        <v>30</v>
      </c>
      <c r="J37" s="246">
        <f>J35</f>
        <v>2624</v>
      </c>
      <c r="K37" s="2"/>
      <c r="L37" s="93" t="s">
        <v>141</v>
      </c>
      <c r="M37" s="94"/>
      <c r="N37" s="95" t="s">
        <v>30</v>
      </c>
      <c r="O37" s="246">
        <f>O35</f>
        <v>3594</v>
      </c>
    </row>
    <row r="38" spans="1:15" ht="13.5" customHeight="1">
      <c r="A38" s="1"/>
      <c r="B38" s="2"/>
      <c r="C38" s="2"/>
      <c r="D38" s="2"/>
      <c r="E38" s="2"/>
      <c r="F38" s="2"/>
      <c r="G38" s="1"/>
      <c r="H38" s="2"/>
      <c r="I38" s="2"/>
      <c r="J38" s="2"/>
      <c r="K38" s="2"/>
      <c r="L38" s="1"/>
      <c r="M38" s="2"/>
      <c r="N38" s="2"/>
      <c r="O38" s="2"/>
    </row>
  </sheetData>
  <mergeCells count="18">
    <mergeCell ref="A1:D1"/>
    <mergeCell ref="G1:J1"/>
    <mergeCell ref="L1:O1"/>
    <mergeCell ref="A3:D3"/>
    <mergeCell ref="G3:J3"/>
    <mergeCell ref="L3:O3"/>
    <mergeCell ref="A11:D11"/>
    <mergeCell ref="G11:J11"/>
    <mergeCell ref="L11:O11"/>
    <mergeCell ref="A19:D19"/>
    <mergeCell ref="G19:J19"/>
    <mergeCell ref="L19:O19"/>
    <mergeCell ref="A25:D25"/>
    <mergeCell ref="G25:J25"/>
    <mergeCell ref="L25:O25"/>
    <mergeCell ref="A32:D32"/>
    <mergeCell ref="G32:J32"/>
    <mergeCell ref="L32:O3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4AD28-0E0B-469B-A3C9-6953D65D7236}">
  <dimension ref="A1:E22"/>
  <sheetViews>
    <sheetView topLeftCell="B8" zoomScale="80" zoomScaleNormal="80" workbookViewId="0">
      <selection activeCell="C17" sqref="C17"/>
    </sheetView>
  </sheetViews>
  <sheetFormatPr defaultRowHeight="14.5"/>
  <cols>
    <col min="1" max="1" width="20.1796875" bestFit="1" customWidth="1"/>
    <col min="2" max="2" width="125.7265625" bestFit="1" customWidth="1"/>
    <col min="3" max="3" width="28.54296875" bestFit="1" customWidth="1"/>
    <col min="5" max="5" width="37.1796875" bestFit="1" customWidth="1"/>
  </cols>
  <sheetData>
    <row r="1" spans="1:5" s="32" customFormat="1" ht="40.5" customHeight="1">
      <c r="A1" s="128" t="s">
        <v>145</v>
      </c>
      <c r="B1" s="137" t="s">
        <v>146</v>
      </c>
      <c r="C1" s="137" t="s">
        <v>147</v>
      </c>
      <c r="D1" s="137" t="s">
        <v>148</v>
      </c>
      <c r="E1" s="99" t="s">
        <v>92</v>
      </c>
    </row>
    <row r="2" spans="1:5" ht="28" customHeight="1">
      <c r="A2" s="100" t="s">
        <v>149</v>
      </c>
      <c r="B2" s="88" t="s">
        <v>150</v>
      </c>
      <c r="C2" s="129">
        <f>((C3-C4)/C3)*C8</f>
        <v>0.95</v>
      </c>
      <c r="D2" s="9" t="s">
        <v>151</v>
      </c>
      <c r="E2" s="9"/>
    </row>
    <row r="3" spans="1:5" ht="34.5" customHeight="1">
      <c r="A3" s="9" t="s">
        <v>152</v>
      </c>
      <c r="B3" s="88" t="s">
        <v>153</v>
      </c>
      <c r="C3" s="54">
        <f>C5*C6</f>
        <v>3.0000000000000001E-3</v>
      </c>
      <c r="D3" s="9" t="s">
        <v>154</v>
      </c>
      <c r="E3" s="9"/>
    </row>
    <row r="4" spans="1:5" ht="34" customHeight="1">
      <c r="A4" s="101" t="s">
        <v>155</v>
      </c>
      <c r="B4" s="88" t="s">
        <v>156</v>
      </c>
      <c r="C4" s="54">
        <f>C5*C7</f>
        <v>0</v>
      </c>
      <c r="D4" s="9" t="s">
        <v>154</v>
      </c>
      <c r="E4" s="9"/>
    </row>
    <row r="5" spans="1:5" ht="26.5" customHeight="1">
      <c r="A5" s="9" t="s">
        <v>100</v>
      </c>
      <c r="B5" s="88" t="s">
        <v>158</v>
      </c>
      <c r="C5" s="54">
        <f>'GS5041 ER Calcs'!D6</f>
        <v>4.0000000000000002E-4</v>
      </c>
      <c r="D5" s="9" t="s">
        <v>159</v>
      </c>
      <c r="E5" s="57" t="s">
        <v>102</v>
      </c>
    </row>
    <row r="6" spans="1:5" ht="25.5" customHeight="1">
      <c r="A6" s="9" t="s">
        <v>104</v>
      </c>
      <c r="B6" s="88" t="s">
        <v>160</v>
      </c>
      <c r="C6" s="54">
        <v>7.5</v>
      </c>
      <c r="D6" s="9" t="s">
        <v>161</v>
      </c>
      <c r="E6" s="85" t="s">
        <v>162</v>
      </c>
    </row>
    <row r="7" spans="1:5" ht="19.5" customHeight="1">
      <c r="A7" s="9" t="s">
        <v>163</v>
      </c>
      <c r="B7" s="88" t="s">
        <v>164</v>
      </c>
      <c r="C7" s="54">
        <v>0</v>
      </c>
      <c r="D7" s="9" t="s">
        <v>161</v>
      </c>
      <c r="E7" s="85" t="s">
        <v>109</v>
      </c>
    </row>
    <row r="8" spans="1:5" ht="21" customHeight="1">
      <c r="A8" s="9" t="s">
        <v>209</v>
      </c>
      <c r="B8" s="88" t="s">
        <v>166</v>
      </c>
      <c r="C8" s="102">
        <f>'GS5041 ER Calcs'!D28</f>
        <v>0.95</v>
      </c>
      <c r="D8" s="9" t="s">
        <v>151</v>
      </c>
      <c r="E8" s="85" t="s">
        <v>138</v>
      </c>
    </row>
    <row r="9" spans="1:5">
      <c r="A9" s="1"/>
      <c r="B9" s="1"/>
      <c r="C9" s="1"/>
      <c r="D9" s="1"/>
      <c r="E9" s="88"/>
    </row>
    <row r="10" spans="1:5" s="32" customFormat="1">
      <c r="A10" s="137" t="s">
        <v>167</v>
      </c>
      <c r="B10" s="137" t="s">
        <v>146</v>
      </c>
      <c r="C10" s="137" t="s">
        <v>168</v>
      </c>
      <c r="D10" s="137" t="s">
        <v>148</v>
      </c>
      <c r="E10" s="139"/>
    </row>
    <row r="11" spans="1:5">
      <c r="A11" s="88" t="s">
        <v>169</v>
      </c>
      <c r="B11" s="9" t="s">
        <v>170</v>
      </c>
      <c r="C11" s="105">
        <f>C13-C12</f>
        <v>0.72</v>
      </c>
      <c r="D11" s="9" t="s">
        <v>171</v>
      </c>
      <c r="E11" s="1"/>
    </row>
    <row r="12" spans="1:5">
      <c r="A12" s="88" t="s">
        <v>211</v>
      </c>
      <c r="B12" s="9" t="s">
        <v>173</v>
      </c>
      <c r="C12" s="57">
        <v>0</v>
      </c>
      <c r="D12" s="9" t="s">
        <v>171</v>
      </c>
      <c r="E12" s="88" t="s">
        <v>174</v>
      </c>
    </row>
    <row r="13" spans="1:5">
      <c r="A13" s="88" t="s">
        <v>212</v>
      </c>
      <c r="B13" s="9" t="s">
        <v>176</v>
      </c>
      <c r="C13" s="478">
        <v>0.72</v>
      </c>
      <c r="D13" s="9" t="s">
        <v>171</v>
      </c>
      <c r="E13" s="88" t="s">
        <v>213</v>
      </c>
    </row>
    <row r="14" spans="1:5">
      <c r="A14" s="1"/>
      <c r="B14" s="1"/>
      <c r="C14" s="1"/>
      <c r="D14" s="1"/>
      <c r="E14" s="88"/>
    </row>
    <row r="15" spans="1:5" s="32" customFormat="1" ht="42.65" customHeight="1">
      <c r="A15" s="128" t="s">
        <v>178</v>
      </c>
      <c r="B15" s="137" t="s">
        <v>146</v>
      </c>
      <c r="C15" s="137" t="s">
        <v>179</v>
      </c>
      <c r="D15" s="137" t="s">
        <v>148</v>
      </c>
      <c r="E15" s="139"/>
    </row>
    <row r="16" spans="1:5">
      <c r="A16" s="88" t="s">
        <v>180</v>
      </c>
      <c r="B16" s="9" t="s">
        <v>181</v>
      </c>
      <c r="C16" s="573">
        <f>ROUNDDOWN(C17*(1-C18)*C19,0)</f>
        <v>2337</v>
      </c>
      <c r="D16" s="9" t="s">
        <v>182</v>
      </c>
      <c r="E16" s="1"/>
    </row>
    <row r="17" spans="1:5">
      <c r="A17" s="88" t="s">
        <v>183</v>
      </c>
      <c r="B17" s="9" t="s">
        <v>184</v>
      </c>
      <c r="C17" s="572">
        <f>'GS5041 PTDs'!H7</f>
        <v>2460</v>
      </c>
      <c r="D17" s="9" t="s">
        <v>182</v>
      </c>
      <c r="E17" s="88" t="s">
        <v>228</v>
      </c>
    </row>
    <row r="18" spans="1:5">
      <c r="A18" s="88" t="s">
        <v>94</v>
      </c>
      <c r="B18" s="9" t="s">
        <v>186</v>
      </c>
      <c r="C18" s="106">
        <f>'GS5041 ER Calcs'!D12</f>
        <v>0</v>
      </c>
      <c r="D18" s="9" t="s">
        <v>151</v>
      </c>
      <c r="E18" s="88" t="s">
        <v>174</v>
      </c>
    </row>
    <row r="19" spans="1:5" ht="25" customHeight="1">
      <c r="A19" s="88" t="s">
        <v>209</v>
      </c>
      <c r="B19" s="9" t="s">
        <v>166</v>
      </c>
      <c r="C19" s="107">
        <f>'GS5041 ER Calcs'!D28</f>
        <v>0.95</v>
      </c>
      <c r="D19" s="9" t="s">
        <v>151</v>
      </c>
      <c r="E19" s="85" t="s">
        <v>138</v>
      </c>
    </row>
    <row r="20" spans="1:5">
      <c r="A20" s="1"/>
      <c r="B20" s="1"/>
      <c r="C20" s="1"/>
      <c r="D20" s="1"/>
      <c r="E20" s="9"/>
    </row>
    <row r="21" spans="1:5" s="32" customFormat="1" ht="32.15" customHeight="1">
      <c r="A21" s="128" t="s">
        <v>187</v>
      </c>
      <c r="B21" s="137" t="s">
        <v>146</v>
      </c>
      <c r="C21" s="137"/>
      <c r="D21" s="137" t="s">
        <v>148</v>
      </c>
      <c r="E21" s="94"/>
    </row>
    <row r="22" spans="1:5">
      <c r="A22" s="88" t="s">
        <v>188</v>
      </c>
      <c r="B22" s="9" t="s">
        <v>189</v>
      </c>
      <c r="C22" s="108">
        <f>'GS5041 ER Calcs'!D37</f>
        <v>4014</v>
      </c>
      <c r="D22" s="9" t="s">
        <v>190</v>
      </c>
      <c r="E22" s="9" t="s">
        <v>191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3D86-080E-49C8-AA78-0C1E17D11EFE}">
  <dimension ref="A1:O35"/>
  <sheetViews>
    <sheetView workbookViewId="0">
      <selection sqref="A1:D1"/>
    </sheetView>
  </sheetViews>
  <sheetFormatPr defaultRowHeight="14.5"/>
  <cols>
    <col min="1" max="1" width="39" bestFit="1" customWidth="1"/>
    <col min="3" max="3" width="10" bestFit="1" customWidth="1"/>
    <col min="4" max="4" width="10.81640625" bestFit="1" customWidth="1"/>
  </cols>
  <sheetData>
    <row r="1" spans="1:15" ht="37" customHeight="1" thickBot="1">
      <c r="A1" s="521" t="s">
        <v>244</v>
      </c>
      <c r="B1" s="522"/>
      <c r="C1" s="522"/>
      <c r="D1" s="522"/>
      <c r="E1" s="4"/>
      <c r="F1" s="4"/>
      <c r="G1" s="4"/>
      <c r="H1" s="521" t="s">
        <v>16</v>
      </c>
      <c r="I1" s="522"/>
      <c r="J1" s="522"/>
      <c r="K1" s="522"/>
      <c r="L1" s="522"/>
      <c r="M1" s="522"/>
      <c r="N1" s="522"/>
    </row>
    <row r="2" spans="1:15" ht="1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</row>
    <row r="3" spans="1:15" ht="14.5" customHeight="1">
      <c r="A3" s="523" t="s">
        <v>17</v>
      </c>
      <c r="B3" s="524"/>
      <c r="C3" s="524"/>
      <c r="D3" s="524"/>
      <c r="E3" s="2"/>
      <c r="F3" s="4"/>
      <c r="G3" s="4"/>
      <c r="H3" s="528" t="s">
        <v>18</v>
      </c>
      <c r="I3" s="529"/>
      <c r="J3" s="529"/>
      <c r="K3" s="529"/>
      <c r="L3" s="529"/>
      <c r="M3" s="529"/>
      <c r="N3" s="529"/>
    </row>
    <row r="4" spans="1:15" ht="29">
      <c r="A4" s="518" t="s">
        <v>19</v>
      </c>
      <c r="B4" s="519"/>
      <c r="C4" s="519"/>
      <c r="D4" s="519"/>
      <c r="E4" s="2"/>
      <c r="F4" s="4"/>
      <c r="G4" s="4"/>
      <c r="H4" s="6" t="s">
        <v>20</v>
      </c>
      <c r="I4" s="7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6" t="s">
        <v>26</v>
      </c>
      <c r="O4" s="6" t="s">
        <v>27</v>
      </c>
    </row>
    <row r="5" spans="1:15">
      <c r="A5" s="8" t="s">
        <v>28</v>
      </c>
      <c r="B5" s="9" t="s">
        <v>29</v>
      </c>
      <c r="C5" s="9" t="s">
        <v>30</v>
      </c>
      <c r="D5" s="10">
        <f>'GS5042 ER Calcs'!J26</f>
        <v>1634</v>
      </c>
      <c r="E5" s="2"/>
      <c r="F5" s="4"/>
      <c r="G5" s="4"/>
      <c r="H5" s="109">
        <v>2016</v>
      </c>
      <c r="I5" s="390">
        <v>274</v>
      </c>
      <c r="J5" s="390"/>
      <c r="K5" s="390"/>
      <c r="L5" s="390"/>
      <c r="M5" s="390"/>
      <c r="N5" s="382"/>
      <c r="O5" s="20">
        <f>SUM(I5:L5)</f>
        <v>274</v>
      </c>
    </row>
    <row r="6" spans="1:15">
      <c r="A6" s="8" t="s">
        <v>31</v>
      </c>
      <c r="B6" s="9" t="s">
        <v>32</v>
      </c>
      <c r="C6" s="9" t="s">
        <v>30</v>
      </c>
      <c r="D6" s="10">
        <f>'GS5042 ER Calcs'!J27</f>
        <v>0</v>
      </c>
      <c r="E6" s="2"/>
      <c r="F6" s="4"/>
      <c r="G6" s="4"/>
      <c r="H6" s="109">
        <v>2017</v>
      </c>
      <c r="I6" s="390">
        <v>7310</v>
      </c>
      <c r="J6" s="390">
        <v>2690</v>
      </c>
      <c r="K6" s="390"/>
      <c r="L6" s="390"/>
      <c r="M6" s="390"/>
      <c r="N6" s="382"/>
      <c r="O6" s="20">
        <f>SUM(I6:L6)</f>
        <v>10000</v>
      </c>
    </row>
    <row r="7" spans="1:15">
      <c r="A7" s="8" t="s">
        <v>33</v>
      </c>
      <c r="B7" s="9" t="s">
        <v>34</v>
      </c>
      <c r="C7" s="9" t="s">
        <v>35</v>
      </c>
      <c r="D7" s="10">
        <f>'GS5042 ER Calcs'!J28</f>
        <v>0.95</v>
      </c>
      <c r="E7" s="2"/>
      <c r="F7" s="4"/>
      <c r="G7" s="4"/>
      <c r="H7" s="109">
        <v>2018</v>
      </c>
      <c r="I7" s="390"/>
      <c r="J7" s="390">
        <v>10000</v>
      </c>
      <c r="K7" s="390"/>
      <c r="L7" s="390"/>
      <c r="M7" s="390"/>
      <c r="N7" s="382"/>
      <c r="O7" s="20">
        <f>SUM(I7:L7)</f>
        <v>10000</v>
      </c>
    </row>
    <row r="8" spans="1:15">
      <c r="A8" s="8" t="s">
        <v>36</v>
      </c>
      <c r="B8" s="9" t="s">
        <v>37</v>
      </c>
      <c r="C8" s="9" t="s">
        <v>30</v>
      </c>
      <c r="D8" s="10">
        <f>'GS5042 ER Calcs'!J29</f>
        <v>0</v>
      </c>
      <c r="E8" s="2"/>
      <c r="F8" s="4"/>
      <c r="G8" s="4"/>
      <c r="H8" s="109">
        <v>2019</v>
      </c>
      <c r="I8" s="390"/>
      <c r="J8" s="390">
        <v>4137</v>
      </c>
      <c r="K8" s="390">
        <v>1472</v>
      </c>
      <c r="L8" s="390"/>
      <c r="M8" s="390"/>
      <c r="N8" s="382"/>
      <c r="O8" s="20">
        <f>SUM(I8:L8)</f>
        <v>5609</v>
      </c>
    </row>
    <row r="9" spans="1:15">
      <c r="A9" s="8" t="s">
        <v>38</v>
      </c>
      <c r="B9" s="9" t="s">
        <v>39</v>
      </c>
      <c r="C9" s="9" t="s">
        <v>30</v>
      </c>
      <c r="D9" s="10">
        <f>'GS5042 ER Calcs'!J30</f>
        <v>1552</v>
      </c>
      <c r="E9" s="2"/>
      <c r="F9" s="4"/>
      <c r="G9" s="4"/>
      <c r="H9" s="109">
        <v>2020</v>
      </c>
      <c r="I9" s="390"/>
      <c r="J9" s="390"/>
      <c r="K9" s="390">
        <v>1044</v>
      </c>
      <c r="L9" s="396">
        <v>1395</v>
      </c>
      <c r="M9" s="396"/>
      <c r="N9" s="382"/>
      <c r="O9" s="20">
        <f>SUM(I9:L9)</f>
        <v>2439</v>
      </c>
    </row>
    <row r="10" spans="1:15">
      <c r="A10" s="15"/>
      <c r="B10" s="544"/>
      <c r="C10" s="544"/>
      <c r="D10" s="147"/>
      <c r="E10" s="2"/>
      <c r="F10" s="4"/>
      <c r="G10" s="4"/>
      <c r="H10" s="109">
        <v>2021</v>
      </c>
      <c r="I10" s="390"/>
      <c r="J10" s="390"/>
      <c r="K10" s="390"/>
      <c r="L10" s="390">
        <v>989</v>
      </c>
      <c r="M10" s="397">
        <v>1482</v>
      </c>
      <c r="N10" s="382"/>
      <c r="O10" s="20">
        <f>SUM(I10:N10)</f>
        <v>2471</v>
      </c>
    </row>
    <row r="11" spans="1:15">
      <c r="A11" s="518" t="s">
        <v>40</v>
      </c>
      <c r="B11" s="519"/>
      <c r="C11" s="519"/>
      <c r="D11" s="519"/>
      <c r="E11" s="2"/>
      <c r="F11" s="4"/>
      <c r="G11" s="4"/>
      <c r="H11" s="109">
        <v>2022</v>
      </c>
      <c r="I11" s="382"/>
      <c r="J11" s="382"/>
      <c r="K11" s="382"/>
      <c r="L11" s="382"/>
      <c r="M11" s="398">
        <v>1044</v>
      </c>
      <c r="N11" s="383">
        <f>D32</f>
        <v>1552</v>
      </c>
      <c r="O11" s="20">
        <f t="shared" ref="O11:O12" si="0">SUM(I11:N11)</f>
        <v>2596</v>
      </c>
    </row>
    <row r="12" spans="1:15">
      <c r="A12" s="15" t="s">
        <v>41</v>
      </c>
      <c r="B12" s="9" t="s">
        <v>42</v>
      </c>
      <c r="C12" s="16"/>
      <c r="D12" s="17">
        <f>'GS5042 ER Calcs'!J33</f>
        <v>1</v>
      </c>
      <c r="E12" s="2"/>
      <c r="F12" s="4"/>
      <c r="G12" s="4"/>
      <c r="H12" s="109">
        <v>2023</v>
      </c>
      <c r="I12" s="382"/>
      <c r="J12" s="382"/>
      <c r="K12" s="382"/>
      <c r="L12" s="382"/>
      <c r="M12" s="382"/>
      <c r="N12" s="383">
        <f>D33</f>
        <v>2161</v>
      </c>
      <c r="O12" s="20">
        <f t="shared" si="0"/>
        <v>2161</v>
      </c>
    </row>
    <row r="13" spans="1:15">
      <c r="A13" s="15" t="s">
        <v>43</v>
      </c>
      <c r="B13" s="2"/>
      <c r="C13" s="16" t="s">
        <v>44</v>
      </c>
      <c r="D13" s="17">
        <f>'GS5042 ER Calcs'!J34</f>
        <v>0</v>
      </c>
      <c r="E13" s="2"/>
      <c r="F13" s="4"/>
      <c r="G13" s="4"/>
      <c r="H13" s="18" t="s">
        <v>13</v>
      </c>
      <c r="I13" s="131">
        <v>7584</v>
      </c>
      <c r="J13" s="131">
        <v>16827</v>
      </c>
      <c r="K13" s="131">
        <v>2516</v>
      </c>
      <c r="L13" s="399">
        <f>SUM(L9:L11)</f>
        <v>2384</v>
      </c>
      <c r="M13" s="399">
        <f>SUM(M9:M12)</f>
        <v>2526</v>
      </c>
      <c r="N13" s="399">
        <f>SUM(N9:N12)</f>
        <v>3713</v>
      </c>
      <c r="O13" s="18">
        <f>SUM(O5:O12)</f>
        <v>35550</v>
      </c>
    </row>
    <row r="14" spans="1:15" ht="15" thickBot="1">
      <c r="A14" s="21" t="s">
        <v>38</v>
      </c>
      <c r="B14" s="22" t="s">
        <v>39</v>
      </c>
      <c r="C14" s="22" t="s">
        <v>30</v>
      </c>
      <c r="D14" s="236">
        <f>'GS5042 ER Calcs'!J35</f>
        <v>1552</v>
      </c>
      <c r="E14" s="2"/>
      <c r="F14" s="4"/>
      <c r="G14" s="4"/>
      <c r="H14" s="4"/>
      <c r="I14" s="4"/>
      <c r="J14" s="4"/>
      <c r="K14" s="4"/>
      <c r="L14" s="4"/>
      <c r="M14" s="4"/>
      <c r="N14" s="2"/>
    </row>
    <row r="15" spans="1:15" ht="15" thickBot="1">
      <c r="A15" s="21" t="s">
        <v>45</v>
      </c>
      <c r="B15" s="22" t="s">
        <v>39</v>
      </c>
      <c r="C15" s="22" t="s">
        <v>30</v>
      </c>
      <c r="D15" s="23">
        <f>'GS5042 ER Calcs'!J37</f>
        <v>1552</v>
      </c>
      <c r="E15" s="2"/>
      <c r="F15" s="4"/>
      <c r="G15" s="4"/>
      <c r="H15" s="4"/>
      <c r="I15" s="4"/>
      <c r="J15" s="4"/>
      <c r="K15" s="4"/>
      <c r="L15" s="4"/>
      <c r="M15" s="4"/>
      <c r="N15" s="2"/>
    </row>
    <row r="16" spans="1:15" ht="15" thickBot="1">
      <c r="A16" s="4"/>
      <c r="B16" s="4"/>
      <c r="C16" s="4"/>
      <c r="D16" s="4"/>
      <c r="E16" s="2"/>
      <c r="F16" s="4"/>
      <c r="G16" s="4"/>
      <c r="H16" s="4"/>
      <c r="I16" s="4"/>
      <c r="J16" s="4"/>
      <c r="K16" s="4"/>
      <c r="L16" s="4"/>
      <c r="M16" s="4"/>
      <c r="N16" s="2"/>
    </row>
    <row r="17" spans="1:14" ht="14.5" customHeight="1">
      <c r="A17" s="523" t="s">
        <v>46</v>
      </c>
      <c r="B17" s="524"/>
      <c r="C17" s="524"/>
      <c r="D17" s="524"/>
      <c r="E17" s="4"/>
      <c r="F17" s="4"/>
      <c r="G17" s="4"/>
      <c r="H17" s="4"/>
      <c r="I17" s="4"/>
      <c r="J17" s="4"/>
      <c r="K17" s="4"/>
      <c r="L17" s="4"/>
      <c r="M17" s="4"/>
      <c r="N17" s="2"/>
    </row>
    <row r="18" spans="1:14">
      <c r="A18" s="518" t="s">
        <v>19</v>
      </c>
      <c r="B18" s="519"/>
      <c r="C18" s="519"/>
      <c r="D18" s="519"/>
      <c r="E18" s="4"/>
      <c r="F18" s="4"/>
      <c r="G18" s="4"/>
      <c r="H18" s="4"/>
      <c r="I18" s="4"/>
      <c r="J18" s="4"/>
      <c r="K18" s="4"/>
      <c r="L18" s="4"/>
      <c r="M18" s="4"/>
      <c r="N18" s="2"/>
    </row>
    <row r="19" spans="1:14">
      <c r="A19" s="8" t="s">
        <v>28</v>
      </c>
      <c r="B19" s="9" t="s">
        <v>29</v>
      </c>
      <c r="C19" s="9" t="s">
        <v>30</v>
      </c>
      <c r="D19" s="10">
        <f>'GS5042 ER Calcs'!O26</f>
        <v>2275</v>
      </c>
      <c r="E19" s="4"/>
      <c r="F19" s="4"/>
      <c r="G19" s="4"/>
      <c r="H19" s="4"/>
      <c r="I19" s="4"/>
      <c r="J19" s="4"/>
      <c r="K19" s="4"/>
      <c r="L19" s="4"/>
      <c r="M19" s="4"/>
      <c r="N19" s="2"/>
    </row>
    <row r="20" spans="1:14">
      <c r="A20" s="8" t="s">
        <v>31</v>
      </c>
      <c r="B20" s="9" t="s">
        <v>32</v>
      </c>
      <c r="C20" s="9" t="s">
        <v>30</v>
      </c>
      <c r="D20" s="14">
        <f>'GS5042 ER Calcs'!O27</f>
        <v>0</v>
      </c>
      <c r="E20" s="4"/>
      <c r="F20" s="4"/>
      <c r="G20" s="4"/>
      <c r="H20" s="4"/>
      <c r="I20" s="4"/>
      <c r="J20" s="4"/>
      <c r="K20" s="4"/>
      <c r="L20" s="4"/>
      <c r="M20" s="4"/>
      <c r="N20" s="2"/>
    </row>
    <row r="21" spans="1:14">
      <c r="A21" s="8" t="s">
        <v>33</v>
      </c>
      <c r="B21" s="9" t="s">
        <v>34</v>
      </c>
      <c r="C21" s="9" t="s">
        <v>35</v>
      </c>
      <c r="D21" s="14">
        <f>'GS5042 ER Calcs'!O28</f>
        <v>0.95</v>
      </c>
      <c r="E21" s="4"/>
      <c r="F21" s="4"/>
      <c r="G21" s="4"/>
      <c r="H21" s="4"/>
      <c r="I21" s="4"/>
      <c r="J21" s="4"/>
      <c r="K21" s="4"/>
      <c r="L21" s="4"/>
      <c r="M21" s="4"/>
      <c r="N21" s="2"/>
    </row>
    <row r="22" spans="1:14">
      <c r="A22" s="8" t="s">
        <v>36</v>
      </c>
      <c r="B22" s="9" t="s">
        <v>37</v>
      </c>
      <c r="C22" s="9" t="s">
        <v>30</v>
      </c>
      <c r="D22" s="14">
        <f>'GS5042 ER Calcs'!O29</f>
        <v>0</v>
      </c>
      <c r="E22" s="4"/>
      <c r="F22" s="4"/>
      <c r="G22" s="4"/>
      <c r="H22" s="4"/>
      <c r="I22" s="4"/>
      <c r="J22" s="4"/>
      <c r="K22" s="4"/>
      <c r="L22" s="4"/>
      <c r="M22" s="4"/>
      <c r="N22" s="2"/>
    </row>
    <row r="23" spans="1:14">
      <c r="A23" s="8" t="s">
        <v>38</v>
      </c>
      <c r="B23" s="9" t="s">
        <v>39</v>
      </c>
      <c r="C23" s="9" t="s">
        <v>30</v>
      </c>
      <c r="D23" s="10">
        <f>'GS5042 ER Calcs'!O30</f>
        <v>2161</v>
      </c>
      <c r="E23" s="4"/>
      <c r="F23" s="4"/>
      <c r="G23" s="4"/>
      <c r="H23" s="4"/>
      <c r="I23" s="4"/>
      <c r="J23" s="4"/>
      <c r="K23" s="4"/>
      <c r="L23" s="4"/>
      <c r="M23" s="4"/>
      <c r="N23" s="2"/>
    </row>
    <row r="24" spans="1:14">
      <c r="A24" s="518" t="s">
        <v>40</v>
      </c>
      <c r="B24" s="519"/>
      <c r="C24" s="519"/>
      <c r="D24" s="519"/>
      <c r="E24" s="4"/>
      <c r="F24" s="4"/>
      <c r="G24" s="4"/>
      <c r="H24" s="4"/>
      <c r="I24" s="4"/>
      <c r="J24" s="4"/>
      <c r="K24" s="4"/>
      <c r="L24" s="4"/>
      <c r="M24" s="4"/>
      <c r="N24" s="2"/>
    </row>
    <row r="25" spans="1:14">
      <c r="A25" s="15" t="s">
        <v>41</v>
      </c>
      <c r="B25" s="9" t="s">
        <v>42</v>
      </c>
      <c r="C25" s="16"/>
      <c r="D25" s="17">
        <f>'GS5042 ER Calcs'!O33</f>
        <v>1</v>
      </c>
      <c r="E25" s="4"/>
      <c r="F25" s="4"/>
      <c r="G25" s="4"/>
      <c r="H25" s="4"/>
      <c r="I25" s="4"/>
      <c r="J25" s="4"/>
      <c r="K25" s="4"/>
      <c r="L25" s="4"/>
      <c r="M25" s="4"/>
      <c r="N25" s="2"/>
    </row>
    <row r="26" spans="1:14">
      <c r="A26" s="15" t="s">
        <v>43</v>
      </c>
      <c r="B26" s="2"/>
      <c r="C26" s="16" t="s">
        <v>44</v>
      </c>
      <c r="D26" s="17">
        <f>'GS5042 ER Calcs'!O34</f>
        <v>0</v>
      </c>
      <c r="E26" s="4"/>
      <c r="F26" s="4"/>
      <c r="G26" s="4"/>
      <c r="H26" s="4"/>
      <c r="I26" s="4"/>
      <c r="J26" s="4"/>
      <c r="K26" s="4"/>
      <c r="L26" s="4"/>
      <c r="M26" s="4"/>
      <c r="N26" s="2"/>
    </row>
    <row r="27" spans="1:14" ht="15" thickBot="1">
      <c r="A27" s="21" t="s">
        <v>38</v>
      </c>
      <c r="B27" s="22" t="s">
        <v>39</v>
      </c>
      <c r="C27" s="22" t="s">
        <v>30</v>
      </c>
      <c r="D27" s="23">
        <f>'GS5042 ER Calcs'!O35</f>
        <v>2161</v>
      </c>
      <c r="E27" s="4"/>
      <c r="F27" s="4"/>
      <c r="G27" s="4"/>
      <c r="H27" s="4"/>
      <c r="I27" s="4"/>
      <c r="J27" s="4"/>
      <c r="K27" s="4"/>
      <c r="L27" s="4"/>
      <c r="M27" s="4"/>
      <c r="N27" s="2"/>
    </row>
    <row r="28" spans="1:14" ht="15" thickBot="1">
      <c r="A28" s="21" t="s">
        <v>45</v>
      </c>
      <c r="B28" s="22" t="s">
        <v>39</v>
      </c>
      <c r="C28" s="22" t="s">
        <v>30</v>
      </c>
      <c r="D28" s="23">
        <f>'GS5042 ER Calcs'!O37</f>
        <v>2161</v>
      </c>
      <c r="E28" s="4"/>
      <c r="F28" s="4"/>
      <c r="G28" s="4"/>
      <c r="H28" s="4"/>
      <c r="I28" s="4"/>
      <c r="J28" s="4"/>
      <c r="K28" s="4"/>
      <c r="L28" s="4"/>
      <c r="M28" s="4"/>
      <c r="N28" s="2"/>
    </row>
    <row r="29" spans="1:14" ht="15" thickBot="1">
      <c r="A29" s="2"/>
      <c r="B29" s="508"/>
      <c r="C29" s="508"/>
      <c r="D29" s="2"/>
      <c r="E29" s="4"/>
      <c r="F29" s="4"/>
      <c r="G29" s="4"/>
      <c r="H29" s="4"/>
      <c r="I29" s="4"/>
      <c r="J29" s="4"/>
      <c r="K29" s="4"/>
      <c r="L29" s="4"/>
      <c r="M29" s="4"/>
      <c r="N29" s="2"/>
    </row>
    <row r="30" spans="1:14" ht="15.65" customHeight="1">
      <c r="A30" s="509" t="s">
        <v>47</v>
      </c>
      <c r="B30" s="510"/>
      <c r="C30" s="510"/>
      <c r="D30" s="510"/>
      <c r="E30" s="2"/>
      <c r="F30" s="2"/>
      <c r="G30" s="507"/>
      <c r="H30" s="507"/>
      <c r="I30" s="2"/>
      <c r="J30" s="2"/>
      <c r="K30" s="2"/>
      <c r="L30" s="2"/>
      <c r="M30" s="2"/>
      <c r="N30" s="2"/>
    </row>
    <row r="31" spans="1:14">
      <c r="A31" s="511" t="s">
        <v>19</v>
      </c>
      <c r="B31" s="512"/>
      <c r="C31" s="512"/>
      <c r="D31" s="512"/>
      <c r="E31" s="2"/>
      <c r="F31" s="2"/>
      <c r="G31" s="507"/>
      <c r="H31" s="507"/>
      <c r="I31" s="2"/>
      <c r="J31" s="2"/>
      <c r="K31" s="2"/>
      <c r="L31" s="2"/>
      <c r="M31" s="2"/>
      <c r="N31" s="2"/>
    </row>
    <row r="32" spans="1:14" ht="14.5" customHeight="1">
      <c r="A32" s="513">
        <v>2022</v>
      </c>
      <c r="B32" s="514"/>
      <c r="C32" s="514"/>
      <c r="D32" s="25">
        <f>D15</f>
        <v>1552</v>
      </c>
      <c r="E32" s="2"/>
      <c r="F32" s="2"/>
      <c r="G32" s="507"/>
      <c r="H32" s="507"/>
      <c r="I32" s="2"/>
      <c r="J32" s="2"/>
      <c r="K32" s="2"/>
      <c r="L32" s="2"/>
      <c r="M32" s="2"/>
      <c r="N32" s="2"/>
    </row>
    <row r="33" spans="1:14" ht="15" thickBot="1">
      <c r="A33" s="515">
        <v>2023</v>
      </c>
      <c r="B33" s="516"/>
      <c r="C33" s="516"/>
      <c r="D33" s="26">
        <f>D28</f>
        <v>2161</v>
      </c>
      <c r="E33" s="2"/>
      <c r="F33" s="2"/>
      <c r="G33" s="507"/>
      <c r="H33" s="507"/>
      <c r="I33" s="2"/>
      <c r="J33" s="2"/>
      <c r="K33" s="2"/>
      <c r="L33" s="2"/>
      <c r="M33" s="2"/>
      <c r="N33" s="2"/>
    </row>
    <row r="34" spans="1:14" ht="15" thickBot="1">
      <c r="A34" s="27" t="s">
        <v>245</v>
      </c>
      <c r="B34" s="29"/>
      <c r="C34" s="30"/>
      <c r="D34" s="31">
        <f>SUM(D32:D33)</f>
        <v>3713</v>
      </c>
      <c r="E34" s="2"/>
      <c r="F34" s="2"/>
      <c r="G34" s="507"/>
      <c r="H34" s="507"/>
      <c r="I34" s="2"/>
      <c r="J34" s="2"/>
      <c r="K34" s="2"/>
      <c r="L34" s="2"/>
      <c r="M34" s="2"/>
      <c r="N34" s="2"/>
    </row>
    <row r="35" spans="1:14">
      <c r="A35" s="2"/>
      <c r="B35" s="517"/>
      <c r="C35" s="517"/>
      <c r="D35" s="2"/>
      <c r="E35" s="2"/>
      <c r="F35" s="2"/>
      <c r="G35" s="507"/>
      <c r="H35" s="507"/>
      <c r="I35" s="2"/>
      <c r="J35" s="2"/>
      <c r="K35" s="2"/>
      <c r="L35" s="2"/>
      <c r="M35" s="2"/>
      <c r="N35" s="2"/>
    </row>
  </sheetData>
  <mergeCells count="22">
    <mergeCell ref="B10:C10"/>
    <mergeCell ref="A1:D1"/>
    <mergeCell ref="H1:N1"/>
    <mergeCell ref="A3:D3"/>
    <mergeCell ref="H3:N3"/>
    <mergeCell ref="A4:D4"/>
    <mergeCell ref="A11:D11"/>
    <mergeCell ref="A17:D17"/>
    <mergeCell ref="A18:D18"/>
    <mergeCell ref="A24:D24"/>
    <mergeCell ref="B29:C29"/>
    <mergeCell ref="G34:H34"/>
    <mergeCell ref="B35:C35"/>
    <mergeCell ref="G35:H35"/>
    <mergeCell ref="G30:H30"/>
    <mergeCell ref="A31:D31"/>
    <mergeCell ref="G31:H31"/>
    <mergeCell ref="A32:C32"/>
    <mergeCell ref="G32:H32"/>
    <mergeCell ref="A33:C33"/>
    <mergeCell ref="G33:H33"/>
    <mergeCell ref="A30:D3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E0F99-0248-49EE-B01C-FEDD8D079809}">
  <dimension ref="A1:O23"/>
  <sheetViews>
    <sheetView topLeftCell="A13" workbookViewId="0">
      <selection activeCell="B21" sqref="B21"/>
    </sheetView>
  </sheetViews>
  <sheetFormatPr defaultRowHeight="14.5"/>
  <cols>
    <col min="1" max="1" width="25.54296875" bestFit="1" customWidth="1"/>
    <col min="2" max="2" width="17.26953125" bestFit="1" customWidth="1"/>
    <col min="3" max="3" width="19.81640625" bestFit="1" customWidth="1"/>
    <col min="4" max="4" width="18.1796875" customWidth="1"/>
    <col min="5" max="5" width="13.7265625" customWidth="1"/>
    <col min="6" max="6" width="12.81640625" customWidth="1"/>
    <col min="7" max="7" width="14.26953125" customWidth="1"/>
    <col min="8" max="8" width="12.453125" customWidth="1"/>
    <col min="9" max="9" width="17.26953125" customWidth="1"/>
    <col min="11" max="11" width="9.26953125" customWidth="1"/>
    <col min="13" max="13" width="9.81640625" customWidth="1"/>
  </cols>
  <sheetData>
    <row r="1" spans="1:15" ht="43.5">
      <c r="A1" s="48" t="s">
        <v>0</v>
      </c>
      <c r="B1" s="49" t="s">
        <v>49</v>
      </c>
      <c r="C1" s="49" t="s">
        <v>50</v>
      </c>
      <c r="D1" s="49" t="s">
        <v>51</v>
      </c>
      <c r="E1" s="49" t="s">
        <v>52</v>
      </c>
      <c r="F1" s="49" t="s">
        <v>192</v>
      </c>
      <c r="G1" s="49" t="s">
        <v>53</v>
      </c>
      <c r="H1" s="50" t="s">
        <v>54</v>
      </c>
      <c r="I1" s="50" t="s">
        <v>11</v>
      </c>
      <c r="J1" s="2"/>
      <c r="K1" s="51" t="s">
        <v>55</v>
      </c>
      <c r="L1" s="52" t="s">
        <v>56</v>
      </c>
      <c r="M1" s="5" t="s">
        <v>57</v>
      </c>
      <c r="N1" s="53" t="s">
        <v>58</v>
      </c>
      <c r="O1" s="50" t="s">
        <v>59</v>
      </c>
    </row>
    <row r="2" spans="1:15" ht="15.5">
      <c r="A2" s="530" t="s">
        <v>246</v>
      </c>
      <c r="B2" s="9" t="s">
        <v>247</v>
      </c>
      <c r="C2" s="54" t="s">
        <v>248</v>
      </c>
      <c r="D2" s="9">
        <v>14.721270000000001</v>
      </c>
      <c r="E2" s="9">
        <v>39.503900000000002</v>
      </c>
      <c r="F2" s="55">
        <v>42668</v>
      </c>
      <c r="G2" s="9">
        <v>71</v>
      </c>
      <c r="H2" s="9">
        <v>179</v>
      </c>
      <c r="I2" s="476">
        <f t="shared" ref="I2:I3" si="0">IF(H2&lt;342,H2,342)</f>
        <v>179</v>
      </c>
      <c r="J2" s="2"/>
      <c r="K2" s="231">
        <f>$E$19</f>
        <v>203.29999999999998</v>
      </c>
      <c r="L2" s="277">
        <f>K2*I2</f>
        <v>36390.699999999997</v>
      </c>
      <c r="M2" s="287">
        <f>$E$20</f>
        <v>283.09999999999997</v>
      </c>
      <c r="N2" s="278">
        <f>I2*M2</f>
        <v>50674.899999999994</v>
      </c>
      <c r="O2" s="279">
        <f>L2+N2</f>
        <v>87065.599999999991</v>
      </c>
    </row>
    <row r="3" spans="1:15" ht="15.5">
      <c r="A3" s="531"/>
      <c r="B3" s="9" t="s">
        <v>249</v>
      </c>
      <c r="C3" s="54" t="s">
        <v>250</v>
      </c>
      <c r="D3" s="9">
        <v>14.72284</v>
      </c>
      <c r="E3" s="9">
        <v>39.409480000000002</v>
      </c>
      <c r="F3" s="55">
        <v>42670</v>
      </c>
      <c r="G3" s="9">
        <v>41</v>
      </c>
      <c r="H3" s="9">
        <v>163</v>
      </c>
      <c r="I3" s="476">
        <f t="shared" si="0"/>
        <v>163</v>
      </c>
      <c r="J3" s="2"/>
      <c r="K3" s="231">
        <f>$E$19</f>
        <v>203.29999999999998</v>
      </c>
      <c r="L3" s="277">
        <f t="shared" ref="L3:L6" si="1">K3*I3</f>
        <v>33137.899999999994</v>
      </c>
      <c r="M3" s="287">
        <f>$E$20</f>
        <v>283.09999999999997</v>
      </c>
      <c r="N3" s="278">
        <f t="shared" ref="N3:N6" si="2">I3*M3</f>
        <v>46145.299999999996</v>
      </c>
      <c r="O3" s="279">
        <f t="shared" ref="O3:O6" si="3">L3+N3</f>
        <v>79283.199999999983</v>
      </c>
    </row>
    <row r="4" spans="1:15" ht="15.5">
      <c r="A4" s="531"/>
      <c r="B4" s="9" t="s">
        <v>251</v>
      </c>
      <c r="C4" s="9" t="s">
        <v>252</v>
      </c>
      <c r="D4" s="9">
        <v>14.555580000000001</v>
      </c>
      <c r="E4" s="9">
        <v>38.773980000000002</v>
      </c>
      <c r="F4" s="55">
        <v>42732</v>
      </c>
      <c r="G4" s="9">
        <v>105</v>
      </c>
      <c r="H4" s="9">
        <v>434</v>
      </c>
      <c r="I4" s="476">
        <f>IF(H4&lt;371,H4,371)</f>
        <v>371</v>
      </c>
      <c r="J4" s="133"/>
      <c r="K4" s="233">
        <f>$E$19</f>
        <v>203.29999999999998</v>
      </c>
      <c r="L4" s="277">
        <f t="shared" si="1"/>
        <v>75424.299999999988</v>
      </c>
      <c r="M4" s="287">
        <f>$E$20</f>
        <v>283.09999999999997</v>
      </c>
      <c r="N4" s="278">
        <f t="shared" si="2"/>
        <v>105030.09999999999</v>
      </c>
      <c r="O4" s="279">
        <f t="shared" si="3"/>
        <v>180454.39999999997</v>
      </c>
    </row>
    <row r="5" spans="1:15" ht="15.5">
      <c r="A5" s="531"/>
      <c r="B5" s="9" t="s">
        <v>253</v>
      </c>
      <c r="C5" s="9" t="s">
        <v>254</v>
      </c>
      <c r="D5" s="9">
        <v>14.53337</v>
      </c>
      <c r="E5" s="9">
        <v>38.504800000000003</v>
      </c>
      <c r="F5" s="55">
        <v>42816</v>
      </c>
      <c r="G5" s="9">
        <v>195</v>
      </c>
      <c r="H5" s="9">
        <v>699</v>
      </c>
      <c r="I5" s="476">
        <f>IF(H5&lt;371,H5,371)</f>
        <v>371</v>
      </c>
      <c r="J5" s="133"/>
      <c r="K5" s="233">
        <f>$E$19</f>
        <v>203.29999999999998</v>
      </c>
      <c r="L5" s="277">
        <f t="shared" si="1"/>
        <v>75424.299999999988</v>
      </c>
      <c r="M5" s="287">
        <f>$E$20</f>
        <v>283.09999999999997</v>
      </c>
      <c r="N5" s="278">
        <f t="shared" si="2"/>
        <v>105030.09999999999</v>
      </c>
      <c r="O5" s="279">
        <f t="shared" si="3"/>
        <v>180454.39999999997</v>
      </c>
    </row>
    <row r="6" spans="1:15" ht="15.5">
      <c r="A6" s="532"/>
      <c r="B6" s="9" t="s">
        <v>255</v>
      </c>
      <c r="C6" s="9" t="s">
        <v>256</v>
      </c>
      <c r="D6" s="58">
        <v>14.554040000000001</v>
      </c>
      <c r="E6" s="58">
        <v>38.546280000000003</v>
      </c>
      <c r="F6" s="55">
        <v>42817</v>
      </c>
      <c r="G6" s="9">
        <v>231</v>
      </c>
      <c r="H6" s="9">
        <v>828</v>
      </c>
      <c r="I6" s="476">
        <f>IF(H6&lt;371,H6,371)</f>
        <v>371</v>
      </c>
      <c r="J6" s="133"/>
      <c r="K6" s="233">
        <f>$E$19</f>
        <v>203.29999999999998</v>
      </c>
      <c r="L6" s="277">
        <f t="shared" si="1"/>
        <v>75424.299999999988</v>
      </c>
      <c r="M6" s="287">
        <f>$E$20</f>
        <v>283.09999999999997</v>
      </c>
      <c r="N6" s="278">
        <f t="shared" si="2"/>
        <v>105030.09999999999</v>
      </c>
      <c r="O6" s="279">
        <f t="shared" si="3"/>
        <v>180454.39999999997</v>
      </c>
    </row>
    <row r="7" spans="1:15" ht="15" thickBot="1">
      <c r="A7" s="118"/>
      <c r="B7" s="1"/>
      <c r="C7" s="2"/>
      <c r="D7" s="2"/>
      <c r="E7" s="2"/>
      <c r="F7" s="62"/>
      <c r="G7" s="63" t="s">
        <v>13</v>
      </c>
      <c r="H7" s="64">
        <f>SUM(H2:H6)</f>
        <v>2303</v>
      </c>
      <c r="I7" s="64">
        <f>SUM(I2:I6)</f>
        <v>1455</v>
      </c>
      <c r="J7" s="2"/>
      <c r="K7" s="282"/>
      <c r="L7" s="295">
        <f>SUM(L2:L6)</f>
        <v>295801.49999999994</v>
      </c>
      <c r="M7" s="293"/>
      <c r="N7" s="293">
        <f t="shared" ref="N7:O7" si="4">SUM(N2:N6)</f>
        <v>411910.49999999994</v>
      </c>
      <c r="O7" s="294">
        <f t="shared" si="4"/>
        <v>707711.99999999977</v>
      </c>
    </row>
    <row r="8" spans="1:15">
      <c r="A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5" thickBo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43.5">
      <c r="C10" s="67"/>
      <c r="D10" s="2"/>
      <c r="E10" s="2"/>
      <c r="F10" s="2"/>
      <c r="G10" s="2"/>
      <c r="H10" s="2"/>
      <c r="I10" s="2"/>
      <c r="J10" s="2"/>
      <c r="K10" s="51" t="s">
        <v>55</v>
      </c>
      <c r="L10" s="52" t="s">
        <v>56</v>
      </c>
      <c r="M10" s="5" t="s">
        <v>57</v>
      </c>
      <c r="N10" s="53" t="s">
        <v>58</v>
      </c>
      <c r="O10" s="50" t="s">
        <v>59</v>
      </c>
    </row>
    <row r="11" spans="1:15" ht="15" thickBot="1">
      <c r="B11" s="66" t="s">
        <v>76</v>
      </c>
      <c r="C11" s="2"/>
      <c r="D11" s="2"/>
      <c r="E11" s="2"/>
      <c r="F11" s="2"/>
      <c r="G11" s="2"/>
      <c r="H11" s="2"/>
      <c r="I11" s="2"/>
      <c r="J11" s="2"/>
      <c r="K11" s="231">
        <f>$E$19</f>
        <v>203.29999999999998</v>
      </c>
      <c r="L11" s="277">
        <f>K11*H2</f>
        <v>36390.699999999997</v>
      </c>
      <c r="M11" s="287">
        <f>$E$20</f>
        <v>283.09999999999997</v>
      </c>
      <c r="N11" s="278">
        <f>H2*M11</f>
        <v>50674.899999999994</v>
      </c>
      <c r="O11" s="279">
        <f>L11+N11</f>
        <v>87065.599999999991</v>
      </c>
    </row>
    <row r="12" spans="1:15" ht="18.5">
      <c r="A12" s="68" t="s">
        <v>77</v>
      </c>
      <c r="B12" s="69">
        <v>44713</v>
      </c>
      <c r="C12" s="2"/>
      <c r="D12" s="73"/>
      <c r="E12" s="2"/>
      <c r="F12" s="2"/>
      <c r="G12" s="2"/>
      <c r="H12" s="2"/>
      <c r="I12" s="2"/>
      <c r="J12" s="2"/>
      <c r="K12" s="231">
        <f>$E$19</f>
        <v>203.29999999999998</v>
      </c>
      <c r="L12" s="277">
        <f t="shared" ref="L12:L15" si="5">K12*H3</f>
        <v>33137.899999999994</v>
      </c>
      <c r="M12" s="287">
        <f>$E$20</f>
        <v>283.09999999999997</v>
      </c>
      <c r="N12" s="278">
        <f t="shared" ref="N12:N15" si="6">H3*M12</f>
        <v>46145.299999999996</v>
      </c>
      <c r="O12" s="279">
        <f t="shared" ref="O12:O15" si="7">L12+N12</f>
        <v>79283.199999999983</v>
      </c>
    </row>
    <row r="13" spans="1:15" ht="54.65" customHeight="1" thickBot="1">
      <c r="A13" s="123" t="s">
        <v>78</v>
      </c>
      <c r="B13" s="310">
        <v>45224</v>
      </c>
      <c r="C13" s="2"/>
      <c r="D13" s="67"/>
      <c r="E13" s="346"/>
      <c r="J13" s="24"/>
      <c r="K13" s="231">
        <f>$E$19</f>
        <v>203.29999999999998</v>
      </c>
      <c r="L13" s="277">
        <f t="shared" si="5"/>
        <v>88232.2</v>
      </c>
      <c r="M13" s="287">
        <f>$E$20</f>
        <v>283.09999999999997</v>
      </c>
      <c r="N13" s="278">
        <f t="shared" si="6"/>
        <v>122865.39999999998</v>
      </c>
      <c r="O13" s="279">
        <f t="shared" si="7"/>
        <v>211097.59999999998</v>
      </c>
    </row>
    <row r="14" spans="1:15" ht="15" thickBot="1">
      <c r="A14" s="123" t="s">
        <v>79</v>
      </c>
      <c r="B14" s="310">
        <v>44926</v>
      </c>
      <c r="C14" s="2"/>
      <c r="D14" s="72"/>
      <c r="E14" s="67"/>
      <c r="J14" s="24"/>
      <c r="K14" s="231">
        <f>$E$19</f>
        <v>203.29999999999998</v>
      </c>
      <c r="L14" s="277">
        <f t="shared" si="5"/>
        <v>142106.69999999998</v>
      </c>
      <c r="M14" s="287">
        <f>$E$20</f>
        <v>283.09999999999997</v>
      </c>
      <c r="N14" s="278">
        <f t="shared" si="6"/>
        <v>197886.89999999997</v>
      </c>
      <c r="O14" s="279">
        <f t="shared" si="7"/>
        <v>339993.59999999998</v>
      </c>
    </row>
    <row r="15" spans="1:15" ht="15" thickBot="1">
      <c r="C15" s="2"/>
      <c r="D15" s="72"/>
      <c r="E15" s="67"/>
      <c r="J15" s="2"/>
      <c r="K15" s="231">
        <f>$E$19</f>
        <v>203.29999999999998</v>
      </c>
      <c r="L15" s="277">
        <f t="shared" si="5"/>
        <v>168332.4</v>
      </c>
      <c r="M15" s="287">
        <f>$E$20</f>
        <v>283.09999999999997</v>
      </c>
      <c r="N15" s="278">
        <f t="shared" si="6"/>
        <v>234406.79999999996</v>
      </c>
      <c r="O15" s="279">
        <f t="shared" si="7"/>
        <v>402739.19999999995</v>
      </c>
    </row>
    <row r="16" spans="1:15" ht="15" thickBot="1">
      <c r="C16" s="2"/>
      <c r="E16" s="349"/>
      <c r="J16" s="2"/>
      <c r="K16" s="282"/>
      <c r="L16" s="295">
        <f>SUM(L11:L15)</f>
        <v>468199.9</v>
      </c>
      <c r="M16" s="293"/>
      <c r="N16" s="293">
        <f t="shared" ref="N16:O16" si="8">SUM(N11:N15)</f>
        <v>651979.29999999993</v>
      </c>
      <c r="O16" s="294">
        <f t="shared" si="8"/>
        <v>1120179.2</v>
      </c>
    </row>
    <row r="17" spans="1:15">
      <c r="A17" s="188"/>
      <c r="B17" s="188" t="s">
        <v>81</v>
      </c>
      <c r="C17" s="57"/>
      <c r="D17" s="188"/>
      <c r="E17" s="188"/>
      <c r="F17" s="188"/>
      <c r="G17" s="2"/>
      <c r="H17" s="2"/>
      <c r="I17" s="2"/>
      <c r="J17" s="2"/>
      <c r="K17" s="2"/>
      <c r="L17" s="2"/>
      <c r="M17" s="2"/>
      <c r="N17" s="2"/>
      <c r="O17" s="2"/>
    </row>
    <row r="18" spans="1:15" ht="43.5">
      <c r="A18" s="195" t="s">
        <v>82</v>
      </c>
      <c r="B18" s="77">
        <v>27.4</v>
      </c>
      <c r="C18" s="132" t="s">
        <v>8</v>
      </c>
      <c r="D18" s="132" t="s">
        <v>83</v>
      </c>
      <c r="E18" s="198" t="s">
        <v>257</v>
      </c>
      <c r="F18" s="56" t="s">
        <v>258</v>
      </c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195" t="s">
        <v>86</v>
      </c>
      <c r="B19" s="77">
        <f>B14-B12+1</f>
        <v>214</v>
      </c>
      <c r="C19" s="348">
        <f>'Maintenance '!BI33/($B19*COUNTA($B$2:$B$6))</f>
        <v>0</v>
      </c>
      <c r="D19" s="196">
        <v>0.95</v>
      </c>
      <c r="E19" s="235">
        <f>F19*D19</f>
        <v>203.29999999999998</v>
      </c>
      <c r="F19" s="57">
        <f>B19</f>
        <v>214</v>
      </c>
    </row>
    <row r="20" spans="1:15">
      <c r="A20" s="195" t="s">
        <v>87</v>
      </c>
      <c r="B20" s="77">
        <f>B13-B14</f>
        <v>298</v>
      </c>
      <c r="C20" s="348">
        <f>'Maintenance '!BJ33/($B20*COUNTA($B$2:$B$6))</f>
        <v>2.0134228187919465E-3</v>
      </c>
      <c r="D20" s="196">
        <v>0.95</v>
      </c>
      <c r="E20" s="235">
        <f>F20*D20</f>
        <v>283.09999999999997</v>
      </c>
      <c r="F20" s="57">
        <f>B20</f>
        <v>298</v>
      </c>
    </row>
    <row r="21" spans="1:15">
      <c r="A21" s="197" t="s">
        <v>88</v>
      </c>
      <c r="B21" s="144">
        <v>365</v>
      </c>
      <c r="C21" s="248">
        <f>SUM(C19+C20)</f>
        <v>2.0134228187919465E-3</v>
      </c>
      <c r="D21" s="188"/>
      <c r="E21" s="188"/>
      <c r="F21" s="188"/>
    </row>
    <row r="23" spans="1:15">
      <c r="A23" s="222" t="s">
        <v>259</v>
      </c>
      <c r="B23" s="223">
        <v>1825</v>
      </c>
      <c r="C23" s="203">
        <f>'Maintenance '!BL33/B23</f>
        <v>1.6438356164383563E-3</v>
      </c>
    </row>
  </sheetData>
  <mergeCells count="1">
    <mergeCell ref="A2:A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C4056-2619-4202-83F4-9E889BDF1BD1}">
  <dimension ref="A1:O39"/>
  <sheetViews>
    <sheetView topLeftCell="A16" workbookViewId="0">
      <selection activeCell="D26" sqref="D26"/>
    </sheetView>
  </sheetViews>
  <sheetFormatPr defaultRowHeight="14.5"/>
  <cols>
    <col min="1" max="1" width="77.1796875" bestFit="1" customWidth="1"/>
    <col min="2" max="2" width="15.7265625" bestFit="1" customWidth="1"/>
    <col min="4" max="4" width="11.81640625" bestFit="1" customWidth="1"/>
    <col min="5" max="5" width="39.54296875" bestFit="1" customWidth="1"/>
    <col min="7" max="7" width="77.1796875" bestFit="1" customWidth="1"/>
    <col min="12" max="12" width="77.1796875" bestFit="1" customWidth="1"/>
  </cols>
  <sheetData>
    <row r="1" spans="1:15" ht="14.5" customHeight="1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</row>
    <row r="4" spans="1:15" ht="17.5" customHeight="1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</row>
    <row r="5" spans="1:15" ht="16" customHeight="1">
      <c r="A5" s="9" t="s">
        <v>96</v>
      </c>
      <c r="B5" s="9" t="s">
        <v>97</v>
      </c>
      <c r="C5" s="9"/>
      <c r="D5" s="87">
        <f>'GS5042 PTDs'!O7</f>
        <v>707711.99999999977</v>
      </c>
      <c r="E5" s="85" t="s">
        <v>98</v>
      </c>
      <c r="F5" s="2"/>
      <c r="G5" s="9" t="s">
        <v>96</v>
      </c>
      <c r="H5" s="9" t="s">
        <v>97</v>
      </c>
      <c r="I5" s="9"/>
      <c r="J5" s="87">
        <f>'GS5042 PTDs'!L7</f>
        <v>295801.49999999994</v>
      </c>
      <c r="K5" s="2"/>
      <c r="L5" s="9" t="s">
        <v>96</v>
      </c>
      <c r="M5" s="9" t="s">
        <v>97</v>
      </c>
      <c r="N5" s="9"/>
      <c r="O5" s="87">
        <f>'GS5042 PTDs'!N7</f>
        <v>411910.49999999994</v>
      </c>
    </row>
    <row r="6" spans="1:15" ht="20.149999999999999" customHeight="1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</row>
    <row r="7" spans="1:15" ht="19" customHeight="1">
      <c r="A7" s="88" t="s">
        <v>103</v>
      </c>
      <c r="B7" s="9" t="s">
        <v>104</v>
      </c>
      <c r="C7" s="9" t="s">
        <v>105</v>
      </c>
      <c r="D7" s="86">
        <v>7.5</v>
      </c>
      <c r="E7" s="85" t="s">
        <v>106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</row>
    <row r="8" spans="1:15" ht="19" customHeight="1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</row>
    <row r="9" spans="1:15">
      <c r="A9" s="9" t="s">
        <v>110</v>
      </c>
      <c r="B9" s="9" t="s">
        <v>111</v>
      </c>
      <c r="C9" s="9" t="s">
        <v>112</v>
      </c>
      <c r="D9" s="86">
        <f>ROUNDDOWN((1-D4)*D5*D6*(D7+D8),0)</f>
        <v>2123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887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1235</v>
      </c>
    </row>
    <row r="10" spans="1:15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</row>
    <row r="12" spans="1:15" ht="19.5" customHeight="1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</row>
    <row r="13" spans="1:15" ht="24" customHeight="1">
      <c r="A13" s="9" t="s">
        <v>96</v>
      </c>
      <c r="B13" s="9" t="s">
        <v>97</v>
      </c>
      <c r="C13" s="9"/>
      <c r="D13" s="87">
        <f>D5</f>
        <v>707711.99999999977</v>
      </c>
      <c r="E13" s="85" t="s">
        <v>115</v>
      </c>
      <c r="F13" s="2"/>
      <c r="G13" s="9" t="s">
        <v>96</v>
      </c>
      <c r="H13" s="9" t="s">
        <v>97</v>
      </c>
      <c r="I13" s="9"/>
      <c r="J13" s="87">
        <f>J5</f>
        <v>295801.49999999994</v>
      </c>
      <c r="K13" s="2"/>
      <c r="L13" s="9" t="s">
        <v>96</v>
      </c>
      <c r="M13" s="9" t="s">
        <v>97</v>
      </c>
      <c r="N13" s="9"/>
      <c r="O13" s="87">
        <f>O5</f>
        <v>411910.49999999994</v>
      </c>
    </row>
    <row r="14" spans="1:15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</row>
    <row r="15" spans="1:15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</row>
    <row r="16" spans="1:15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</row>
    <row r="17" spans="1:15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121</v>
      </c>
      <c r="M17" s="9" t="s">
        <v>122</v>
      </c>
      <c r="N17" s="9" t="s">
        <v>112</v>
      </c>
      <c r="O17" s="86">
        <f>ROUNDDOWN((1+O12)*O13*O14*(O16+O16),0)</f>
        <v>0</v>
      </c>
    </row>
    <row r="18" spans="1:15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</row>
    <row r="20" spans="1:15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</row>
    <row r="21" spans="1:15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</row>
    <row r="22" spans="1:15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J22</f>
        <v>9.4600000000000009</v>
      </c>
    </row>
    <row r="23" spans="1:15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</row>
    <row r="24" spans="1:15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</row>
    <row r="26" spans="1:15">
      <c r="A26" s="9" t="s">
        <v>28</v>
      </c>
      <c r="B26" s="9" t="s">
        <v>29</v>
      </c>
      <c r="C26" s="9" t="s">
        <v>30</v>
      </c>
      <c r="D26" s="87">
        <f>ROUNDDOWN(D9*((D20*D21)+D22)*D23,0)</f>
        <v>3911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1634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2275</v>
      </c>
    </row>
    <row r="27" spans="1:15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O17*((O20*O21)+O22)*O230</f>
        <v>0</v>
      </c>
    </row>
    <row r="28" spans="1:15" ht="20.149999999999999" customHeight="1">
      <c r="A28" s="9" t="s">
        <v>33</v>
      </c>
      <c r="B28" s="9" t="s">
        <v>34</v>
      </c>
      <c r="C28" s="9" t="s">
        <v>35</v>
      </c>
      <c r="D28" s="86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6">
        <f>D28</f>
        <v>0.95</v>
      </c>
      <c r="K28" s="2"/>
      <c r="L28" s="9" t="s">
        <v>33</v>
      </c>
      <c r="M28" s="9" t="s">
        <v>34</v>
      </c>
      <c r="N28" s="9" t="s">
        <v>35</v>
      </c>
      <c r="O28" s="86">
        <f>D28</f>
        <v>0.95</v>
      </c>
    </row>
    <row r="29" spans="1:15" ht="19" customHeight="1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</row>
    <row r="30" spans="1:15">
      <c r="A30" s="9" t="s">
        <v>90</v>
      </c>
      <c r="B30" s="9" t="s">
        <v>39</v>
      </c>
      <c r="C30" s="9" t="s">
        <v>30</v>
      </c>
      <c r="D30" s="86">
        <f>ROUNDDOWN(((D26-D27)*D28)-D29,0)</f>
        <v>3715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1552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2161</v>
      </c>
    </row>
    <row r="31" spans="1:15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</row>
    <row r="33" spans="1:15" ht="17.149999999999999" customHeight="1">
      <c r="A33" s="90" t="s">
        <v>41</v>
      </c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M33" s="9"/>
      <c r="N33" s="16"/>
      <c r="O33" s="91">
        <v>1</v>
      </c>
    </row>
    <row r="34" spans="1:15" ht="21.65" customHeight="1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</row>
    <row r="35" spans="1:15">
      <c r="A35" s="93" t="s">
        <v>140</v>
      </c>
      <c r="B35" s="94" t="s">
        <v>39</v>
      </c>
      <c r="C35" s="95" t="s">
        <v>30</v>
      </c>
      <c r="D35" s="246">
        <f>ROUNDDOWN(D30*(1-D34),0)</f>
        <v>3715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1552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2161</v>
      </c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93" t="s">
        <v>141</v>
      </c>
      <c r="B37" s="94"/>
      <c r="C37" s="95" t="s">
        <v>30</v>
      </c>
      <c r="D37" s="96">
        <f>J37+O37</f>
        <v>3713</v>
      </c>
      <c r="E37" s="2"/>
      <c r="F37" s="2"/>
      <c r="G37" s="93" t="s">
        <v>141</v>
      </c>
      <c r="H37" s="94"/>
      <c r="I37" s="95" t="s">
        <v>30</v>
      </c>
      <c r="J37" s="96">
        <f>IF(J35&gt;'GS5042 PTDs'!B18*'GS5042 PTDs'!B19,'GS5042 PTDs'!B18*'GS5042 PTDs'!B19,'GS5042 ER Calcs'!J35)</f>
        <v>1552</v>
      </c>
      <c r="K37" s="2"/>
      <c r="L37" s="93" t="s">
        <v>141</v>
      </c>
      <c r="M37" s="94"/>
      <c r="N37" s="95" t="s">
        <v>30</v>
      </c>
      <c r="O37" s="96">
        <f>IF(O35&gt;'GS5042 PTDs'!B18*'GS5042 PTDs'!B20,'GS5042 PTDs'!B18*'GS5042 PTDs'!B20,'GS5042 ER Calcs'!O35)</f>
        <v>2161</v>
      </c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" t="s">
        <v>142</v>
      </c>
      <c r="B39" s="2"/>
      <c r="C39" s="2"/>
      <c r="D39" s="2"/>
      <c r="E39" s="2"/>
      <c r="F39" s="2"/>
      <c r="G39" s="1" t="s">
        <v>142</v>
      </c>
      <c r="H39" s="2"/>
      <c r="I39" s="2"/>
      <c r="J39" s="2"/>
      <c r="K39" s="2"/>
      <c r="L39" s="1" t="s">
        <v>142</v>
      </c>
      <c r="M39" s="2"/>
      <c r="N39" s="2"/>
      <c r="O39" s="2"/>
    </row>
  </sheetData>
  <mergeCells count="18">
    <mergeCell ref="A1:D1"/>
    <mergeCell ref="G1:J1"/>
    <mergeCell ref="L1:O1"/>
    <mergeCell ref="A3:D3"/>
    <mergeCell ref="G3:J3"/>
    <mergeCell ref="L3:O3"/>
    <mergeCell ref="A11:D11"/>
    <mergeCell ref="G11:J11"/>
    <mergeCell ref="L11:O11"/>
    <mergeCell ref="A19:D19"/>
    <mergeCell ref="G19:J19"/>
    <mergeCell ref="L19:O19"/>
    <mergeCell ref="A25:D25"/>
    <mergeCell ref="G25:J25"/>
    <mergeCell ref="L25:O25"/>
    <mergeCell ref="A32:D32"/>
    <mergeCell ref="G32:J32"/>
    <mergeCell ref="L32:O3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024DD-6802-490F-AB16-A41810CC93BF}">
  <dimension ref="A1:O38"/>
  <sheetViews>
    <sheetView topLeftCell="A13" workbookViewId="0">
      <selection activeCell="B45" sqref="B45"/>
    </sheetView>
  </sheetViews>
  <sheetFormatPr defaultColWidth="19.81640625" defaultRowHeight="14.5"/>
  <cols>
    <col min="1" max="1" width="77.1796875" bestFit="1" customWidth="1"/>
    <col min="2" max="2" width="15.7265625" bestFit="1" customWidth="1"/>
    <col min="3" max="3" width="10" bestFit="1" customWidth="1"/>
    <col min="4" max="4" width="11.81640625" bestFit="1" customWidth="1"/>
    <col min="5" max="5" width="19.453125" bestFit="1" customWidth="1"/>
    <col min="7" max="7" width="77.1796875" bestFit="1" customWidth="1"/>
    <col min="8" max="8" width="15.7265625" bestFit="1" customWidth="1"/>
    <col min="9" max="9" width="10" bestFit="1" customWidth="1"/>
    <col min="10" max="10" width="11.81640625" bestFit="1" customWidth="1"/>
    <col min="12" max="12" width="77.1796875" bestFit="1" customWidth="1"/>
    <col min="13" max="13" width="15.7265625" bestFit="1" customWidth="1"/>
    <col min="14" max="14" width="10" bestFit="1" customWidth="1"/>
    <col min="15" max="15" width="11.81640625" bestFit="1" customWidth="1"/>
  </cols>
  <sheetData>
    <row r="1" spans="1:15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</row>
    <row r="4" spans="1:15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</row>
    <row r="5" spans="1:15" ht="29">
      <c r="A5" s="9" t="s">
        <v>96</v>
      </c>
      <c r="B5" s="9" t="s">
        <v>97</v>
      </c>
      <c r="C5" s="9"/>
      <c r="D5" s="87">
        <f>'GS5042 PTDs'!O16</f>
        <v>1120179.2</v>
      </c>
      <c r="E5" s="85" t="s">
        <v>207</v>
      </c>
      <c r="F5" s="2"/>
      <c r="G5" s="9" t="s">
        <v>96</v>
      </c>
      <c r="H5" s="9" t="s">
        <v>97</v>
      </c>
      <c r="I5" s="9"/>
      <c r="J5" s="87">
        <f>'GS5042 PTDs'!L16</f>
        <v>468199.9</v>
      </c>
      <c r="K5" s="2"/>
      <c r="L5" s="9" t="s">
        <v>96</v>
      </c>
      <c r="M5" s="9" t="s">
        <v>97</v>
      </c>
      <c r="N5" s="9"/>
      <c r="O5" s="87">
        <f>'GS5042 PTDs'!N16</f>
        <v>651979.29999999993</v>
      </c>
    </row>
    <row r="6" spans="1:15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</row>
    <row r="7" spans="1:15" ht="29">
      <c r="A7" s="88" t="s">
        <v>103</v>
      </c>
      <c r="B7" s="9" t="s">
        <v>104</v>
      </c>
      <c r="C7" s="9" t="s">
        <v>105</v>
      </c>
      <c r="D7" s="86">
        <v>7.5</v>
      </c>
      <c r="E7" s="85" t="s">
        <v>106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</row>
    <row r="8" spans="1:15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</row>
    <row r="9" spans="1:15">
      <c r="A9" s="9" t="s">
        <v>110</v>
      </c>
      <c r="B9" s="9" t="s">
        <v>111</v>
      </c>
      <c r="C9" s="9" t="s">
        <v>112</v>
      </c>
      <c r="D9" s="86">
        <f>ROUNDDOWN((1-D4)*D5*D6*(D7+D8),0)</f>
        <v>3360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1404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1955</v>
      </c>
    </row>
    <row r="10" spans="1:15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</row>
    <row r="12" spans="1:15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</row>
    <row r="13" spans="1:15" ht="29">
      <c r="A13" s="9" t="s">
        <v>96</v>
      </c>
      <c r="B13" s="9" t="s">
        <v>97</v>
      </c>
      <c r="C13" s="9"/>
      <c r="D13" s="87">
        <f>D5</f>
        <v>1120179.2</v>
      </c>
      <c r="E13" s="85" t="s">
        <v>208</v>
      </c>
      <c r="F13" s="2"/>
      <c r="G13" s="9" t="s">
        <v>96</v>
      </c>
      <c r="H13" s="9" t="s">
        <v>97</v>
      </c>
      <c r="I13" s="9"/>
      <c r="J13" s="87">
        <f>J5</f>
        <v>468199.9</v>
      </c>
      <c r="K13" s="2"/>
      <c r="L13" s="9" t="s">
        <v>96</v>
      </c>
      <c r="M13" s="9" t="s">
        <v>97</v>
      </c>
      <c r="N13" s="9"/>
      <c r="O13" s="87">
        <f>O5</f>
        <v>651979.29999999993</v>
      </c>
    </row>
    <row r="14" spans="1:15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</row>
    <row r="15" spans="1:15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</row>
    <row r="16" spans="1:15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</row>
    <row r="17" spans="1:15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121</v>
      </c>
      <c r="M17" s="9" t="s">
        <v>122</v>
      </c>
      <c r="N17" s="9" t="s">
        <v>112</v>
      </c>
      <c r="O17" s="86">
        <f>ROUNDDOWN((1+O12)*O13*O14*(O16+O16),0)</f>
        <v>0</v>
      </c>
    </row>
    <row r="18" spans="1:15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</row>
    <row r="20" spans="1:15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</row>
    <row r="21" spans="1:15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</row>
    <row r="22" spans="1:15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J22</f>
        <v>9.4600000000000009</v>
      </c>
    </row>
    <row r="23" spans="1:15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</row>
    <row r="24" spans="1:15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</row>
    <row r="26" spans="1:15">
      <c r="A26" s="9" t="s">
        <v>28</v>
      </c>
      <c r="B26" s="9" t="s">
        <v>29</v>
      </c>
      <c r="C26" s="9" t="s">
        <v>30</v>
      </c>
      <c r="D26" s="87">
        <f>ROUNDDOWN(D9*((D20*D21)+D22)*D23,0)</f>
        <v>6190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2586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3601</v>
      </c>
    </row>
    <row r="27" spans="1:15">
      <c r="A27" s="9" t="s">
        <v>31</v>
      </c>
      <c r="B27" s="9" t="s">
        <v>32</v>
      </c>
      <c r="C27" s="9" t="s">
        <v>30</v>
      </c>
      <c r="D27" s="86">
        <f>D17*((D20*D21)+D22)*D229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J17*((J20*J21)+J22)*J229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O17*((O20*O21)+O22)*O229</f>
        <v>0</v>
      </c>
    </row>
    <row r="28" spans="1:15" ht="29">
      <c r="A28" s="9" t="s">
        <v>33</v>
      </c>
      <c r="B28" s="9" t="s">
        <v>34</v>
      </c>
      <c r="C28" s="9" t="s">
        <v>35</v>
      </c>
      <c r="D28" s="86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6">
        <f>D28</f>
        <v>0.95</v>
      </c>
      <c r="K28" s="2"/>
      <c r="L28" s="9" t="s">
        <v>33</v>
      </c>
      <c r="M28" s="9" t="s">
        <v>34</v>
      </c>
      <c r="N28" s="9" t="s">
        <v>35</v>
      </c>
      <c r="O28" s="86">
        <f>D28</f>
        <v>0.95</v>
      </c>
    </row>
    <row r="29" spans="1:15" ht="29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</row>
    <row r="30" spans="1:15">
      <c r="A30" s="9" t="s">
        <v>90</v>
      </c>
      <c r="B30" s="9" t="s">
        <v>39</v>
      </c>
      <c r="C30" s="9" t="s">
        <v>30</v>
      </c>
      <c r="D30" s="86">
        <f>ROUNDDOWN(((D26-D27)*D28)-D29,0)</f>
        <v>5880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2456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3420</v>
      </c>
    </row>
    <row r="31" spans="1:15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</row>
    <row r="33" spans="1:15">
      <c r="A33" s="90" t="s">
        <v>41</v>
      </c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M33" s="9"/>
      <c r="N33" s="16"/>
      <c r="O33" s="91">
        <v>1</v>
      </c>
    </row>
    <row r="34" spans="1:15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</row>
    <row r="35" spans="1:15">
      <c r="A35" s="93" t="s">
        <v>140</v>
      </c>
      <c r="B35" s="94" t="s">
        <v>39</v>
      </c>
      <c r="C35" s="95" t="s">
        <v>30</v>
      </c>
      <c r="D35" s="246">
        <f>ROUNDDOWN(D30*(1-D34),0)</f>
        <v>5880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2456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3420</v>
      </c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93" t="s">
        <v>141</v>
      </c>
      <c r="B37" s="94"/>
      <c r="C37" s="95" t="s">
        <v>30</v>
      </c>
      <c r="D37" s="96">
        <f>J37+O37</f>
        <v>5876</v>
      </c>
      <c r="E37" s="2"/>
      <c r="F37" s="2"/>
      <c r="G37" s="93" t="s">
        <v>141</v>
      </c>
      <c r="H37" s="94"/>
      <c r="I37" s="95" t="s">
        <v>30</v>
      </c>
      <c r="J37" s="96">
        <f>J35</f>
        <v>2456</v>
      </c>
      <c r="K37" s="2"/>
      <c r="L37" s="93" t="s">
        <v>141</v>
      </c>
      <c r="M37" s="94"/>
      <c r="N37" s="95" t="s">
        <v>30</v>
      </c>
      <c r="O37" s="96">
        <f>O35</f>
        <v>3420</v>
      </c>
    </row>
    <row r="38" spans="1:15">
      <c r="A38" s="1"/>
      <c r="B38" s="2"/>
      <c r="C38" s="2"/>
      <c r="D38" s="2"/>
      <c r="E38" s="2"/>
      <c r="F38" s="2"/>
      <c r="G38" s="1"/>
      <c r="H38" s="2"/>
      <c r="I38" s="2"/>
      <c r="J38" s="2"/>
      <c r="K38" s="2"/>
      <c r="L38" s="1"/>
      <c r="M38" s="2"/>
      <c r="N38" s="2"/>
      <c r="O38" s="2"/>
    </row>
  </sheetData>
  <mergeCells count="18">
    <mergeCell ref="A1:D1"/>
    <mergeCell ref="G1:J1"/>
    <mergeCell ref="L1:O1"/>
    <mergeCell ref="A3:D3"/>
    <mergeCell ref="G3:J3"/>
    <mergeCell ref="L3:O3"/>
    <mergeCell ref="A11:D11"/>
    <mergeCell ref="G11:J11"/>
    <mergeCell ref="L11:O11"/>
    <mergeCell ref="A19:D19"/>
    <mergeCell ref="G19:J19"/>
    <mergeCell ref="L19:O19"/>
    <mergeCell ref="A25:D25"/>
    <mergeCell ref="G25:J25"/>
    <mergeCell ref="L25:O25"/>
    <mergeCell ref="A32:D32"/>
    <mergeCell ref="G32:J32"/>
    <mergeCell ref="L32:O3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49FE8-87F0-4328-B8B0-D2E597462883}">
  <dimension ref="A1:E22"/>
  <sheetViews>
    <sheetView topLeftCell="B12" workbookViewId="0">
      <selection activeCell="C17" sqref="C17"/>
    </sheetView>
  </sheetViews>
  <sheetFormatPr defaultRowHeight="14.5"/>
  <cols>
    <col min="1" max="1" width="20.1796875" bestFit="1" customWidth="1"/>
    <col min="2" max="2" width="125.7265625" bestFit="1" customWidth="1"/>
    <col min="3" max="3" width="28.54296875" bestFit="1" customWidth="1"/>
    <col min="5" max="5" width="33.26953125" customWidth="1"/>
  </cols>
  <sheetData>
    <row r="1" spans="1:5" ht="63.65" customHeight="1">
      <c r="A1" s="97" t="s">
        <v>145</v>
      </c>
      <c r="B1" s="98" t="s">
        <v>146</v>
      </c>
      <c r="C1" s="98" t="s">
        <v>147</v>
      </c>
      <c r="D1" s="98" t="s">
        <v>148</v>
      </c>
      <c r="E1" s="99" t="s">
        <v>92</v>
      </c>
    </row>
    <row r="2" spans="1:5" ht="25" customHeight="1">
      <c r="A2" s="100" t="s">
        <v>149</v>
      </c>
      <c r="B2" s="88" t="s">
        <v>150</v>
      </c>
      <c r="C2" s="129">
        <f>((C3-C4)/C3)*C8</f>
        <v>0.95</v>
      </c>
      <c r="D2" s="9" t="s">
        <v>151</v>
      </c>
      <c r="E2" s="9"/>
    </row>
    <row r="3" spans="1:5" ht="24.65" customHeight="1">
      <c r="A3" s="9" t="s">
        <v>152</v>
      </c>
      <c r="B3" s="88" t="s">
        <v>153</v>
      </c>
      <c r="C3" s="54">
        <f>C5*C6</f>
        <v>3.0000000000000001E-3</v>
      </c>
      <c r="D3" s="9" t="s">
        <v>154</v>
      </c>
      <c r="E3" s="9"/>
    </row>
    <row r="4" spans="1:5" ht="22.5" customHeight="1">
      <c r="A4" s="101" t="s">
        <v>155</v>
      </c>
      <c r="B4" s="88" t="s">
        <v>156</v>
      </c>
      <c r="C4" s="54">
        <f>C5*C7</f>
        <v>0</v>
      </c>
      <c r="D4" s="9" t="s">
        <v>154</v>
      </c>
      <c r="E4" s="9"/>
    </row>
    <row r="5" spans="1:5" ht="21.65" customHeight="1">
      <c r="A5" s="9" t="s">
        <v>100</v>
      </c>
      <c r="B5" s="88" t="s">
        <v>158</v>
      </c>
      <c r="C5" s="54">
        <f>'GS5042 ER Calcs'!D6</f>
        <v>4.0000000000000002E-4</v>
      </c>
      <c r="D5" s="9" t="s">
        <v>159</v>
      </c>
      <c r="E5" s="57" t="s">
        <v>102</v>
      </c>
    </row>
    <row r="6" spans="1:5" ht="17.5" customHeight="1">
      <c r="A6" s="9" t="s">
        <v>104</v>
      </c>
      <c r="B6" s="88" t="s">
        <v>160</v>
      </c>
      <c r="C6" s="54">
        <v>7.5</v>
      </c>
      <c r="D6" s="9" t="s">
        <v>161</v>
      </c>
      <c r="E6" s="85" t="s">
        <v>162</v>
      </c>
    </row>
    <row r="7" spans="1:5" ht="20.149999999999999" customHeight="1">
      <c r="A7" s="9" t="s">
        <v>163</v>
      </c>
      <c r="B7" s="88" t="s">
        <v>164</v>
      </c>
      <c r="C7" s="54">
        <v>0</v>
      </c>
      <c r="D7" s="9" t="s">
        <v>161</v>
      </c>
      <c r="E7" s="85" t="s">
        <v>109</v>
      </c>
    </row>
    <row r="8" spans="1:5" ht="18" customHeight="1">
      <c r="A8" s="9" t="s">
        <v>209</v>
      </c>
      <c r="B8" s="88" t="s">
        <v>166</v>
      </c>
      <c r="C8" s="102">
        <f>'GS5042 ER Calcs'!D28</f>
        <v>0.95</v>
      </c>
      <c r="D8" s="9" t="s">
        <v>151</v>
      </c>
      <c r="E8" s="85" t="s">
        <v>138</v>
      </c>
    </row>
    <row r="9" spans="1:5">
      <c r="A9" s="1"/>
      <c r="B9" s="1"/>
      <c r="C9" s="1"/>
      <c r="D9" s="1"/>
      <c r="E9" s="88"/>
    </row>
    <row r="10" spans="1:5">
      <c r="A10" s="98" t="s">
        <v>167</v>
      </c>
      <c r="B10" s="98" t="s">
        <v>146</v>
      </c>
      <c r="C10" s="98" t="s">
        <v>168</v>
      </c>
      <c r="D10" s="98" t="s">
        <v>148</v>
      </c>
      <c r="E10" s="88"/>
    </row>
    <row r="11" spans="1:5">
      <c r="A11" s="88" t="s">
        <v>169</v>
      </c>
      <c r="B11" s="9" t="s">
        <v>170</v>
      </c>
      <c r="C11" s="105">
        <f>C13-C12</f>
        <v>0.72</v>
      </c>
      <c r="D11" s="9" t="s">
        <v>171</v>
      </c>
      <c r="E11" s="1"/>
    </row>
    <row r="12" spans="1:5">
      <c r="A12" s="88" t="s">
        <v>211</v>
      </c>
      <c r="B12" s="9" t="s">
        <v>173</v>
      </c>
      <c r="C12" s="9">
        <v>0</v>
      </c>
      <c r="D12" s="9" t="s">
        <v>171</v>
      </c>
      <c r="E12" s="88" t="s">
        <v>174</v>
      </c>
    </row>
    <row r="13" spans="1:5">
      <c r="A13" s="88" t="s">
        <v>212</v>
      </c>
      <c r="B13" s="9" t="s">
        <v>176</v>
      </c>
      <c r="C13" s="478">
        <v>0.72</v>
      </c>
      <c r="D13" s="9" t="s">
        <v>171</v>
      </c>
      <c r="E13" s="88" t="s">
        <v>177</v>
      </c>
    </row>
    <row r="14" spans="1:5">
      <c r="A14" s="1"/>
      <c r="B14" s="1"/>
      <c r="C14" s="1"/>
      <c r="D14" s="1"/>
      <c r="E14" s="88"/>
    </row>
    <row r="15" spans="1:5" ht="32.5" customHeight="1">
      <c r="A15" s="97" t="s">
        <v>178</v>
      </c>
      <c r="B15" s="98" t="s">
        <v>146</v>
      </c>
      <c r="C15" s="98" t="s">
        <v>179</v>
      </c>
      <c r="D15" s="98" t="s">
        <v>148</v>
      </c>
      <c r="E15" s="88"/>
    </row>
    <row r="16" spans="1:5">
      <c r="A16" s="88" t="s">
        <v>180</v>
      </c>
      <c r="B16" s="9" t="s">
        <v>181</v>
      </c>
      <c r="C16" s="575">
        <f>ROUNDDOWN(C17*(1-C18)*C19,0)</f>
        <v>2187</v>
      </c>
      <c r="D16" s="9" t="s">
        <v>182</v>
      </c>
      <c r="E16" s="1"/>
    </row>
    <row r="17" spans="1:5">
      <c r="A17" s="88" t="s">
        <v>183</v>
      </c>
      <c r="B17" s="9" t="s">
        <v>184</v>
      </c>
      <c r="C17" s="9">
        <f>'GS5042 PTDs'!H7</f>
        <v>2303</v>
      </c>
      <c r="D17" s="9" t="s">
        <v>182</v>
      </c>
      <c r="E17" s="88" t="s">
        <v>228</v>
      </c>
    </row>
    <row r="18" spans="1:5">
      <c r="A18" s="88" t="s">
        <v>94</v>
      </c>
      <c r="B18" s="9" t="s">
        <v>186</v>
      </c>
      <c r="C18" s="574">
        <f>'GS5041 ER Calcs'!D12</f>
        <v>0</v>
      </c>
      <c r="D18" s="9" t="s">
        <v>151</v>
      </c>
      <c r="E18" s="88" t="s">
        <v>174</v>
      </c>
    </row>
    <row r="19" spans="1:5" ht="21.65" customHeight="1">
      <c r="A19" s="88" t="s">
        <v>209</v>
      </c>
      <c r="B19" s="9" t="s">
        <v>166</v>
      </c>
      <c r="C19" s="107">
        <f>'GS5042 ER Calcs'!D28</f>
        <v>0.95</v>
      </c>
      <c r="D19" s="9" t="s">
        <v>151</v>
      </c>
      <c r="E19" s="85" t="s">
        <v>138</v>
      </c>
    </row>
    <row r="20" spans="1:5">
      <c r="A20" s="1"/>
      <c r="B20" s="1"/>
      <c r="C20" s="1"/>
      <c r="D20" s="1"/>
      <c r="E20" s="9"/>
    </row>
    <row r="21" spans="1:5">
      <c r="A21" s="97" t="s">
        <v>187</v>
      </c>
      <c r="B21" s="98" t="s">
        <v>146</v>
      </c>
      <c r="C21" s="98"/>
      <c r="D21" s="98" t="s">
        <v>148</v>
      </c>
      <c r="E21" s="9"/>
    </row>
    <row r="22" spans="1:5">
      <c r="A22" s="88" t="s">
        <v>188</v>
      </c>
      <c r="B22" s="9" t="s">
        <v>189</v>
      </c>
      <c r="C22" s="108">
        <f>'GS5042 ER Calcs'!D37</f>
        <v>3713</v>
      </c>
      <c r="D22" s="9" t="s">
        <v>190</v>
      </c>
      <c r="E22" s="9" t="s">
        <v>191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21D13-5A09-4C4F-BA45-8CAD265F4BB6}">
  <dimension ref="A1:O34"/>
  <sheetViews>
    <sheetView workbookViewId="0">
      <selection sqref="A1:D1"/>
    </sheetView>
  </sheetViews>
  <sheetFormatPr defaultRowHeight="14.5"/>
  <cols>
    <col min="1" max="1" width="39" bestFit="1" customWidth="1"/>
    <col min="4" max="4" width="7.81640625" bestFit="1" customWidth="1"/>
  </cols>
  <sheetData>
    <row r="1" spans="1:15" ht="37" customHeight="1" thickBot="1">
      <c r="A1" s="521" t="s">
        <v>260</v>
      </c>
      <c r="B1" s="522"/>
      <c r="C1" s="522"/>
      <c r="D1" s="522"/>
      <c r="E1" s="4"/>
      <c r="F1" s="4"/>
      <c r="G1" s="4"/>
      <c r="H1" s="521" t="s">
        <v>16</v>
      </c>
      <c r="I1" s="522"/>
      <c r="J1" s="522"/>
      <c r="K1" s="522"/>
      <c r="L1" s="522"/>
      <c r="M1" s="522"/>
      <c r="N1" s="522"/>
    </row>
    <row r="2" spans="1:15" ht="1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</row>
    <row r="3" spans="1:15" ht="14.5" customHeight="1">
      <c r="A3" s="523" t="s">
        <v>17</v>
      </c>
      <c r="B3" s="524"/>
      <c r="C3" s="524"/>
      <c r="D3" s="524"/>
      <c r="E3" s="2"/>
      <c r="F3" s="4"/>
      <c r="G3" s="4"/>
      <c r="H3" s="528" t="s">
        <v>18</v>
      </c>
      <c r="I3" s="529"/>
      <c r="J3" s="529"/>
      <c r="K3" s="529"/>
      <c r="L3" s="529"/>
      <c r="M3" s="529"/>
      <c r="N3" s="529"/>
    </row>
    <row r="4" spans="1:15" ht="29">
      <c r="A4" s="518" t="s">
        <v>19</v>
      </c>
      <c r="B4" s="519"/>
      <c r="C4" s="519"/>
      <c r="D4" s="519"/>
      <c r="E4" s="2"/>
      <c r="F4" s="4"/>
      <c r="G4" s="4"/>
      <c r="H4" s="6" t="s">
        <v>20</v>
      </c>
      <c r="I4" s="7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6" t="s">
        <v>26</v>
      </c>
      <c r="O4" s="6" t="s">
        <v>27</v>
      </c>
    </row>
    <row r="5" spans="1:15">
      <c r="A5" s="8" t="s">
        <v>28</v>
      </c>
      <c r="B5" s="9" t="s">
        <v>29</v>
      </c>
      <c r="C5" s="9" t="s">
        <v>30</v>
      </c>
      <c r="D5" s="10">
        <f>'GS5043 ER Calcs'!J26</f>
        <v>1853</v>
      </c>
      <c r="E5" s="2"/>
      <c r="F5" s="4"/>
      <c r="G5" s="4"/>
      <c r="H5" s="109">
        <v>2016</v>
      </c>
      <c r="I5" s="390">
        <v>446</v>
      </c>
      <c r="J5" s="390"/>
      <c r="K5" s="390"/>
      <c r="L5" s="390"/>
      <c r="M5" s="390"/>
      <c r="N5" s="382"/>
      <c r="O5" s="20">
        <f>SUM(I5:L5)</f>
        <v>446</v>
      </c>
    </row>
    <row r="6" spans="1:15">
      <c r="A6" s="8" t="s">
        <v>31</v>
      </c>
      <c r="B6" s="9" t="s">
        <v>32</v>
      </c>
      <c r="C6" s="9" t="s">
        <v>30</v>
      </c>
      <c r="D6" s="14">
        <f>'GS5043 ER Calcs'!J27</f>
        <v>0</v>
      </c>
      <c r="E6" s="2"/>
      <c r="F6" s="4"/>
      <c r="G6" s="4"/>
      <c r="H6" s="109">
        <v>2017</v>
      </c>
      <c r="I6" s="390">
        <v>7339</v>
      </c>
      <c r="J6" s="390">
        <v>2661</v>
      </c>
      <c r="K6" s="390"/>
      <c r="L6" s="390"/>
      <c r="M6" s="390"/>
      <c r="N6" s="382"/>
      <c r="O6" s="20">
        <f>SUM(I6:L6)</f>
        <v>10000</v>
      </c>
    </row>
    <row r="7" spans="1:15">
      <c r="A7" s="8" t="s">
        <v>33</v>
      </c>
      <c r="B7" s="9" t="s">
        <v>34</v>
      </c>
      <c r="C7" s="9" t="s">
        <v>35</v>
      </c>
      <c r="D7" s="14">
        <f>'GS5043 ER Calcs'!J28</f>
        <v>0.95</v>
      </c>
      <c r="E7" s="2"/>
      <c r="F7" s="4"/>
      <c r="G7" s="4"/>
      <c r="H7" s="109">
        <v>2018</v>
      </c>
      <c r="I7" s="390"/>
      <c r="J7" s="390">
        <v>10000</v>
      </c>
      <c r="K7" s="390"/>
      <c r="L7" s="390"/>
      <c r="M7" s="390"/>
      <c r="N7" s="382"/>
      <c r="O7" s="20">
        <f>SUM(I7:L7)</f>
        <v>10000</v>
      </c>
    </row>
    <row r="8" spans="1:15">
      <c r="A8" s="8" t="s">
        <v>36</v>
      </c>
      <c r="B8" s="9" t="s">
        <v>37</v>
      </c>
      <c r="C8" s="9" t="s">
        <v>30</v>
      </c>
      <c r="D8" s="14">
        <f>'GS5043 ER Calcs'!J29</f>
        <v>0</v>
      </c>
      <c r="E8" s="2"/>
      <c r="F8" s="4"/>
      <c r="G8" s="4"/>
      <c r="H8" s="109">
        <v>2019</v>
      </c>
      <c r="I8" s="390"/>
      <c r="J8" s="390">
        <v>4137</v>
      </c>
      <c r="K8" s="390">
        <v>1589</v>
      </c>
      <c r="L8" s="390"/>
      <c r="M8" s="390"/>
      <c r="N8" s="382"/>
      <c r="O8" s="20">
        <f>SUM(I8:L8)</f>
        <v>5726</v>
      </c>
    </row>
    <row r="9" spans="1:15">
      <c r="A9" s="8" t="s">
        <v>38</v>
      </c>
      <c r="B9" s="9" t="s">
        <v>39</v>
      </c>
      <c r="C9" s="9" t="s">
        <v>30</v>
      </c>
      <c r="D9" s="10">
        <f>'GS5043 ER Calcs'!J35</f>
        <v>1760</v>
      </c>
      <c r="E9" s="2"/>
      <c r="F9" s="4"/>
      <c r="G9" s="4"/>
      <c r="H9" s="109">
        <v>2020</v>
      </c>
      <c r="I9" s="390"/>
      <c r="J9" s="390"/>
      <c r="K9" s="390">
        <v>1128</v>
      </c>
      <c r="L9" s="391">
        <v>1504</v>
      </c>
      <c r="M9" s="391"/>
      <c r="N9" s="382"/>
      <c r="O9" s="20">
        <f>SUM(I9:L9)</f>
        <v>2632</v>
      </c>
    </row>
    <row r="10" spans="1:15">
      <c r="A10" s="15"/>
      <c r="B10" s="544"/>
      <c r="C10" s="544"/>
      <c r="D10" s="147"/>
      <c r="E10" s="2"/>
      <c r="F10" s="4"/>
      <c r="G10" s="4"/>
      <c r="H10" s="109">
        <v>2021</v>
      </c>
      <c r="I10" s="390"/>
      <c r="J10" s="390"/>
      <c r="K10" s="390"/>
      <c r="L10" s="391">
        <v>1069</v>
      </c>
      <c r="M10" s="391">
        <v>1598</v>
      </c>
      <c r="N10" s="382"/>
      <c r="O10" s="20">
        <f>SUM(I10:N10)</f>
        <v>2667</v>
      </c>
    </row>
    <row r="11" spans="1:15">
      <c r="A11" s="518" t="s">
        <v>40</v>
      </c>
      <c r="B11" s="519"/>
      <c r="C11" s="519"/>
      <c r="D11" s="519"/>
      <c r="E11" s="2"/>
      <c r="F11" s="4"/>
      <c r="G11" s="4"/>
      <c r="H11" s="109">
        <v>2022</v>
      </c>
      <c r="I11" s="390"/>
      <c r="J11" s="390"/>
      <c r="K11" s="390"/>
      <c r="L11" s="391"/>
      <c r="M11" s="391">
        <v>1128</v>
      </c>
      <c r="N11" s="383">
        <f>D32</f>
        <v>1760</v>
      </c>
      <c r="O11" s="20">
        <f t="shared" ref="O11:O12" si="0">SUM(I11:N11)</f>
        <v>2888</v>
      </c>
    </row>
    <row r="12" spans="1:15">
      <c r="A12" s="15" t="s">
        <v>41</v>
      </c>
      <c r="B12" s="9" t="s">
        <v>42</v>
      </c>
      <c r="C12" s="16"/>
      <c r="D12" s="17">
        <f>'GS5043 ER Calcs'!J33</f>
        <v>1</v>
      </c>
      <c r="E12" s="2"/>
      <c r="F12" s="4"/>
      <c r="G12" s="4"/>
      <c r="H12" s="109">
        <v>2023</v>
      </c>
      <c r="I12" s="382"/>
      <c r="J12" s="382"/>
      <c r="K12" s="382"/>
      <c r="L12" s="382"/>
      <c r="M12" s="382"/>
      <c r="N12" s="383">
        <f>D33</f>
        <v>2419</v>
      </c>
      <c r="O12" s="20">
        <f t="shared" si="0"/>
        <v>2419</v>
      </c>
    </row>
    <row r="13" spans="1:15">
      <c r="A13" s="15" t="s">
        <v>43</v>
      </c>
      <c r="B13" s="2"/>
      <c r="C13" s="16" t="s">
        <v>44</v>
      </c>
      <c r="D13" s="17">
        <f>'GS5043 ER Calcs'!J34</f>
        <v>0</v>
      </c>
      <c r="E13" s="2"/>
      <c r="F13" s="4"/>
      <c r="G13" s="4"/>
      <c r="H13" s="18" t="s">
        <v>13</v>
      </c>
      <c r="I13" s="131">
        <v>7785</v>
      </c>
      <c r="J13" s="131">
        <v>16798</v>
      </c>
      <c r="K13" s="131">
        <v>2717</v>
      </c>
      <c r="L13" s="400">
        <f>SUM(L9:L10)</f>
        <v>2573</v>
      </c>
      <c r="M13" s="400">
        <f>SUM(M9:M12)</f>
        <v>2726</v>
      </c>
      <c r="N13" s="400">
        <f>SUM(N9:N12)</f>
        <v>4179</v>
      </c>
      <c r="O13" s="18">
        <f>SUM(I13:N13)</f>
        <v>36778</v>
      </c>
    </row>
    <row r="14" spans="1:15" ht="15" thickBot="1">
      <c r="A14" s="21" t="s">
        <v>38</v>
      </c>
      <c r="B14" s="22" t="s">
        <v>39</v>
      </c>
      <c r="C14" s="22" t="s">
        <v>30</v>
      </c>
      <c r="D14" s="23">
        <f>'GS5043 ER Calcs'!J35</f>
        <v>1760</v>
      </c>
      <c r="E14" s="2"/>
      <c r="F14" s="4"/>
      <c r="G14" s="4"/>
      <c r="H14" s="4"/>
      <c r="I14" s="4"/>
      <c r="J14" s="4"/>
      <c r="K14" s="4"/>
      <c r="L14" s="4"/>
      <c r="M14" s="4"/>
      <c r="N14" s="2"/>
    </row>
    <row r="15" spans="1:15" ht="15" thickBot="1">
      <c r="A15" s="21" t="s">
        <v>45</v>
      </c>
      <c r="B15" s="22" t="s">
        <v>39</v>
      </c>
      <c r="C15" s="22" t="s">
        <v>30</v>
      </c>
      <c r="D15" s="23">
        <f>'GS5043 ER Calcs'!J37</f>
        <v>1760</v>
      </c>
      <c r="E15" s="2"/>
      <c r="F15" s="4"/>
      <c r="G15" s="4"/>
      <c r="H15" s="4"/>
      <c r="I15" s="4"/>
      <c r="J15" s="4"/>
      <c r="K15" s="4"/>
      <c r="L15" s="4"/>
      <c r="M15" s="4"/>
      <c r="N15" s="2"/>
    </row>
    <row r="16" spans="1:15" ht="15" thickBot="1">
      <c r="A16" s="4"/>
      <c r="B16" s="4"/>
      <c r="C16" s="4"/>
      <c r="D16" s="4"/>
      <c r="E16" s="2"/>
      <c r="F16" s="4"/>
      <c r="G16" s="4"/>
      <c r="H16" s="4"/>
      <c r="I16" s="4"/>
      <c r="J16" s="4"/>
      <c r="K16" s="4"/>
      <c r="L16" s="4"/>
      <c r="M16" s="4"/>
      <c r="N16" s="2"/>
    </row>
    <row r="17" spans="1:14" ht="14.5" customHeight="1">
      <c r="A17" s="523" t="s">
        <v>46</v>
      </c>
      <c r="B17" s="524"/>
      <c r="C17" s="524"/>
      <c r="D17" s="524"/>
      <c r="E17" s="4"/>
      <c r="F17" s="4"/>
      <c r="G17" s="4"/>
      <c r="H17" s="4"/>
      <c r="I17" s="4"/>
      <c r="J17" s="4"/>
      <c r="K17" s="4"/>
      <c r="L17" s="4"/>
      <c r="M17" s="4"/>
      <c r="N17" s="2"/>
    </row>
    <row r="18" spans="1:14">
      <c r="A18" s="518" t="s">
        <v>19</v>
      </c>
      <c r="B18" s="519"/>
      <c r="C18" s="519"/>
      <c r="D18" s="519"/>
      <c r="E18" s="4"/>
      <c r="F18" s="4"/>
      <c r="G18" s="4"/>
      <c r="H18" s="4"/>
      <c r="I18" s="4"/>
      <c r="J18" s="4"/>
      <c r="K18" s="4"/>
      <c r="L18" s="4"/>
      <c r="M18" s="4"/>
      <c r="N18" s="2"/>
    </row>
    <row r="19" spans="1:14">
      <c r="A19" s="8" t="s">
        <v>28</v>
      </c>
      <c r="B19" s="9" t="s">
        <v>29</v>
      </c>
      <c r="C19" s="9" t="s">
        <v>30</v>
      </c>
      <c r="D19" s="10">
        <f>'GS5043 ER Calcs'!O26</f>
        <v>2547</v>
      </c>
      <c r="E19" s="4"/>
      <c r="F19" s="4"/>
      <c r="G19" s="4"/>
      <c r="H19" s="4"/>
      <c r="I19" s="4"/>
      <c r="J19" s="4"/>
      <c r="K19" s="4"/>
      <c r="L19" s="4"/>
      <c r="M19" s="4"/>
      <c r="N19" s="2"/>
    </row>
    <row r="20" spans="1:14">
      <c r="A20" s="8" t="s">
        <v>31</v>
      </c>
      <c r="B20" s="9" t="s">
        <v>32</v>
      </c>
      <c r="C20" s="9" t="s">
        <v>30</v>
      </c>
      <c r="D20" s="14">
        <f>'GS5043 ER Calcs'!O27</f>
        <v>0</v>
      </c>
      <c r="E20" s="4"/>
      <c r="F20" s="4"/>
      <c r="G20" s="4"/>
      <c r="H20" s="4"/>
      <c r="I20" s="4"/>
      <c r="J20" s="4"/>
      <c r="K20" s="4"/>
      <c r="L20" s="4"/>
      <c r="M20" s="4"/>
      <c r="N20" s="2"/>
    </row>
    <row r="21" spans="1:14">
      <c r="A21" s="8" t="s">
        <v>33</v>
      </c>
      <c r="B21" s="9" t="s">
        <v>34</v>
      </c>
      <c r="C21" s="9" t="s">
        <v>35</v>
      </c>
      <c r="D21" s="14">
        <f>'GS5043 ER Calcs'!O28</f>
        <v>0.95</v>
      </c>
      <c r="E21" s="4"/>
      <c r="F21" s="4"/>
      <c r="G21" s="4"/>
      <c r="H21" s="4"/>
      <c r="I21" s="4"/>
      <c r="J21" s="4"/>
      <c r="K21" s="4"/>
      <c r="L21" s="4"/>
      <c r="M21" s="4"/>
      <c r="N21" s="2"/>
    </row>
    <row r="22" spans="1:14">
      <c r="A22" s="8" t="s">
        <v>36</v>
      </c>
      <c r="B22" s="9" t="s">
        <v>37</v>
      </c>
      <c r="C22" s="9" t="s">
        <v>30</v>
      </c>
      <c r="D22" s="14">
        <f>'GS5043 ER Calcs'!O29</f>
        <v>0</v>
      </c>
      <c r="E22" s="4"/>
      <c r="F22" s="4"/>
      <c r="G22" s="4"/>
      <c r="H22" s="4"/>
      <c r="I22" s="4"/>
      <c r="J22" s="4"/>
      <c r="K22" s="4"/>
      <c r="L22" s="4"/>
      <c r="M22" s="4"/>
      <c r="N22" s="2"/>
    </row>
    <row r="23" spans="1:14">
      <c r="A23" s="8" t="s">
        <v>38</v>
      </c>
      <c r="B23" s="9" t="s">
        <v>39</v>
      </c>
      <c r="C23" s="9" t="s">
        <v>30</v>
      </c>
      <c r="D23" s="10">
        <f>'GS5043 ER Calcs'!O30</f>
        <v>2419</v>
      </c>
      <c r="E23" s="4"/>
      <c r="F23" s="4"/>
      <c r="G23" s="4"/>
      <c r="H23" s="4"/>
      <c r="I23" s="4"/>
      <c r="J23" s="4"/>
      <c r="K23" s="4"/>
      <c r="L23" s="4"/>
      <c r="M23" s="4"/>
      <c r="N23" s="2"/>
    </row>
    <row r="24" spans="1:14">
      <c r="A24" s="518" t="s">
        <v>40</v>
      </c>
      <c r="B24" s="519"/>
      <c r="C24" s="519"/>
      <c r="D24" s="519"/>
      <c r="E24" s="4"/>
      <c r="F24" s="4"/>
      <c r="G24" s="4"/>
      <c r="H24" s="4"/>
      <c r="I24" s="4"/>
      <c r="J24" s="4"/>
      <c r="K24" s="4"/>
      <c r="L24" s="4"/>
      <c r="M24" s="4"/>
      <c r="N24" s="2"/>
    </row>
    <row r="25" spans="1:14">
      <c r="A25" s="15" t="s">
        <v>41</v>
      </c>
      <c r="B25" s="9" t="s">
        <v>42</v>
      </c>
      <c r="C25" s="16"/>
      <c r="D25" s="17">
        <f>'GS5043 ER Calcs'!O33</f>
        <v>1</v>
      </c>
      <c r="E25" s="4"/>
      <c r="F25" s="4"/>
      <c r="G25" s="4"/>
      <c r="H25" s="4"/>
      <c r="I25" s="4"/>
      <c r="J25" s="4"/>
      <c r="K25" s="4"/>
      <c r="L25" s="4"/>
      <c r="M25" s="4"/>
      <c r="N25" s="2"/>
    </row>
    <row r="26" spans="1:14">
      <c r="A26" s="15" t="s">
        <v>43</v>
      </c>
      <c r="B26" s="2"/>
      <c r="C26" s="16" t="s">
        <v>44</v>
      </c>
      <c r="D26" s="17">
        <f>'GS5043 ER Calcs'!O34</f>
        <v>0</v>
      </c>
      <c r="E26" s="4"/>
      <c r="F26" s="4"/>
      <c r="G26" s="4"/>
      <c r="H26" s="4"/>
      <c r="I26" s="4"/>
      <c r="J26" s="4"/>
      <c r="K26" s="4"/>
      <c r="L26" s="4"/>
      <c r="M26" s="4"/>
      <c r="N26" s="2"/>
    </row>
    <row r="27" spans="1:14" ht="15" thickBot="1">
      <c r="A27" s="21" t="s">
        <v>38</v>
      </c>
      <c r="B27" s="22" t="s">
        <v>39</v>
      </c>
      <c r="C27" s="22" t="s">
        <v>30</v>
      </c>
      <c r="D27" s="23">
        <f>'GS5043 ER Calcs'!O35</f>
        <v>2419</v>
      </c>
      <c r="E27" s="4"/>
      <c r="F27" s="4"/>
      <c r="G27" s="4"/>
      <c r="H27" s="4"/>
      <c r="I27" s="4"/>
      <c r="J27" s="4"/>
      <c r="K27" s="4"/>
      <c r="L27" s="4"/>
      <c r="M27" s="4"/>
      <c r="N27" s="2"/>
    </row>
    <row r="28" spans="1:14" ht="15" thickBot="1">
      <c r="A28" s="21" t="s">
        <v>45</v>
      </c>
      <c r="B28" s="22" t="s">
        <v>39</v>
      </c>
      <c r="C28" s="22" t="s">
        <v>30</v>
      </c>
      <c r="D28" s="23">
        <f>'GS5043 ER Calcs'!O37</f>
        <v>2419</v>
      </c>
      <c r="E28" s="4"/>
      <c r="F28" s="4"/>
      <c r="G28" s="4"/>
      <c r="H28" s="4"/>
      <c r="I28" s="4"/>
      <c r="J28" s="4"/>
      <c r="K28" s="4"/>
      <c r="L28" s="4"/>
      <c r="M28" s="4"/>
      <c r="N28" s="2"/>
    </row>
    <row r="29" spans="1:14" ht="15" thickBot="1">
      <c r="A29" s="2"/>
      <c r="B29" s="508"/>
      <c r="C29" s="508"/>
      <c r="D29" s="2"/>
      <c r="E29" s="4"/>
      <c r="F29" s="4"/>
      <c r="G29" s="4"/>
      <c r="H29" s="4"/>
      <c r="I29" s="4"/>
      <c r="J29" s="4"/>
      <c r="K29" s="4"/>
      <c r="L29" s="4"/>
      <c r="M29" s="4"/>
      <c r="N29" s="2"/>
    </row>
    <row r="30" spans="1:14" ht="15.65" customHeight="1">
      <c r="A30" s="509" t="s">
        <v>47</v>
      </c>
      <c r="B30" s="510"/>
      <c r="C30" s="510"/>
      <c r="D30" s="510"/>
      <c r="E30" s="2"/>
      <c r="F30" s="2"/>
      <c r="G30" s="507"/>
      <c r="H30" s="507"/>
      <c r="I30" s="2"/>
      <c r="J30" s="2"/>
      <c r="K30" s="2"/>
      <c r="L30" s="2"/>
      <c r="M30" s="2"/>
      <c r="N30" s="2"/>
    </row>
    <row r="31" spans="1:14">
      <c r="A31" s="511" t="s">
        <v>19</v>
      </c>
      <c r="B31" s="512"/>
      <c r="C31" s="512"/>
      <c r="D31" s="512"/>
      <c r="E31" s="2"/>
      <c r="F31" s="2"/>
      <c r="G31" s="507"/>
      <c r="H31" s="507"/>
      <c r="I31" s="2"/>
      <c r="J31" s="2"/>
      <c r="K31" s="2"/>
      <c r="L31" s="2"/>
      <c r="M31" s="2"/>
      <c r="N31" s="2"/>
    </row>
    <row r="32" spans="1:14" ht="14.5" customHeight="1">
      <c r="A32" s="513">
        <v>2022</v>
      </c>
      <c r="B32" s="514"/>
      <c r="C32" s="514"/>
      <c r="D32" s="25">
        <f>D15</f>
        <v>1760</v>
      </c>
      <c r="E32" s="2"/>
      <c r="F32" s="2"/>
      <c r="G32" s="507"/>
      <c r="H32" s="507"/>
      <c r="I32" s="2"/>
      <c r="J32" s="2"/>
      <c r="K32" s="2"/>
      <c r="L32" s="2"/>
      <c r="M32" s="2"/>
      <c r="N32" s="2"/>
    </row>
    <row r="33" spans="1:14" ht="15" thickBot="1">
      <c r="A33" s="515">
        <v>2023</v>
      </c>
      <c r="B33" s="516"/>
      <c r="C33" s="516"/>
      <c r="D33" s="26">
        <f>D28</f>
        <v>2419</v>
      </c>
      <c r="E33" s="2"/>
      <c r="F33" s="2"/>
      <c r="G33" s="507"/>
      <c r="H33" s="507"/>
      <c r="I33" s="2"/>
      <c r="J33" s="2"/>
      <c r="K33" s="2"/>
      <c r="L33" s="2"/>
      <c r="M33" s="2"/>
      <c r="N33" s="2"/>
    </row>
    <row r="34" spans="1:14" ht="18" customHeight="1" thickBot="1">
      <c r="A34" s="27" t="s">
        <v>48</v>
      </c>
      <c r="B34" s="29"/>
      <c r="C34" s="30"/>
      <c r="D34" s="31">
        <f>SUM(D32:D33)</f>
        <v>4179</v>
      </c>
      <c r="E34" s="2"/>
      <c r="F34" s="2"/>
      <c r="G34" s="507"/>
      <c r="H34" s="507"/>
      <c r="I34" s="2"/>
      <c r="J34" s="2"/>
      <c r="K34" s="2"/>
      <c r="L34" s="2"/>
      <c r="M34" s="2"/>
      <c r="N34" s="2"/>
    </row>
  </sheetData>
  <mergeCells count="20">
    <mergeCell ref="B10:C10"/>
    <mergeCell ref="A1:D1"/>
    <mergeCell ref="H1:N1"/>
    <mergeCell ref="A3:D3"/>
    <mergeCell ref="H3:N3"/>
    <mergeCell ref="A4:D4"/>
    <mergeCell ref="A11:D11"/>
    <mergeCell ref="A17:D17"/>
    <mergeCell ref="A18:D18"/>
    <mergeCell ref="A24:D24"/>
    <mergeCell ref="B29:C29"/>
    <mergeCell ref="G34:H34"/>
    <mergeCell ref="G30:H30"/>
    <mergeCell ref="A31:D31"/>
    <mergeCell ref="G31:H31"/>
    <mergeCell ref="A32:C32"/>
    <mergeCell ref="G32:H32"/>
    <mergeCell ref="A33:C33"/>
    <mergeCell ref="G33:H33"/>
    <mergeCell ref="A30:D3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F3BB3-B0FE-4B19-BE27-FB61F492E596}">
  <dimension ref="A1:O23"/>
  <sheetViews>
    <sheetView topLeftCell="A11" workbookViewId="0">
      <selection activeCell="F21" sqref="F21"/>
    </sheetView>
  </sheetViews>
  <sheetFormatPr defaultRowHeight="14.5"/>
  <cols>
    <col min="1" max="1" width="25.54296875" bestFit="1" customWidth="1"/>
    <col min="2" max="2" width="17.26953125" bestFit="1" customWidth="1"/>
    <col min="3" max="3" width="15.81640625" bestFit="1" customWidth="1"/>
    <col min="4" max="4" width="22.54296875" customWidth="1"/>
    <col min="5" max="5" width="16.26953125" customWidth="1"/>
    <col min="6" max="6" width="17.1796875" bestFit="1" customWidth="1"/>
    <col min="7" max="7" width="15.1796875" bestFit="1" customWidth="1"/>
    <col min="8" max="8" width="14.453125" customWidth="1"/>
    <col min="9" max="9" width="16.81640625" customWidth="1"/>
    <col min="11" max="11" width="10.1796875" customWidth="1"/>
    <col min="13" max="13" width="9.54296875" customWidth="1"/>
  </cols>
  <sheetData>
    <row r="1" spans="1:15" ht="43.5">
      <c r="A1" s="48" t="s">
        <v>0</v>
      </c>
      <c r="B1" s="49" t="s">
        <v>49</v>
      </c>
      <c r="C1" s="49" t="s">
        <v>50</v>
      </c>
      <c r="D1" s="49" t="s">
        <v>51</v>
      </c>
      <c r="E1" s="49" t="s">
        <v>52</v>
      </c>
      <c r="F1" s="49" t="s">
        <v>192</v>
      </c>
      <c r="G1" s="49" t="s">
        <v>53</v>
      </c>
      <c r="H1" s="50" t="s">
        <v>54</v>
      </c>
      <c r="I1" s="50" t="s">
        <v>11</v>
      </c>
      <c r="J1" s="2"/>
      <c r="K1" s="51" t="s">
        <v>55</v>
      </c>
      <c r="L1" s="52" t="s">
        <v>56</v>
      </c>
      <c r="M1" s="5" t="s">
        <v>57</v>
      </c>
      <c r="N1" s="53" t="s">
        <v>58</v>
      </c>
      <c r="O1" s="50" t="s">
        <v>59</v>
      </c>
    </row>
    <row r="2" spans="1:15" ht="15.5">
      <c r="A2" s="530" t="s">
        <v>261</v>
      </c>
      <c r="B2" s="9" t="s">
        <v>262</v>
      </c>
      <c r="C2" s="54" t="s">
        <v>263</v>
      </c>
      <c r="D2" s="9">
        <v>14.6357</v>
      </c>
      <c r="E2" s="9">
        <v>39.411099999999998</v>
      </c>
      <c r="F2" s="55">
        <v>42664</v>
      </c>
      <c r="G2" s="9">
        <v>127</v>
      </c>
      <c r="H2" s="9">
        <v>500</v>
      </c>
      <c r="I2" s="476">
        <f>IF(H2&lt;321,H2,321)</f>
        <v>321</v>
      </c>
      <c r="J2" s="133"/>
      <c r="K2" s="233">
        <f>$E$19</f>
        <v>203.29999999999998</v>
      </c>
      <c r="L2" s="57">
        <f>K2*I2</f>
        <v>65259.299999999996</v>
      </c>
      <c r="M2" s="276">
        <f>$E$20</f>
        <v>279.3</v>
      </c>
      <c r="N2" s="116">
        <f>I2*M2</f>
        <v>89655.3</v>
      </c>
      <c r="O2" s="117">
        <f>L2+N2</f>
        <v>154914.6</v>
      </c>
    </row>
    <row r="3" spans="1:15" ht="15.5">
      <c r="A3" s="531"/>
      <c r="B3" s="9" t="s">
        <v>264</v>
      </c>
      <c r="C3" s="54" t="s">
        <v>265</v>
      </c>
      <c r="D3" s="9">
        <v>14.526899999999999</v>
      </c>
      <c r="E3" s="9">
        <v>39.365600000000001</v>
      </c>
      <c r="F3" s="55">
        <v>42669</v>
      </c>
      <c r="G3" s="9">
        <v>102</v>
      </c>
      <c r="H3" s="9">
        <v>363</v>
      </c>
      <c r="I3" s="476">
        <f>IF(H3&lt;371,H3,371)</f>
        <v>363</v>
      </c>
      <c r="J3" s="133"/>
      <c r="K3" s="233">
        <f>$E$19</f>
        <v>203.29999999999998</v>
      </c>
      <c r="L3" s="57">
        <f t="shared" ref="L3:L6" si="0">K3*I3</f>
        <v>73797.899999999994</v>
      </c>
      <c r="M3" s="276">
        <f>$E$20</f>
        <v>279.3</v>
      </c>
      <c r="N3" s="116">
        <f t="shared" ref="N3:N6" si="1">I3*M3</f>
        <v>101385.90000000001</v>
      </c>
      <c r="O3" s="117">
        <f t="shared" ref="O3:O6" si="2">L3+N3</f>
        <v>175183.8</v>
      </c>
    </row>
    <row r="4" spans="1:15" ht="15.5">
      <c r="A4" s="531"/>
      <c r="B4" s="9" t="s">
        <v>266</v>
      </c>
      <c r="C4" s="9" t="s">
        <v>267</v>
      </c>
      <c r="D4" s="9">
        <v>14.56879</v>
      </c>
      <c r="E4" s="9">
        <v>38.671120000000002</v>
      </c>
      <c r="F4" s="55">
        <v>42739</v>
      </c>
      <c r="G4" s="9">
        <v>126</v>
      </c>
      <c r="H4" s="9">
        <v>466</v>
      </c>
      <c r="I4" s="476">
        <f>IF(H4&lt;321,H4,321)</f>
        <v>321</v>
      </c>
      <c r="J4" s="133"/>
      <c r="K4" s="233">
        <f>$E$19</f>
        <v>203.29999999999998</v>
      </c>
      <c r="L4" s="57">
        <f t="shared" si="0"/>
        <v>65259.299999999996</v>
      </c>
      <c r="M4" s="276">
        <f>$E$20</f>
        <v>279.3</v>
      </c>
      <c r="N4" s="116">
        <f t="shared" si="1"/>
        <v>89655.3</v>
      </c>
      <c r="O4" s="117">
        <f t="shared" si="2"/>
        <v>154914.6</v>
      </c>
    </row>
    <row r="5" spans="1:15" ht="15.5">
      <c r="A5" s="531"/>
      <c r="B5" s="9" t="s">
        <v>262</v>
      </c>
      <c r="C5" s="9" t="s">
        <v>268</v>
      </c>
      <c r="D5" s="9">
        <v>15.015169999999999</v>
      </c>
      <c r="E5" s="9">
        <v>39.309179999999998</v>
      </c>
      <c r="F5" s="55">
        <v>42793</v>
      </c>
      <c r="G5" s="9">
        <v>150</v>
      </c>
      <c r="H5" s="9">
        <v>532</v>
      </c>
      <c r="I5" s="476">
        <f>IF(H5&lt;321,H5,321)</f>
        <v>321</v>
      </c>
      <c r="J5" s="133"/>
      <c r="K5" s="233">
        <f>$E$19</f>
        <v>203.29999999999998</v>
      </c>
      <c r="L5" s="57">
        <f t="shared" si="0"/>
        <v>65259.299999999996</v>
      </c>
      <c r="M5" s="276">
        <f>$E$20</f>
        <v>279.3</v>
      </c>
      <c r="N5" s="116">
        <f t="shared" si="1"/>
        <v>89655.3</v>
      </c>
      <c r="O5" s="117">
        <f t="shared" si="2"/>
        <v>154914.6</v>
      </c>
    </row>
    <row r="6" spans="1:15" ht="15.5">
      <c r="A6" s="532"/>
      <c r="B6" s="9" t="s">
        <v>264</v>
      </c>
      <c r="C6" s="9" t="s">
        <v>269</v>
      </c>
      <c r="D6" s="58">
        <v>14.533060000000001</v>
      </c>
      <c r="E6" s="58">
        <v>38.554209999999998</v>
      </c>
      <c r="F6" s="55">
        <v>42818</v>
      </c>
      <c r="G6" s="9">
        <v>103</v>
      </c>
      <c r="H6" s="9">
        <v>325</v>
      </c>
      <c r="I6" s="476">
        <f>IF(H6&lt;371,H6,371)</f>
        <v>325</v>
      </c>
      <c r="J6" s="133"/>
      <c r="K6" s="233">
        <f>$E$19</f>
        <v>203.29999999999998</v>
      </c>
      <c r="L6" s="57">
        <f t="shared" si="0"/>
        <v>66072.5</v>
      </c>
      <c r="M6" s="276">
        <f>$E$20</f>
        <v>279.3</v>
      </c>
      <c r="N6" s="116">
        <f t="shared" si="1"/>
        <v>90772.5</v>
      </c>
      <c r="O6" s="117">
        <f t="shared" si="2"/>
        <v>156845</v>
      </c>
    </row>
    <row r="7" spans="1:15" ht="15" thickBot="1">
      <c r="A7" s="118"/>
      <c r="B7" s="1"/>
      <c r="C7" s="2"/>
      <c r="D7" s="2"/>
      <c r="E7" s="2"/>
      <c r="F7" s="62"/>
      <c r="G7" s="63" t="s">
        <v>13</v>
      </c>
      <c r="H7" s="64">
        <f>SUM(H2:H6)</f>
        <v>2186</v>
      </c>
      <c r="I7" s="64">
        <f>SUM(I2:I6)</f>
        <v>1651</v>
      </c>
      <c r="J7" s="2"/>
      <c r="K7" s="2"/>
      <c r="L7" s="146">
        <f>SUM(L2:L6)</f>
        <v>335648.3</v>
      </c>
      <c r="M7" s="146"/>
      <c r="N7" s="146">
        <f t="shared" ref="N7:O7" si="3">SUM(N2:N6)</f>
        <v>461124.3</v>
      </c>
      <c r="O7" s="146">
        <f t="shared" si="3"/>
        <v>796772.6</v>
      </c>
    </row>
    <row r="8" spans="1:1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5" thickBo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43.5">
      <c r="C10" s="67"/>
      <c r="D10" s="2"/>
      <c r="E10" s="2"/>
      <c r="F10" s="2"/>
      <c r="G10" s="2"/>
      <c r="H10" s="2"/>
      <c r="I10" s="2"/>
      <c r="J10" s="2"/>
      <c r="K10" s="51" t="s">
        <v>55</v>
      </c>
      <c r="L10" s="52" t="s">
        <v>56</v>
      </c>
      <c r="M10" s="5" t="s">
        <v>57</v>
      </c>
      <c r="N10" s="53" t="s">
        <v>58</v>
      </c>
      <c r="O10" s="50" t="s">
        <v>59</v>
      </c>
    </row>
    <row r="11" spans="1:15" ht="19" thickBot="1">
      <c r="A11" s="2"/>
      <c r="B11" s="66" t="s">
        <v>76</v>
      </c>
      <c r="C11" s="2"/>
      <c r="D11" s="73"/>
      <c r="E11" s="2"/>
      <c r="F11" s="2"/>
      <c r="G11" s="2"/>
      <c r="H11" s="2"/>
      <c r="I11" s="2"/>
      <c r="J11" s="2"/>
      <c r="K11" s="233">
        <f>$E$19</f>
        <v>203.29999999999998</v>
      </c>
      <c r="L11" s="235">
        <f>K11*H2</f>
        <v>101649.99999999999</v>
      </c>
      <c r="M11" s="276">
        <f>$E$20</f>
        <v>279.3</v>
      </c>
      <c r="N11" s="278">
        <f>H2*M11</f>
        <v>139650</v>
      </c>
      <c r="O11" s="279">
        <f>L11+N11</f>
        <v>241300</v>
      </c>
    </row>
    <row r="12" spans="1:15" ht="57.65" customHeight="1">
      <c r="A12" s="350" t="s">
        <v>77</v>
      </c>
      <c r="B12" s="351">
        <v>44713</v>
      </c>
      <c r="C12" s="2"/>
      <c r="D12" s="541"/>
      <c r="E12" s="542"/>
      <c r="F12" s="543"/>
      <c r="G12" s="543"/>
      <c r="H12" s="525"/>
      <c r="I12" s="525"/>
      <c r="J12" s="24"/>
      <c r="K12" s="233">
        <f>$E$19</f>
        <v>203.29999999999998</v>
      </c>
      <c r="L12" s="235">
        <f t="shared" ref="L12:L15" si="4">K12*H3</f>
        <v>73797.899999999994</v>
      </c>
      <c r="M12" s="276">
        <f>$E$20</f>
        <v>279.3</v>
      </c>
      <c r="N12" s="278">
        <f t="shared" ref="N12:N15" si="5">H3*M12</f>
        <v>101385.90000000001</v>
      </c>
      <c r="O12" s="279">
        <f t="shared" ref="O12:O15" si="6">L12+N12</f>
        <v>175183.8</v>
      </c>
    </row>
    <row r="13" spans="1:15">
      <c r="A13" s="352" t="s">
        <v>78</v>
      </c>
      <c r="B13" s="353">
        <v>45220</v>
      </c>
      <c r="C13" s="2"/>
      <c r="D13" s="541"/>
      <c r="E13" s="542"/>
      <c r="F13" s="543"/>
      <c r="G13" s="543"/>
      <c r="H13" s="525"/>
      <c r="I13" s="525"/>
      <c r="J13" s="24"/>
      <c r="K13" s="233">
        <f>$E$19</f>
        <v>203.29999999999998</v>
      </c>
      <c r="L13" s="235">
        <f t="shared" si="4"/>
        <v>94737.799999999988</v>
      </c>
      <c r="M13" s="276">
        <f>$E$20</f>
        <v>279.3</v>
      </c>
      <c r="N13" s="278">
        <f t="shared" si="5"/>
        <v>130153.8</v>
      </c>
      <c r="O13" s="279">
        <f t="shared" si="6"/>
        <v>224891.59999999998</v>
      </c>
    </row>
    <row r="14" spans="1:15" ht="15" thickBot="1">
      <c r="A14" s="354" t="s">
        <v>79</v>
      </c>
      <c r="B14" s="355">
        <v>44926</v>
      </c>
      <c r="C14" s="2"/>
      <c r="D14" s="72"/>
      <c r="E14" s="67"/>
      <c r="J14" s="2"/>
      <c r="K14" s="233">
        <f>$E$19</f>
        <v>203.29999999999998</v>
      </c>
      <c r="L14" s="235">
        <f t="shared" si="4"/>
        <v>108155.59999999999</v>
      </c>
      <c r="M14" s="276">
        <f>$E$20</f>
        <v>279.3</v>
      </c>
      <c r="N14" s="278">
        <f t="shared" si="5"/>
        <v>148587.6</v>
      </c>
      <c r="O14" s="279">
        <f t="shared" si="6"/>
        <v>256743.2</v>
      </c>
    </row>
    <row r="15" spans="1:15" ht="15" thickBot="1">
      <c r="C15" s="2"/>
      <c r="D15" s="72"/>
      <c r="E15" s="67"/>
      <c r="J15" s="2"/>
      <c r="K15" s="233">
        <f>$E$19</f>
        <v>203.29999999999998</v>
      </c>
      <c r="L15" s="235">
        <f t="shared" si="4"/>
        <v>66072.5</v>
      </c>
      <c r="M15" s="276">
        <f>$E$20</f>
        <v>279.3</v>
      </c>
      <c r="N15" s="278">
        <f t="shared" si="5"/>
        <v>90772.5</v>
      </c>
      <c r="O15" s="279">
        <f t="shared" si="6"/>
        <v>156845</v>
      </c>
    </row>
    <row r="16" spans="1:15" ht="15" thickBot="1">
      <c r="C16" s="2"/>
      <c r="D16" s="2"/>
      <c r="E16" s="67"/>
      <c r="J16" s="2"/>
      <c r="K16" s="282"/>
      <c r="L16" s="292">
        <f>SUM(L11:L15)</f>
        <v>444413.79999999993</v>
      </c>
      <c r="M16" s="293"/>
      <c r="N16" s="293">
        <f t="shared" ref="N16" si="7">SUM(N11:N15)</f>
        <v>610549.80000000005</v>
      </c>
      <c r="O16" s="294">
        <f t="shared" ref="O16" si="8">SUM(O11:O15)</f>
        <v>1054963.5999999999</v>
      </c>
    </row>
    <row r="17" spans="1:15">
      <c r="A17" s="197"/>
      <c r="B17" s="194" t="s">
        <v>81</v>
      </c>
      <c r="C17" s="57"/>
      <c r="D17" s="188"/>
      <c r="E17" s="188"/>
      <c r="F17" s="188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195" t="s">
        <v>82</v>
      </c>
      <c r="B18" s="77">
        <v>27.4</v>
      </c>
      <c r="C18" s="188" t="s">
        <v>8</v>
      </c>
      <c r="D18" s="188" t="s">
        <v>83</v>
      </c>
      <c r="E18" s="188" t="s">
        <v>270</v>
      </c>
      <c r="F18" s="188" t="s">
        <v>271</v>
      </c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195" t="s">
        <v>86</v>
      </c>
      <c r="B19" s="77">
        <f>B14-B12+1</f>
        <v>214</v>
      </c>
      <c r="C19" s="57">
        <f>'Maintenance '!BI39/($B19*COUNTA(B2:B6))</f>
        <v>0</v>
      </c>
      <c r="D19" s="196">
        <v>0.95</v>
      </c>
      <c r="E19" s="235">
        <f>F19*D19</f>
        <v>203.29999999999998</v>
      </c>
      <c r="F19" s="57">
        <f>B19</f>
        <v>214</v>
      </c>
      <c r="G19" s="2"/>
      <c r="H19" s="2"/>
      <c r="I19" s="2"/>
      <c r="J19" s="2"/>
      <c r="K19" s="2"/>
      <c r="L19" s="2"/>
      <c r="M19" s="2"/>
      <c r="N19" s="2"/>
      <c r="O19" s="2"/>
    </row>
    <row r="20" spans="1:15">
      <c r="A20" s="195" t="s">
        <v>87</v>
      </c>
      <c r="B20" s="77">
        <f>B13-B14</f>
        <v>294</v>
      </c>
      <c r="C20" s="57">
        <f>'Maintenance '!BJ39/($B20*COUNTA(B2:B6))</f>
        <v>0</v>
      </c>
      <c r="D20" s="196">
        <v>0.95</v>
      </c>
      <c r="E20" s="235">
        <f>F20*D20</f>
        <v>279.3</v>
      </c>
      <c r="F20" s="57">
        <f>B20</f>
        <v>294</v>
      </c>
    </row>
    <row r="21" spans="1:15">
      <c r="A21" s="197" t="s">
        <v>88</v>
      </c>
      <c r="B21" s="144">
        <v>365</v>
      </c>
      <c r="C21" s="248">
        <f>SUM(C19:C20)</f>
        <v>0</v>
      </c>
      <c r="D21" s="57"/>
      <c r="E21" s="57"/>
      <c r="F21" s="57"/>
    </row>
    <row r="23" spans="1:15">
      <c r="A23" s="197" t="s">
        <v>272</v>
      </c>
      <c r="B23" s="194">
        <v>1825</v>
      </c>
      <c r="C23" s="225">
        <f>'Maintenance '!BL39/1825</f>
        <v>0</v>
      </c>
    </row>
  </sheetData>
  <mergeCells count="7">
    <mergeCell ref="I12:I13"/>
    <mergeCell ref="A2:A6"/>
    <mergeCell ref="D12:D13"/>
    <mergeCell ref="E12:E13"/>
    <mergeCell ref="F12:F13"/>
    <mergeCell ref="G12:G13"/>
    <mergeCell ref="H12:H1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9DF0A-29B6-49FB-8520-8A992F643C43}">
  <dimension ref="A1:O39"/>
  <sheetViews>
    <sheetView topLeftCell="A34" zoomScale="80" zoomScaleNormal="80" workbookViewId="0">
      <selection activeCell="D22" sqref="D22"/>
    </sheetView>
  </sheetViews>
  <sheetFormatPr defaultRowHeight="14.5"/>
  <cols>
    <col min="1" max="1" width="77.1796875" bestFit="1" customWidth="1"/>
    <col min="2" max="2" width="15.7265625" bestFit="1" customWidth="1"/>
    <col min="4" max="4" width="11.81640625" bestFit="1" customWidth="1"/>
    <col min="5" max="5" width="31.81640625" bestFit="1" customWidth="1"/>
    <col min="7" max="7" width="77.1796875" bestFit="1" customWidth="1"/>
    <col min="12" max="12" width="77.1796875" bestFit="1" customWidth="1"/>
  </cols>
  <sheetData>
    <row r="1" spans="1:15" ht="14.5" customHeight="1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4.5" customHeight="1">
      <c r="A3" s="533" t="s">
        <v>91</v>
      </c>
      <c r="B3" s="519"/>
      <c r="C3" s="519"/>
      <c r="D3" s="546"/>
      <c r="E3" s="148" t="s">
        <v>92</v>
      </c>
      <c r="F3" s="2"/>
      <c r="G3" s="533" t="s">
        <v>91</v>
      </c>
      <c r="H3" s="519"/>
      <c r="I3" s="519"/>
      <c r="J3" s="519"/>
      <c r="K3" s="149"/>
      <c r="L3" s="547" t="s">
        <v>91</v>
      </c>
      <c r="M3" s="548"/>
      <c r="N3" s="548"/>
      <c r="O3" s="548"/>
    </row>
    <row r="4" spans="1:15" ht="23.15" customHeight="1">
      <c r="A4" s="9" t="s">
        <v>93</v>
      </c>
      <c r="B4" s="9" t="s">
        <v>94</v>
      </c>
      <c r="C4" s="9" t="s">
        <v>35</v>
      </c>
      <c r="D4" s="86">
        <v>0</v>
      </c>
      <c r="E4" s="150" t="s">
        <v>95</v>
      </c>
      <c r="F4" s="2"/>
      <c r="G4" s="9" t="s">
        <v>93</v>
      </c>
      <c r="H4" s="9" t="s">
        <v>94</v>
      </c>
      <c r="I4" s="9" t="s">
        <v>35</v>
      </c>
      <c r="J4" s="151">
        <v>0</v>
      </c>
      <c r="K4" s="4"/>
      <c r="L4" s="152" t="s">
        <v>93</v>
      </c>
      <c r="M4" s="9" t="s">
        <v>94</v>
      </c>
      <c r="N4" s="9" t="s">
        <v>35</v>
      </c>
      <c r="O4" s="153">
        <v>0</v>
      </c>
    </row>
    <row r="5" spans="1:15" ht="33.65" customHeight="1">
      <c r="A5" s="9" t="s">
        <v>96</v>
      </c>
      <c r="B5" s="9" t="s">
        <v>97</v>
      </c>
      <c r="C5" s="9"/>
      <c r="D5" s="87">
        <f>'GS5043 PTDs'!O7</f>
        <v>796772.6</v>
      </c>
      <c r="E5" s="150" t="s">
        <v>98</v>
      </c>
      <c r="F5" s="2"/>
      <c r="G5" s="9" t="s">
        <v>96</v>
      </c>
      <c r="H5" s="9" t="s">
        <v>97</v>
      </c>
      <c r="I5" s="9"/>
      <c r="J5" s="154">
        <f>'GS5043 PTDs'!L7</f>
        <v>335648.3</v>
      </c>
      <c r="K5" s="4"/>
      <c r="L5" s="152" t="s">
        <v>96</v>
      </c>
      <c r="M5" s="9" t="s">
        <v>97</v>
      </c>
      <c r="N5" s="9"/>
      <c r="O5" s="155">
        <f>'GS5043 PTDs'!N7</f>
        <v>461124.3</v>
      </c>
    </row>
    <row r="6" spans="1:15" ht="18.649999999999999" customHeight="1">
      <c r="A6" s="9" t="s">
        <v>99</v>
      </c>
      <c r="B6" s="9" t="s">
        <v>100</v>
      </c>
      <c r="C6" s="9" t="s">
        <v>101</v>
      </c>
      <c r="D6" s="86">
        <v>4.0000000000000002E-4</v>
      </c>
      <c r="E6" s="150" t="s">
        <v>102</v>
      </c>
      <c r="F6" s="2"/>
      <c r="G6" s="9" t="s">
        <v>99</v>
      </c>
      <c r="H6" s="9" t="s">
        <v>100</v>
      </c>
      <c r="I6" s="9" t="s">
        <v>101</v>
      </c>
      <c r="J6" s="151">
        <v>4.0000000000000002E-4</v>
      </c>
      <c r="K6" s="4"/>
      <c r="L6" s="152" t="s">
        <v>99</v>
      </c>
      <c r="M6" s="9" t="s">
        <v>100</v>
      </c>
      <c r="N6" s="9" t="s">
        <v>101</v>
      </c>
      <c r="O6" s="153">
        <v>4.0000000000000002E-4</v>
      </c>
    </row>
    <row r="7" spans="1:15" ht="18" customHeight="1">
      <c r="A7" s="88" t="s">
        <v>103</v>
      </c>
      <c r="B7" s="9" t="s">
        <v>104</v>
      </c>
      <c r="C7" s="9" t="s">
        <v>105</v>
      </c>
      <c r="D7" s="86">
        <v>7.5</v>
      </c>
      <c r="E7" s="150" t="s">
        <v>106</v>
      </c>
      <c r="F7" s="2"/>
      <c r="G7" s="88" t="s">
        <v>103</v>
      </c>
      <c r="H7" s="9" t="s">
        <v>104</v>
      </c>
      <c r="I7" s="9" t="s">
        <v>105</v>
      </c>
      <c r="J7" s="151">
        <v>7.5</v>
      </c>
      <c r="K7" s="4"/>
      <c r="L7" s="156" t="s">
        <v>103</v>
      </c>
      <c r="M7" s="9" t="s">
        <v>104</v>
      </c>
      <c r="N7" s="9" t="s">
        <v>105</v>
      </c>
      <c r="O7" s="153">
        <v>7.5</v>
      </c>
    </row>
    <row r="8" spans="1:15" ht="20.5" customHeight="1">
      <c r="A8" s="88" t="s">
        <v>107</v>
      </c>
      <c r="B8" s="9" t="s">
        <v>108</v>
      </c>
      <c r="C8" s="9" t="s">
        <v>105</v>
      </c>
      <c r="D8" s="86">
        <v>0</v>
      </c>
      <c r="E8" s="150" t="s">
        <v>109</v>
      </c>
      <c r="F8" s="2"/>
      <c r="G8" s="88" t="s">
        <v>107</v>
      </c>
      <c r="H8" s="9" t="s">
        <v>108</v>
      </c>
      <c r="I8" s="9" t="s">
        <v>105</v>
      </c>
      <c r="J8" s="151">
        <v>0</v>
      </c>
      <c r="K8" s="4"/>
      <c r="L8" s="156" t="s">
        <v>107</v>
      </c>
      <c r="M8" s="9" t="s">
        <v>108</v>
      </c>
      <c r="N8" s="9" t="s">
        <v>105</v>
      </c>
      <c r="O8" s="153">
        <v>0</v>
      </c>
    </row>
    <row r="9" spans="1:15">
      <c r="A9" s="9" t="s">
        <v>110</v>
      </c>
      <c r="B9" s="9" t="s">
        <v>111</v>
      </c>
      <c r="C9" s="9" t="s">
        <v>112</v>
      </c>
      <c r="D9" s="86">
        <f>ROUNDDOWN((1-D4)*D5*D6*(D7+D8),0)</f>
        <v>2390</v>
      </c>
      <c r="E9" s="157"/>
      <c r="F9" s="2"/>
      <c r="G9" s="9" t="s">
        <v>110</v>
      </c>
      <c r="H9" s="9" t="s">
        <v>111</v>
      </c>
      <c r="I9" s="9" t="s">
        <v>112</v>
      </c>
      <c r="J9" s="151">
        <f>ROUNDDOWN((1-J4)*J5*J6*(J7+J8),0)</f>
        <v>1006</v>
      </c>
      <c r="K9" s="4"/>
      <c r="L9" s="152" t="s">
        <v>110</v>
      </c>
      <c r="M9" s="9" t="s">
        <v>111</v>
      </c>
      <c r="N9" s="9" t="s">
        <v>112</v>
      </c>
      <c r="O9" s="153">
        <f>ROUNDDOWN((1-O4)*O5*O6*(O7+O8),0)</f>
        <v>1383</v>
      </c>
    </row>
    <row r="10" spans="1:15">
      <c r="A10" s="2"/>
      <c r="B10" s="2"/>
      <c r="C10" s="2"/>
      <c r="D10" s="2"/>
      <c r="E10" s="4"/>
      <c r="F10" s="2"/>
      <c r="G10" s="2"/>
      <c r="H10" s="2"/>
      <c r="I10" s="2"/>
      <c r="J10" s="2"/>
      <c r="K10" s="4"/>
      <c r="L10" s="158"/>
      <c r="M10" s="2"/>
      <c r="N10" s="2"/>
      <c r="O10" s="159"/>
    </row>
    <row r="11" spans="1:15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4"/>
      <c r="L11" s="545" t="s">
        <v>113</v>
      </c>
      <c r="M11" s="519"/>
      <c r="N11" s="519"/>
      <c r="O11" s="519"/>
    </row>
    <row r="12" spans="1:15" ht="24" customHeight="1">
      <c r="A12" s="9" t="s">
        <v>114</v>
      </c>
      <c r="B12" s="9" t="s">
        <v>94</v>
      </c>
      <c r="C12" s="9" t="s">
        <v>35</v>
      </c>
      <c r="D12" s="86">
        <v>0</v>
      </c>
      <c r="E12" s="160" t="s">
        <v>95</v>
      </c>
      <c r="F12" s="2"/>
      <c r="G12" s="9" t="s">
        <v>114</v>
      </c>
      <c r="H12" s="9" t="s">
        <v>94</v>
      </c>
      <c r="I12" s="9" t="s">
        <v>35</v>
      </c>
      <c r="J12" s="151">
        <v>0</v>
      </c>
      <c r="K12" s="4"/>
      <c r="L12" s="152" t="s">
        <v>114</v>
      </c>
      <c r="M12" s="9" t="s">
        <v>94</v>
      </c>
      <c r="N12" s="9" t="s">
        <v>35</v>
      </c>
      <c r="O12" s="153">
        <v>0</v>
      </c>
    </row>
    <row r="13" spans="1:15" ht="32.15" customHeight="1">
      <c r="A13" s="9" t="s">
        <v>96</v>
      </c>
      <c r="B13" s="9" t="s">
        <v>97</v>
      </c>
      <c r="C13" s="9"/>
      <c r="D13" s="87">
        <f>D5</f>
        <v>796772.6</v>
      </c>
      <c r="E13" s="150" t="s">
        <v>115</v>
      </c>
      <c r="F13" s="2"/>
      <c r="G13" s="9" t="s">
        <v>96</v>
      </c>
      <c r="H13" s="9" t="s">
        <v>97</v>
      </c>
      <c r="I13" s="9"/>
      <c r="J13" s="154">
        <f>J5</f>
        <v>335648.3</v>
      </c>
      <c r="K13" s="4"/>
      <c r="L13" s="152" t="s">
        <v>96</v>
      </c>
      <c r="M13" s="9" t="s">
        <v>97</v>
      </c>
      <c r="N13" s="9"/>
      <c r="O13" s="155">
        <f>O5</f>
        <v>461124.3</v>
      </c>
    </row>
    <row r="14" spans="1:15">
      <c r="A14" s="9" t="s">
        <v>116</v>
      </c>
      <c r="B14" s="9" t="s">
        <v>117</v>
      </c>
      <c r="C14" s="9" t="s">
        <v>101</v>
      </c>
      <c r="D14" s="86">
        <v>4.0000000000000002E-4</v>
      </c>
      <c r="E14" s="150"/>
      <c r="F14" s="2"/>
      <c r="G14" s="9" t="s">
        <v>116</v>
      </c>
      <c r="H14" s="9" t="s">
        <v>117</v>
      </c>
      <c r="I14" s="9" t="s">
        <v>101</v>
      </c>
      <c r="J14" s="151">
        <v>4.0000000000000002E-4</v>
      </c>
      <c r="K14" s="4"/>
      <c r="L14" s="152" t="s">
        <v>116</v>
      </c>
      <c r="M14" s="9" t="s">
        <v>117</v>
      </c>
      <c r="N14" s="9" t="s">
        <v>101</v>
      </c>
      <c r="O14" s="153">
        <v>4.0000000000000002E-4</v>
      </c>
    </row>
    <row r="15" spans="1:15">
      <c r="A15" s="9" t="s">
        <v>118</v>
      </c>
      <c r="B15" s="9" t="s">
        <v>108</v>
      </c>
      <c r="C15" s="9" t="s">
        <v>105</v>
      </c>
      <c r="D15" s="86">
        <v>0</v>
      </c>
      <c r="E15" s="150" t="s">
        <v>109</v>
      </c>
      <c r="F15" s="2"/>
      <c r="G15" s="9" t="s">
        <v>118</v>
      </c>
      <c r="H15" s="9" t="s">
        <v>108</v>
      </c>
      <c r="I15" s="9" t="s">
        <v>105</v>
      </c>
      <c r="J15" s="151">
        <v>0</v>
      </c>
      <c r="K15" s="4"/>
      <c r="L15" s="152" t="s">
        <v>118</v>
      </c>
      <c r="M15" s="9" t="s">
        <v>108</v>
      </c>
      <c r="N15" s="9" t="s">
        <v>105</v>
      </c>
      <c r="O15" s="153">
        <v>0</v>
      </c>
    </row>
    <row r="16" spans="1:15">
      <c r="A16" s="9" t="s">
        <v>119</v>
      </c>
      <c r="B16" s="9" t="s">
        <v>120</v>
      </c>
      <c r="C16" s="9" t="s">
        <v>105</v>
      </c>
      <c r="D16" s="86">
        <v>0</v>
      </c>
      <c r="E16" s="150" t="s">
        <v>109</v>
      </c>
      <c r="F16" s="2"/>
      <c r="G16" s="9" t="s">
        <v>119</v>
      </c>
      <c r="H16" s="9" t="s">
        <v>120</v>
      </c>
      <c r="I16" s="9" t="s">
        <v>105</v>
      </c>
      <c r="J16" s="151">
        <v>0</v>
      </c>
      <c r="K16" s="4"/>
      <c r="L16" s="152" t="s">
        <v>119</v>
      </c>
      <c r="M16" s="9" t="s">
        <v>120</v>
      </c>
      <c r="N16" s="9" t="s">
        <v>105</v>
      </c>
      <c r="O16" s="153">
        <v>0</v>
      </c>
    </row>
    <row r="17" spans="1:15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157"/>
      <c r="F17" s="2"/>
      <c r="G17" s="9" t="s">
        <v>121</v>
      </c>
      <c r="H17" s="9" t="s">
        <v>122</v>
      </c>
      <c r="I17" s="9" t="s">
        <v>112</v>
      </c>
      <c r="J17" s="151">
        <f>ROUNDDOWN((1+J12)*J13*J14*(J16+J16),0)</f>
        <v>0</v>
      </c>
      <c r="K17" s="4"/>
      <c r="L17" s="152" t="s">
        <v>121</v>
      </c>
      <c r="M17" s="9" t="s">
        <v>122</v>
      </c>
      <c r="N17" s="9" t="s">
        <v>112</v>
      </c>
      <c r="O17" s="153">
        <f>ROUNDDOWN((1+O12)*O13*O14*(O16+O16),0)</f>
        <v>0</v>
      </c>
    </row>
    <row r="18" spans="1:15">
      <c r="A18" s="2"/>
      <c r="B18" s="2"/>
      <c r="C18" s="2"/>
      <c r="D18" s="2"/>
      <c r="E18" s="4"/>
      <c r="F18" s="2"/>
      <c r="G18" s="2"/>
      <c r="H18" s="2"/>
      <c r="I18" s="2"/>
      <c r="J18" s="2"/>
      <c r="K18" s="4"/>
      <c r="L18" s="158"/>
      <c r="M18" s="2"/>
      <c r="N18" s="2"/>
      <c r="O18" s="159"/>
    </row>
    <row r="19" spans="1:15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4"/>
      <c r="L19" s="545" t="s">
        <v>123</v>
      </c>
      <c r="M19" s="519"/>
      <c r="N19" s="519"/>
      <c r="O19" s="519"/>
    </row>
    <row r="20" spans="1:15">
      <c r="A20" s="88" t="s">
        <v>124</v>
      </c>
      <c r="B20" s="9" t="s">
        <v>124</v>
      </c>
      <c r="C20" s="9" t="s">
        <v>125</v>
      </c>
      <c r="D20" s="86">
        <v>0.97</v>
      </c>
      <c r="E20" s="160" t="s">
        <v>126</v>
      </c>
      <c r="F20" s="2"/>
      <c r="G20" s="88" t="s">
        <v>124</v>
      </c>
      <c r="H20" s="9" t="s">
        <v>124</v>
      </c>
      <c r="I20" s="9" t="s">
        <v>125</v>
      </c>
      <c r="J20" s="151">
        <v>0.97</v>
      </c>
      <c r="K20" s="4"/>
      <c r="L20" s="156" t="s">
        <v>124</v>
      </c>
      <c r="M20" s="9" t="s">
        <v>124</v>
      </c>
      <c r="N20" s="9" t="s">
        <v>125</v>
      </c>
      <c r="O20" s="153">
        <v>0.97</v>
      </c>
    </row>
    <row r="21" spans="1:15">
      <c r="A21" s="9" t="s">
        <v>127</v>
      </c>
      <c r="B21" s="9" t="s">
        <v>128</v>
      </c>
      <c r="C21" s="9" t="s">
        <v>129</v>
      </c>
      <c r="D21" s="86">
        <v>112</v>
      </c>
      <c r="E21" s="150" t="s">
        <v>126</v>
      </c>
      <c r="F21" s="2"/>
      <c r="G21" s="9" t="s">
        <v>127</v>
      </c>
      <c r="H21" s="9" t="s">
        <v>128</v>
      </c>
      <c r="I21" s="9" t="s">
        <v>129</v>
      </c>
      <c r="J21" s="151">
        <v>112</v>
      </c>
      <c r="K21" s="4"/>
      <c r="L21" s="152" t="s">
        <v>127</v>
      </c>
      <c r="M21" s="9" t="s">
        <v>130</v>
      </c>
      <c r="N21" s="9" t="s">
        <v>129</v>
      </c>
      <c r="O21" s="153">
        <v>112</v>
      </c>
    </row>
    <row r="22" spans="1:15">
      <c r="A22" s="9" t="s">
        <v>131</v>
      </c>
      <c r="B22" s="9" t="s">
        <v>132</v>
      </c>
      <c r="C22" s="9" t="s">
        <v>133</v>
      </c>
      <c r="D22" s="86">
        <v>9.4600000000000009</v>
      </c>
      <c r="E22" s="150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4"/>
      <c r="L22" s="152" t="s">
        <v>131</v>
      </c>
      <c r="M22" s="9" t="s">
        <v>134</v>
      </c>
      <c r="N22" s="9" t="s">
        <v>133</v>
      </c>
      <c r="O22" s="153">
        <f>D22</f>
        <v>9.4600000000000009</v>
      </c>
    </row>
    <row r="23" spans="1:15">
      <c r="A23" s="9" t="s">
        <v>135</v>
      </c>
      <c r="B23" s="9" t="s">
        <v>136</v>
      </c>
      <c r="C23" s="9" t="s">
        <v>137</v>
      </c>
      <c r="D23" s="86">
        <v>1.5599999999999999E-2</v>
      </c>
      <c r="E23" s="157" t="s">
        <v>126</v>
      </c>
      <c r="F23" s="2"/>
      <c r="G23" s="9" t="s">
        <v>135</v>
      </c>
      <c r="H23" s="9" t="s">
        <v>136</v>
      </c>
      <c r="I23" s="9" t="s">
        <v>137</v>
      </c>
      <c r="J23" s="151">
        <v>1.5599999999999999E-2</v>
      </c>
      <c r="K23" s="4"/>
      <c r="L23" s="152" t="s">
        <v>135</v>
      </c>
      <c r="M23" s="9" t="s">
        <v>136</v>
      </c>
      <c r="N23" s="9" t="s">
        <v>137</v>
      </c>
      <c r="O23" s="153">
        <v>1.5599999999999999E-2</v>
      </c>
    </row>
    <row r="24" spans="1:15">
      <c r="A24" s="2"/>
      <c r="B24" s="2"/>
      <c r="C24" s="2"/>
      <c r="D24" s="2"/>
      <c r="E24" s="4"/>
      <c r="F24" s="2"/>
      <c r="G24" s="2"/>
      <c r="H24" s="2"/>
      <c r="I24" s="2"/>
      <c r="J24" s="2"/>
      <c r="K24" s="4"/>
      <c r="L24" s="158"/>
      <c r="M24" s="2"/>
      <c r="N24" s="2"/>
      <c r="O24" s="159"/>
    </row>
    <row r="25" spans="1:15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4"/>
      <c r="L25" s="545" t="s">
        <v>19</v>
      </c>
      <c r="M25" s="519"/>
      <c r="N25" s="519"/>
      <c r="O25" s="519"/>
    </row>
    <row r="26" spans="1:15">
      <c r="A26" s="9" t="s">
        <v>28</v>
      </c>
      <c r="B26" s="9" t="s">
        <v>29</v>
      </c>
      <c r="C26" s="9" t="s">
        <v>30</v>
      </c>
      <c r="D26" s="87">
        <f>ROUNDDOWN(D9*((D20*D21)+D22)*D23,0)</f>
        <v>4403</v>
      </c>
      <c r="E26" s="160"/>
      <c r="F26" s="2"/>
      <c r="G26" s="9" t="s">
        <v>28</v>
      </c>
      <c r="H26" s="9" t="s">
        <v>29</v>
      </c>
      <c r="I26" s="9" t="s">
        <v>30</v>
      </c>
      <c r="J26" s="154">
        <f>ROUNDDOWN(J9*((J20*J21)+J22)*J23,0)</f>
        <v>1853</v>
      </c>
      <c r="K26" s="4"/>
      <c r="L26" s="152" t="s">
        <v>28</v>
      </c>
      <c r="M26" s="9" t="s">
        <v>29</v>
      </c>
      <c r="N26" s="9" t="s">
        <v>30</v>
      </c>
      <c r="O26" s="155">
        <f>ROUNDDOWN(O9*((O20*O21)+O22)*O23,0)</f>
        <v>2547</v>
      </c>
    </row>
    <row r="27" spans="1:15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150"/>
      <c r="F27" s="2"/>
      <c r="G27" s="9" t="s">
        <v>31</v>
      </c>
      <c r="H27" s="9" t="s">
        <v>32</v>
      </c>
      <c r="I27" s="9" t="s">
        <v>30</v>
      </c>
      <c r="J27" s="151">
        <f>J17*((J20*J21)+J22)*J230</f>
        <v>0</v>
      </c>
      <c r="K27" s="4"/>
      <c r="L27" s="152" t="s">
        <v>31</v>
      </c>
      <c r="M27" s="9" t="s">
        <v>32</v>
      </c>
      <c r="N27" s="9" t="s">
        <v>30</v>
      </c>
      <c r="O27" s="153">
        <f>O17*((O20*O21)+O22)*O230</f>
        <v>0</v>
      </c>
    </row>
    <row r="28" spans="1:15" ht="19.5" customHeight="1">
      <c r="A28" s="9" t="s">
        <v>33</v>
      </c>
      <c r="B28" s="9" t="s">
        <v>34</v>
      </c>
      <c r="C28" s="9" t="s">
        <v>35</v>
      </c>
      <c r="D28" s="86">
        <v>0.95</v>
      </c>
      <c r="E28" s="150" t="s">
        <v>138</v>
      </c>
      <c r="F28" s="2"/>
      <c r="G28" s="9" t="s">
        <v>33</v>
      </c>
      <c r="H28" s="9" t="s">
        <v>34</v>
      </c>
      <c r="I28" s="9" t="s">
        <v>35</v>
      </c>
      <c r="J28" s="151">
        <f>D28</f>
        <v>0.95</v>
      </c>
      <c r="K28" s="4"/>
      <c r="L28" s="152" t="s">
        <v>33</v>
      </c>
      <c r="M28" s="9" t="s">
        <v>34</v>
      </c>
      <c r="N28" s="9" t="s">
        <v>35</v>
      </c>
      <c r="O28" s="153">
        <f>D28</f>
        <v>0.95</v>
      </c>
    </row>
    <row r="29" spans="1:15" ht="17.5" customHeight="1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151">
        <v>0</v>
      </c>
      <c r="K29" s="4"/>
      <c r="L29" s="152" t="s">
        <v>36</v>
      </c>
      <c r="M29" s="9" t="s">
        <v>37</v>
      </c>
      <c r="N29" s="9" t="s">
        <v>30</v>
      </c>
      <c r="O29" s="153">
        <v>0</v>
      </c>
    </row>
    <row r="30" spans="1:15">
      <c r="A30" s="9" t="s">
        <v>90</v>
      </c>
      <c r="B30" s="9" t="s">
        <v>39</v>
      </c>
      <c r="C30" s="9" t="s">
        <v>30</v>
      </c>
      <c r="D30" s="86">
        <f>ROUNDDOWN(((D26-D27)*D28)-D29,0)</f>
        <v>4182</v>
      </c>
      <c r="E30" s="157"/>
      <c r="F30" s="2"/>
      <c r="G30" s="9" t="s">
        <v>90</v>
      </c>
      <c r="H30" s="9" t="s">
        <v>39</v>
      </c>
      <c r="I30" s="9" t="s">
        <v>30</v>
      </c>
      <c r="J30" s="151">
        <f>ROUNDDOWN(((J26-J27)*J28)-J29,0)</f>
        <v>1760</v>
      </c>
      <c r="K30" s="4"/>
      <c r="L30" s="152" t="s">
        <v>90</v>
      </c>
      <c r="M30" s="9" t="s">
        <v>39</v>
      </c>
      <c r="N30" s="9" t="s">
        <v>30</v>
      </c>
      <c r="O30" s="153">
        <f>ROUNDDOWN(((O26-O27)*O28)-O29,0)</f>
        <v>2419</v>
      </c>
    </row>
    <row r="31" spans="1:15">
      <c r="A31" s="2"/>
      <c r="B31" s="2"/>
      <c r="C31" s="2"/>
      <c r="D31" s="2"/>
      <c r="E31" s="4"/>
      <c r="F31" s="2"/>
      <c r="G31" s="2"/>
      <c r="H31" s="2"/>
      <c r="I31" s="2"/>
      <c r="J31" s="2"/>
      <c r="K31" s="4"/>
      <c r="L31" s="158"/>
      <c r="M31" s="2"/>
      <c r="N31" s="2"/>
      <c r="O31" s="159"/>
    </row>
    <row r="32" spans="1:15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4"/>
      <c r="L32" s="545" t="s">
        <v>40</v>
      </c>
      <c r="M32" s="519"/>
      <c r="N32" s="519"/>
      <c r="O32" s="519"/>
    </row>
    <row r="33" spans="1:15" ht="20.5" customHeight="1">
      <c r="A33" s="90" t="s">
        <v>41</v>
      </c>
      <c r="C33" s="16"/>
      <c r="D33" s="91">
        <v>1</v>
      </c>
      <c r="E33" s="160" t="s">
        <v>95</v>
      </c>
      <c r="F33" s="2"/>
      <c r="G33" s="90" t="s">
        <v>41</v>
      </c>
      <c r="H33" s="9"/>
      <c r="I33" s="16"/>
      <c r="J33" s="161">
        <v>1</v>
      </c>
      <c r="K33" s="4"/>
      <c r="L33" s="162" t="s">
        <v>41</v>
      </c>
      <c r="M33" s="9"/>
      <c r="N33" s="16"/>
      <c r="O33" s="163">
        <v>1</v>
      </c>
    </row>
    <row r="34" spans="1:15" ht="20.5" customHeight="1">
      <c r="A34" s="90" t="s">
        <v>43</v>
      </c>
      <c r="B34" s="9" t="s">
        <v>42</v>
      </c>
      <c r="C34" s="16" t="s">
        <v>44</v>
      </c>
      <c r="D34" s="91">
        <v>0</v>
      </c>
      <c r="E34" s="157" t="s">
        <v>95</v>
      </c>
      <c r="F34" s="2"/>
      <c r="G34" s="90" t="s">
        <v>43</v>
      </c>
      <c r="H34" s="9" t="s">
        <v>42</v>
      </c>
      <c r="I34" s="16" t="s">
        <v>44</v>
      </c>
      <c r="J34" s="161">
        <v>0</v>
      </c>
      <c r="K34" s="4"/>
      <c r="L34" s="164" t="s">
        <v>43</v>
      </c>
      <c r="M34" s="101" t="s">
        <v>42</v>
      </c>
      <c r="N34" s="165" t="s">
        <v>44</v>
      </c>
      <c r="O34" s="166">
        <v>0</v>
      </c>
    </row>
    <row r="35" spans="1:15">
      <c r="A35" s="93" t="s">
        <v>140</v>
      </c>
      <c r="B35" s="94" t="s">
        <v>39</v>
      </c>
      <c r="C35" s="95" t="s">
        <v>30</v>
      </c>
      <c r="D35" s="96">
        <f>ROUNDDOWN(D30*(1-D34),0)</f>
        <v>4182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1760</v>
      </c>
      <c r="K35" s="2"/>
      <c r="L35" s="167" t="s">
        <v>140</v>
      </c>
      <c r="M35" s="168" t="s">
        <v>39</v>
      </c>
      <c r="N35" s="169" t="s">
        <v>30</v>
      </c>
      <c r="O35" s="170">
        <f>ROUNDDOWN(O30*(1-O34),0)</f>
        <v>2419</v>
      </c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93" t="s">
        <v>141</v>
      </c>
      <c r="B37" s="94"/>
      <c r="C37" s="95" t="s">
        <v>30</v>
      </c>
      <c r="D37" s="96">
        <f>J37+O37</f>
        <v>4179</v>
      </c>
      <c r="E37" s="2"/>
      <c r="F37" s="2"/>
      <c r="G37" s="93" t="s">
        <v>141</v>
      </c>
      <c r="H37" s="94"/>
      <c r="I37" s="95" t="s">
        <v>30</v>
      </c>
      <c r="J37" s="96">
        <f>IF(J35&gt;'GS5043 PTDs'!B18*'GS5043 PTDs'!B19,'GS5043 PTDs'!B18*'GS5043 PTDs'!B19,'GS5043 ER Calcs'!J35)</f>
        <v>1760</v>
      </c>
      <c r="K37" s="2"/>
      <c r="L37" s="171" t="s">
        <v>141</v>
      </c>
      <c r="M37" s="95"/>
      <c r="N37" s="95" t="s">
        <v>30</v>
      </c>
      <c r="O37" s="96">
        <f>IF(O35&gt;'GS5043 PTDs'!B18*'GS5043 PTDs'!B20,'GS5043 PTDs'!B18*'GS5043 PTDs'!B20,'GS5043 ER Calcs'!O35)</f>
        <v>2419</v>
      </c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" t="s">
        <v>142</v>
      </c>
      <c r="B39" s="2"/>
      <c r="C39" s="2"/>
      <c r="D39" s="2"/>
      <c r="E39" s="2"/>
      <c r="F39" s="2"/>
      <c r="G39" s="1" t="s">
        <v>142</v>
      </c>
      <c r="H39" s="2"/>
      <c r="I39" s="2"/>
      <c r="J39" s="2"/>
      <c r="K39" s="2"/>
      <c r="L39" s="1" t="s">
        <v>142</v>
      </c>
      <c r="M39" s="2"/>
      <c r="N39" s="2"/>
      <c r="O39" s="2"/>
    </row>
  </sheetData>
  <mergeCells count="18">
    <mergeCell ref="A1:D1"/>
    <mergeCell ref="G1:J1"/>
    <mergeCell ref="L1:O1"/>
    <mergeCell ref="A3:D3"/>
    <mergeCell ref="G3:J3"/>
    <mergeCell ref="L3:O3"/>
    <mergeCell ref="A11:D11"/>
    <mergeCell ref="G11:J11"/>
    <mergeCell ref="L11:O11"/>
    <mergeCell ref="A19:D19"/>
    <mergeCell ref="G19:J19"/>
    <mergeCell ref="L19:O19"/>
    <mergeCell ref="A25:D25"/>
    <mergeCell ref="G25:J25"/>
    <mergeCell ref="L25:O25"/>
    <mergeCell ref="A32:D32"/>
    <mergeCell ref="G32:J32"/>
    <mergeCell ref="L32:O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19CCC-2331-444F-8136-4A45B0222942}">
  <dimension ref="A1:Q121"/>
  <sheetViews>
    <sheetView workbookViewId="0">
      <selection activeCell="C21" sqref="C21"/>
    </sheetView>
  </sheetViews>
  <sheetFormatPr defaultRowHeight="15" customHeight="1"/>
  <cols>
    <col min="1" max="1" width="25.54296875" bestFit="1" customWidth="1"/>
    <col min="2" max="2" width="19.1796875" customWidth="1"/>
    <col min="3" max="3" width="17" bestFit="1" customWidth="1"/>
    <col min="4" max="4" width="17" customWidth="1"/>
    <col min="5" max="5" width="15.453125" bestFit="1" customWidth="1"/>
    <col min="6" max="6" width="15.1796875" bestFit="1" customWidth="1"/>
    <col min="7" max="7" width="14.453125" customWidth="1"/>
    <col min="8" max="9" width="22.1796875" customWidth="1"/>
    <col min="11" max="11" width="11.81640625" customWidth="1"/>
    <col min="13" max="13" width="13" customWidth="1"/>
    <col min="15" max="15" width="11.81640625" customWidth="1"/>
  </cols>
  <sheetData>
    <row r="1" spans="1:17" ht="29">
      <c r="A1" s="48" t="s">
        <v>0</v>
      </c>
      <c r="B1" s="49" t="s">
        <v>49</v>
      </c>
      <c r="C1" s="49" t="s">
        <v>50</v>
      </c>
      <c r="D1" s="49" t="s">
        <v>51</v>
      </c>
      <c r="E1" s="49" t="s">
        <v>52</v>
      </c>
      <c r="F1" s="49" t="s">
        <v>53</v>
      </c>
      <c r="G1" s="50" t="s">
        <v>54</v>
      </c>
      <c r="H1" s="50" t="s">
        <v>11</v>
      </c>
      <c r="I1" s="112"/>
      <c r="J1" s="2"/>
      <c r="K1" s="51" t="s">
        <v>55</v>
      </c>
      <c r="L1" s="52" t="s">
        <v>56</v>
      </c>
      <c r="M1" s="5" t="s">
        <v>57</v>
      </c>
      <c r="N1" s="53" t="s">
        <v>58</v>
      </c>
      <c r="O1" s="52" t="s">
        <v>59</v>
      </c>
      <c r="P1" s="2"/>
      <c r="Q1" s="2"/>
    </row>
    <row r="2" spans="1:17" ht="14.5">
      <c r="A2" s="530" t="s">
        <v>60</v>
      </c>
      <c r="B2" s="9" t="s">
        <v>61</v>
      </c>
      <c r="C2" s="54" t="s">
        <v>62</v>
      </c>
      <c r="D2" s="181" t="s">
        <v>63</v>
      </c>
      <c r="E2" s="9">
        <v>39.394750000000002</v>
      </c>
      <c r="F2" s="9">
        <v>137</v>
      </c>
      <c r="G2" s="9">
        <v>504</v>
      </c>
      <c r="H2" s="9">
        <v>355</v>
      </c>
      <c r="I2" s="1"/>
      <c r="J2" s="2"/>
      <c r="K2" s="233">
        <f>$E$19</f>
        <v>203.29999999999998</v>
      </c>
      <c r="L2" s="57">
        <f>K2*H2</f>
        <v>72171.5</v>
      </c>
      <c r="M2" s="234">
        <f>$E$20</f>
        <v>278.34999999999997</v>
      </c>
      <c r="N2" s="57">
        <f>H2*M2</f>
        <v>98814.249999999985</v>
      </c>
      <c r="O2" s="57">
        <f>L2+N2</f>
        <v>170985.75</v>
      </c>
      <c r="P2" s="2"/>
      <c r="Q2" s="2"/>
    </row>
    <row r="3" spans="1:17" ht="15.5">
      <c r="A3" s="531"/>
      <c r="B3" s="9" t="s">
        <v>64</v>
      </c>
      <c r="C3" s="54" t="s">
        <v>65</v>
      </c>
      <c r="D3" s="181" t="s">
        <v>66</v>
      </c>
      <c r="E3" s="9">
        <v>39.397089999999999</v>
      </c>
      <c r="F3" s="9">
        <v>130</v>
      </c>
      <c r="G3" s="9">
        <v>530</v>
      </c>
      <c r="H3" s="476">
        <f>IF(G3&lt;371,G3,371)</f>
        <v>371</v>
      </c>
      <c r="I3" s="1"/>
      <c r="J3" s="2"/>
      <c r="K3" s="233">
        <f>$E$19</f>
        <v>203.29999999999998</v>
      </c>
      <c r="L3" s="57">
        <f t="shared" ref="L3:L6" si="0">K3*H3</f>
        <v>75424.299999999988</v>
      </c>
      <c r="M3" s="234">
        <f>$E$20</f>
        <v>278.34999999999997</v>
      </c>
      <c r="N3" s="57">
        <f t="shared" ref="N3:N6" si="1">H3*M3</f>
        <v>103267.84999999999</v>
      </c>
      <c r="O3" s="57">
        <f t="shared" ref="O3:O6" si="2">L3+N3</f>
        <v>178692.14999999997</v>
      </c>
      <c r="P3" s="2"/>
      <c r="Q3" s="2"/>
    </row>
    <row r="4" spans="1:17" ht="15.5">
      <c r="A4" s="531"/>
      <c r="B4" s="9" t="s">
        <v>67</v>
      </c>
      <c r="C4" s="9" t="s">
        <v>68</v>
      </c>
      <c r="D4" s="181" t="s">
        <v>69</v>
      </c>
      <c r="E4" s="9">
        <v>38.807160000000003</v>
      </c>
      <c r="F4" s="9">
        <v>185</v>
      </c>
      <c r="G4" s="9">
        <v>737</v>
      </c>
      <c r="H4" s="476">
        <f>IF(G4&lt;326,G4,326)</f>
        <v>326</v>
      </c>
      <c r="I4" s="1"/>
      <c r="J4" s="2"/>
      <c r="K4" s="233">
        <f>$E$19</f>
        <v>203.29999999999998</v>
      </c>
      <c r="L4" s="57">
        <f t="shared" si="0"/>
        <v>66275.799999999988</v>
      </c>
      <c r="M4" s="234">
        <f>$E$20</f>
        <v>278.34999999999997</v>
      </c>
      <c r="N4" s="57">
        <f t="shared" si="1"/>
        <v>90742.099999999991</v>
      </c>
      <c r="O4" s="57">
        <f t="shared" si="2"/>
        <v>157017.89999999997</v>
      </c>
      <c r="P4" s="2"/>
      <c r="Q4" s="2"/>
    </row>
    <row r="5" spans="1:17" ht="15.5">
      <c r="A5" s="531"/>
      <c r="B5" s="9" t="s">
        <v>70</v>
      </c>
      <c r="C5" s="9" t="s">
        <v>71</v>
      </c>
      <c r="D5" s="181" t="s">
        <v>72</v>
      </c>
      <c r="E5" s="9">
        <v>38.79645</v>
      </c>
      <c r="F5" s="9">
        <v>81</v>
      </c>
      <c r="G5" s="9">
        <v>332</v>
      </c>
      <c r="H5" s="476">
        <f>IF(G5&lt;371,G5,371)</f>
        <v>332</v>
      </c>
      <c r="I5" s="1"/>
      <c r="J5" s="2"/>
      <c r="K5" s="233">
        <f>$E$19</f>
        <v>203.29999999999998</v>
      </c>
      <c r="L5" s="57">
        <f t="shared" si="0"/>
        <v>67495.599999999991</v>
      </c>
      <c r="M5" s="234">
        <f>$E$20</f>
        <v>278.34999999999997</v>
      </c>
      <c r="N5" s="57">
        <f t="shared" si="1"/>
        <v>92412.199999999983</v>
      </c>
      <c r="O5" s="57">
        <f t="shared" si="2"/>
        <v>159907.79999999999</v>
      </c>
      <c r="P5" s="2"/>
      <c r="Q5" s="2"/>
    </row>
    <row r="6" spans="1:17" ht="15.5">
      <c r="A6" s="532"/>
      <c r="B6" s="9" t="s">
        <v>73</v>
      </c>
      <c r="C6" s="9" t="s">
        <v>74</v>
      </c>
      <c r="D6" s="181">
        <v>14.52966</v>
      </c>
      <c r="E6" s="200">
        <v>38.428649999999998</v>
      </c>
      <c r="F6" s="9">
        <v>70</v>
      </c>
      <c r="G6" s="9">
        <v>242</v>
      </c>
      <c r="H6" s="476">
        <f>IF(G6&lt;371,G6,371)</f>
        <v>242</v>
      </c>
      <c r="I6" s="1"/>
      <c r="J6" s="2"/>
      <c r="K6" s="233">
        <f>$E$19</f>
        <v>203.29999999999998</v>
      </c>
      <c r="L6" s="57">
        <f t="shared" si="0"/>
        <v>49198.6</v>
      </c>
      <c r="M6" s="234">
        <f>$E$20</f>
        <v>278.34999999999997</v>
      </c>
      <c r="N6" s="57">
        <f t="shared" si="1"/>
        <v>67360.7</v>
      </c>
      <c r="O6" s="57">
        <f t="shared" si="2"/>
        <v>116559.29999999999</v>
      </c>
      <c r="P6" s="2"/>
      <c r="Q6" s="2"/>
    </row>
    <row r="7" spans="1:17" ht="14.5">
      <c r="A7" s="2"/>
      <c r="B7" s="2"/>
      <c r="C7" s="2"/>
      <c r="D7" s="2"/>
      <c r="E7" s="2"/>
      <c r="F7" s="2"/>
      <c r="G7" s="2"/>
      <c r="H7" s="59"/>
      <c r="I7" s="59"/>
      <c r="J7" s="24"/>
      <c r="K7" s="59"/>
      <c r="L7" s="60">
        <f>SUM(L2:L6)</f>
        <v>330565.79999999993</v>
      </c>
      <c r="M7" s="60"/>
      <c r="N7" s="60">
        <f t="shared" ref="N7:O7" si="3">SUM(N2:N6)</f>
        <v>452597.09999999992</v>
      </c>
      <c r="O7" s="60">
        <f t="shared" si="3"/>
        <v>783162.89999999991</v>
      </c>
      <c r="P7" s="2" t="s">
        <v>75</v>
      </c>
      <c r="Q7" s="2"/>
    </row>
    <row r="8" spans="1:17" ht="14.5">
      <c r="A8" s="2"/>
      <c r="B8" s="1"/>
      <c r="C8" s="2"/>
      <c r="D8" s="2"/>
      <c r="E8" s="2"/>
      <c r="F8" s="63" t="s">
        <v>13</v>
      </c>
      <c r="G8" s="64">
        <f>SUM(G2:G6)</f>
        <v>2345</v>
      </c>
      <c r="H8" s="64">
        <f>SUM(H2:H6)</f>
        <v>1626</v>
      </c>
      <c r="I8" s="61"/>
      <c r="J8" s="24"/>
      <c r="K8" s="24"/>
      <c r="L8" s="2"/>
      <c r="M8" s="2"/>
      <c r="N8" s="2"/>
      <c r="O8" s="65"/>
      <c r="P8" s="2"/>
      <c r="Q8" s="2"/>
    </row>
    <row r="9" spans="1:17" ht="29">
      <c r="A9" s="2"/>
      <c r="B9" s="2"/>
      <c r="C9" s="2"/>
      <c r="D9" s="2"/>
      <c r="E9" s="2"/>
      <c r="F9" s="2"/>
      <c r="G9" s="2"/>
      <c r="H9" s="24"/>
      <c r="I9" s="24"/>
      <c r="J9" s="24"/>
      <c r="K9" s="51" t="s">
        <v>55</v>
      </c>
      <c r="L9" s="52" t="s">
        <v>56</v>
      </c>
      <c r="M9" s="5" t="s">
        <v>57</v>
      </c>
      <c r="N9" s="53" t="s">
        <v>58</v>
      </c>
      <c r="O9" s="52" t="s">
        <v>59</v>
      </c>
      <c r="P9" s="2"/>
      <c r="Q9" s="2"/>
    </row>
    <row r="10" spans="1:17" ht="14.5">
      <c r="A10" s="2"/>
      <c r="B10" s="2"/>
      <c r="C10" s="2"/>
      <c r="D10" s="2"/>
      <c r="E10" s="2"/>
      <c r="F10" s="2"/>
      <c r="G10" s="2"/>
      <c r="H10" s="24"/>
      <c r="I10" s="24"/>
      <c r="J10" s="24"/>
      <c r="K10" s="233">
        <f>$E$19</f>
        <v>203.29999999999998</v>
      </c>
      <c r="L10" s="57">
        <f>K10*G2</f>
        <v>102463.2</v>
      </c>
      <c r="M10" s="234">
        <f>$E$20</f>
        <v>278.34999999999997</v>
      </c>
      <c r="N10" s="235">
        <f>G2*M10</f>
        <v>140288.4</v>
      </c>
      <c r="O10" s="235">
        <f>L10+N10</f>
        <v>242751.59999999998</v>
      </c>
      <c r="P10" s="2"/>
      <c r="Q10" s="2"/>
    </row>
    <row r="11" spans="1:17" ht="14.5">
      <c r="A11" s="2"/>
      <c r="B11" s="66" t="s">
        <v>76</v>
      </c>
      <c r="C11" s="67"/>
      <c r="D11" s="67"/>
      <c r="E11" s="2"/>
      <c r="F11" s="2"/>
      <c r="G11" s="2"/>
      <c r="H11" s="24"/>
      <c r="I11" s="24"/>
      <c r="J11" s="24"/>
      <c r="K11" s="233">
        <f>$E$19</f>
        <v>203.29999999999998</v>
      </c>
      <c r="L11" s="57">
        <f t="shared" ref="L11:L14" si="4">K11*G3</f>
        <v>107748.99999999999</v>
      </c>
      <c r="M11" s="234">
        <f>$E$20</f>
        <v>278.34999999999997</v>
      </c>
      <c r="N11" s="235">
        <f t="shared" ref="N11:N14" si="5">G3*M11</f>
        <v>147525.49999999997</v>
      </c>
      <c r="O11" s="235">
        <f t="shared" ref="O11:O14" si="6">L11+N11</f>
        <v>255274.49999999994</v>
      </c>
      <c r="P11" s="2"/>
      <c r="Q11" s="2"/>
    </row>
    <row r="12" spans="1:17" ht="14.5">
      <c r="A12" s="68" t="s">
        <v>77</v>
      </c>
      <c r="B12" s="228">
        <v>44713</v>
      </c>
      <c r="C12" s="2"/>
      <c r="D12" s="2"/>
      <c r="E12" s="2"/>
      <c r="F12" s="2"/>
      <c r="G12" s="2"/>
      <c r="H12" s="24"/>
      <c r="I12" s="24"/>
      <c r="J12" s="24"/>
      <c r="K12" s="233">
        <f>$E$19</f>
        <v>203.29999999999998</v>
      </c>
      <c r="L12" s="57">
        <f t="shared" si="4"/>
        <v>149832.09999999998</v>
      </c>
      <c r="M12" s="234">
        <f>$E$20</f>
        <v>278.34999999999997</v>
      </c>
      <c r="N12" s="235">
        <f t="shared" si="5"/>
        <v>205143.94999999998</v>
      </c>
      <c r="O12" s="235">
        <f t="shared" si="6"/>
        <v>354976.04999999993</v>
      </c>
      <c r="P12" s="2"/>
      <c r="Q12" s="2"/>
    </row>
    <row r="13" spans="1:17" ht="14.5">
      <c r="A13" s="70" t="s">
        <v>78</v>
      </c>
      <c r="B13" s="229">
        <v>45219</v>
      </c>
      <c r="C13" s="2"/>
      <c r="D13" s="2"/>
      <c r="E13" s="2"/>
      <c r="F13" s="2"/>
      <c r="G13" s="2"/>
      <c r="H13" s="24"/>
      <c r="I13" s="24"/>
      <c r="J13" s="24"/>
      <c r="K13" s="233">
        <f>$E$19</f>
        <v>203.29999999999998</v>
      </c>
      <c r="L13" s="57">
        <f t="shared" si="4"/>
        <v>67495.599999999991</v>
      </c>
      <c r="M13" s="234">
        <f>$E$20</f>
        <v>278.34999999999997</v>
      </c>
      <c r="N13" s="235">
        <f t="shared" si="5"/>
        <v>92412.199999999983</v>
      </c>
      <c r="O13" s="235">
        <f t="shared" si="6"/>
        <v>159907.79999999999</v>
      </c>
      <c r="P13" s="2"/>
      <c r="Q13" s="2"/>
    </row>
    <row r="14" spans="1:17" ht="14.5">
      <c r="A14" s="71" t="s">
        <v>79</v>
      </c>
      <c r="B14" s="230">
        <v>44926</v>
      </c>
      <c r="C14" s="2"/>
      <c r="D14" s="2"/>
      <c r="E14" s="2"/>
      <c r="F14" s="2"/>
      <c r="G14" s="2"/>
      <c r="H14" s="24"/>
      <c r="I14" s="24"/>
      <c r="J14" s="24"/>
      <c r="K14" s="233">
        <f>$E$19</f>
        <v>203.29999999999998</v>
      </c>
      <c r="L14" s="57">
        <f t="shared" si="4"/>
        <v>49198.6</v>
      </c>
      <c r="M14" s="234">
        <f>$E$20</f>
        <v>278.34999999999997</v>
      </c>
      <c r="N14" s="235">
        <f t="shared" si="5"/>
        <v>67360.7</v>
      </c>
      <c r="O14" s="235">
        <f t="shared" si="6"/>
        <v>116559.29999999999</v>
      </c>
      <c r="P14" s="2"/>
      <c r="Q14" s="2"/>
    </row>
    <row r="15" spans="1:17" ht="14.5">
      <c r="A15" s="2"/>
      <c r="B15" s="72"/>
      <c r="C15" s="2"/>
      <c r="D15" s="2"/>
      <c r="E15" s="2"/>
      <c r="F15" s="2"/>
      <c r="G15" s="2"/>
      <c r="H15" s="2"/>
      <c r="I15" s="2"/>
      <c r="J15" s="2"/>
      <c r="K15" s="59"/>
      <c r="L15" s="60">
        <f>SUM(L10:L14)</f>
        <v>476738.49999999988</v>
      </c>
      <c r="M15" s="60"/>
      <c r="N15" s="60">
        <f t="shared" ref="N15" si="7">SUM(N10:N14)</f>
        <v>652730.74999999988</v>
      </c>
      <c r="O15" s="60">
        <f t="shared" ref="O15" si="8">SUM(O10:O14)</f>
        <v>1129469.25</v>
      </c>
      <c r="P15" s="2" t="s">
        <v>80</v>
      </c>
      <c r="Q15" s="2"/>
    </row>
    <row r="16" spans="1:17" ht="58" customHeight="1">
      <c r="A16" s="2"/>
      <c r="C16" s="2"/>
      <c r="D16" s="2"/>
      <c r="J16" s="24"/>
      <c r="K16" s="24"/>
      <c r="L16" s="2"/>
      <c r="M16" s="2"/>
      <c r="N16" s="2"/>
      <c r="O16" s="65"/>
      <c r="P16" s="2"/>
      <c r="Q16" s="2"/>
    </row>
    <row r="17" spans="1:17" ht="14.5">
      <c r="A17" s="188"/>
      <c r="B17" s="226" t="s">
        <v>81</v>
      </c>
      <c r="C17" s="57"/>
      <c r="D17" s="57"/>
      <c r="E17" s="132"/>
      <c r="J17" s="24"/>
      <c r="K17" s="24"/>
      <c r="L17" s="2"/>
      <c r="M17" s="2"/>
      <c r="N17" s="2"/>
      <c r="O17" s="65"/>
      <c r="P17" s="2"/>
      <c r="Q17" s="2"/>
    </row>
    <row r="18" spans="1:17" ht="14.5" customHeight="1">
      <c r="A18" s="195" t="s">
        <v>82</v>
      </c>
      <c r="B18" s="227">
        <f>10000/365</f>
        <v>27.397260273972602</v>
      </c>
      <c r="C18" s="57" t="s">
        <v>8</v>
      </c>
      <c r="D18" s="132" t="s">
        <v>83</v>
      </c>
      <c r="E18" s="338" t="s">
        <v>84</v>
      </c>
      <c r="F18" s="198" t="s">
        <v>85</v>
      </c>
      <c r="G18" s="4"/>
      <c r="J18" s="2"/>
      <c r="K18" s="2"/>
      <c r="L18" s="2"/>
      <c r="M18" s="2"/>
      <c r="N18" s="2"/>
      <c r="O18" s="65"/>
      <c r="P18" s="2"/>
      <c r="Q18" s="2"/>
    </row>
    <row r="19" spans="1:17" ht="14.5">
      <c r="A19" s="195" t="s">
        <v>86</v>
      </c>
      <c r="B19" s="231">
        <f>(B14-B12)+1</f>
        <v>214</v>
      </c>
      <c r="C19" s="57">
        <f>'Maintenance '!BI9/($B19*COUNTA(B2:B6))</f>
        <v>0</v>
      </c>
      <c r="D19" s="196">
        <v>0.95</v>
      </c>
      <c r="E19" s="339">
        <f>B19*D19</f>
        <v>203.29999999999998</v>
      </c>
      <c r="F19" s="340">
        <f>B19</f>
        <v>214</v>
      </c>
      <c r="G19" s="67"/>
      <c r="J19" s="2"/>
      <c r="K19" s="2"/>
      <c r="L19" s="2"/>
      <c r="M19" s="2"/>
      <c r="N19" s="2"/>
      <c r="O19" s="65"/>
      <c r="P19" s="2"/>
      <c r="Q19" s="2"/>
    </row>
    <row r="20" spans="1:17" ht="14.5">
      <c r="A20" s="195" t="s">
        <v>87</v>
      </c>
      <c r="B20" s="77">
        <f>B13-B14</f>
        <v>293</v>
      </c>
      <c r="C20" s="57">
        <f>'Maintenance '!BJ9/($B20*COUNTA(B3:B7))</f>
        <v>0</v>
      </c>
      <c r="D20" s="196">
        <v>0.95</v>
      </c>
      <c r="E20" s="339">
        <f>B20*D20</f>
        <v>278.34999999999997</v>
      </c>
      <c r="F20" s="57">
        <f>B20</f>
        <v>293</v>
      </c>
      <c r="G20" s="67"/>
      <c r="J20" s="2"/>
      <c r="K20" s="2"/>
      <c r="L20" s="2"/>
      <c r="M20" s="2"/>
      <c r="N20" s="2"/>
      <c r="O20" s="65"/>
      <c r="P20" s="2"/>
      <c r="Q20" s="2"/>
    </row>
    <row r="21" spans="1:17" ht="14.5">
      <c r="A21" s="197" t="s">
        <v>88</v>
      </c>
      <c r="B21" s="315">
        <f>B19+B20</f>
        <v>507</v>
      </c>
      <c r="C21" s="57"/>
      <c r="D21" s="188"/>
      <c r="E21" s="116"/>
      <c r="F21" s="57"/>
      <c r="J21" s="2"/>
      <c r="K21" s="2"/>
      <c r="L21" s="2"/>
      <c r="M21" s="2"/>
      <c r="N21" s="2"/>
      <c r="O21" s="65"/>
      <c r="P21" s="2"/>
      <c r="Q21" s="2"/>
    </row>
    <row r="22" spans="1:17" ht="14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65"/>
      <c r="P22" s="2"/>
      <c r="Q22" s="2"/>
    </row>
    <row r="23" spans="1:17" ht="14.5">
      <c r="A23" s="197" t="s">
        <v>89</v>
      </c>
      <c r="B23" s="77">
        <f>(B19+B20)*COUNTA(B2:B6)</f>
        <v>2535</v>
      </c>
      <c r="C23" s="327">
        <f>'Maintenance '!$BL$9</f>
        <v>0</v>
      </c>
      <c r="D23" s="303"/>
      <c r="E23" s="2"/>
      <c r="F23" s="2"/>
      <c r="G23" s="2"/>
      <c r="H23" s="24"/>
      <c r="I23" s="24"/>
      <c r="J23" s="24"/>
      <c r="K23" s="24"/>
      <c r="L23" s="2"/>
      <c r="M23" s="2"/>
      <c r="N23" s="2"/>
      <c r="O23" s="65"/>
      <c r="P23" s="2"/>
      <c r="Q23" s="2"/>
    </row>
    <row r="24" spans="1:17" ht="14.5">
      <c r="A24" s="2"/>
      <c r="B24" s="2"/>
      <c r="C24" s="2"/>
      <c r="D24" s="2"/>
      <c r="E24" s="2"/>
      <c r="F24" s="2"/>
      <c r="G24" s="2"/>
      <c r="H24" s="24"/>
      <c r="I24" s="24"/>
      <c r="J24" s="24"/>
      <c r="K24" s="24"/>
      <c r="L24" s="2"/>
      <c r="M24" s="2"/>
      <c r="N24" s="2"/>
      <c r="O24" s="65"/>
      <c r="P24" s="2"/>
      <c r="Q24" s="2"/>
    </row>
    <row r="25" spans="1:17" ht="14.5">
      <c r="A25" s="2"/>
      <c r="B25" s="2"/>
      <c r="C25" s="2"/>
      <c r="D25" s="2"/>
      <c r="E25" s="2"/>
      <c r="F25" s="2"/>
      <c r="G25" s="2"/>
      <c r="H25" s="24"/>
      <c r="I25" s="24"/>
      <c r="J25" s="24"/>
      <c r="K25" s="24"/>
      <c r="L25" s="2"/>
      <c r="M25" s="2"/>
      <c r="N25" s="2"/>
      <c r="O25" s="65"/>
      <c r="P25" s="2"/>
      <c r="Q25" s="2"/>
    </row>
    <row r="26" spans="1:17" ht="14.5">
      <c r="A26" s="2"/>
      <c r="B26" s="2"/>
      <c r="C26" s="2"/>
      <c r="D26" s="2"/>
      <c r="E26" s="2"/>
      <c r="F26" s="2"/>
      <c r="G26" s="2"/>
      <c r="H26" s="24"/>
      <c r="I26" s="24"/>
      <c r="J26" s="24"/>
      <c r="K26" s="24"/>
      <c r="L26" s="2"/>
      <c r="M26" s="2"/>
      <c r="N26" s="2"/>
      <c r="O26" s="65"/>
      <c r="P26" s="2"/>
      <c r="Q26" s="2"/>
    </row>
    <row r="27" spans="1:17" ht="14.5">
      <c r="A27" s="2"/>
      <c r="B27" s="238"/>
      <c r="C27" s="238"/>
      <c r="D27" s="238"/>
      <c r="E27" s="238"/>
      <c r="F27" s="238"/>
      <c r="G27" s="2"/>
      <c r="H27" s="24"/>
      <c r="I27" s="24"/>
      <c r="J27" s="24"/>
      <c r="K27" s="24"/>
      <c r="L27" s="2"/>
      <c r="M27" s="2"/>
      <c r="N27" s="2"/>
      <c r="O27" s="65"/>
      <c r="P27" s="2"/>
      <c r="Q27" s="2"/>
    </row>
    <row r="28" spans="1:17" ht="14.5">
      <c r="A28" s="2"/>
      <c r="B28" s="238"/>
      <c r="C28" s="239"/>
      <c r="D28" s="239"/>
      <c r="E28" s="238"/>
      <c r="F28" s="238"/>
      <c r="G28" s="2"/>
      <c r="H28" s="24"/>
      <c r="I28" s="24"/>
      <c r="J28" s="24"/>
      <c r="K28" s="24"/>
      <c r="L28" s="2"/>
      <c r="M28" s="2"/>
      <c r="N28" s="2"/>
      <c r="O28" s="65"/>
      <c r="P28" s="2"/>
      <c r="Q28" s="2"/>
    </row>
    <row r="29" spans="1:17" ht="14.5">
      <c r="A29" s="2"/>
      <c r="B29" s="238"/>
      <c r="C29" s="239"/>
      <c r="D29" s="239"/>
      <c r="E29" s="240"/>
      <c r="F29" s="238"/>
      <c r="G29" s="2"/>
      <c r="H29" s="24"/>
      <c r="I29" s="24"/>
      <c r="J29" s="24"/>
      <c r="K29" s="24"/>
      <c r="L29" s="2"/>
      <c r="M29" s="2"/>
      <c r="N29" s="2"/>
      <c r="O29" s="65"/>
      <c r="P29" s="2"/>
      <c r="Q29" s="2"/>
    </row>
    <row r="30" spans="1:17" ht="14.5">
      <c r="A30" s="2"/>
      <c r="B30" s="238"/>
      <c r="C30" s="239"/>
      <c r="D30" s="239"/>
      <c r="E30" s="238"/>
      <c r="F30" s="238"/>
      <c r="G30" s="2"/>
      <c r="H30" s="24"/>
      <c r="I30" s="24"/>
      <c r="J30" s="24"/>
      <c r="K30" s="24"/>
      <c r="L30" s="2"/>
      <c r="M30" s="2"/>
      <c r="N30" s="2"/>
      <c r="O30" s="65"/>
      <c r="P30" s="2"/>
      <c r="Q30" s="2"/>
    </row>
    <row r="31" spans="1:17" ht="14.5">
      <c r="A31" s="2"/>
      <c r="B31" s="238"/>
      <c r="C31" s="239"/>
      <c r="D31" s="239"/>
      <c r="E31" s="238"/>
      <c r="F31" s="238"/>
      <c r="G31" s="2"/>
      <c r="H31" s="24"/>
      <c r="I31" s="24"/>
      <c r="J31" s="24"/>
      <c r="K31" s="24"/>
      <c r="L31" s="2"/>
      <c r="M31" s="2"/>
      <c r="N31" s="2"/>
      <c r="O31" s="65"/>
      <c r="P31" s="2"/>
      <c r="Q31" s="2"/>
    </row>
    <row r="32" spans="1:17" ht="14.5">
      <c r="A32" s="2"/>
      <c r="B32" s="2"/>
      <c r="C32" s="2"/>
      <c r="D32" s="2"/>
      <c r="E32" s="2"/>
      <c r="F32" s="2"/>
      <c r="G32" s="2"/>
      <c r="H32" s="24"/>
      <c r="I32" s="24"/>
      <c r="J32" s="24"/>
      <c r="K32" s="24"/>
      <c r="L32" s="2"/>
      <c r="M32" s="2"/>
      <c r="N32" s="2"/>
      <c r="O32" s="65"/>
      <c r="P32" s="2"/>
      <c r="Q32" s="2"/>
    </row>
    <row r="33" spans="1:17" ht="14.5">
      <c r="A33" s="2"/>
      <c r="B33" s="2"/>
      <c r="C33" s="2"/>
      <c r="D33" s="2"/>
      <c r="E33" s="2"/>
      <c r="F33" s="2"/>
      <c r="G33" s="2"/>
      <c r="H33" s="24"/>
      <c r="I33" s="24"/>
      <c r="J33" s="24"/>
      <c r="K33" s="24"/>
      <c r="L33" s="2"/>
      <c r="M33" s="2"/>
      <c r="N33" s="2"/>
      <c r="O33" s="65"/>
      <c r="P33" s="2"/>
      <c r="Q33" s="2"/>
    </row>
    <row r="34" spans="1:17" ht="14.5">
      <c r="A34" s="2"/>
      <c r="B34" s="2"/>
      <c r="C34" s="2"/>
      <c r="D34" s="2"/>
      <c r="E34" s="2"/>
      <c r="F34" s="2"/>
      <c r="G34" s="2"/>
      <c r="H34" s="24"/>
      <c r="I34" s="24"/>
      <c r="J34" s="24"/>
      <c r="K34" s="24"/>
      <c r="L34" s="2"/>
      <c r="M34" s="2"/>
      <c r="N34" s="2"/>
      <c r="O34" s="65"/>
      <c r="P34" s="2"/>
      <c r="Q34" s="2"/>
    </row>
    <row r="35" spans="1:17" ht="14.5">
      <c r="A35" s="2"/>
      <c r="B35" s="2"/>
      <c r="C35" s="2"/>
      <c r="D35" s="2"/>
      <c r="E35" s="2"/>
      <c r="F35" s="2"/>
      <c r="G35" s="2"/>
      <c r="H35" s="24"/>
      <c r="I35" s="24"/>
      <c r="J35" s="24"/>
      <c r="K35" s="24"/>
      <c r="L35" s="2"/>
      <c r="M35" s="2"/>
      <c r="N35" s="2"/>
      <c r="O35" s="65"/>
      <c r="P35" s="2"/>
      <c r="Q35" s="2"/>
    </row>
    <row r="36" spans="1:17" ht="14.5">
      <c r="A36" s="2"/>
      <c r="B36" s="2"/>
      <c r="C36" s="2"/>
      <c r="D36" s="2"/>
      <c r="E36" s="2"/>
      <c r="F36" s="2"/>
      <c r="G36" s="2"/>
      <c r="H36" s="24"/>
      <c r="I36" s="24"/>
      <c r="J36" s="24"/>
      <c r="K36" s="24"/>
      <c r="L36" s="2"/>
      <c r="M36" s="2"/>
      <c r="N36" s="2"/>
      <c r="O36" s="65"/>
      <c r="P36" s="2"/>
      <c r="Q36" s="2"/>
    </row>
    <row r="37" spans="1:17" ht="14.5">
      <c r="A37" s="2"/>
      <c r="B37" s="2"/>
      <c r="C37" s="2"/>
      <c r="D37" s="2"/>
      <c r="E37" s="2"/>
      <c r="F37" s="2"/>
      <c r="G37" s="2"/>
      <c r="H37" s="24"/>
      <c r="I37" s="24"/>
      <c r="J37" s="24"/>
      <c r="K37" s="24"/>
      <c r="L37" s="2"/>
      <c r="M37" s="2"/>
      <c r="N37" s="2"/>
      <c r="O37" s="65"/>
      <c r="P37" s="2"/>
      <c r="Q37" s="2"/>
    </row>
    <row r="38" spans="1:17" ht="14.5">
      <c r="A38" s="2"/>
      <c r="B38" s="2"/>
      <c r="C38" s="2"/>
      <c r="D38" s="2"/>
      <c r="E38" s="2"/>
      <c r="F38" s="2"/>
      <c r="G38" s="2"/>
      <c r="H38" s="24"/>
      <c r="I38" s="24"/>
      <c r="J38" s="24"/>
      <c r="K38" s="24"/>
      <c r="L38" s="2"/>
      <c r="M38" s="2"/>
      <c r="N38" s="2"/>
      <c r="O38" s="65"/>
      <c r="P38" s="2"/>
      <c r="Q38" s="2"/>
    </row>
    <row r="39" spans="1:17" ht="14.5">
      <c r="A39" s="2"/>
      <c r="B39" s="2"/>
      <c r="C39" s="2"/>
      <c r="D39" s="2"/>
      <c r="E39" s="2"/>
      <c r="F39" s="2"/>
      <c r="G39" s="2"/>
      <c r="H39" s="24"/>
      <c r="I39" s="24"/>
      <c r="J39" s="24"/>
      <c r="K39" s="24"/>
      <c r="L39" s="2"/>
      <c r="M39" s="2"/>
      <c r="N39" s="2"/>
      <c r="O39" s="65"/>
      <c r="P39" s="2"/>
      <c r="Q39" s="2"/>
    </row>
    <row r="40" spans="1:17" ht="14.5">
      <c r="A40" s="2"/>
      <c r="B40" s="2"/>
      <c r="C40" s="2"/>
      <c r="D40" s="2"/>
      <c r="E40" s="2"/>
      <c r="F40" s="2"/>
      <c r="G40" s="2"/>
      <c r="H40" s="24"/>
      <c r="I40" s="24"/>
      <c r="J40" s="24"/>
      <c r="K40" s="24"/>
      <c r="L40" s="2"/>
      <c r="M40" s="2"/>
      <c r="N40" s="2"/>
      <c r="O40" s="65"/>
      <c r="P40" s="2"/>
      <c r="Q40" s="2"/>
    </row>
    <row r="41" spans="1:17" ht="14.5">
      <c r="A41" s="2"/>
      <c r="B41" s="2"/>
      <c r="C41" s="2"/>
      <c r="D41" s="2"/>
      <c r="E41" s="2"/>
      <c r="F41" s="2"/>
      <c r="G41" s="2"/>
      <c r="H41" s="24"/>
      <c r="I41" s="24"/>
      <c r="J41" s="24"/>
      <c r="K41" s="24"/>
      <c r="L41" s="2"/>
      <c r="M41" s="2"/>
      <c r="N41" s="2"/>
      <c r="O41" s="65"/>
      <c r="P41" s="2"/>
      <c r="Q41" s="2"/>
    </row>
    <row r="42" spans="1:17" ht="14.5">
      <c r="A42" s="2"/>
      <c r="B42" s="2"/>
      <c r="C42" s="2"/>
      <c r="D42" s="2"/>
      <c r="E42" s="2"/>
      <c r="F42" s="2"/>
      <c r="G42" s="2"/>
      <c r="H42" s="24"/>
      <c r="I42" s="24"/>
      <c r="J42" s="24"/>
      <c r="K42" s="24"/>
      <c r="L42" s="2"/>
      <c r="M42" s="2"/>
      <c r="N42" s="2"/>
      <c r="O42" s="65"/>
      <c r="P42" s="2"/>
      <c r="Q42" s="2"/>
    </row>
    <row r="43" spans="1:17" ht="14.5">
      <c r="A43" s="2"/>
      <c r="B43" s="2"/>
      <c r="C43" s="2"/>
      <c r="D43" s="2"/>
      <c r="E43" s="2"/>
      <c r="F43" s="2"/>
      <c r="G43" s="2"/>
      <c r="H43" s="24"/>
      <c r="I43" s="24"/>
      <c r="J43" s="24"/>
      <c r="K43" s="24"/>
      <c r="L43" s="2"/>
      <c r="M43" s="2"/>
      <c r="N43" s="2"/>
      <c r="O43" s="65"/>
      <c r="P43" s="2"/>
      <c r="Q43" s="2"/>
    </row>
    <row r="44" spans="1:17" ht="14.5">
      <c r="A44" s="2"/>
      <c r="B44" s="2"/>
      <c r="C44" s="2"/>
      <c r="D44" s="2"/>
      <c r="E44" s="2"/>
      <c r="F44" s="2"/>
      <c r="G44" s="2"/>
      <c r="H44" s="24"/>
      <c r="I44" s="24"/>
      <c r="J44" s="24"/>
      <c r="K44" s="24"/>
      <c r="L44" s="2"/>
      <c r="M44" s="2"/>
      <c r="N44" s="2"/>
      <c r="O44" s="65"/>
      <c r="P44" s="2"/>
      <c r="Q44" s="2"/>
    </row>
    <row r="45" spans="1:17" ht="14.5">
      <c r="A45" s="2"/>
      <c r="B45" s="2"/>
      <c r="C45" s="2"/>
      <c r="D45" s="2"/>
      <c r="E45" s="2"/>
      <c r="F45" s="2"/>
      <c r="G45" s="2"/>
      <c r="H45" s="24"/>
      <c r="I45" s="24"/>
      <c r="J45" s="24"/>
      <c r="K45" s="24"/>
      <c r="L45" s="2"/>
      <c r="M45" s="2"/>
      <c r="N45" s="2"/>
      <c r="O45" s="65"/>
      <c r="P45" s="2"/>
      <c r="Q45" s="2"/>
    </row>
    <row r="46" spans="1:17" ht="14.5">
      <c r="A46" s="2"/>
      <c r="B46" s="2"/>
      <c r="C46" s="2"/>
      <c r="D46" s="2"/>
      <c r="E46" s="2"/>
      <c r="F46" s="2"/>
      <c r="G46" s="2"/>
      <c r="H46" s="24"/>
      <c r="I46" s="24"/>
      <c r="J46" s="24"/>
      <c r="K46" s="24"/>
      <c r="L46" s="2"/>
      <c r="M46" s="2"/>
      <c r="N46" s="2"/>
      <c r="O46" s="65"/>
      <c r="P46" s="2"/>
      <c r="Q46" s="2"/>
    </row>
    <row r="47" spans="1:17" ht="14.5">
      <c r="A47" s="2"/>
      <c r="B47" s="2"/>
      <c r="C47" s="2"/>
      <c r="D47" s="2"/>
      <c r="E47" s="2"/>
      <c r="F47" s="2"/>
      <c r="G47" s="2"/>
      <c r="H47" s="24"/>
      <c r="I47" s="24"/>
      <c r="J47" s="24"/>
      <c r="K47" s="24"/>
      <c r="L47" s="2"/>
      <c r="M47" s="2"/>
      <c r="N47" s="2"/>
      <c r="O47" s="65"/>
      <c r="P47" s="2"/>
      <c r="Q47" s="2"/>
    </row>
    <row r="48" spans="1:17" ht="14.5">
      <c r="A48" s="2"/>
      <c r="B48" s="2"/>
      <c r="C48" s="2"/>
      <c r="D48" s="2"/>
      <c r="E48" s="2"/>
      <c r="F48" s="2"/>
      <c r="G48" s="2"/>
      <c r="H48" s="24"/>
      <c r="I48" s="24"/>
      <c r="J48" s="24"/>
      <c r="K48" s="24"/>
      <c r="L48" s="2"/>
      <c r="M48" s="2"/>
      <c r="N48" s="2"/>
      <c r="O48" s="65"/>
      <c r="P48" s="2"/>
      <c r="Q48" s="2"/>
    </row>
    <row r="49" spans="1:17" ht="14.5">
      <c r="A49" s="2"/>
      <c r="B49" s="2"/>
      <c r="C49" s="2"/>
      <c r="D49" s="2"/>
      <c r="E49" s="2"/>
      <c r="F49" s="2"/>
      <c r="G49" s="2"/>
      <c r="H49" s="24"/>
      <c r="I49" s="24"/>
      <c r="J49" s="24"/>
      <c r="K49" s="24"/>
      <c r="L49" s="2"/>
      <c r="M49" s="2"/>
      <c r="N49" s="2"/>
      <c r="O49" s="65"/>
      <c r="P49" s="2"/>
      <c r="Q49" s="2"/>
    </row>
    <row r="50" spans="1:17" ht="14.5">
      <c r="A50" s="2"/>
      <c r="B50" s="2"/>
      <c r="C50" s="2"/>
      <c r="D50" s="2"/>
      <c r="E50" s="2"/>
      <c r="F50" s="2"/>
      <c r="G50" s="2"/>
      <c r="H50" s="24"/>
      <c r="I50" s="24"/>
      <c r="J50" s="24"/>
      <c r="K50" s="24"/>
      <c r="L50" s="2"/>
      <c r="M50" s="2"/>
      <c r="N50" s="2"/>
      <c r="O50" s="65"/>
      <c r="P50" s="2"/>
      <c r="Q50" s="2"/>
    </row>
    <row r="51" spans="1:17" ht="14.5">
      <c r="A51" s="2"/>
      <c r="B51" s="2"/>
      <c r="C51" s="2"/>
      <c r="D51" s="2"/>
      <c r="E51" s="2"/>
      <c r="F51" s="2"/>
      <c r="G51" s="2"/>
      <c r="H51" s="24"/>
      <c r="I51" s="24"/>
      <c r="J51" s="24"/>
      <c r="K51" s="24"/>
      <c r="L51" s="2"/>
      <c r="M51" s="2"/>
      <c r="N51" s="2"/>
      <c r="O51" s="65"/>
      <c r="P51" s="2"/>
      <c r="Q51" s="2"/>
    </row>
    <row r="52" spans="1:17" ht="14.5">
      <c r="A52" s="2"/>
      <c r="B52" s="2"/>
      <c r="C52" s="2"/>
      <c r="D52" s="2"/>
      <c r="E52" s="2"/>
      <c r="F52" s="2"/>
      <c r="G52" s="2"/>
      <c r="H52" s="24"/>
      <c r="I52" s="24"/>
      <c r="J52" s="24"/>
      <c r="K52" s="24"/>
      <c r="L52" s="2"/>
      <c r="M52" s="2"/>
      <c r="N52" s="2"/>
      <c r="O52" s="65"/>
      <c r="P52" s="2"/>
      <c r="Q52" s="2"/>
    </row>
    <row r="53" spans="1:17" ht="14.5">
      <c r="A53" s="2"/>
      <c r="B53" s="2"/>
      <c r="C53" s="2"/>
      <c r="D53" s="2"/>
      <c r="E53" s="2"/>
      <c r="F53" s="2"/>
      <c r="G53" s="2"/>
      <c r="H53" s="24"/>
      <c r="I53" s="24"/>
      <c r="J53" s="24"/>
      <c r="K53" s="24"/>
      <c r="L53" s="2"/>
      <c r="M53" s="2"/>
      <c r="N53" s="2"/>
      <c r="O53" s="65"/>
      <c r="P53" s="2"/>
      <c r="Q53" s="2"/>
    </row>
    <row r="54" spans="1:17" ht="14.5">
      <c r="A54" s="2"/>
      <c r="B54" s="2"/>
      <c r="C54" s="2"/>
      <c r="D54" s="2"/>
      <c r="E54" s="2"/>
      <c r="F54" s="2"/>
      <c r="G54" s="2"/>
      <c r="H54" s="24"/>
      <c r="I54" s="24"/>
      <c r="J54" s="24"/>
      <c r="K54" s="24"/>
      <c r="L54" s="2"/>
      <c r="M54" s="2"/>
      <c r="N54" s="2"/>
      <c r="O54" s="65"/>
      <c r="P54" s="2"/>
      <c r="Q54" s="2"/>
    </row>
    <row r="55" spans="1:17" ht="14.5">
      <c r="A55" s="2"/>
      <c r="B55" s="2"/>
      <c r="C55" s="2"/>
      <c r="D55" s="2"/>
      <c r="E55" s="2"/>
      <c r="F55" s="2"/>
      <c r="G55" s="2"/>
      <c r="H55" s="24"/>
      <c r="I55" s="24"/>
      <c r="J55" s="24"/>
      <c r="K55" s="24"/>
      <c r="L55" s="2"/>
      <c r="M55" s="2"/>
      <c r="N55" s="2"/>
      <c r="O55" s="65"/>
      <c r="P55" s="2"/>
      <c r="Q55" s="2"/>
    </row>
    <row r="56" spans="1:17" ht="14.5">
      <c r="A56" s="2"/>
      <c r="B56" s="2"/>
      <c r="C56" s="2"/>
      <c r="D56" s="2"/>
      <c r="E56" s="2"/>
      <c r="F56" s="2"/>
      <c r="G56" s="2"/>
      <c r="H56" s="24"/>
      <c r="I56" s="24"/>
      <c r="J56" s="24"/>
      <c r="K56" s="24"/>
      <c r="L56" s="2"/>
      <c r="M56" s="2"/>
      <c r="N56" s="2"/>
      <c r="O56" s="65"/>
      <c r="P56" s="2"/>
      <c r="Q56" s="2"/>
    </row>
    <row r="57" spans="1:17" ht="14.5">
      <c r="A57" s="2"/>
      <c r="B57" s="2"/>
      <c r="C57" s="2"/>
      <c r="D57" s="2"/>
      <c r="E57" s="2"/>
      <c r="F57" s="2"/>
      <c r="G57" s="2"/>
      <c r="H57" s="24"/>
      <c r="I57" s="24"/>
      <c r="J57" s="24"/>
      <c r="K57" s="24"/>
      <c r="L57" s="2"/>
      <c r="M57" s="2"/>
      <c r="N57" s="2"/>
      <c r="O57" s="65"/>
      <c r="P57" s="2"/>
      <c r="Q57" s="2"/>
    </row>
    <row r="58" spans="1:17" ht="14.5">
      <c r="A58" s="2"/>
      <c r="B58" s="2"/>
      <c r="C58" s="2"/>
      <c r="D58" s="2"/>
      <c r="E58" s="2"/>
      <c r="F58" s="2"/>
      <c r="G58" s="2"/>
      <c r="H58" s="24"/>
      <c r="I58" s="24"/>
      <c r="J58" s="24"/>
      <c r="K58" s="24"/>
      <c r="L58" s="2"/>
      <c r="M58" s="2"/>
      <c r="N58" s="2"/>
      <c r="O58" s="65"/>
      <c r="P58" s="2"/>
      <c r="Q58" s="2"/>
    </row>
    <row r="59" spans="1:17" ht="14.5">
      <c r="A59" s="2"/>
      <c r="B59" s="2"/>
      <c r="C59" s="2"/>
      <c r="D59" s="2"/>
      <c r="E59" s="2"/>
      <c r="F59" s="2"/>
      <c r="G59" s="2"/>
      <c r="H59" s="24"/>
      <c r="I59" s="24"/>
      <c r="J59" s="24"/>
      <c r="K59" s="24"/>
      <c r="L59" s="2"/>
      <c r="M59" s="2"/>
      <c r="N59" s="2"/>
      <c r="O59" s="65"/>
      <c r="P59" s="2"/>
      <c r="Q59" s="2"/>
    </row>
    <row r="60" spans="1:17" ht="14.5">
      <c r="A60" s="2"/>
      <c r="B60" s="2"/>
      <c r="C60" s="2"/>
      <c r="D60" s="2"/>
      <c r="E60" s="2"/>
      <c r="F60" s="2"/>
      <c r="G60" s="2"/>
      <c r="H60" s="24"/>
      <c r="I60" s="24"/>
      <c r="J60" s="24"/>
      <c r="K60" s="24"/>
      <c r="L60" s="2"/>
      <c r="M60" s="2"/>
      <c r="N60" s="2"/>
      <c r="O60" s="65"/>
      <c r="P60" s="2"/>
      <c r="Q60" s="2"/>
    </row>
    <row r="61" spans="1:17" ht="14.5">
      <c r="A61" s="2"/>
      <c r="B61" s="2"/>
      <c r="C61" s="2"/>
      <c r="D61" s="2"/>
      <c r="E61" s="2"/>
      <c r="F61" s="2"/>
      <c r="G61" s="2"/>
      <c r="H61" s="24"/>
      <c r="I61" s="24"/>
      <c r="J61" s="24"/>
      <c r="K61" s="24"/>
      <c r="L61" s="2"/>
      <c r="M61" s="2"/>
      <c r="N61" s="2"/>
      <c r="O61" s="65"/>
      <c r="P61" s="2"/>
      <c r="Q61" s="2"/>
    </row>
    <row r="62" spans="1:17" ht="14.5">
      <c r="A62" s="2"/>
      <c r="B62" s="2"/>
      <c r="C62" s="2"/>
      <c r="D62" s="2"/>
      <c r="E62" s="2"/>
      <c r="F62" s="2"/>
      <c r="G62" s="2"/>
      <c r="H62" s="24"/>
      <c r="I62" s="24"/>
      <c r="J62" s="24"/>
      <c r="K62" s="24"/>
      <c r="L62" s="2"/>
      <c r="M62" s="2"/>
      <c r="N62" s="2"/>
      <c r="O62" s="65"/>
      <c r="P62" s="2"/>
      <c r="Q62" s="2"/>
    </row>
    <row r="63" spans="1:17" ht="14.5">
      <c r="A63" s="2"/>
      <c r="B63" s="2"/>
      <c r="C63" s="2"/>
      <c r="D63" s="2"/>
      <c r="E63" s="2"/>
      <c r="F63" s="2"/>
      <c r="G63" s="2"/>
      <c r="H63" s="24"/>
      <c r="I63" s="24"/>
      <c r="J63" s="24"/>
      <c r="K63" s="24"/>
      <c r="L63" s="2"/>
      <c r="M63" s="2"/>
      <c r="N63" s="2"/>
      <c r="O63" s="65"/>
      <c r="P63" s="2"/>
      <c r="Q63" s="2"/>
    </row>
    <row r="64" spans="1:17" ht="14.5">
      <c r="A64" s="2"/>
      <c r="B64" s="2"/>
      <c r="C64" s="2"/>
      <c r="D64" s="2"/>
      <c r="E64" s="2"/>
      <c r="F64" s="2"/>
      <c r="G64" s="2"/>
      <c r="H64" s="24"/>
      <c r="I64" s="24"/>
      <c r="J64" s="24"/>
      <c r="K64" s="24"/>
      <c r="L64" s="2"/>
      <c r="M64" s="2"/>
      <c r="N64" s="2"/>
      <c r="O64" s="65"/>
      <c r="P64" s="2"/>
      <c r="Q64" s="2"/>
    </row>
    <row r="65" spans="1:17" ht="14.5">
      <c r="A65" s="2"/>
      <c r="B65" s="2"/>
      <c r="C65" s="2"/>
      <c r="D65" s="2"/>
      <c r="E65" s="2"/>
      <c r="F65" s="2"/>
      <c r="G65" s="2"/>
      <c r="H65" s="24"/>
      <c r="I65" s="24"/>
      <c r="J65" s="24"/>
      <c r="K65" s="24"/>
      <c r="L65" s="2"/>
      <c r="M65" s="2"/>
      <c r="N65" s="2"/>
      <c r="O65" s="65"/>
      <c r="P65" s="2"/>
      <c r="Q65" s="2"/>
    </row>
    <row r="66" spans="1:17" ht="14.5">
      <c r="A66" s="2"/>
      <c r="B66" s="2"/>
      <c r="C66" s="2"/>
      <c r="D66" s="2"/>
      <c r="E66" s="2"/>
      <c r="F66" s="2"/>
      <c r="G66" s="2"/>
      <c r="H66" s="24"/>
      <c r="I66" s="24"/>
      <c r="J66" s="24"/>
      <c r="K66" s="24"/>
      <c r="L66" s="2"/>
      <c r="M66" s="2"/>
      <c r="N66" s="2"/>
      <c r="O66" s="65"/>
      <c r="P66" s="2"/>
      <c r="Q66" s="2"/>
    </row>
    <row r="67" spans="1:17" ht="14.5">
      <c r="A67" s="2"/>
      <c r="B67" s="2"/>
      <c r="C67" s="2"/>
      <c r="D67" s="2"/>
      <c r="E67" s="2"/>
      <c r="F67" s="2"/>
      <c r="G67" s="2"/>
      <c r="H67" s="24"/>
      <c r="I67" s="24"/>
      <c r="J67" s="24"/>
      <c r="K67" s="24"/>
      <c r="L67" s="2"/>
      <c r="M67" s="2"/>
      <c r="N67" s="2"/>
      <c r="O67" s="65"/>
      <c r="P67" s="2"/>
      <c r="Q67" s="2"/>
    </row>
    <row r="68" spans="1:17" ht="14.5">
      <c r="A68" s="2"/>
      <c r="B68" s="2"/>
      <c r="C68" s="2"/>
      <c r="D68" s="2"/>
      <c r="E68" s="2"/>
      <c r="F68" s="2"/>
      <c r="G68" s="2"/>
      <c r="H68" s="24"/>
      <c r="I68" s="24"/>
      <c r="J68" s="24"/>
      <c r="K68" s="24"/>
      <c r="L68" s="2"/>
      <c r="M68" s="2"/>
      <c r="N68" s="2"/>
      <c r="O68" s="65"/>
      <c r="P68" s="2"/>
      <c r="Q68" s="2"/>
    </row>
    <row r="69" spans="1:17" ht="14.5">
      <c r="A69" s="2"/>
      <c r="B69" s="2"/>
      <c r="C69" s="2"/>
      <c r="D69" s="2"/>
      <c r="E69" s="2"/>
      <c r="F69" s="2"/>
      <c r="G69" s="2"/>
      <c r="H69" s="24"/>
      <c r="I69" s="24"/>
      <c r="J69" s="24"/>
      <c r="K69" s="24"/>
      <c r="L69" s="2"/>
      <c r="M69" s="2"/>
      <c r="N69" s="2"/>
      <c r="O69" s="65"/>
      <c r="P69" s="2"/>
      <c r="Q69" s="2"/>
    </row>
    <row r="70" spans="1:17" ht="14.5">
      <c r="A70" s="2"/>
      <c r="B70" s="2"/>
      <c r="C70" s="2"/>
      <c r="D70" s="2"/>
      <c r="E70" s="2"/>
      <c r="F70" s="2"/>
      <c r="G70" s="2"/>
      <c r="H70" s="24"/>
      <c r="I70" s="24"/>
      <c r="J70" s="24"/>
      <c r="K70" s="24"/>
      <c r="L70" s="2"/>
      <c r="M70" s="2"/>
      <c r="N70" s="2"/>
      <c r="O70" s="65"/>
      <c r="P70" s="2"/>
      <c r="Q70" s="2"/>
    </row>
    <row r="71" spans="1:17" ht="14.5">
      <c r="A71" s="2"/>
      <c r="B71" s="2"/>
      <c r="C71" s="2"/>
      <c r="D71" s="2"/>
      <c r="E71" s="2"/>
      <c r="F71" s="2"/>
      <c r="G71" s="2"/>
      <c r="H71" s="24"/>
      <c r="I71" s="24"/>
      <c r="J71" s="24"/>
      <c r="K71" s="24"/>
      <c r="L71" s="2"/>
      <c r="M71" s="2"/>
      <c r="N71" s="2"/>
      <c r="O71" s="65"/>
      <c r="P71" s="2"/>
      <c r="Q71" s="2"/>
    </row>
    <row r="72" spans="1:17" ht="14.5">
      <c r="A72" s="2"/>
      <c r="B72" s="2"/>
      <c r="C72" s="2"/>
      <c r="D72" s="2"/>
      <c r="E72" s="2"/>
      <c r="F72" s="2"/>
      <c r="G72" s="2"/>
      <c r="H72" s="24"/>
      <c r="I72" s="24"/>
      <c r="J72" s="24"/>
      <c r="K72" s="24"/>
      <c r="L72" s="2"/>
      <c r="M72" s="2"/>
      <c r="N72" s="2"/>
      <c r="O72" s="65"/>
      <c r="P72" s="2"/>
      <c r="Q72" s="2"/>
    </row>
    <row r="73" spans="1:17" ht="14.5">
      <c r="A73" s="2"/>
      <c r="B73" s="2"/>
      <c r="C73" s="2"/>
      <c r="D73" s="2"/>
      <c r="E73" s="2"/>
      <c r="F73" s="2"/>
      <c r="G73" s="2"/>
      <c r="H73" s="24"/>
      <c r="I73" s="24"/>
      <c r="J73" s="24"/>
      <c r="K73" s="24"/>
      <c r="L73" s="2"/>
      <c r="M73" s="2"/>
      <c r="N73" s="2"/>
      <c r="O73" s="65"/>
      <c r="P73" s="2"/>
      <c r="Q73" s="2"/>
    </row>
    <row r="74" spans="1:17" ht="14.5">
      <c r="A74" s="2"/>
      <c r="B74" s="2"/>
      <c r="C74" s="2"/>
      <c r="D74" s="2"/>
      <c r="E74" s="2"/>
      <c r="F74" s="2"/>
      <c r="G74" s="2"/>
      <c r="H74" s="24"/>
      <c r="I74" s="24"/>
      <c r="J74" s="24"/>
      <c r="K74" s="24"/>
      <c r="L74" s="2"/>
      <c r="M74" s="2"/>
      <c r="N74" s="2"/>
      <c r="O74" s="65"/>
      <c r="P74" s="2"/>
      <c r="Q74" s="2"/>
    </row>
    <row r="75" spans="1:17" ht="14.5">
      <c r="A75" s="2"/>
      <c r="B75" s="2"/>
      <c r="C75" s="2"/>
      <c r="D75" s="2"/>
      <c r="E75" s="2"/>
      <c r="F75" s="2"/>
      <c r="G75" s="2"/>
      <c r="H75" s="24"/>
      <c r="I75" s="24"/>
      <c r="J75" s="24"/>
      <c r="K75" s="24"/>
      <c r="L75" s="2"/>
      <c r="M75" s="2"/>
      <c r="N75" s="2"/>
      <c r="O75" s="65"/>
      <c r="P75" s="2"/>
      <c r="Q75" s="2"/>
    </row>
    <row r="76" spans="1:17" ht="14.5">
      <c r="A76" s="2"/>
      <c r="B76" s="2"/>
      <c r="C76" s="2"/>
      <c r="D76" s="2"/>
      <c r="E76" s="2"/>
      <c r="F76" s="2"/>
      <c r="G76" s="2"/>
      <c r="H76" s="24"/>
      <c r="I76" s="24"/>
      <c r="J76" s="24"/>
      <c r="K76" s="24"/>
      <c r="L76" s="2"/>
      <c r="M76" s="2"/>
      <c r="N76" s="2"/>
      <c r="O76" s="65"/>
      <c r="P76" s="2"/>
      <c r="Q76" s="2"/>
    </row>
    <row r="77" spans="1:17" ht="14.5">
      <c r="A77" s="2"/>
      <c r="B77" s="2"/>
      <c r="C77" s="2"/>
      <c r="D77" s="2"/>
      <c r="E77" s="2"/>
      <c r="F77" s="2"/>
      <c r="G77" s="2"/>
      <c r="H77" s="24"/>
      <c r="I77" s="24"/>
      <c r="J77" s="24"/>
      <c r="K77" s="24"/>
      <c r="L77" s="2"/>
      <c r="M77" s="2"/>
      <c r="N77" s="2"/>
      <c r="O77" s="65"/>
      <c r="P77" s="2"/>
      <c r="Q77" s="2"/>
    </row>
    <row r="78" spans="1:17" ht="14.5">
      <c r="A78" s="2"/>
      <c r="B78" s="2"/>
      <c r="C78" s="2"/>
      <c r="D78" s="2"/>
      <c r="E78" s="2"/>
      <c r="F78" s="2"/>
      <c r="G78" s="2"/>
      <c r="H78" s="24"/>
      <c r="I78" s="24"/>
      <c r="J78" s="24"/>
      <c r="K78" s="24"/>
      <c r="L78" s="2"/>
      <c r="M78" s="2"/>
      <c r="N78" s="2"/>
      <c r="O78" s="65"/>
      <c r="P78" s="2"/>
      <c r="Q78" s="2"/>
    </row>
    <row r="79" spans="1:17" ht="14.5">
      <c r="A79" s="2"/>
      <c r="B79" s="2"/>
      <c r="C79" s="2"/>
      <c r="D79" s="2"/>
      <c r="E79" s="2"/>
      <c r="F79" s="2"/>
      <c r="G79" s="2"/>
      <c r="H79" s="24"/>
      <c r="I79" s="24"/>
      <c r="J79" s="24"/>
      <c r="K79" s="24"/>
      <c r="L79" s="2"/>
      <c r="M79" s="2"/>
      <c r="N79" s="2"/>
      <c r="O79" s="65"/>
      <c r="P79" s="2"/>
      <c r="Q79" s="2"/>
    </row>
    <row r="80" spans="1:17" ht="14.5">
      <c r="A80" s="2"/>
      <c r="B80" s="2"/>
      <c r="C80" s="2"/>
      <c r="D80" s="2"/>
      <c r="E80" s="2"/>
      <c r="F80" s="2"/>
      <c r="G80" s="2"/>
      <c r="H80" s="24"/>
      <c r="I80" s="24"/>
      <c r="J80" s="24"/>
      <c r="K80" s="24"/>
      <c r="L80" s="2"/>
      <c r="M80" s="2"/>
      <c r="N80" s="2"/>
      <c r="O80" s="65"/>
      <c r="P80" s="2"/>
      <c r="Q80" s="2"/>
    </row>
    <row r="81" spans="1:17" ht="14.5">
      <c r="A81" s="2"/>
      <c r="B81" s="2"/>
      <c r="C81" s="2"/>
      <c r="D81" s="2"/>
      <c r="E81" s="2"/>
      <c r="F81" s="2"/>
      <c r="G81" s="2"/>
      <c r="H81" s="24"/>
      <c r="I81" s="24"/>
      <c r="J81" s="24"/>
      <c r="K81" s="24"/>
      <c r="L81" s="2"/>
      <c r="M81" s="2"/>
      <c r="N81" s="2"/>
      <c r="O81" s="65"/>
      <c r="P81" s="2"/>
      <c r="Q81" s="2"/>
    </row>
    <row r="82" spans="1:17" ht="14.5">
      <c r="A82" s="2"/>
      <c r="B82" s="2"/>
      <c r="C82" s="2"/>
      <c r="D82" s="2"/>
      <c r="E82" s="2"/>
      <c r="F82" s="2"/>
      <c r="G82" s="2"/>
      <c r="H82" s="24"/>
      <c r="I82" s="24"/>
      <c r="J82" s="24"/>
      <c r="K82" s="24"/>
      <c r="L82" s="2"/>
      <c r="M82" s="2"/>
      <c r="N82" s="2"/>
      <c r="O82" s="65"/>
      <c r="P82" s="2"/>
      <c r="Q82" s="2"/>
    </row>
    <row r="83" spans="1:17" ht="14.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14.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4.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14.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4.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4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14.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4.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4.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14.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14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14.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14.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14.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14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14.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14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14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14.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4.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4.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4.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14.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14.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14.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14.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14.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4.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14.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4.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4.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4.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4.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4.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4.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4.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4.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4.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4.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</sheetData>
  <mergeCells count="1">
    <mergeCell ref="A2:A6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4FED0-CE39-44CE-AA59-15B3B95DAD25}">
  <dimension ref="A1:O38"/>
  <sheetViews>
    <sheetView workbookViewId="0">
      <selection activeCell="E14" sqref="E14"/>
    </sheetView>
  </sheetViews>
  <sheetFormatPr defaultColWidth="16.81640625" defaultRowHeight="14.5"/>
  <cols>
    <col min="1" max="1" width="77.1796875" bestFit="1" customWidth="1"/>
    <col min="2" max="2" width="15.7265625" bestFit="1" customWidth="1"/>
    <col min="3" max="3" width="10" bestFit="1" customWidth="1"/>
    <col min="4" max="4" width="11.81640625" bestFit="1" customWidth="1"/>
    <col min="5" max="5" width="16.453125" bestFit="1" customWidth="1"/>
    <col min="7" max="7" width="77.1796875" bestFit="1" customWidth="1"/>
    <col min="8" max="8" width="15.7265625" bestFit="1" customWidth="1"/>
    <col min="9" max="9" width="10" bestFit="1" customWidth="1"/>
    <col min="10" max="10" width="11.81640625" bestFit="1" customWidth="1"/>
    <col min="12" max="12" width="77.1796875" bestFit="1" customWidth="1"/>
    <col min="13" max="13" width="15.7265625" bestFit="1" customWidth="1"/>
    <col min="14" max="14" width="10" bestFit="1" customWidth="1"/>
    <col min="15" max="15" width="11.81640625" bestFit="1" customWidth="1"/>
  </cols>
  <sheetData>
    <row r="1" spans="1:15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533" t="s">
        <v>91</v>
      </c>
      <c r="B3" s="519"/>
      <c r="C3" s="519"/>
      <c r="D3" s="546"/>
      <c r="E3" s="148" t="s">
        <v>92</v>
      </c>
      <c r="F3" s="2"/>
      <c r="G3" s="533" t="s">
        <v>91</v>
      </c>
      <c r="H3" s="519"/>
      <c r="I3" s="519"/>
      <c r="J3" s="519"/>
      <c r="K3" s="149"/>
      <c r="L3" s="547" t="s">
        <v>91</v>
      </c>
      <c r="M3" s="548"/>
      <c r="N3" s="548"/>
      <c r="O3" s="548"/>
    </row>
    <row r="4" spans="1:15">
      <c r="A4" s="9" t="s">
        <v>93</v>
      </c>
      <c r="B4" s="9" t="s">
        <v>94</v>
      </c>
      <c r="C4" s="9" t="s">
        <v>35</v>
      </c>
      <c r="D4" s="86">
        <v>0</v>
      </c>
      <c r="E4" s="150" t="s">
        <v>95</v>
      </c>
      <c r="F4" s="2"/>
      <c r="G4" s="9" t="s">
        <v>93</v>
      </c>
      <c r="H4" s="9" t="s">
        <v>94</v>
      </c>
      <c r="I4" s="9" t="s">
        <v>35</v>
      </c>
      <c r="J4" s="151">
        <v>0</v>
      </c>
      <c r="K4" s="4"/>
      <c r="L4" s="152" t="s">
        <v>93</v>
      </c>
      <c r="M4" s="9" t="s">
        <v>94</v>
      </c>
      <c r="N4" s="9" t="s">
        <v>35</v>
      </c>
      <c r="O4" s="153">
        <v>0</v>
      </c>
    </row>
    <row r="5" spans="1:15" ht="43.5">
      <c r="A5" s="9" t="s">
        <v>96</v>
      </c>
      <c r="B5" s="9" t="s">
        <v>97</v>
      </c>
      <c r="C5" s="9"/>
      <c r="D5" s="87">
        <f>'GS5043 PTDs'!O16</f>
        <v>1054963.5999999999</v>
      </c>
      <c r="E5" s="150" t="s">
        <v>273</v>
      </c>
      <c r="F5" s="2"/>
      <c r="G5" s="9" t="s">
        <v>96</v>
      </c>
      <c r="H5" s="9" t="s">
        <v>97</v>
      </c>
      <c r="I5" s="9"/>
      <c r="J5" s="154">
        <f>'GS5043 PTDs'!L16</f>
        <v>444413.79999999993</v>
      </c>
      <c r="K5" s="4"/>
      <c r="L5" s="152" t="s">
        <v>96</v>
      </c>
      <c r="M5" s="9" t="s">
        <v>97</v>
      </c>
      <c r="N5" s="9"/>
      <c r="O5" s="155">
        <f>'GS5043 PTDs'!N16</f>
        <v>610549.80000000005</v>
      </c>
    </row>
    <row r="6" spans="1:15">
      <c r="A6" s="9" t="s">
        <v>99</v>
      </c>
      <c r="B6" s="9" t="s">
        <v>100</v>
      </c>
      <c r="C6" s="9" t="s">
        <v>101</v>
      </c>
      <c r="D6" s="86">
        <v>4.0000000000000002E-4</v>
      </c>
      <c r="E6" s="150" t="s">
        <v>102</v>
      </c>
      <c r="F6" s="2"/>
      <c r="G6" s="9" t="s">
        <v>99</v>
      </c>
      <c r="H6" s="9" t="s">
        <v>100</v>
      </c>
      <c r="I6" s="9" t="s">
        <v>101</v>
      </c>
      <c r="J6" s="151">
        <v>4.0000000000000002E-4</v>
      </c>
      <c r="K6" s="4"/>
      <c r="L6" s="152" t="s">
        <v>99</v>
      </c>
      <c r="M6" s="9" t="s">
        <v>100</v>
      </c>
      <c r="N6" s="9" t="s">
        <v>101</v>
      </c>
      <c r="O6" s="153">
        <v>4.0000000000000002E-4</v>
      </c>
    </row>
    <row r="7" spans="1:15" ht="43.5">
      <c r="A7" s="88" t="s">
        <v>103</v>
      </c>
      <c r="B7" s="9" t="s">
        <v>104</v>
      </c>
      <c r="C7" s="9" t="s">
        <v>105</v>
      </c>
      <c r="D7" s="86">
        <v>7.5</v>
      </c>
      <c r="E7" s="150" t="s">
        <v>106</v>
      </c>
      <c r="F7" s="2"/>
      <c r="G7" s="88" t="s">
        <v>103</v>
      </c>
      <c r="H7" s="9" t="s">
        <v>104</v>
      </c>
      <c r="I7" s="9" t="s">
        <v>105</v>
      </c>
      <c r="J7" s="151">
        <v>7.5</v>
      </c>
      <c r="K7" s="4"/>
      <c r="L7" s="156" t="s">
        <v>103</v>
      </c>
      <c r="M7" s="9" t="s">
        <v>104</v>
      </c>
      <c r="N7" s="9" t="s">
        <v>105</v>
      </c>
      <c r="O7" s="153">
        <v>7.5</v>
      </c>
    </row>
    <row r="8" spans="1:15">
      <c r="A8" s="88" t="s">
        <v>107</v>
      </c>
      <c r="B8" s="9" t="s">
        <v>108</v>
      </c>
      <c r="C8" s="9" t="s">
        <v>105</v>
      </c>
      <c r="D8" s="86">
        <v>0</v>
      </c>
      <c r="E8" s="150" t="s">
        <v>109</v>
      </c>
      <c r="F8" s="2"/>
      <c r="G8" s="88" t="s">
        <v>107</v>
      </c>
      <c r="H8" s="9" t="s">
        <v>108</v>
      </c>
      <c r="I8" s="9" t="s">
        <v>105</v>
      </c>
      <c r="J8" s="151">
        <v>0</v>
      </c>
      <c r="K8" s="4"/>
      <c r="L8" s="156" t="s">
        <v>107</v>
      </c>
      <c r="M8" s="9" t="s">
        <v>108</v>
      </c>
      <c r="N8" s="9" t="s">
        <v>105</v>
      </c>
      <c r="O8" s="153">
        <v>0</v>
      </c>
    </row>
    <row r="9" spans="1:15">
      <c r="A9" s="9" t="s">
        <v>110</v>
      </c>
      <c r="B9" s="9" t="s">
        <v>111</v>
      </c>
      <c r="C9" s="9" t="s">
        <v>112</v>
      </c>
      <c r="D9" s="86">
        <f>ROUNDDOWN((1-D4)*D5*D6*(D7+D8),0)</f>
        <v>3164</v>
      </c>
      <c r="E9" s="157"/>
      <c r="F9" s="2"/>
      <c r="G9" s="9" t="s">
        <v>110</v>
      </c>
      <c r="H9" s="9" t="s">
        <v>111</v>
      </c>
      <c r="I9" s="9" t="s">
        <v>112</v>
      </c>
      <c r="J9" s="151">
        <f>ROUNDDOWN((1-J4)*J5*J6*(J7+J8),0)</f>
        <v>1333</v>
      </c>
      <c r="K9" s="4"/>
      <c r="L9" s="152" t="s">
        <v>110</v>
      </c>
      <c r="M9" s="9" t="s">
        <v>111</v>
      </c>
      <c r="N9" s="9" t="s">
        <v>112</v>
      </c>
      <c r="O9" s="153">
        <f>ROUNDDOWN((1-O4)*O5*O6*(O7+O8),0)</f>
        <v>1831</v>
      </c>
    </row>
    <row r="10" spans="1:15">
      <c r="A10" s="2"/>
      <c r="B10" s="2"/>
      <c r="C10" s="2"/>
      <c r="D10" s="2"/>
      <c r="E10" s="4"/>
      <c r="F10" s="2"/>
      <c r="G10" s="2"/>
      <c r="H10" s="2"/>
      <c r="I10" s="2"/>
      <c r="J10" s="2"/>
      <c r="K10" s="4"/>
      <c r="L10" s="158"/>
      <c r="M10" s="2"/>
      <c r="N10" s="2"/>
      <c r="O10" s="159"/>
    </row>
    <row r="11" spans="1:15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4"/>
      <c r="L11" s="545" t="s">
        <v>113</v>
      </c>
      <c r="M11" s="519"/>
      <c r="N11" s="519"/>
      <c r="O11" s="519"/>
    </row>
    <row r="12" spans="1:15">
      <c r="A12" s="9" t="s">
        <v>114</v>
      </c>
      <c r="B12" s="9" t="s">
        <v>94</v>
      </c>
      <c r="C12" s="9" t="s">
        <v>35</v>
      </c>
      <c r="D12" s="86">
        <v>0</v>
      </c>
      <c r="E12" s="160" t="s">
        <v>95</v>
      </c>
      <c r="F12" s="2"/>
      <c r="G12" s="9" t="s">
        <v>114</v>
      </c>
      <c r="H12" s="9" t="s">
        <v>94</v>
      </c>
      <c r="I12" s="9" t="s">
        <v>35</v>
      </c>
      <c r="J12" s="151">
        <v>0</v>
      </c>
      <c r="K12" s="4"/>
      <c r="L12" s="152" t="s">
        <v>114</v>
      </c>
      <c r="M12" s="9" t="s">
        <v>94</v>
      </c>
      <c r="N12" s="9" t="s">
        <v>35</v>
      </c>
      <c r="O12" s="153">
        <v>0</v>
      </c>
    </row>
    <row r="13" spans="1:15" ht="43.5">
      <c r="A13" s="9" t="s">
        <v>96</v>
      </c>
      <c r="B13" s="9" t="s">
        <v>97</v>
      </c>
      <c r="C13" s="9"/>
      <c r="D13" s="87">
        <f>D5</f>
        <v>1054963.5999999999</v>
      </c>
      <c r="E13" s="150" t="s">
        <v>274</v>
      </c>
      <c r="F13" s="2"/>
      <c r="G13" s="9" t="s">
        <v>96</v>
      </c>
      <c r="H13" s="9" t="s">
        <v>97</v>
      </c>
      <c r="I13" s="9"/>
      <c r="J13" s="154">
        <f>J5</f>
        <v>444413.79999999993</v>
      </c>
      <c r="K13" s="4"/>
      <c r="L13" s="152" t="s">
        <v>96</v>
      </c>
      <c r="M13" s="9" t="s">
        <v>97</v>
      </c>
      <c r="N13" s="9"/>
      <c r="O13" s="155">
        <f>O5</f>
        <v>610549.80000000005</v>
      </c>
    </row>
    <row r="14" spans="1:15">
      <c r="A14" s="9" t="s">
        <v>116</v>
      </c>
      <c r="B14" s="9" t="s">
        <v>117</v>
      </c>
      <c r="C14" s="9" t="s">
        <v>101</v>
      </c>
      <c r="D14" s="86">
        <v>4.0000000000000002E-4</v>
      </c>
      <c r="E14" s="150"/>
      <c r="F14" s="2"/>
      <c r="G14" s="9" t="s">
        <v>116</v>
      </c>
      <c r="H14" s="9" t="s">
        <v>117</v>
      </c>
      <c r="I14" s="9" t="s">
        <v>101</v>
      </c>
      <c r="J14" s="151">
        <v>4.0000000000000002E-4</v>
      </c>
      <c r="K14" s="4"/>
      <c r="L14" s="152" t="s">
        <v>116</v>
      </c>
      <c r="M14" s="9" t="s">
        <v>117</v>
      </c>
      <c r="N14" s="9" t="s">
        <v>101</v>
      </c>
      <c r="O14" s="153">
        <v>4.0000000000000002E-4</v>
      </c>
    </row>
    <row r="15" spans="1:15">
      <c r="A15" s="9" t="s">
        <v>118</v>
      </c>
      <c r="B15" s="9" t="s">
        <v>108</v>
      </c>
      <c r="C15" s="9" t="s">
        <v>105</v>
      </c>
      <c r="D15" s="86">
        <v>0</v>
      </c>
      <c r="E15" s="150" t="s">
        <v>109</v>
      </c>
      <c r="F15" s="2"/>
      <c r="G15" s="9" t="s">
        <v>118</v>
      </c>
      <c r="H15" s="9" t="s">
        <v>108</v>
      </c>
      <c r="I15" s="9" t="s">
        <v>105</v>
      </c>
      <c r="J15" s="151">
        <v>0</v>
      </c>
      <c r="K15" s="4"/>
      <c r="L15" s="152" t="s">
        <v>118</v>
      </c>
      <c r="M15" s="9" t="s">
        <v>108</v>
      </c>
      <c r="N15" s="9" t="s">
        <v>105</v>
      </c>
      <c r="O15" s="153">
        <v>0</v>
      </c>
    </row>
    <row r="16" spans="1:15">
      <c r="A16" s="9" t="s">
        <v>119</v>
      </c>
      <c r="B16" s="9" t="s">
        <v>120</v>
      </c>
      <c r="C16" s="9" t="s">
        <v>105</v>
      </c>
      <c r="D16" s="86">
        <v>0</v>
      </c>
      <c r="E16" s="150" t="s">
        <v>109</v>
      </c>
      <c r="F16" s="2"/>
      <c r="G16" s="9" t="s">
        <v>119</v>
      </c>
      <c r="H16" s="9" t="s">
        <v>120</v>
      </c>
      <c r="I16" s="9" t="s">
        <v>105</v>
      </c>
      <c r="J16" s="151">
        <v>0</v>
      </c>
      <c r="K16" s="4"/>
      <c r="L16" s="152" t="s">
        <v>119</v>
      </c>
      <c r="M16" s="9" t="s">
        <v>120</v>
      </c>
      <c r="N16" s="9" t="s">
        <v>105</v>
      </c>
      <c r="O16" s="153">
        <v>0</v>
      </c>
    </row>
    <row r="17" spans="1:15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157"/>
      <c r="F17" s="2"/>
      <c r="G17" s="9" t="s">
        <v>121</v>
      </c>
      <c r="H17" s="9" t="s">
        <v>122</v>
      </c>
      <c r="I17" s="9" t="s">
        <v>112</v>
      </c>
      <c r="J17" s="151">
        <f>ROUNDDOWN((1+J12)*J13*J14*(J16+J16),0)</f>
        <v>0</v>
      </c>
      <c r="K17" s="4"/>
      <c r="L17" s="152" t="s">
        <v>121</v>
      </c>
      <c r="M17" s="9" t="s">
        <v>122</v>
      </c>
      <c r="N17" s="9" t="s">
        <v>112</v>
      </c>
      <c r="O17" s="153">
        <f>ROUNDDOWN((1+O12)*O13*O14*(O16+O16),0)</f>
        <v>0</v>
      </c>
    </row>
    <row r="18" spans="1:15">
      <c r="A18" s="2"/>
      <c r="B18" s="2"/>
      <c r="C18" s="2"/>
      <c r="D18" s="2"/>
      <c r="E18" s="4"/>
      <c r="F18" s="2"/>
      <c r="G18" s="2"/>
      <c r="H18" s="2"/>
      <c r="I18" s="2"/>
      <c r="J18" s="2"/>
      <c r="K18" s="4"/>
      <c r="L18" s="158"/>
      <c r="M18" s="2"/>
      <c r="N18" s="2"/>
      <c r="O18" s="159"/>
    </row>
    <row r="19" spans="1:15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4"/>
      <c r="L19" s="545" t="s">
        <v>123</v>
      </c>
      <c r="M19" s="519"/>
      <c r="N19" s="519"/>
      <c r="O19" s="519"/>
    </row>
    <row r="20" spans="1:15">
      <c r="A20" s="88" t="s">
        <v>124</v>
      </c>
      <c r="B20" s="9" t="s">
        <v>124</v>
      </c>
      <c r="C20" s="9" t="s">
        <v>125</v>
      </c>
      <c r="D20" s="86">
        <v>0.97</v>
      </c>
      <c r="E20" s="160" t="s">
        <v>126</v>
      </c>
      <c r="F20" s="2"/>
      <c r="G20" s="88" t="s">
        <v>124</v>
      </c>
      <c r="H20" s="9" t="s">
        <v>124</v>
      </c>
      <c r="I20" s="9" t="s">
        <v>125</v>
      </c>
      <c r="J20" s="151">
        <v>0.97</v>
      </c>
      <c r="K20" s="4"/>
      <c r="L20" s="156" t="s">
        <v>124</v>
      </c>
      <c r="M20" s="9" t="s">
        <v>124</v>
      </c>
      <c r="N20" s="9" t="s">
        <v>125</v>
      </c>
      <c r="O20" s="153">
        <v>0.97</v>
      </c>
    </row>
    <row r="21" spans="1:15">
      <c r="A21" s="9" t="s">
        <v>127</v>
      </c>
      <c r="B21" s="9" t="s">
        <v>128</v>
      </c>
      <c r="C21" s="9" t="s">
        <v>129</v>
      </c>
      <c r="D21" s="86">
        <v>112</v>
      </c>
      <c r="E21" s="150" t="s">
        <v>126</v>
      </c>
      <c r="F21" s="2"/>
      <c r="G21" s="9" t="s">
        <v>127</v>
      </c>
      <c r="H21" s="9" t="s">
        <v>128</v>
      </c>
      <c r="I21" s="9" t="s">
        <v>129</v>
      </c>
      <c r="J21" s="151">
        <v>112</v>
      </c>
      <c r="K21" s="4"/>
      <c r="L21" s="152" t="s">
        <v>127</v>
      </c>
      <c r="M21" s="9" t="s">
        <v>130</v>
      </c>
      <c r="N21" s="9" t="s">
        <v>129</v>
      </c>
      <c r="O21" s="153">
        <v>112</v>
      </c>
    </row>
    <row r="22" spans="1:15">
      <c r="A22" s="9" t="s">
        <v>131</v>
      </c>
      <c r="B22" s="9" t="s">
        <v>132</v>
      </c>
      <c r="C22" s="9" t="s">
        <v>133</v>
      </c>
      <c r="D22" s="86">
        <v>9.4600000000000009</v>
      </c>
      <c r="E22" s="150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4"/>
      <c r="L22" s="152" t="s">
        <v>131</v>
      </c>
      <c r="M22" s="9" t="s">
        <v>134</v>
      </c>
      <c r="N22" s="9" t="s">
        <v>133</v>
      </c>
      <c r="O22" s="153">
        <f>D22</f>
        <v>9.4600000000000009</v>
      </c>
    </row>
    <row r="23" spans="1:15">
      <c r="A23" s="9" t="s">
        <v>135</v>
      </c>
      <c r="B23" s="9" t="s">
        <v>136</v>
      </c>
      <c r="C23" s="9" t="s">
        <v>137</v>
      </c>
      <c r="D23" s="86">
        <v>1.5599999999999999E-2</v>
      </c>
      <c r="E23" s="157" t="s">
        <v>126</v>
      </c>
      <c r="F23" s="2"/>
      <c r="G23" s="9" t="s">
        <v>135</v>
      </c>
      <c r="H23" s="9" t="s">
        <v>136</v>
      </c>
      <c r="I23" s="9" t="s">
        <v>137</v>
      </c>
      <c r="J23" s="151">
        <v>1.5599999999999999E-2</v>
      </c>
      <c r="K23" s="4"/>
      <c r="L23" s="152" t="s">
        <v>135</v>
      </c>
      <c r="M23" s="9" t="s">
        <v>136</v>
      </c>
      <c r="N23" s="9" t="s">
        <v>137</v>
      </c>
      <c r="O23" s="153">
        <v>1.5599999999999999E-2</v>
      </c>
    </row>
    <row r="24" spans="1:15">
      <c r="A24" s="2"/>
      <c r="B24" s="2"/>
      <c r="C24" s="2"/>
      <c r="D24" s="2"/>
      <c r="E24" s="4"/>
      <c r="F24" s="2"/>
      <c r="G24" s="2"/>
      <c r="H24" s="2"/>
      <c r="I24" s="2"/>
      <c r="J24" s="2"/>
      <c r="K24" s="4"/>
      <c r="L24" s="158"/>
      <c r="M24" s="2"/>
      <c r="N24" s="2"/>
      <c r="O24" s="159"/>
    </row>
    <row r="25" spans="1:15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4"/>
      <c r="L25" s="545" t="s">
        <v>19</v>
      </c>
      <c r="M25" s="519"/>
      <c r="N25" s="519"/>
      <c r="O25" s="519"/>
    </row>
    <row r="26" spans="1:15">
      <c r="A26" s="9" t="s">
        <v>28</v>
      </c>
      <c r="B26" s="9" t="s">
        <v>29</v>
      </c>
      <c r="C26" s="9" t="s">
        <v>30</v>
      </c>
      <c r="D26" s="87">
        <f>ROUNDDOWN(D9*((D20*D21)+D22)*D23,0)</f>
        <v>5829</v>
      </c>
      <c r="E26" s="160"/>
      <c r="F26" s="2"/>
      <c r="G26" s="9" t="s">
        <v>28</v>
      </c>
      <c r="H26" s="9" t="s">
        <v>29</v>
      </c>
      <c r="I26" s="9" t="s">
        <v>30</v>
      </c>
      <c r="J26" s="154">
        <f>ROUNDDOWN(J9*((J20*J21)+J22)*J23,0)</f>
        <v>2455</v>
      </c>
      <c r="K26" s="4"/>
      <c r="L26" s="152" t="s">
        <v>28</v>
      </c>
      <c r="M26" s="9" t="s">
        <v>29</v>
      </c>
      <c r="N26" s="9" t="s">
        <v>30</v>
      </c>
      <c r="O26" s="155">
        <f>ROUNDDOWN(O9*((O20*O21)+O22)*O23,0)</f>
        <v>3373</v>
      </c>
    </row>
    <row r="27" spans="1:15">
      <c r="A27" s="9" t="s">
        <v>31</v>
      </c>
      <c r="B27" s="9" t="s">
        <v>32</v>
      </c>
      <c r="C27" s="9" t="s">
        <v>30</v>
      </c>
      <c r="D27" s="86">
        <f>D17*((D20*D21)+D22)*D229</f>
        <v>0</v>
      </c>
      <c r="E27" s="150"/>
      <c r="F27" s="2"/>
      <c r="G27" s="9" t="s">
        <v>31</v>
      </c>
      <c r="H27" s="9" t="s">
        <v>32</v>
      </c>
      <c r="I27" s="9" t="s">
        <v>30</v>
      </c>
      <c r="J27" s="151">
        <f>J17*((J20*J21)+J22)*J229</f>
        <v>0</v>
      </c>
      <c r="K27" s="4"/>
      <c r="L27" s="152" t="s">
        <v>31</v>
      </c>
      <c r="M27" s="9" t="s">
        <v>32</v>
      </c>
      <c r="N27" s="9" t="s">
        <v>30</v>
      </c>
      <c r="O27" s="153">
        <f>O17*((O20*O21)+O22)*O229</f>
        <v>0</v>
      </c>
    </row>
    <row r="28" spans="1:15" ht="29">
      <c r="A28" s="9" t="s">
        <v>33</v>
      </c>
      <c r="B28" s="9" t="s">
        <v>34</v>
      </c>
      <c r="C28" s="9" t="s">
        <v>35</v>
      </c>
      <c r="D28" s="86">
        <v>0.95</v>
      </c>
      <c r="E28" s="150" t="s">
        <v>138</v>
      </c>
      <c r="F28" s="2"/>
      <c r="G28" s="9" t="s">
        <v>33</v>
      </c>
      <c r="H28" s="9" t="s">
        <v>34</v>
      </c>
      <c r="I28" s="9" t="s">
        <v>35</v>
      </c>
      <c r="J28" s="151">
        <f>D28</f>
        <v>0.95</v>
      </c>
      <c r="K28" s="4"/>
      <c r="L28" s="152" t="s">
        <v>33</v>
      </c>
      <c r="M28" s="9" t="s">
        <v>34</v>
      </c>
      <c r="N28" s="9" t="s">
        <v>35</v>
      </c>
      <c r="O28" s="153">
        <f>D28</f>
        <v>0.95</v>
      </c>
    </row>
    <row r="29" spans="1:15" ht="29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151">
        <v>0</v>
      </c>
      <c r="K29" s="4"/>
      <c r="L29" s="152" t="s">
        <v>36</v>
      </c>
      <c r="M29" s="9" t="s">
        <v>37</v>
      </c>
      <c r="N29" s="9" t="s">
        <v>30</v>
      </c>
      <c r="O29" s="153">
        <v>0</v>
      </c>
    </row>
    <row r="30" spans="1:15">
      <c r="A30" s="9" t="s">
        <v>90</v>
      </c>
      <c r="B30" s="9" t="s">
        <v>39</v>
      </c>
      <c r="C30" s="9" t="s">
        <v>30</v>
      </c>
      <c r="D30" s="86">
        <f>ROUNDDOWN(((D26-D27)*D28)-D29,0)</f>
        <v>5537</v>
      </c>
      <c r="E30" s="157"/>
      <c r="F30" s="2"/>
      <c r="G30" s="9" t="s">
        <v>90</v>
      </c>
      <c r="H30" s="9" t="s">
        <v>39</v>
      </c>
      <c r="I30" s="9" t="s">
        <v>30</v>
      </c>
      <c r="J30" s="151">
        <f>ROUNDDOWN(((J26-J27)*J28)-J29,0)</f>
        <v>2332</v>
      </c>
      <c r="K30" s="4"/>
      <c r="L30" s="152" t="s">
        <v>90</v>
      </c>
      <c r="M30" s="9" t="s">
        <v>39</v>
      </c>
      <c r="N30" s="9" t="s">
        <v>30</v>
      </c>
      <c r="O30" s="153">
        <f>ROUNDDOWN(((O26-O27)*O28)-O29,0)</f>
        <v>3204</v>
      </c>
    </row>
    <row r="31" spans="1:15">
      <c r="A31" s="2"/>
      <c r="B31" s="2"/>
      <c r="C31" s="2"/>
      <c r="D31" s="2"/>
      <c r="E31" s="4"/>
      <c r="F31" s="2"/>
      <c r="G31" s="2"/>
      <c r="H31" s="2"/>
      <c r="I31" s="2"/>
      <c r="J31" s="2"/>
      <c r="K31" s="4"/>
      <c r="L31" s="158"/>
      <c r="M31" s="2"/>
      <c r="N31" s="2"/>
      <c r="O31" s="159"/>
    </row>
    <row r="32" spans="1:15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4"/>
      <c r="L32" s="545" t="s">
        <v>40</v>
      </c>
      <c r="M32" s="519"/>
      <c r="N32" s="519"/>
      <c r="O32" s="519"/>
    </row>
    <row r="33" spans="1:15">
      <c r="A33" s="90" t="s">
        <v>41</v>
      </c>
      <c r="C33" s="16"/>
      <c r="D33" s="91">
        <v>1</v>
      </c>
      <c r="E33" s="160" t="s">
        <v>95</v>
      </c>
      <c r="F33" s="2"/>
      <c r="G33" s="90" t="s">
        <v>41</v>
      </c>
      <c r="H33" s="9"/>
      <c r="I33" s="16"/>
      <c r="J33" s="161">
        <v>1</v>
      </c>
      <c r="K33" s="4"/>
      <c r="L33" s="162" t="s">
        <v>41</v>
      </c>
      <c r="M33" s="9"/>
      <c r="N33" s="16"/>
      <c r="O33" s="163">
        <v>1</v>
      </c>
    </row>
    <row r="34" spans="1:15">
      <c r="A34" s="90" t="s">
        <v>43</v>
      </c>
      <c r="B34" s="9" t="s">
        <v>42</v>
      </c>
      <c r="C34" s="16" t="s">
        <v>44</v>
      </c>
      <c r="D34" s="91">
        <v>0</v>
      </c>
      <c r="E34" s="157" t="s">
        <v>95</v>
      </c>
      <c r="F34" s="2"/>
      <c r="G34" s="90" t="s">
        <v>43</v>
      </c>
      <c r="H34" s="9" t="s">
        <v>42</v>
      </c>
      <c r="I34" s="16" t="s">
        <v>44</v>
      </c>
      <c r="J34" s="161">
        <v>0</v>
      </c>
      <c r="K34" s="4"/>
      <c r="L34" s="164" t="s">
        <v>43</v>
      </c>
      <c r="M34" s="101" t="s">
        <v>42</v>
      </c>
      <c r="N34" s="165" t="s">
        <v>44</v>
      </c>
      <c r="O34" s="166">
        <v>0</v>
      </c>
    </row>
    <row r="35" spans="1:15">
      <c r="A35" s="93" t="s">
        <v>140</v>
      </c>
      <c r="B35" s="94" t="s">
        <v>39</v>
      </c>
      <c r="C35" s="95" t="s">
        <v>30</v>
      </c>
      <c r="D35" s="96">
        <f>ROUNDDOWN(D30*(1-D34),0)</f>
        <v>5537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2332</v>
      </c>
      <c r="K35" s="2"/>
      <c r="L35" s="167" t="s">
        <v>140</v>
      </c>
      <c r="M35" s="168" t="s">
        <v>39</v>
      </c>
      <c r="N35" s="169" t="s">
        <v>30</v>
      </c>
      <c r="O35" s="170">
        <f>ROUNDDOWN(O30*(1-O34),0)</f>
        <v>3204</v>
      </c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93" t="s">
        <v>141</v>
      </c>
      <c r="B37" s="94"/>
      <c r="C37" s="95" t="s">
        <v>30</v>
      </c>
      <c r="D37" s="96">
        <f>O37+J37</f>
        <v>5536</v>
      </c>
      <c r="E37" s="2"/>
      <c r="F37" s="2"/>
      <c r="G37" s="93" t="s">
        <v>141</v>
      </c>
      <c r="H37" s="94"/>
      <c r="I37" s="95" t="s">
        <v>30</v>
      </c>
      <c r="J37" s="96">
        <f>J35</f>
        <v>2332</v>
      </c>
      <c r="K37" s="2"/>
      <c r="L37" s="167" t="s">
        <v>141</v>
      </c>
      <c r="M37" s="168"/>
      <c r="N37" s="169" t="s">
        <v>30</v>
      </c>
      <c r="O37" s="170">
        <f>O35</f>
        <v>3204</v>
      </c>
    </row>
    <row r="38" spans="1:15">
      <c r="A38" s="1"/>
      <c r="B38" s="2"/>
      <c r="C38" s="2"/>
      <c r="D38" s="2"/>
      <c r="E38" s="2"/>
      <c r="F38" s="2"/>
      <c r="G38" s="1"/>
      <c r="H38" s="2"/>
      <c r="I38" s="2"/>
      <c r="J38" s="2"/>
      <c r="K38" s="2"/>
      <c r="L38" s="1"/>
      <c r="M38" s="2"/>
      <c r="N38" s="2"/>
      <c r="O38" s="2"/>
    </row>
  </sheetData>
  <mergeCells count="18">
    <mergeCell ref="A1:D1"/>
    <mergeCell ref="G1:J1"/>
    <mergeCell ref="L1:O1"/>
    <mergeCell ref="A3:D3"/>
    <mergeCell ref="G3:J3"/>
    <mergeCell ref="L3:O3"/>
    <mergeCell ref="A11:D11"/>
    <mergeCell ref="G11:J11"/>
    <mergeCell ref="L11:O11"/>
    <mergeCell ref="A19:D19"/>
    <mergeCell ref="G19:J19"/>
    <mergeCell ref="L19:O19"/>
    <mergeCell ref="A25:D25"/>
    <mergeCell ref="G25:J25"/>
    <mergeCell ref="L25:O25"/>
    <mergeCell ref="A32:D32"/>
    <mergeCell ref="G32:J32"/>
    <mergeCell ref="L32:O3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3125-858B-4AF4-977D-96AB87E9CE4C}">
  <dimension ref="A1:E22"/>
  <sheetViews>
    <sheetView topLeftCell="B7" workbookViewId="0">
      <selection activeCell="C17" sqref="C17"/>
    </sheetView>
  </sheetViews>
  <sheetFormatPr defaultRowHeight="14.5"/>
  <cols>
    <col min="1" max="1" width="20.1796875" bestFit="1" customWidth="1"/>
    <col min="2" max="2" width="125.7265625" bestFit="1" customWidth="1"/>
    <col min="3" max="3" width="28.54296875" bestFit="1" customWidth="1"/>
    <col min="5" max="5" width="37.1796875" bestFit="1" customWidth="1"/>
  </cols>
  <sheetData>
    <row r="1" spans="1:5" s="32" customFormat="1" ht="42.65" customHeight="1">
      <c r="A1" s="128" t="s">
        <v>145</v>
      </c>
      <c r="B1" s="137" t="s">
        <v>146</v>
      </c>
      <c r="C1" s="137" t="s">
        <v>147</v>
      </c>
      <c r="D1" s="137" t="s">
        <v>148</v>
      </c>
      <c r="E1" s="99" t="s">
        <v>92</v>
      </c>
    </row>
    <row r="2" spans="1:5" ht="22" customHeight="1">
      <c r="A2" s="100" t="s">
        <v>149</v>
      </c>
      <c r="B2" s="88" t="s">
        <v>150</v>
      </c>
      <c r="C2" s="129">
        <f>((C3-C4)/C3)*C8</f>
        <v>0.95</v>
      </c>
      <c r="D2" s="9" t="s">
        <v>151</v>
      </c>
      <c r="E2" s="9"/>
    </row>
    <row r="3" spans="1:5" ht="24.65" customHeight="1">
      <c r="A3" s="9" t="s">
        <v>152</v>
      </c>
      <c r="B3" s="88" t="s">
        <v>153</v>
      </c>
      <c r="C3" s="54">
        <f>C5*C6</f>
        <v>3.0000000000000001E-3</v>
      </c>
      <c r="D3" s="9" t="s">
        <v>154</v>
      </c>
      <c r="E3" s="9"/>
    </row>
    <row r="4" spans="1:5" ht="21" customHeight="1">
      <c r="A4" s="101" t="s">
        <v>155</v>
      </c>
      <c r="B4" s="88" t="s">
        <v>156</v>
      </c>
      <c r="C4" s="54">
        <f>C5*C7</f>
        <v>0</v>
      </c>
      <c r="D4" s="9" t="s">
        <v>154</v>
      </c>
      <c r="E4" s="9"/>
    </row>
    <row r="5" spans="1:5" ht="23.15" customHeight="1">
      <c r="A5" s="9" t="s">
        <v>100</v>
      </c>
      <c r="B5" s="88" t="s">
        <v>158</v>
      </c>
      <c r="C5" s="54">
        <f>'GS5043 ER Calcs'!D6</f>
        <v>4.0000000000000002E-4</v>
      </c>
      <c r="D5" s="9" t="s">
        <v>159</v>
      </c>
      <c r="E5" s="57" t="s">
        <v>102</v>
      </c>
    </row>
    <row r="6" spans="1:5" ht="16.5" customHeight="1">
      <c r="A6" s="9" t="s">
        <v>104</v>
      </c>
      <c r="B6" s="88" t="s">
        <v>160</v>
      </c>
      <c r="C6" s="54">
        <v>7.5</v>
      </c>
      <c r="D6" s="9" t="s">
        <v>161</v>
      </c>
      <c r="E6" s="57" t="s">
        <v>162</v>
      </c>
    </row>
    <row r="7" spans="1:5" ht="20.149999999999999" customHeight="1">
      <c r="A7" s="9" t="s">
        <v>163</v>
      </c>
      <c r="B7" s="88" t="s">
        <v>164</v>
      </c>
      <c r="C7" s="54">
        <v>0</v>
      </c>
      <c r="D7" s="9" t="s">
        <v>161</v>
      </c>
      <c r="E7" s="57" t="s">
        <v>109</v>
      </c>
    </row>
    <row r="8" spans="1:5" ht="21.65" customHeight="1">
      <c r="A8" s="9" t="s">
        <v>209</v>
      </c>
      <c r="B8" s="88" t="s">
        <v>166</v>
      </c>
      <c r="C8" s="172">
        <f>'GS5043 ER Calcs'!D28</f>
        <v>0.95</v>
      </c>
      <c r="D8" s="9" t="s">
        <v>151</v>
      </c>
      <c r="E8" s="57" t="s">
        <v>210</v>
      </c>
    </row>
    <row r="9" spans="1:5">
      <c r="A9" s="1"/>
      <c r="B9" s="1"/>
      <c r="C9" s="1"/>
      <c r="D9" s="1"/>
      <c r="E9" s="9"/>
    </row>
    <row r="10" spans="1:5" s="32" customFormat="1">
      <c r="A10" s="137" t="s">
        <v>167</v>
      </c>
      <c r="B10" s="137" t="s">
        <v>146</v>
      </c>
      <c r="C10" s="137" t="s">
        <v>168</v>
      </c>
      <c r="D10" s="137" t="s">
        <v>148</v>
      </c>
      <c r="E10" s="94"/>
    </row>
    <row r="11" spans="1:5">
      <c r="A11" s="88" t="s">
        <v>169</v>
      </c>
      <c r="B11" s="9" t="s">
        <v>170</v>
      </c>
      <c r="C11" s="105">
        <f>C13-C12</f>
        <v>0.72</v>
      </c>
      <c r="D11" s="9" t="s">
        <v>171</v>
      </c>
      <c r="E11" s="1"/>
    </row>
    <row r="12" spans="1:5">
      <c r="A12" s="88" t="s">
        <v>211</v>
      </c>
      <c r="B12" s="9" t="s">
        <v>173</v>
      </c>
      <c r="C12" s="9">
        <v>0</v>
      </c>
      <c r="D12" s="9" t="s">
        <v>171</v>
      </c>
      <c r="E12" s="9" t="s">
        <v>174</v>
      </c>
    </row>
    <row r="13" spans="1:5">
      <c r="A13" s="88" t="s">
        <v>212</v>
      </c>
      <c r="B13" s="9" t="s">
        <v>176</v>
      </c>
      <c r="C13" s="478">
        <v>0.72</v>
      </c>
      <c r="D13" s="9" t="s">
        <v>171</v>
      </c>
      <c r="E13" s="9" t="s">
        <v>213</v>
      </c>
    </row>
    <row r="14" spans="1:5">
      <c r="A14" s="1"/>
      <c r="B14" s="1"/>
      <c r="C14" s="1"/>
      <c r="D14" s="1"/>
      <c r="E14" s="9"/>
    </row>
    <row r="15" spans="1:5" s="32" customFormat="1" ht="40.5" customHeight="1">
      <c r="A15" s="128" t="s">
        <v>178</v>
      </c>
      <c r="B15" s="137" t="s">
        <v>146</v>
      </c>
      <c r="C15" s="137" t="s">
        <v>179</v>
      </c>
      <c r="D15" s="137" t="s">
        <v>148</v>
      </c>
      <c r="E15" s="94"/>
    </row>
    <row r="16" spans="1:5">
      <c r="A16" s="88" t="s">
        <v>180</v>
      </c>
      <c r="B16" s="9" t="s">
        <v>181</v>
      </c>
      <c r="C16" s="105">
        <f>ROUNDDOWN(C17*(1-C18)*C19,0)</f>
        <v>2076</v>
      </c>
      <c r="D16" s="9" t="s">
        <v>182</v>
      </c>
      <c r="E16" s="1"/>
    </row>
    <row r="17" spans="1:5">
      <c r="A17" s="88" t="s">
        <v>183</v>
      </c>
      <c r="B17" s="9" t="s">
        <v>184</v>
      </c>
      <c r="C17" s="9">
        <f>'GS5043 PTDs'!H7</f>
        <v>2186</v>
      </c>
      <c r="D17" s="9" t="s">
        <v>182</v>
      </c>
      <c r="E17" s="9" t="s">
        <v>228</v>
      </c>
    </row>
    <row r="18" spans="1:5">
      <c r="A18" s="88" t="s">
        <v>94</v>
      </c>
      <c r="B18" s="9" t="s">
        <v>186</v>
      </c>
      <c r="C18" s="106">
        <f>'GS5043 ER Calcs'!D4</f>
        <v>0</v>
      </c>
      <c r="D18" s="9" t="s">
        <v>151</v>
      </c>
      <c r="E18" s="9" t="s">
        <v>174</v>
      </c>
    </row>
    <row r="19" spans="1:5" ht="16.5">
      <c r="A19" s="88" t="s">
        <v>209</v>
      </c>
      <c r="B19" s="9" t="s">
        <v>166</v>
      </c>
      <c r="C19" s="173">
        <f>'GS5043 ER Calcs'!D28</f>
        <v>0.95</v>
      </c>
      <c r="D19" s="9" t="s">
        <v>151</v>
      </c>
      <c r="E19" s="57" t="s">
        <v>210</v>
      </c>
    </row>
    <row r="20" spans="1:5">
      <c r="A20" s="1"/>
      <c r="B20" s="1"/>
      <c r="C20" s="1"/>
      <c r="D20" s="1"/>
      <c r="E20" s="9"/>
    </row>
    <row r="21" spans="1:5" s="32" customFormat="1" ht="24" customHeight="1">
      <c r="A21" s="128" t="s">
        <v>187</v>
      </c>
      <c r="B21" s="137" t="s">
        <v>146</v>
      </c>
      <c r="C21" s="137"/>
      <c r="D21" s="137" t="s">
        <v>148</v>
      </c>
      <c r="E21" s="94"/>
    </row>
    <row r="22" spans="1:5">
      <c r="A22" s="88" t="s">
        <v>188</v>
      </c>
      <c r="B22" s="9" t="s">
        <v>189</v>
      </c>
      <c r="C22" s="108">
        <f>'GS5043 ER Calcs'!D37</f>
        <v>4179</v>
      </c>
      <c r="D22" s="9" t="s">
        <v>190</v>
      </c>
      <c r="E22" s="9" t="s">
        <v>191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84A63-986D-40D4-A286-6D9AED866195}">
  <dimension ref="A1:N50"/>
  <sheetViews>
    <sheetView workbookViewId="0">
      <selection activeCell="A47" sqref="A47:C47"/>
    </sheetView>
  </sheetViews>
  <sheetFormatPr defaultRowHeight="14.5"/>
  <cols>
    <col min="1" max="1" width="39" bestFit="1" customWidth="1"/>
    <col min="3" max="3" width="10" bestFit="1" customWidth="1"/>
    <col min="4" max="4" width="10" customWidth="1"/>
  </cols>
  <sheetData>
    <row r="1" spans="1:14" ht="37" customHeight="1" thickBot="1">
      <c r="A1" s="521" t="s">
        <v>275</v>
      </c>
      <c r="B1" s="522"/>
      <c r="C1" s="522"/>
      <c r="D1" s="522"/>
      <c r="E1" s="4"/>
      <c r="F1" s="4"/>
      <c r="G1" s="4"/>
      <c r="H1" s="526" t="s">
        <v>16</v>
      </c>
      <c r="I1" s="527"/>
      <c r="J1" s="527"/>
      <c r="K1" s="527"/>
      <c r="L1" s="527"/>
      <c r="M1" s="527"/>
      <c r="N1" s="527"/>
    </row>
    <row r="2" spans="1:14" ht="1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</row>
    <row r="3" spans="1:14" ht="14.5" customHeight="1">
      <c r="A3" s="523" t="s">
        <v>17</v>
      </c>
      <c r="B3" s="524"/>
      <c r="C3" s="524"/>
      <c r="D3" s="524"/>
      <c r="E3" s="2"/>
      <c r="F3" s="4"/>
      <c r="G3" s="4"/>
      <c r="H3" s="528" t="s">
        <v>18</v>
      </c>
      <c r="I3" s="529"/>
      <c r="J3" s="529"/>
      <c r="K3" s="529"/>
      <c r="L3" s="529"/>
      <c r="M3" s="529"/>
      <c r="N3" s="529"/>
    </row>
    <row r="4" spans="1:14" ht="29">
      <c r="A4" s="518" t="s">
        <v>19</v>
      </c>
      <c r="B4" s="519"/>
      <c r="C4" s="519"/>
      <c r="D4" s="519"/>
      <c r="E4" s="2"/>
      <c r="F4" s="4"/>
      <c r="G4" s="4"/>
      <c r="H4" s="6" t="s">
        <v>20</v>
      </c>
      <c r="I4" s="7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6" t="s">
        <v>27</v>
      </c>
    </row>
    <row r="5" spans="1:14">
      <c r="A5" s="8" t="s">
        <v>28</v>
      </c>
      <c r="B5" s="9" t="s">
        <v>29</v>
      </c>
      <c r="C5" s="9" t="s">
        <v>30</v>
      </c>
      <c r="D5" s="10">
        <f>'GS5825 ER Calcs'!J26</f>
        <v>2468</v>
      </c>
      <c r="E5" s="2"/>
      <c r="F5" s="4"/>
      <c r="G5" s="4"/>
      <c r="H5" s="109">
        <v>2017</v>
      </c>
      <c r="I5" s="390">
        <v>4762</v>
      </c>
      <c r="J5" s="390"/>
      <c r="K5" s="390"/>
      <c r="L5" s="390"/>
      <c r="M5" s="382"/>
      <c r="N5" s="20">
        <f>SUM(I5:K5)</f>
        <v>4762</v>
      </c>
    </row>
    <row r="6" spans="1:14">
      <c r="A6" s="8" t="s">
        <v>31</v>
      </c>
      <c r="B6" s="9" t="s">
        <v>32</v>
      </c>
      <c r="C6" s="9" t="s">
        <v>30</v>
      </c>
      <c r="D6" s="14">
        <f>'GS5825 ER Calcs'!J27</f>
        <v>0</v>
      </c>
      <c r="E6" s="2"/>
      <c r="F6" s="4"/>
      <c r="G6" s="4"/>
      <c r="H6" s="109">
        <v>2018</v>
      </c>
      <c r="I6" s="390">
        <v>10000</v>
      </c>
      <c r="J6" s="390"/>
      <c r="K6" s="390"/>
      <c r="L6" s="390"/>
      <c r="M6" s="382"/>
      <c r="N6" s="20">
        <f>SUM(I6:K6)</f>
        <v>10000</v>
      </c>
    </row>
    <row r="7" spans="1:14">
      <c r="A7" s="8" t="s">
        <v>33</v>
      </c>
      <c r="B7" s="9" t="s">
        <v>34</v>
      </c>
      <c r="C7" s="9" t="s">
        <v>35</v>
      </c>
      <c r="D7" s="14">
        <f>'GS5825 ER Calcs'!J28</f>
        <v>0.95</v>
      </c>
      <c r="E7" s="2"/>
      <c r="F7" s="4"/>
      <c r="G7" s="4"/>
      <c r="H7" s="109">
        <v>2019</v>
      </c>
      <c r="I7" s="390">
        <v>5436</v>
      </c>
      <c r="J7" s="390">
        <v>2225</v>
      </c>
      <c r="K7" s="390"/>
      <c r="L7" s="390"/>
      <c r="M7" s="382"/>
      <c r="N7" s="20">
        <f>SUM(I7:K7)</f>
        <v>7661</v>
      </c>
    </row>
    <row r="8" spans="1:14">
      <c r="A8" s="8" t="s">
        <v>36</v>
      </c>
      <c r="B8" s="9" t="s">
        <v>37</v>
      </c>
      <c r="C8" s="9" t="s">
        <v>30</v>
      </c>
      <c r="D8" s="14">
        <f>'GS5825 ER Calcs'!J29</f>
        <v>0</v>
      </c>
      <c r="E8" s="2"/>
      <c r="F8" s="4"/>
      <c r="G8" s="4"/>
      <c r="H8" s="109">
        <v>2020</v>
      </c>
      <c r="I8" s="390"/>
      <c r="J8" s="390">
        <v>1580</v>
      </c>
      <c r="K8" s="391">
        <v>2107</v>
      </c>
      <c r="L8" s="391"/>
      <c r="M8" s="382"/>
      <c r="N8" s="20">
        <f>SUM(I8:K8)</f>
        <v>3687</v>
      </c>
    </row>
    <row r="9" spans="1:14">
      <c r="A9" s="8"/>
      <c r="B9" s="9"/>
      <c r="C9" s="9"/>
      <c r="D9" s="14"/>
      <c r="E9" s="2"/>
      <c r="F9" s="4"/>
      <c r="G9" s="4"/>
      <c r="H9" s="109">
        <v>2021</v>
      </c>
      <c r="I9" s="390"/>
      <c r="J9" s="390"/>
      <c r="K9" s="391">
        <v>1496</v>
      </c>
      <c r="L9" s="391">
        <v>2240</v>
      </c>
      <c r="M9" s="382"/>
      <c r="N9" s="20">
        <f>SUM(I9:L9)</f>
        <v>3736</v>
      </c>
    </row>
    <row r="10" spans="1:14">
      <c r="A10" s="8" t="s">
        <v>38</v>
      </c>
      <c r="B10" s="9" t="s">
        <v>39</v>
      </c>
      <c r="C10" s="9" t="s">
        <v>30</v>
      </c>
      <c r="D10" s="10">
        <f>'GS5825 ER Calcs'!J30</f>
        <v>2344</v>
      </c>
      <c r="E10" s="2"/>
      <c r="F10" s="4"/>
      <c r="G10" s="4"/>
      <c r="H10" s="109">
        <v>2022</v>
      </c>
      <c r="I10" s="390"/>
      <c r="J10" s="390"/>
      <c r="K10" s="391"/>
      <c r="L10" s="391">
        <v>1579</v>
      </c>
      <c r="M10" s="382">
        <f>D15</f>
        <v>2344</v>
      </c>
      <c r="N10" s="20">
        <f>SUM(I10:M10)</f>
        <v>3923</v>
      </c>
    </row>
    <row r="11" spans="1:14">
      <c r="A11" s="518" t="s">
        <v>40</v>
      </c>
      <c r="B11" s="519"/>
      <c r="C11" s="519"/>
      <c r="D11" s="519"/>
      <c r="E11" s="2"/>
      <c r="F11" s="4"/>
      <c r="G11" s="4"/>
      <c r="H11" s="109">
        <v>2023</v>
      </c>
      <c r="I11" s="382"/>
      <c r="J11" s="382"/>
      <c r="K11" s="382"/>
      <c r="L11" s="382"/>
      <c r="M11" s="382">
        <f>D28</f>
        <v>4000</v>
      </c>
      <c r="N11" s="20">
        <f t="shared" ref="N11:N12" si="0">SUM(I11:M11)</f>
        <v>4000</v>
      </c>
    </row>
    <row r="12" spans="1:14">
      <c r="A12" s="15" t="s">
        <v>41</v>
      </c>
      <c r="B12" s="9"/>
      <c r="C12" s="16"/>
      <c r="D12" s="17">
        <f>'GS5825 ER Calcs'!J33</f>
        <v>1</v>
      </c>
      <c r="E12" s="2"/>
      <c r="F12" s="4"/>
      <c r="G12" s="4"/>
      <c r="H12" s="109">
        <v>2024</v>
      </c>
      <c r="I12" s="401"/>
      <c r="J12" s="401"/>
      <c r="K12" s="401"/>
      <c r="L12" s="401"/>
      <c r="M12" s="382">
        <f>D41</f>
        <v>185</v>
      </c>
      <c r="N12" s="20">
        <f t="shared" si="0"/>
        <v>185</v>
      </c>
    </row>
    <row r="13" spans="1:14">
      <c r="A13" s="15" t="s">
        <v>43</v>
      </c>
      <c r="B13" s="9" t="s">
        <v>42</v>
      </c>
      <c r="C13" s="16" t="s">
        <v>44</v>
      </c>
      <c r="D13" s="17">
        <f>'GS5825 ER Calcs'!J34</f>
        <v>0</v>
      </c>
      <c r="E13" s="2"/>
      <c r="F13" s="4"/>
      <c r="G13" s="4"/>
      <c r="H13" s="18" t="s">
        <v>13</v>
      </c>
      <c r="I13" s="131">
        <v>20198</v>
      </c>
      <c r="J13" s="131">
        <v>3805</v>
      </c>
      <c r="K13" s="400">
        <f>SUM(K5:K10)</f>
        <v>3603</v>
      </c>
      <c r="L13" s="400">
        <f>SUM(L5:L12)</f>
        <v>3819</v>
      </c>
      <c r="M13" s="400">
        <f>SUM(M5:M12)</f>
        <v>6529</v>
      </c>
      <c r="N13" s="18">
        <f>SUM(I13:M13)</f>
        <v>37954</v>
      </c>
    </row>
    <row r="14" spans="1:14" ht="15" thickBot="1">
      <c r="A14" s="21" t="s">
        <v>38</v>
      </c>
      <c r="B14" s="22" t="s">
        <v>39</v>
      </c>
      <c r="C14" s="22" t="s">
        <v>30</v>
      </c>
      <c r="D14" s="23">
        <f>'GS5825 ER Calcs'!J35</f>
        <v>2344</v>
      </c>
      <c r="E14" s="2"/>
      <c r="F14" s="4"/>
      <c r="G14" s="4"/>
      <c r="H14" s="4"/>
      <c r="I14" s="4"/>
      <c r="J14" s="4"/>
      <c r="K14" s="4"/>
      <c r="L14" s="4"/>
      <c r="M14" s="2"/>
    </row>
    <row r="15" spans="1:14" ht="15" thickBot="1">
      <c r="A15" s="21" t="s">
        <v>45</v>
      </c>
      <c r="B15" s="22" t="s">
        <v>39</v>
      </c>
      <c r="C15" s="22" t="s">
        <v>30</v>
      </c>
      <c r="D15" s="23">
        <f>'GS5825 ER Calcs'!J37</f>
        <v>2344</v>
      </c>
      <c r="E15" s="2"/>
      <c r="F15" s="4"/>
      <c r="G15" s="4"/>
      <c r="H15" s="4"/>
      <c r="I15" s="4"/>
      <c r="J15" s="4"/>
      <c r="K15" s="4"/>
      <c r="L15" s="4"/>
      <c r="M15" s="2"/>
    </row>
    <row r="16" spans="1:14" ht="15" thickBot="1">
      <c r="A16" s="4"/>
      <c r="B16" s="4"/>
      <c r="C16" s="4"/>
      <c r="D16" s="4"/>
      <c r="E16" s="2"/>
      <c r="F16" s="4"/>
      <c r="G16" s="4"/>
      <c r="H16" s="4"/>
      <c r="I16" s="4"/>
      <c r="J16" s="4"/>
      <c r="K16" s="4"/>
      <c r="L16" s="4"/>
      <c r="M16" s="2"/>
    </row>
    <row r="17" spans="1:13">
      <c r="A17" s="523" t="s">
        <v>46</v>
      </c>
      <c r="B17" s="524"/>
      <c r="C17" s="524"/>
      <c r="D17" s="524"/>
      <c r="E17" s="2"/>
      <c r="F17" s="4"/>
      <c r="G17" s="4"/>
      <c r="H17" s="4"/>
      <c r="I17" s="4"/>
      <c r="J17" s="4"/>
      <c r="K17" s="4"/>
      <c r="L17" s="4"/>
      <c r="M17" s="2"/>
    </row>
    <row r="18" spans="1:13">
      <c r="A18" s="518" t="s">
        <v>19</v>
      </c>
      <c r="B18" s="519"/>
      <c r="C18" s="519"/>
      <c r="D18" s="519"/>
      <c r="E18" s="2"/>
      <c r="F18" s="4"/>
      <c r="G18" s="4"/>
      <c r="H18" s="4"/>
      <c r="I18" s="4"/>
      <c r="J18" s="4"/>
      <c r="K18" s="4"/>
      <c r="L18" s="4"/>
      <c r="M18" s="2"/>
    </row>
    <row r="19" spans="1:13">
      <c r="A19" s="8" t="s">
        <v>28</v>
      </c>
      <c r="B19" s="9" t="s">
        <v>29</v>
      </c>
      <c r="C19" s="9" t="s">
        <v>30</v>
      </c>
      <c r="D19" s="10">
        <f>'GS5825 ER Calcs'!O26</f>
        <v>4211</v>
      </c>
      <c r="E19" s="2"/>
      <c r="F19" s="4"/>
      <c r="G19" s="4"/>
      <c r="H19" s="4"/>
      <c r="I19" s="4"/>
      <c r="J19" s="4"/>
      <c r="K19" s="4"/>
      <c r="L19" s="4"/>
      <c r="M19" s="2"/>
    </row>
    <row r="20" spans="1:13">
      <c r="A20" s="8" t="s">
        <v>31</v>
      </c>
      <c r="B20" s="9" t="s">
        <v>32</v>
      </c>
      <c r="C20" s="9" t="s">
        <v>30</v>
      </c>
      <c r="D20" s="14">
        <f>'GS5825 ER Calcs'!O27</f>
        <v>0</v>
      </c>
      <c r="E20" s="2"/>
      <c r="F20" s="4"/>
      <c r="G20" s="4"/>
      <c r="H20" s="4"/>
      <c r="I20" s="4"/>
      <c r="J20" s="4"/>
      <c r="K20" s="4"/>
      <c r="L20" s="4"/>
      <c r="M20" s="2"/>
    </row>
    <row r="21" spans="1:13">
      <c r="A21" s="8" t="s">
        <v>33</v>
      </c>
      <c r="B21" s="9" t="s">
        <v>34</v>
      </c>
      <c r="C21" s="9" t="s">
        <v>35</v>
      </c>
      <c r="D21" s="14">
        <f>'GS5825 ER Calcs'!O28</f>
        <v>0.95</v>
      </c>
      <c r="E21" s="2"/>
      <c r="F21" s="4"/>
      <c r="G21" s="4"/>
      <c r="H21" s="4"/>
      <c r="I21" s="4"/>
      <c r="J21" s="4"/>
      <c r="K21" s="4"/>
      <c r="L21" s="4"/>
      <c r="M21" s="2"/>
    </row>
    <row r="22" spans="1:13">
      <c r="A22" s="8" t="s">
        <v>36</v>
      </c>
      <c r="B22" s="9" t="s">
        <v>37</v>
      </c>
      <c r="C22" s="9" t="s">
        <v>30</v>
      </c>
      <c r="D22" s="14">
        <f>'GS5825 ER Calcs'!O29</f>
        <v>0</v>
      </c>
      <c r="E22" s="2"/>
      <c r="F22" s="4"/>
      <c r="G22" s="4"/>
      <c r="H22" s="4"/>
      <c r="I22" s="4"/>
      <c r="J22" s="4"/>
      <c r="K22" s="4"/>
      <c r="L22" s="4"/>
      <c r="M22" s="2"/>
    </row>
    <row r="23" spans="1:13">
      <c r="A23" s="8" t="s">
        <v>38</v>
      </c>
      <c r="B23" s="9" t="s">
        <v>39</v>
      </c>
      <c r="C23" s="9" t="s">
        <v>30</v>
      </c>
      <c r="D23" s="10">
        <f>'GS5825 ER Calcs'!O30</f>
        <v>4000</v>
      </c>
      <c r="E23" s="2"/>
      <c r="F23" s="4"/>
      <c r="G23" s="4"/>
      <c r="H23" s="4"/>
      <c r="I23" s="4"/>
      <c r="J23" s="4"/>
      <c r="K23" s="4"/>
      <c r="L23" s="4"/>
      <c r="M23" s="2"/>
    </row>
    <row r="24" spans="1:13">
      <c r="A24" s="518" t="s">
        <v>40</v>
      </c>
      <c r="B24" s="519"/>
      <c r="C24" s="519"/>
      <c r="D24" s="519"/>
      <c r="E24" s="2"/>
      <c r="F24" s="4"/>
      <c r="G24" s="4"/>
      <c r="H24" s="4"/>
      <c r="I24" s="4"/>
      <c r="J24" s="4"/>
      <c r="K24" s="4"/>
      <c r="L24" s="4"/>
      <c r="M24" s="2"/>
    </row>
    <row r="25" spans="1:13">
      <c r="A25" s="15" t="s">
        <v>41</v>
      </c>
      <c r="B25" s="9"/>
      <c r="C25" s="16"/>
      <c r="D25" s="17">
        <f>'GS5825 ER Calcs'!O33</f>
        <v>1</v>
      </c>
      <c r="E25" s="2"/>
      <c r="F25" s="4"/>
      <c r="G25" s="4"/>
      <c r="H25" s="4"/>
      <c r="I25" s="4"/>
      <c r="J25" s="4"/>
      <c r="K25" s="4"/>
      <c r="L25" s="4"/>
      <c r="M25" s="2"/>
    </row>
    <row r="26" spans="1:13">
      <c r="A26" s="15" t="s">
        <v>43</v>
      </c>
      <c r="B26" s="9" t="s">
        <v>42</v>
      </c>
      <c r="C26" s="16" t="s">
        <v>44</v>
      </c>
      <c r="D26" s="17">
        <f>'GS5825 ER Calcs'!O34</f>
        <v>0</v>
      </c>
      <c r="E26" s="2"/>
      <c r="F26" s="4"/>
      <c r="G26" s="4"/>
      <c r="H26" s="4"/>
      <c r="I26" s="4"/>
      <c r="J26" s="4"/>
      <c r="K26" s="4"/>
      <c r="L26" s="4"/>
      <c r="M26" s="2"/>
    </row>
    <row r="27" spans="1:13" ht="15" thickBot="1">
      <c r="A27" s="21" t="s">
        <v>38</v>
      </c>
      <c r="B27" s="22" t="s">
        <v>39</v>
      </c>
      <c r="C27" s="22" t="s">
        <v>30</v>
      </c>
      <c r="D27" s="23">
        <f>'GS5825 ER Calcs'!O35</f>
        <v>4000</v>
      </c>
      <c r="E27" s="2"/>
      <c r="F27" s="4"/>
      <c r="G27" s="4"/>
      <c r="H27" s="4"/>
      <c r="I27" s="4"/>
      <c r="J27" s="4"/>
      <c r="K27" s="4"/>
      <c r="L27" s="4"/>
      <c r="M27" s="2"/>
    </row>
    <row r="28" spans="1:13" ht="15" thickBot="1">
      <c r="A28" s="21" t="s">
        <v>45</v>
      </c>
      <c r="B28" s="22" t="s">
        <v>39</v>
      </c>
      <c r="C28" s="22" t="s">
        <v>30</v>
      </c>
      <c r="D28" s="23">
        <f>'GS5825 ER Calcs'!O37</f>
        <v>4000</v>
      </c>
      <c r="E28" s="2"/>
      <c r="F28" s="4"/>
      <c r="G28" s="4"/>
      <c r="H28" s="4"/>
      <c r="I28" s="4"/>
      <c r="J28" s="4"/>
      <c r="K28" s="4"/>
      <c r="L28" s="4"/>
      <c r="M28" s="2"/>
    </row>
    <row r="29" spans="1:13" ht="15" thickBot="1">
      <c r="A29" s="4"/>
      <c r="B29" s="4"/>
      <c r="C29" s="4"/>
      <c r="D29" s="4"/>
      <c r="E29" s="2"/>
      <c r="F29" s="4"/>
      <c r="G29" s="4"/>
      <c r="H29" s="4"/>
      <c r="I29" s="4"/>
      <c r="J29" s="4"/>
      <c r="K29" s="4"/>
      <c r="L29" s="4"/>
      <c r="M29" s="2"/>
    </row>
    <row r="30" spans="1:13">
      <c r="A30" s="523" t="s">
        <v>276</v>
      </c>
      <c r="B30" s="524"/>
      <c r="C30" s="524"/>
      <c r="D30" s="524"/>
      <c r="E30" s="4"/>
      <c r="F30" s="4"/>
      <c r="G30" s="4"/>
      <c r="H30" s="4"/>
      <c r="I30" s="4"/>
      <c r="J30" s="4"/>
      <c r="K30" s="4"/>
      <c r="L30" s="4"/>
      <c r="M30" s="2"/>
    </row>
    <row r="31" spans="1:13">
      <c r="A31" s="518" t="s">
        <v>19</v>
      </c>
      <c r="B31" s="519"/>
      <c r="C31" s="519"/>
      <c r="D31" s="519"/>
      <c r="E31" s="4"/>
      <c r="F31" s="4"/>
      <c r="G31" s="4"/>
      <c r="H31" s="4"/>
      <c r="I31" s="4"/>
      <c r="J31" s="4"/>
      <c r="K31" s="4"/>
      <c r="L31" s="4"/>
      <c r="M31" s="2"/>
    </row>
    <row r="32" spans="1:13">
      <c r="A32" s="8" t="s">
        <v>28</v>
      </c>
      <c r="B32" s="9" t="s">
        <v>29</v>
      </c>
      <c r="C32" s="9" t="s">
        <v>30</v>
      </c>
      <c r="D32" s="10">
        <f>'GS5825 ER Calcs'!U26</f>
        <v>195</v>
      </c>
      <c r="E32" s="4"/>
      <c r="F32" s="4"/>
      <c r="G32" s="4"/>
      <c r="H32" s="4"/>
      <c r="I32" s="4"/>
      <c r="J32" s="4"/>
      <c r="K32" s="4"/>
      <c r="L32" s="4"/>
      <c r="M32" s="2"/>
    </row>
    <row r="33" spans="1:13">
      <c r="A33" s="8" t="s">
        <v>31</v>
      </c>
      <c r="B33" s="9" t="s">
        <v>32</v>
      </c>
      <c r="C33" s="9" t="s">
        <v>30</v>
      </c>
      <c r="D33" s="10">
        <f>'GS5825 ER Calcs'!U27</f>
        <v>0</v>
      </c>
      <c r="E33" s="4"/>
      <c r="F33" s="4"/>
      <c r="G33" s="4"/>
      <c r="H33" s="4"/>
      <c r="I33" s="4"/>
      <c r="J33" s="4"/>
      <c r="K33" s="4"/>
      <c r="L33" s="4"/>
      <c r="M33" s="2"/>
    </row>
    <row r="34" spans="1:13">
      <c r="A34" s="8" t="s">
        <v>33</v>
      </c>
      <c r="B34" s="9" t="s">
        <v>34</v>
      </c>
      <c r="C34" s="9" t="s">
        <v>35</v>
      </c>
      <c r="D34" s="252">
        <f>'GS5825 ER Calcs'!U28</f>
        <v>0.95</v>
      </c>
      <c r="E34" s="4"/>
      <c r="F34" s="4"/>
      <c r="G34" s="4"/>
      <c r="H34" s="4"/>
      <c r="I34" s="4"/>
      <c r="J34" s="4"/>
      <c r="K34" s="4"/>
      <c r="L34" s="4"/>
      <c r="M34" s="2"/>
    </row>
    <row r="35" spans="1:13">
      <c r="A35" s="8" t="s">
        <v>36</v>
      </c>
      <c r="B35" s="9" t="s">
        <v>37</v>
      </c>
      <c r="C35" s="9" t="s">
        <v>30</v>
      </c>
      <c r="D35" s="252">
        <f>'GS5825 ER Calcs'!U29</f>
        <v>0</v>
      </c>
      <c r="E35" s="4"/>
      <c r="F35" s="4"/>
      <c r="G35" s="4"/>
      <c r="H35" s="4"/>
      <c r="I35" s="4"/>
      <c r="J35" s="4"/>
      <c r="K35" s="4"/>
      <c r="L35" s="4"/>
      <c r="M35" s="2"/>
    </row>
    <row r="36" spans="1:13">
      <c r="A36" s="8" t="s">
        <v>38</v>
      </c>
      <c r="B36" s="9" t="s">
        <v>39</v>
      </c>
      <c r="C36" s="9" t="s">
        <v>30</v>
      </c>
      <c r="D36" s="252">
        <f>'GS5825 ER Calcs'!U30</f>
        <v>185</v>
      </c>
      <c r="E36" s="4"/>
      <c r="F36" s="4"/>
      <c r="G36" s="4"/>
      <c r="H36" s="4"/>
      <c r="I36" s="4"/>
      <c r="J36" s="4"/>
      <c r="K36" s="4"/>
      <c r="L36" s="4"/>
      <c r="M36" s="2"/>
    </row>
    <row r="37" spans="1:13">
      <c r="A37" s="518" t="s">
        <v>40</v>
      </c>
      <c r="B37" s="519"/>
      <c r="C37" s="519"/>
      <c r="D37" s="519"/>
      <c r="E37" s="4"/>
      <c r="F37" s="4"/>
      <c r="G37" s="4"/>
      <c r="H37" s="4"/>
      <c r="I37" s="4"/>
      <c r="J37" s="4"/>
      <c r="K37" s="4"/>
      <c r="L37" s="4"/>
      <c r="M37" s="2"/>
    </row>
    <row r="38" spans="1:13">
      <c r="A38" s="15" t="s">
        <v>41</v>
      </c>
      <c r="B38" s="9"/>
      <c r="C38" s="16"/>
      <c r="D38" s="17">
        <f>'GS5825 ER Calcs'!U33</f>
        <v>1</v>
      </c>
      <c r="E38" s="4"/>
      <c r="F38" s="4"/>
      <c r="G38" s="4"/>
      <c r="H38" s="4"/>
      <c r="I38" s="4"/>
      <c r="J38" s="4"/>
      <c r="K38" s="4"/>
      <c r="L38" s="4"/>
      <c r="M38" s="2"/>
    </row>
    <row r="39" spans="1:13">
      <c r="A39" s="15" t="s">
        <v>277</v>
      </c>
      <c r="B39" s="9" t="s">
        <v>42</v>
      </c>
      <c r="C39" s="16" t="s">
        <v>44</v>
      </c>
      <c r="D39" s="17">
        <f>'GS5825 ER Calcs'!U34</f>
        <v>0</v>
      </c>
      <c r="E39" s="4"/>
      <c r="F39" s="4"/>
      <c r="G39" s="4"/>
      <c r="H39" s="4"/>
      <c r="I39" s="4"/>
      <c r="J39" s="4"/>
      <c r="K39" s="4"/>
      <c r="L39" s="4"/>
      <c r="M39" s="2"/>
    </row>
    <row r="40" spans="1:13" ht="15" thickBot="1">
      <c r="A40" s="21" t="s">
        <v>38</v>
      </c>
      <c r="B40" s="22" t="s">
        <v>39</v>
      </c>
      <c r="C40" s="22" t="s">
        <v>30</v>
      </c>
      <c r="D40" s="236">
        <f>'GS5825 ER Calcs'!U35</f>
        <v>185</v>
      </c>
      <c r="E40" s="4"/>
      <c r="F40" s="4"/>
      <c r="G40" s="4"/>
      <c r="H40" s="4"/>
      <c r="I40" s="4"/>
      <c r="J40" s="4"/>
      <c r="K40" s="4"/>
      <c r="L40" s="4"/>
      <c r="M40" s="2"/>
    </row>
    <row r="41" spans="1:13" ht="15" thickBot="1">
      <c r="A41" s="21" t="s">
        <v>45</v>
      </c>
      <c r="B41" s="22" t="s">
        <v>39</v>
      </c>
      <c r="C41" s="22" t="s">
        <v>30</v>
      </c>
      <c r="D41" s="23">
        <f>'GS5825 ER Calcs'!U37</f>
        <v>185</v>
      </c>
      <c r="E41" s="4"/>
      <c r="F41" s="4"/>
      <c r="G41" s="4"/>
      <c r="H41" s="4"/>
      <c r="I41" s="4"/>
      <c r="J41" s="4"/>
      <c r="K41" s="4"/>
      <c r="L41" s="4"/>
      <c r="M41" s="2"/>
    </row>
    <row r="42" spans="1:13" ht="15" thickBot="1">
      <c r="A42" s="367"/>
      <c r="B42" s="28"/>
      <c r="C42" s="28"/>
      <c r="D42" s="28"/>
      <c r="E42" s="4"/>
      <c r="F42" s="4"/>
      <c r="G42" s="4"/>
      <c r="H42" s="4"/>
      <c r="I42" s="4"/>
      <c r="J42" s="4"/>
      <c r="K42" s="4"/>
      <c r="L42" s="4"/>
      <c r="M42" s="2"/>
    </row>
    <row r="43" spans="1:13" ht="15.65" customHeight="1">
      <c r="A43" s="509" t="s">
        <v>278</v>
      </c>
      <c r="B43" s="510"/>
      <c r="C43" s="510"/>
      <c r="D43" s="510"/>
      <c r="E43" s="2"/>
      <c r="F43" s="2"/>
      <c r="G43" s="507"/>
      <c r="H43" s="507"/>
      <c r="I43" s="2"/>
      <c r="J43" s="2"/>
      <c r="K43" s="2"/>
      <c r="L43" s="2"/>
      <c r="M43" s="2"/>
    </row>
    <row r="44" spans="1:13">
      <c r="A44" s="511" t="s">
        <v>19</v>
      </c>
      <c r="B44" s="512"/>
      <c r="C44" s="512"/>
      <c r="D44" s="512"/>
      <c r="E44" s="2"/>
      <c r="F44" s="2"/>
      <c r="G44" s="507"/>
      <c r="H44" s="507"/>
      <c r="I44" s="2"/>
      <c r="J44" s="2"/>
      <c r="K44" s="2"/>
      <c r="L44" s="2"/>
      <c r="M44" s="2"/>
    </row>
    <row r="45" spans="1:13" ht="14.5" customHeight="1">
      <c r="A45" s="513">
        <v>2022</v>
      </c>
      <c r="B45" s="514"/>
      <c r="C45" s="514"/>
      <c r="D45" s="25">
        <f>D15</f>
        <v>2344</v>
      </c>
      <c r="E45" s="2"/>
      <c r="F45" s="2"/>
      <c r="G45" s="507"/>
      <c r="H45" s="507"/>
      <c r="I45" s="2"/>
      <c r="J45" s="2"/>
      <c r="K45" s="2"/>
      <c r="L45" s="2"/>
      <c r="M45" s="2"/>
    </row>
    <row r="46" spans="1:13" ht="14.5" customHeight="1" thickBot="1">
      <c r="A46" s="515">
        <v>2023</v>
      </c>
      <c r="B46" s="516"/>
      <c r="C46" s="516"/>
      <c r="D46" s="26">
        <f>D28</f>
        <v>4000</v>
      </c>
      <c r="E46" s="2"/>
      <c r="F46" s="2"/>
      <c r="G46" s="2"/>
      <c r="H46" s="2"/>
      <c r="I46" s="2"/>
      <c r="J46" s="2"/>
      <c r="K46" s="2"/>
      <c r="L46" s="2"/>
      <c r="M46" s="2"/>
    </row>
    <row r="47" spans="1:13" ht="15" thickBot="1">
      <c r="A47" s="549">
        <v>2024</v>
      </c>
      <c r="B47" s="549"/>
      <c r="C47" s="549"/>
      <c r="D47" s="26">
        <f>D41</f>
        <v>185</v>
      </c>
      <c r="E47" s="2"/>
      <c r="F47" s="2"/>
      <c r="G47" s="507"/>
      <c r="H47" s="507"/>
      <c r="I47" s="2"/>
      <c r="J47" s="2"/>
      <c r="K47" s="2"/>
      <c r="L47" s="2"/>
      <c r="M47" s="2"/>
    </row>
    <row r="48" spans="1:13" ht="15" thickBot="1">
      <c r="A48" s="369"/>
      <c r="B48" s="369"/>
      <c r="C48" s="369"/>
      <c r="E48" s="2"/>
      <c r="F48" s="2"/>
      <c r="G48" s="2"/>
      <c r="H48" s="2"/>
      <c r="I48" s="2"/>
      <c r="J48" s="2"/>
      <c r="K48" s="2"/>
      <c r="L48" s="2"/>
      <c r="M48" s="2"/>
    </row>
    <row r="49" spans="1:13" ht="26.15" customHeight="1" thickBot="1">
      <c r="A49" s="27" t="s">
        <v>245</v>
      </c>
      <c r="B49" s="29"/>
      <c r="C49" s="30"/>
      <c r="D49" s="31">
        <f>SUM(D45:D47)</f>
        <v>6529</v>
      </c>
      <c r="E49" s="2"/>
      <c r="F49" s="2"/>
      <c r="G49" s="507"/>
      <c r="H49" s="507"/>
      <c r="I49" s="2"/>
      <c r="J49" s="2"/>
      <c r="K49" s="2"/>
      <c r="L49" s="2"/>
      <c r="M49" s="2"/>
    </row>
    <row r="50" spans="1:13">
      <c r="A50" s="2"/>
      <c r="B50" s="517"/>
      <c r="C50" s="517"/>
      <c r="D50" s="2"/>
      <c r="E50" s="2"/>
      <c r="F50" s="2"/>
      <c r="G50" s="507"/>
      <c r="H50" s="507"/>
      <c r="I50" s="2"/>
      <c r="J50" s="2"/>
      <c r="K50" s="2"/>
      <c r="L50" s="2"/>
      <c r="M50" s="2"/>
    </row>
  </sheetData>
  <mergeCells count="24">
    <mergeCell ref="H3:N3"/>
    <mergeCell ref="A17:D17"/>
    <mergeCell ref="A18:D18"/>
    <mergeCell ref="A24:D24"/>
    <mergeCell ref="A43:D43"/>
    <mergeCell ref="A30:D30"/>
    <mergeCell ref="A31:D31"/>
    <mergeCell ref="A37:D37"/>
    <mergeCell ref="H1:N1"/>
    <mergeCell ref="G49:H49"/>
    <mergeCell ref="B50:C50"/>
    <mergeCell ref="G50:H50"/>
    <mergeCell ref="A44:D44"/>
    <mergeCell ref="G44:H44"/>
    <mergeCell ref="A45:C45"/>
    <mergeCell ref="G45:H45"/>
    <mergeCell ref="A46:C46"/>
    <mergeCell ref="G47:H47"/>
    <mergeCell ref="A47:C47"/>
    <mergeCell ref="G43:H43"/>
    <mergeCell ref="A1:D1"/>
    <mergeCell ref="A3:D3"/>
    <mergeCell ref="A4:D4"/>
    <mergeCell ref="A11:D11"/>
  </mergeCells>
  <phoneticPr fontId="15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3E8F2-ACEB-4533-BA19-0D2651C97BFF}">
  <dimension ref="A1:Q32"/>
  <sheetViews>
    <sheetView topLeftCell="G8" workbookViewId="0">
      <selection activeCell="P21" sqref="P21"/>
    </sheetView>
  </sheetViews>
  <sheetFormatPr defaultRowHeight="14.5"/>
  <cols>
    <col min="1" max="1" width="25.54296875" bestFit="1" customWidth="1"/>
    <col min="2" max="2" width="17.26953125" bestFit="1" customWidth="1"/>
    <col min="3" max="3" width="15.26953125" bestFit="1" customWidth="1"/>
    <col min="4" max="4" width="23.81640625" customWidth="1"/>
    <col min="5" max="5" width="16.453125" customWidth="1"/>
    <col min="6" max="6" width="17.1796875" bestFit="1" customWidth="1"/>
    <col min="7" max="7" width="15.1796875" bestFit="1" customWidth="1"/>
    <col min="8" max="8" width="13.81640625" customWidth="1"/>
    <col min="9" max="9" width="16.81640625" customWidth="1"/>
    <col min="11" max="11" width="14.54296875" customWidth="1"/>
    <col min="13" max="13" width="14.54296875" customWidth="1"/>
    <col min="15" max="15" width="12.54296875" customWidth="1"/>
    <col min="16" max="16" width="12.26953125" customWidth="1"/>
  </cols>
  <sheetData>
    <row r="1" spans="1:17" ht="29">
      <c r="A1" s="48" t="s">
        <v>0</v>
      </c>
      <c r="B1" s="49" t="s">
        <v>49</v>
      </c>
      <c r="C1" s="49" t="s">
        <v>50</v>
      </c>
      <c r="D1" s="49" t="s">
        <v>51</v>
      </c>
      <c r="E1" s="49" t="s">
        <v>52</v>
      </c>
      <c r="F1" s="49" t="s">
        <v>192</v>
      </c>
      <c r="G1" s="49" t="s">
        <v>53</v>
      </c>
      <c r="H1" s="50" t="s">
        <v>54</v>
      </c>
      <c r="I1" s="50" t="s">
        <v>11</v>
      </c>
      <c r="J1" s="2"/>
      <c r="K1" s="51" t="s">
        <v>55</v>
      </c>
      <c r="L1" s="52" t="s">
        <v>56</v>
      </c>
      <c r="M1" s="5" t="s">
        <v>57</v>
      </c>
      <c r="N1" s="53" t="s">
        <v>58</v>
      </c>
      <c r="O1" s="114" t="s">
        <v>279</v>
      </c>
      <c r="P1" s="49" t="s">
        <v>280</v>
      </c>
      <c r="Q1" s="50" t="s">
        <v>59</v>
      </c>
    </row>
    <row r="2" spans="1:17" ht="15.5">
      <c r="A2" s="530" t="s">
        <v>281</v>
      </c>
      <c r="B2" s="9" t="s">
        <v>282</v>
      </c>
      <c r="C2" s="54" t="s">
        <v>283</v>
      </c>
      <c r="D2" s="9">
        <v>14.86439</v>
      </c>
      <c r="E2" s="9">
        <v>38.541249999999998</v>
      </c>
      <c r="F2" s="55">
        <v>42862</v>
      </c>
      <c r="G2" s="9">
        <v>121</v>
      </c>
      <c r="H2" s="9">
        <v>456</v>
      </c>
      <c r="I2" s="476">
        <f>IF(H2&lt;324,H2,324)</f>
        <v>324</v>
      </c>
      <c r="J2" s="133"/>
      <c r="K2" s="233">
        <f t="shared" ref="K2:K8" si="0">$E$20</f>
        <v>203.29999999999998</v>
      </c>
      <c r="L2" s="277">
        <f>K2*I2</f>
        <v>65869.2</v>
      </c>
      <c r="M2" s="276">
        <f t="shared" ref="M2:M8" si="1">$E$21</f>
        <v>346.75</v>
      </c>
      <c r="N2" s="278">
        <f>I2*M2</f>
        <v>112347</v>
      </c>
      <c r="O2" s="233">
        <f>$E$22</f>
        <v>16.149999999999999</v>
      </c>
      <c r="P2" s="277">
        <f>I2*O2</f>
        <v>5232.5999999999995</v>
      </c>
      <c r="Q2" s="279">
        <f>L2+N2+P2</f>
        <v>183448.80000000002</v>
      </c>
    </row>
    <row r="3" spans="1:17" ht="15.5">
      <c r="A3" s="531"/>
      <c r="B3" s="9" t="s">
        <v>284</v>
      </c>
      <c r="C3" s="54" t="s">
        <v>285</v>
      </c>
      <c r="D3" s="9">
        <v>15.022740000000001</v>
      </c>
      <c r="E3" s="9">
        <v>38.571109999999997</v>
      </c>
      <c r="F3" s="55">
        <v>42865</v>
      </c>
      <c r="G3" s="9">
        <v>128</v>
      </c>
      <c r="H3" s="9">
        <v>564</v>
      </c>
      <c r="I3" s="476">
        <f t="shared" ref="I3:I8" si="2">IF(H3&lt;371,H3,371)</f>
        <v>371</v>
      </c>
      <c r="J3" s="133"/>
      <c r="K3" s="233">
        <f t="shared" si="0"/>
        <v>203.29999999999998</v>
      </c>
      <c r="L3" s="277">
        <f t="shared" ref="L3:L8" si="3">K3*I3</f>
        <v>75424.299999999988</v>
      </c>
      <c r="M3" s="276">
        <f t="shared" si="1"/>
        <v>346.75</v>
      </c>
      <c r="N3" s="278">
        <f t="shared" ref="N3:N8" si="4">I3*M3</f>
        <v>128644.25</v>
      </c>
      <c r="O3" s="233">
        <f t="shared" ref="O3:O7" si="5">$E$22</f>
        <v>16.149999999999999</v>
      </c>
      <c r="P3" s="277">
        <f t="shared" ref="P3:P8" si="6">I3*O3</f>
        <v>5991.65</v>
      </c>
      <c r="Q3" s="279">
        <f t="shared" ref="Q3:Q8" si="7">L3+N3+P3</f>
        <v>210060.19999999998</v>
      </c>
    </row>
    <row r="4" spans="1:17" ht="15.5">
      <c r="A4" s="531"/>
      <c r="B4" s="9" t="s">
        <v>286</v>
      </c>
      <c r="C4" s="54" t="s">
        <v>287</v>
      </c>
      <c r="D4" s="9">
        <v>14.86234</v>
      </c>
      <c r="E4" s="9">
        <v>38.658090000000001</v>
      </c>
      <c r="F4" s="55">
        <v>42871</v>
      </c>
      <c r="G4" s="9">
        <v>105</v>
      </c>
      <c r="H4" s="9">
        <v>404</v>
      </c>
      <c r="I4" s="476">
        <f t="shared" si="2"/>
        <v>371</v>
      </c>
      <c r="J4" s="133"/>
      <c r="K4" s="233">
        <f t="shared" si="0"/>
        <v>203.29999999999998</v>
      </c>
      <c r="L4" s="277">
        <f t="shared" si="3"/>
        <v>75424.299999999988</v>
      </c>
      <c r="M4" s="276">
        <f t="shared" si="1"/>
        <v>346.75</v>
      </c>
      <c r="N4" s="278">
        <f t="shared" si="4"/>
        <v>128644.25</v>
      </c>
      <c r="O4" s="233">
        <f t="shared" si="5"/>
        <v>16.149999999999999</v>
      </c>
      <c r="P4" s="277">
        <f t="shared" si="6"/>
        <v>5991.65</v>
      </c>
      <c r="Q4" s="279">
        <f t="shared" si="7"/>
        <v>210060.19999999998</v>
      </c>
    </row>
    <row r="5" spans="1:17" ht="15.5">
      <c r="A5" s="531"/>
      <c r="B5" s="9" t="s">
        <v>288</v>
      </c>
      <c r="C5" s="54" t="s">
        <v>289</v>
      </c>
      <c r="D5" s="9">
        <v>14.63533</v>
      </c>
      <c r="E5" s="9">
        <v>38.797040000000003</v>
      </c>
      <c r="F5" s="55">
        <v>43079</v>
      </c>
      <c r="G5" s="9">
        <v>69</v>
      </c>
      <c r="H5" s="9">
        <v>300</v>
      </c>
      <c r="I5" s="476">
        <f t="shared" si="2"/>
        <v>300</v>
      </c>
      <c r="J5" s="133"/>
      <c r="K5" s="233">
        <f t="shared" si="0"/>
        <v>203.29999999999998</v>
      </c>
      <c r="L5" s="277">
        <f t="shared" si="3"/>
        <v>60989.999999999993</v>
      </c>
      <c r="M5" s="276">
        <f t="shared" si="1"/>
        <v>346.75</v>
      </c>
      <c r="N5" s="278">
        <f t="shared" si="4"/>
        <v>104025</v>
      </c>
      <c r="O5" s="233">
        <f t="shared" si="5"/>
        <v>16.149999999999999</v>
      </c>
      <c r="P5" s="277">
        <f t="shared" si="6"/>
        <v>4845</v>
      </c>
      <c r="Q5" s="279">
        <f t="shared" si="7"/>
        <v>169860</v>
      </c>
    </row>
    <row r="6" spans="1:17" ht="15.5">
      <c r="A6" s="531"/>
      <c r="B6" s="9" t="s">
        <v>290</v>
      </c>
      <c r="C6" s="9" t="s">
        <v>291</v>
      </c>
      <c r="D6" s="9">
        <v>14.9778</v>
      </c>
      <c r="E6" s="9">
        <v>38.586419999999997</v>
      </c>
      <c r="F6" s="55">
        <v>43098</v>
      </c>
      <c r="G6" s="9">
        <v>78</v>
      </c>
      <c r="H6" s="9">
        <v>346</v>
      </c>
      <c r="I6" s="476">
        <f t="shared" si="2"/>
        <v>346</v>
      </c>
      <c r="J6" s="133"/>
      <c r="K6" s="233">
        <f t="shared" si="0"/>
        <v>203.29999999999998</v>
      </c>
      <c r="L6" s="277">
        <f t="shared" si="3"/>
        <v>70341.799999999988</v>
      </c>
      <c r="M6" s="276">
        <f t="shared" si="1"/>
        <v>346.75</v>
      </c>
      <c r="N6" s="278">
        <f t="shared" si="4"/>
        <v>119975.5</v>
      </c>
      <c r="O6" s="233">
        <f t="shared" si="5"/>
        <v>16.149999999999999</v>
      </c>
      <c r="P6" s="277">
        <f t="shared" si="6"/>
        <v>5587.9</v>
      </c>
      <c r="Q6" s="279">
        <f t="shared" si="7"/>
        <v>195905.19999999998</v>
      </c>
    </row>
    <row r="7" spans="1:17" ht="15.5">
      <c r="A7" s="531"/>
      <c r="B7" s="9" t="s">
        <v>292</v>
      </c>
      <c r="C7" s="9" t="s">
        <v>293</v>
      </c>
      <c r="D7" s="9">
        <v>14.54391</v>
      </c>
      <c r="E7" s="9">
        <v>39.445729999999998</v>
      </c>
      <c r="F7" s="55">
        <v>43127</v>
      </c>
      <c r="G7" s="9">
        <v>54</v>
      </c>
      <c r="H7" s="9">
        <v>196</v>
      </c>
      <c r="I7" s="476">
        <f t="shared" si="2"/>
        <v>196</v>
      </c>
      <c r="J7" s="133"/>
      <c r="K7" s="233">
        <f t="shared" si="0"/>
        <v>203.29999999999998</v>
      </c>
      <c r="L7" s="277">
        <f t="shared" si="3"/>
        <v>39846.799999999996</v>
      </c>
      <c r="M7" s="276">
        <f t="shared" si="1"/>
        <v>346.75</v>
      </c>
      <c r="N7" s="278">
        <f t="shared" si="4"/>
        <v>67963</v>
      </c>
      <c r="O7" s="233">
        <f t="shared" si="5"/>
        <v>16.149999999999999</v>
      </c>
      <c r="P7" s="277">
        <f t="shared" si="6"/>
        <v>3165.3999999999996</v>
      </c>
      <c r="Q7" s="279">
        <f t="shared" si="7"/>
        <v>110975.19999999998</v>
      </c>
    </row>
    <row r="8" spans="1:17" ht="15.5">
      <c r="A8" s="532"/>
      <c r="B8" s="9" t="s">
        <v>294</v>
      </c>
      <c r="C8" s="9" t="s">
        <v>295</v>
      </c>
      <c r="D8" s="58">
        <v>14.555199999999999</v>
      </c>
      <c r="E8" s="58">
        <v>39.37903</v>
      </c>
      <c r="F8" s="55">
        <v>43131</v>
      </c>
      <c r="G8" s="9">
        <v>73</v>
      </c>
      <c r="H8" s="9">
        <v>290</v>
      </c>
      <c r="I8" s="476">
        <f t="shared" si="2"/>
        <v>290</v>
      </c>
      <c r="J8" s="133"/>
      <c r="K8" s="233">
        <f t="shared" si="0"/>
        <v>203.29999999999998</v>
      </c>
      <c r="L8" s="277">
        <f t="shared" si="3"/>
        <v>58956.999999999993</v>
      </c>
      <c r="M8" s="276">
        <f t="shared" si="1"/>
        <v>346.75</v>
      </c>
      <c r="N8" s="278">
        <f t="shared" si="4"/>
        <v>100557.5</v>
      </c>
      <c r="O8" s="233">
        <f>$E$22</f>
        <v>16.149999999999999</v>
      </c>
      <c r="P8" s="496">
        <f t="shared" si="6"/>
        <v>4683.5</v>
      </c>
      <c r="Q8" s="279">
        <f t="shared" si="7"/>
        <v>164198</v>
      </c>
    </row>
    <row r="9" spans="1:17">
      <c r="A9" s="118"/>
      <c r="B9" s="1"/>
      <c r="C9" s="2"/>
      <c r="D9" s="2"/>
      <c r="E9" s="2"/>
      <c r="F9" s="62"/>
      <c r="G9" s="174" t="s">
        <v>13</v>
      </c>
      <c r="H9" s="175">
        <f>SUM(H2:H8)</f>
        <v>2556</v>
      </c>
      <c r="I9" s="175">
        <f>SUM(I2:I8)</f>
        <v>2198</v>
      </c>
      <c r="J9" s="2"/>
      <c r="K9" s="282"/>
      <c r="L9" s="283">
        <f>SUM(L2:L8)</f>
        <v>446853.39999999997</v>
      </c>
      <c r="M9" s="283"/>
      <c r="N9" s="283">
        <f t="shared" ref="N9" si="8">SUM(N2:N8)</f>
        <v>762156.5</v>
      </c>
      <c r="P9" s="495">
        <f>SUM(P2:P8)</f>
        <v>35497.700000000004</v>
      </c>
      <c r="Q9" s="284">
        <f>SUM(Q2:Q8)</f>
        <v>1244507.5999999999</v>
      </c>
    </row>
    <row r="10" spans="1:17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7" ht="19" thickBot="1">
      <c r="A11" s="2"/>
      <c r="B11" s="66" t="s">
        <v>76</v>
      </c>
      <c r="C11" s="2"/>
      <c r="D11" s="7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7" ht="29">
      <c r="A12" s="68" t="s">
        <v>296</v>
      </c>
      <c r="B12" s="69">
        <v>44713</v>
      </c>
      <c r="C12" s="2"/>
      <c r="D12" s="67"/>
      <c r="E12" s="346"/>
      <c r="F12" s="330"/>
      <c r="G12" s="330"/>
      <c r="H12" s="24"/>
      <c r="I12" s="333"/>
      <c r="J12" s="24"/>
      <c r="K12" s="51" t="s">
        <v>55</v>
      </c>
      <c r="L12" s="52" t="s">
        <v>56</v>
      </c>
      <c r="M12" s="5" t="s">
        <v>57</v>
      </c>
      <c r="N12" s="53" t="s">
        <v>58</v>
      </c>
      <c r="O12" s="114" t="s">
        <v>279</v>
      </c>
      <c r="P12" s="49" t="s">
        <v>280</v>
      </c>
      <c r="Q12" s="50" t="s">
        <v>59</v>
      </c>
    </row>
    <row r="13" spans="1:17" ht="15" thickBot="1">
      <c r="A13" s="123" t="s">
        <v>297</v>
      </c>
      <c r="B13" s="310">
        <v>45308</v>
      </c>
      <c r="C13" s="2"/>
      <c r="D13" s="72"/>
      <c r="E13" s="67"/>
      <c r="J13" s="24"/>
      <c r="K13" s="233">
        <f t="shared" ref="K13:K20" si="9">$E$20</f>
        <v>203.29999999999998</v>
      </c>
      <c r="L13" s="277">
        <f>K13*H2</f>
        <v>92704.799999999988</v>
      </c>
      <c r="M13" s="276">
        <f t="shared" ref="M13:M20" si="10">$E$21</f>
        <v>346.75</v>
      </c>
      <c r="N13" s="278">
        <f>H2*M13</f>
        <v>158118</v>
      </c>
      <c r="O13" s="233">
        <f>$E$22</f>
        <v>16.149999999999999</v>
      </c>
      <c r="P13" s="277">
        <f>O13*H2</f>
        <v>7364.4</v>
      </c>
      <c r="Q13" s="279">
        <f>L13+N13+P13</f>
        <v>258187.19999999998</v>
      </c>
    </row>
    <row r="14" spans="1:17">
      <c r="A14" s="123" t="s">
        <v>79</v>
      </c>
      <c r="B14" s="310">
        <v>44926</v>
      </c>
      <c r="C14" s="2"/>
      <c r="D14" s="72"/>
      <c r="E14" s="67"/>
      <c r="J14" s="2"/>
      <c r="K14" s="233">
        <f t="shared" si="9"/>
        <v>203.29999999999998</v>
      </c>
      <c r="L14" s="277">
        <f t="shared" ref="L14:L20" si="11">K14*H3</f>
        <v>114661.2</v>
      </c>
      <c r="M14" s="276">
        <f t="shared" si="10"/>
        <v>346.75</v>
      </c>
      <c r="N14" s="278">
        <f t="shared" ref="N14:N20" si="12">H3*M14</f>
        <v>195567</v>
      </c>
      <c r="O14" s="233">
        <f t="shared" ref="O14:O19" si="13">$E$22</f>
        <v>16.149999999999999</v>
      </c>
      <c r="P14" s="277">
        <f t="shared" ref="P14:P20" si="14">O14*H3</f>
        <v>9108.5999999999985</v>
      </c>
      <c r="Q14" s="279">
        <f t="shared" ref="Q14:Q20" si="15">L14+N14+P14</f>
        <v>319336.8</v>
      </c>
    </row>
    <row r="15" spans="1:17">
      <c r="A15" s="70" t="s">
        <v>298</v>
      </c>
      <c r="B15" s="480">
        <v>45291</v>
      </c>
      <c r="C15" s="2"/>
      <c r="E15" s="349"/>
      <c r="J15" s="2"/>
      <c r="K15" s="233">
        <f t="shared" si="9"/>
        <v>203.29999999999998</v>
      </c>
      <c r="L15" s="277">
        <f t="shared" si="11"/>
        <v>82133.2</v>
      </c>
      <c r="M15" s="276">
        <f t="shared" si="10"/>
        <v>346.75</v>
      </c>
      <c r="N15" s="278">
        <f t="shared" si="12"/>
        <v>140087</v>
      </c>
      <c r="O15" s="233">
        <f t="shared" si="13"/>
        <v>16.149999999999999</v>
      </c>
      <c r="P15" s="277">
        <f t="shared" si="14"/>
        <v>6524.5999999999995</v>
      </c>
      <c r="Q15" s="279">
        <f t="shared" si="15"/>
        <v>228744.80000000002</v>
      </c>
    </row>
    <row r="16" spans="1:17">
      <c r="A16" s="479" t="s">
        <v>299</v>
      </c>
      <c r="B16" s="481" t="s">
        <v>300</v>
      </c>
      <c r="C16" s="2"/>
      <c r="E16" s="349"/>
      <c r="J16" s="2"/>
      <c r="K16" s="233"/>
      <c r="L16" s="277">
        <f t="shared" si="11"/>
        <v>0</v>
      </c>
      <c r="M16" s="276"/>
      <c r="N16" s="278">
        <f t="shared" si="12"/>
        <v>0</v>
      </c>
      <c r="O16" s="233"/>
      <c r="P16" s="277">
        <f t="shared" si="14"/>
        <v>0</v>
      </c>
      <c r="Q16" s="279"/>
    </row>
    <row r="17" spans="1:17">
      <c r="C17" s="2"/>
      <c r="D17" s="2"/>
      <c r="E17" s="2"/>
      <c r="F17" s="2"/>
      <c r="G17" s="2"/>
      <c r="H17" s="2"/>
      <c r="I17" s="2"/>
      <c r="J17" s="2"/>
      <c r="K17" s="233">
        <f t="shared" si="9"/>
        <v>203.29999999999998</v>
      </c>
      <c r="L17" s="277">
        <f t="shared" si="11"/>
        <v>70341.799999999988</v>
      </c>
      <c r="M17" s="276">
        <f t="shared" si="10"/>
        <v>346.75</v>
      </c>
      <c r="N17" s="278">
        <f t="shared" si="12"/>
        <v>119975.5</v>
      </c>
      <c r="O17" s="233">
        <f t="shared" si="13"/>
        <v>16.149999999999999</v>
      </c>
      <c r="P17" s="277">
        <f t="shared" si="14"/>
        <v>5587.9</v>
      </c>
      <c r="Q17" s="279">
        <f t="shared" si="15"/>
        <v>195905.19999999998</v>
      </c>
    </row>
    <row r="18" spans="1:17" ht="15" thickBot="1">
      <c r="A18" s="61"/>
      <c r="B18" s="66" t="s">
        <v>301</v>
      </c>
      <c r="C18" s="2"/>
      <c r="G18" s="2"/>
      <c r="H18" s="2"/>
      <c r="I18" s="2"/>
      <c r="J18" s="2"/>
      <c r="K18" s="233">
        <f t="shared" si="9"/>
        <v>203.29999999999998</v>
      </c>
      <c r="L18" s="277">
        <f t="shared" si="11"/>
        <v>39846.799999999996</v>
      </c>
      <c r="M18" s="276">
        <f t="shared" si="10"/>
        <v>346.75</v>
      </c>
      <c r="N18" s="278">
        <f t="shared" si="12"/>
        <v>67963</v>
      </c>
      <c r="O18" s="233">
        <f t="shared" si="13"/>
        <v>16.149999999999999</v>
      </c>
      <c r="P18" s="277">
        <f t="shared" si="14"/>
        <v>3165.3999999999996</v>
      </c>
      <c r="Q18" s="279">
        <f t="shared" si="15"/>
        <v>110975.19999999998</v>
      </c>
    </row>
    <row r="19" spans="1:17">
      <c r="A19" s="68" t="s">
        <v>82</v>
      </c>
      <c r="B19" s="74">
        <v>27.4</v>
      </c>
      <c r="C19" s="2" t="s">
        <v>8</v>
      </c>
      <c r="D19" s="2" t="s">
        <v>83</v>
      </c>
      <c r="E19" s="2" t="s">
        <v>270</v>
      </c>
      <c r="F19" s="2" t="s">
        <v>271</v>
      </c>
      <c r="G19" s="2"/>
      <c r="H19" s="2"/>
      <c r="I19" s="2"/>
      <c r="J19" s="2"/>
      <c r="K19" s="233">
        <f t="shared" si="9"/>
        <v>203.29999999999998</v>
      </c>
      <c r="L19" s="277">
        <f t="shared" si="11"/>
        <v>58956.999999999993</v>
      </c>
      <c r="M19" s="276">
        <f t="shared" si="10"/>
        <v>346.75</v>
      </c>
      <c r="N19" s="278">
        <f t="shared" si="12"/>
        <v>100557.5</v>
      </c>
      <c r="O19" s="233">
        <f t="shared" si="13"/>
        <v>16.149999999999999</v>
      </c>
      <c r="P19" s="277">
        <f t="shared" si="14"/>
        <v>4683.5</v>
      </c>
      <c r="Q19" s="279">
        <f t="shared" si="15"/>
        <v>164198</v>
      </c>
    </row>
    <row r="20" spans="1:17">
      <c r="A20" s="75" t="s">
        <v>86</v>
      </c>
      <c r="B20" s="76">
        <f>B14-B12+1</f>
        <v>214</v>
      </c>
      <c r="C20" s="348">
        <f>'Maintenance '!BI47/($B20*COUNTA($B$2:$B$8))</f>
        <v>0</v>
      </c>
      <c r="D20" s="196">
        <v>0.95</v>
      </c>
      <c r="E20" s="235">
        <f>F20*D20</f>
        <v>203.29999999999998</v>
      </c>
      <c r="F20" s="57">
        <f>B20</f>
        <v>214</v>
      </c>
      <c r="G20" s="2"/>
      <c r="H20" s="2"/>
      <c r="I20" s="2"/>
      <c r="J20" s="2"/>
      <c r="K20" s="233">
        <f t="shared" si="9"/>
        <v>203.29999999999998</v>
      </c>
      <c r="L20" s="277">
        <f t="shared" si="11"/>
        <v>519634.79999999993</v>
      </c>
      <c r="M20" s="276">
        <f t="shared" si="10"/>
        <v>346.75</v>
      </c>
      <c r="N20" s="278">
        <f t="shared" si="12"/>
        <v>886293</v>
      </c>
      <c r="O20" s="233">
        <f>$E$22</f>
        <v>16.149999999999999</v>
      </c>
      <c r="P20" s="277">
        <f t="shared" si="14"/>
        <v>41279.399999999994</v>
      </c>
      <c r="Q20" s="279">
        <f t="shared" si="15"/>
        <v>1447207.1999999997</v>
      </c>
    </row>
    <row r="21" spans="1:17" ht="15" thickBot="1">
      <c r="A21" s="78" t="s">
        <v>87</v>
      </c>
      <c r="B21" s="79">
        <f>B15-B14</f>
        <v>365</v>
      </c>
      <c r="C21" s="348">
        <f>'Maintenance '!BJ47/($B21*COUNTA($B$2:$B$8))</f>
        <v>0</v>
      </c>
      <c r="D21" s="196">
        <v>0.95</v>
      </c>
      <c r="E21" s="235">
        <f>F21*D21</f>
        <v>346.75</v>
      </c>
      <c r="F21" s="57">
        <f>B21</f>
        <v>365</v>
      </c>
      <c r="G21" s="2"/>
      <c r="H21" s="2"/>
      <c r="I21" s="2"/>
      <c r="J21" s="2"/>
      <c r="K21" s="282"/>
      <c r="L21" s="283">
        <f>SUM(L13:L20)</f>
        <v>978279.59999999986</v>
      </c>
      <c r="M21" s="284"/>
      <c r="N21" s="285">
        <f t="shared" ref="N21" si="16">SUM(N13:N20)</f>
        <v>1668561</v>
      </c>
      <c r="P21" s="286">
        <f t="shared" ref="P21:Q21" si="17">SUM(P13:P20)</f>
        <v>77713.799999999988</v>
      </c>
      <c r="Q21" s="286">
        <f t="shared" si="17"/>
        <v>2724554.3999999994</v>
      </c>
    </row>
    <row r="22" spans="1:17" ht="15" thickBot="1">
      <c r="A22" s="78" t="s">
        <v>302</v>
      </c>
      <c r="B22">
        <f>B13-B15</f>
        <v>17</v>
      </c>
      <c r="C22" s="348">
        <f>'Maintenance '!BK47/($B22*COUNTA($B$2:$B$8))</f>
        <v>0</v>
      </c>
      <c r="D22" s="196">
        <v>0.95</v>
      </c>
      <c r="E22" s="235">
        <f>F22*D22</f>
        <v>16.149999999999999</v>
      </c>
      <c r="F22">
        <f>B22</f>
        <v>17</v>
      </c>
    </row>
    <row r="23" spans="1:17" ht="15" thickBot="1">
      <c r="A23" s="63" t="s">
        <v>88</v>
      </c>
      <c r="B23" s="80">
        <f>SUM(B19:B22)</f>
        <v>623.4</v>
      </c>
      <c r="C23" s="356">
        <f>SUM(C20:C22)</f>
        <v>0</v>
      </c>
      <c r="D23" s="188"/>
      <c r="E23" s="188"/>
      <c r="F23" s="188"/>
    </row>
    <row r="24" spans="1:17">
      <c r="A24" s="81" t="s">
        <v>303</v>
      </c>
      <c r="B24" s="82"/>
      <c r="C24" s="506">
        <f>'Maintenance '!BL47/2555</f>
        <v>0</v>
      </c>
      <c r="K24" s="370"/>
      <c r="L24" s="112"/>
      <c r="M24" s="372"/>
      <c r="N24" s="112"/>
      <c r="O24" s="372"/>
      <c r="P24" s="112"/>
      <c r="Q24" s="112"/>
    </row>
    <row r="25" spans="1:17">
      <c r="K25" s="373"/>
      <c r="L25" s="371"/>
      <c r="M25" s="371"/>
      <c r="N25" s="371"/>
      <c r="Q25" s="371"/>
    </row>
    <row r="26" spans="1:17">
      <c r="K26" s="373"/>
      <c r="L26" s="371"/>
      <c r="M26" s="371"/>
      <c r="N26" s="371"/>
      <c r="Q26" s="371"/>
    </row>
    <row r="27" spans="1:17">
      <c r="K27" s="373"/>
      <c r="L27" s="371"/>
      <c r="M27" s="371"/>
      <c r="N27" s="371"/>
      <c r="Q27" s="371"/>
    </row>
    <row r="28" spans="1:17">
      <c r="K28" s="373"/>
      <c r="L28" s="371"/>
      <c r="M28" s="371"/>
      <c r="N28" s="371"/>
      <c r="Q28" s="371"/>
    </row>
    <row r="29" spans="1:17">
      <c r="K29" s="373"/>
      <c r="L29" s="371"/>
      <c r="M29" s="371"/>
      <c r="N29" s="371"/>
      <c r="Q29" s="371"/>
    </row>
    <row r="30" spans="1:17">
      <c r="K30" s="373"/>
      <c r="L30" s="371"/>
      <c r="M30" s="371"/>
      <c r="N30" s="371"/>
      <c r="Q30" s="371"/>
    </row>
    <row r="31" spans="1:17">
      <c r="K31" s="373"/>
      <c r="L31" s="371"/>
      <c r="M31" s="371"/>
      <c r="N31" s="371"/>
      <c r="Q31" s="371"/>
    </row>
    <row r="32" spans="1:17">
      <c r="K32" s="371"/>
      <c r="L32" s="374"/>
      <c r="M32" s="374"/>
      <c r="N32" s="374"/>
      <c r="Q32" s="374"/>
    </row>
  </sheetData>
  <mergeCells count="1">
    <mergeCell ref="A2:A8"/>
  </mergeCells>
  <phoneticPr fontId="15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6DE4-37BF-4C71-ABA6-95D028C26867}">
  <dimension ref="A1:U39"/>
  <sheetViews>
    <sheetView topLeftCell="L1" zoomScale="80" zoomScaleNormal="80" workbookViewId="0">
      <selection activeCell="D5" sqref="D5"/>
    </sheetView>
  </sheetViews>
  <sheetFormatPr defaultRowHeight="15" customHeight="1"/>
  <cols>
    <col min="1" max="1" width="77.1796875" bestFit="1" customWidth="1"/>
    <col min="4" max="4" width="11.81640625" customWidth="1"/>
    <col min="5" max="5" width="39.54296875" bestFit="1" customWidth="1"/>
    <col min="7" max="7" width="77.1796875" bestFit="1" customWidth="1"/>
    <col min="10" max="10" width="14.7265625" customWidth="1"/>
    <col min="12" max="12" width="77.1796875" bestFit="1" customWidth="1"/>
    <col min="15" max="15" width="16.54296875" customWidth="1"/>
    <col min="16" max="16" width="39.54296875" bestFit="1" customWidth="1"/>
    <col min="17" max="17" width="14" customWidth="1"/>
    <col min="18" max="18" width="74.81640625" customWidth="1"/>
    <col min="21" max="21" width="17.54296875" customWidth="1"/>
  </cols>
  <sheetData>
    <row r="1" spans="1:21" ht="14.5" customHeight="1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  <c r="P1" s="2"/>
      <c r="Q1" s="2"/>
      <c r="R1" s="535" t="s">
        <v>276</v>
      </c>
      <c r="S1" s="535"/>
      <c r="T1" s="535"/>
      <c r="U1" s="535"/>
    </row>
    <row r="2" spans="1:21" ht="14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" customHeight="1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34"/>
      <c r="P3" s="482" t="s">
        <v>92</v>
      </c>
      <c r="Q3" s="149"/>
      <c r="R3" s="519" t="s">
        <v>91</v>
      </c>
      <c r="S3" s="519"/>
      <c r="T3" s="519"/>
      <c r="U3" s="534"/>
    </row>
    <row r="4" spans="1:21" ht="20.5" customHeight="1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  <c r="P4" s="483" t="s">
        <v>95</v>
      </c>
      <c r="Q4" s="4"/>
      <c r="R4" s="16" t="s">
        <v>93</v>
      </c>
      <c r="S4" s="9" t="s">
        <v>94</v>
      </c>
      <c r="T4" s="9" t="s">
        <v>35</v>
      </c>
      <c r="U4" s="86">
        <v>0</v>
      </c>
    </row>
    <row r="5" spans="1:21" ht="30.65" customHeight="1">
      <c r="A5" s="9" t="s">
        <v>96</v>
      </c>
      <c r="B5" s="9" t="s">
        <v>97</v>
      </c>
      <c r="C5" s="9"/>
      <c r="D5" s="87">
        <f>'GS5825 PTDs'!Q9</f>
        <v>1244507.5999999999</v>
      </c>
      <c r="E5" s="85" t="s">
        <v>98</v>
      </c>
      <c r="F5" s="2"/>
      <c r="G5" s="9" t="s">
        <v>96</v>
      </c>
      <c r="H5" s="9" t="s">
        <v>97</v>
      </c>
      <c r="I5" s="9"/>
      <c r="J5" s="87">
        <f>'GS5825 PTDs'!L9</f>
        <v>446853.39999999997</v>
      </c>
      <c r="K5" s="2"/>
      <c r="L5" s="9" t="s">
        <v>96</v>
      </c>
      <c r="M5" s="9" t="s">
        <v>97</v>
      </c>
      <c r="N5" s="9"/>
      <c r="O5" s="87">
        <f>'GS5825 PTDs'!N9</f>
        <v>762156.5</v>
      </c>
      <c r="P5" s="483" t="s">
        <v>98</v>
      </c>
      <c r="Q5" s="4"/>
      <c r="R5" s="16" t="s">
        <v>96</v>
      </c>
      <c r="S5" s="9" t="s">
        <v>97</v>
      </c>
      <c r="T5" s="9"/>
      <c r="U5" s="87">
        <f>'GS5825 PTDs'!P9</f>
        <v>35497.700000000004</v>
      </c>
    </row>
    <row r="6" spans="1:21" ht="21" customHeight="1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  <c r="P6" s="483" t="s">
        <v>102</v>
      </c>
      <c r="Q6" s="4"/>
      <c r="R6" s="16" t="s">
        <v>99</v>
      </c>
      <c r="S6" s="9" t="s">
        <v>100</v>
      </c>
      <c r="T6" s="9" t="s">
        <v>101</v>
      </c>
      <c r="U6" s="86">
        <v>4.0000000000000002E-4</v>
      </c>
    </row>
    <row r="7" spans="1:21" ht="29.5" customHeight="1">
      <c r="A7" s="88" t="s">
        <v>103</v>
      </c>
      <c r="B7" s="9" t="s">
        <v>104</v>
      </c>
      <c r="C7" s="9" t="s">
        <v>105</v>
      </c>
      <c r="D7" s="86">
        <v>7.5</v>
      </c>
      <c r="E7" s="85" t="s">
        <v>162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  <c r="P7" s="483" t="s">
        <v>304</v>
      </c>
      <c r="Q7" s="4"/>
      <c r="R7" s="484" t="s">
        <v>103</v>
      </c>
      <c r="S7" s="9" t="s">
        <v>104</v>
      </c>
      <c r="T7" s="9" t="s">
        <v>105</v>
      </c>
      <c r="U7" s="86">
        <v>7.5</v>
      </c>
    </row>
    <row r="8" spans="1:21" ht="17.149999999999999" customHeight="1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  <c r="P8" s="483" t="s">
        <v>109</v>
      </c>
      <c r="Q8" s="4"/>
      <c r="R8" s="484" t="s">
        <v>107</v>
      </c>
      <c r="S8" s="9" t="s">
        <v>108</v>
      </c>
      <c r="T8" s="9" t="s">
        <v>105</v>
      </c>
      <c r="U8" s="86">
        <v>0</v>
      </c>
    </row>
    <row r="9" spans="1:21" ht="14.5">
      <c r="A9" s="9" t="s">
        <v>110</v>
      </c>
      <c r="B9" s="9" t="s">
        <v>111</v>
      </c>
      <c r="C9" s="9" t="s">
        <v>112</v>
      </c>
      <c r="D9" s="86">
        <f>ROUNDDOWN((1-D4)*D5*D6*(D7+D8),0)</f>
        <v>3733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1340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2286</v>
      </c>
      <c r="P9" s="483"/>
      <c r="Q9" s="4"/>
      <c r="R9" s="16" t="s">
        <v>110</v>
      </c>
      <c r="S9" s="9" t="s">
        <v>111</v>
      </c>
      <c r="T9" s="9" t="s">
        <v>112</v>
      </c>
      <c r="U9" s="86">
        <f>ROUNDDOWN((1-U4)*U5*U6*(U7+U8),0)</f>
        <v>106</v>
      </c>
    </row>
    <row r="10" spans="1:21" ht="14.5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P10" s="4"/>
      <c r="Q10" s="4"/>
      <c r="R10" s="2"/>
      <c r="S10" s="2"/>
      <c r="T10" s="2"/>
      <c r="U10" s="2"/>
    </row>
    <row r="11" spans="1:21" ht="14.5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  <c r="P11" s="4"/>
      <c r="Q11" s="4"/>
      <c r="R11" s="519" t="s">
        <v>113</v>
      </c>
      <c r="S11" s="519"/>
      <c r="T11" s="519"/>
      <c r="U11" s="519"/>
    </row>
    <row r="12" spans="1:21" ht="20.149999999999999" customHeight="1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  <c r="P12" s="483" t="s">
        <v>95</v>
      </c>
      <c r="Q12" s="4"/>
      <c r="R12" s="16" t="s">
        <v>114</v>
      </c>
      <c r="S12" s="9" t="s">
        <v>94</v>
      </c>
      <c r="T12" s="9" t="s">
        <v>35</v>
      </c>
      <c r="U12" s="86">
        <v>0</v>
      </c>
    </row>
    <row r="13" spans="1:21" ht="16.5" customHeight="1">
      <c r="A13" s="9" t="s">
        <v>96</v>
      </c>
      <c r="B13" s="9" t="s">
        <v>97</v>
      </c>
      <c r="C13" s="9"/>
      <c r="D13" s="87">
        <f>D5</f>
        <v>1244507.5999999999</v>
      </c>
      <c r="E13" s="85" t="s">
        <v>115</v>
      </c>
      <c r="F13" s="2"/>
      <c r="G13" s="9" t="s">
        <v>96</v>
      </c>
      <c r="H13" s="9" t="s">
        <v>97</v>
      </c>
      <c r="I13" s="9"/>
      <c r="J13" s="87">
        <f>J5</f>
        <v>446853.39999999997</v>
      </c>
      <c r="K13" s="2"/>
      <c r="L13" s="9" t="s">
        <v>96</v>
      </c>
      <c r="M13" s="9" t="s">
        <v>97</v>
      </c>
      <c r="N13" s="9"/>
      <c r="O13" s="87">
        <f>O5</f>
        <v>762156.5</v>
      </c>
      <c r="P13" s="483" t="s">
        <v>115</v>
      </c>
      <c r="Q13" s="4"/>
      <c r="R13" s="16" t="s">
        <v>96</v>
      </c>
      <c r="S13" s="9" t="s">
        <v>97</v>
      </c>
      <c r="T13" s="9"/>
      <c r="U13" s="87">
        <f>U5</f>
        <v>35497.700000000004</v>
      </c>
    </row>
    <row r="14" spans="1:21" ht="14.5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  <c r="P14" s="483"/>
      <c r="Q14" s="4"/>
      <c r="R14" s="16" t="s">
        <v>116</v>
      </c>
      <c r="S14" s="9" t="s">
        <v>117</v>
      </c>
      <c r="T14" s="9" t="s">
        <v>101</v>
      </c>
      <c r="U14" s="86">
        <v>4.0000000000000002E-4</v>
      </c>
    </row>
    <row r="15" spans="1:21" ht="14.5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  <c r="P15" s="483" t="s">
        <v>109</v>
      </c>
      <c r="Q15" s="4"/>
      <c r="R15" s="16" t="s">
        <v>118</v>
      </c>
      <c r="S15" s="9" t="s">
        <v>108</v>
      </c>
      <c r="T15" s="9" t="s">
        <v>105</v>
      </c>
      <c r="U15" s="86">
        <v>0</v>
      </c>
    </row>
    <row r="16" spans="1:21" ht="14.5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  <c r="P16" s="483" t="s">
        <v>109</v>
      </c>
      <c r="Q16" s="4"/>
      <c r="R16" s="16" t="s">
        <v>119</v>
      </c>
      <c r="S16" s="9" t="s">
        <v>120</v>
      </c>
      <c r="T16" s="9" t="s">
        <v>105</v>
      </c>
      <c r="U16" s="86">
        <v>0</v>
      </c>
    </row>
    <row r="17" spans="1:21" ht="14.5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121</v>
      </c>
      <c r="M17" s="9" t="s">
        <v>122</v>
      </c>
      <c r="N17" s="9" t="s">
        <v>112</v>
      </c>
      <c r="O17" s="86">
        <f>ROUNDDOWN((1+O12)*O13*O14*(O16+O16),0)</f>
        <v>0</v>
      </c>
      <c r="P17" s="483"/>
      <c r="Q17" s="4"/>
      <c r="R17" s="16" t="s">
        <v>121</v>
      </c>
      <c r="S17" s="9" t="s">
        <v>122</v>
      </c>
      <c r="T17" s="9" t="s">
        <v>112</v>
      </c>
      <c r="U17" s="86">
        <v>0</v>
      </c>
    </row>
    <row r="18" spans="1:21" ht="14.5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  <c r="P18" s="4"/>
      <c r="Q18" s="4"/>
      <c r="R18" s="2"/>
      <c r="S18" s="2"/>
      <c r="T18" s="2"/>
      <c r="U18" s="2"/>
    </row>
    <row r="19" spans="1:21" ht="14.5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  <c r="P19" s="4"/>
      <c r="Q19" s="4"/>
      <c r="R19" s="519" t="s">
        <v>123</v>
      </c>
      <c r="S19" s="519"/>
      <c r="T19" s="519"/>
      <c r="U19" s="519"/>
    </row>
    <row r="20" spans="1:21" ht="14.5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  <c r="P20" s="483" t="s">
        <v>126</v>
      </c>
      <c r="Q20" s="4"/>
      <c r="R20" s="484" t="s">
        <v>124</v>
      </c>
      <c r="S20" s="9" t="s">
        <v>124</v>
      </c>
      <c r="T20" s="9" t="s">
        <v>125</v>
      </c>
      <c r="U20" s="86">
        <v>0.97</v>
      </c>
    </row>
    <row r="21" spans="1:21" ht="14.5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  <c r="P21" s="483" t="s">
        <v>126</v>
      </c>
      <c r="Q21" s="4"/>
      <c r="R21" s="16" t="s">
        <v>127</v>
      </c>
      <c r="S21" s="9" t="s">
        <v>130</v>
      </c>
      <c r="T21" s="9" t="s">
        <v>129</v>
      </c>
      <c r="U21" s="86">
        <v>112</v>
      </c>
    </row>
    <row r="22" spans="1:21" ht="14.5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D22</f>
        <v>9.4600000000000009</v>
      </c>
      <c r="P22" s="483" t="s">
        <v>126</v>
      </c>
      <c r="Q22" s="4"/>
      <c r="R22" s="16" t="s">
        <v>131</v>
      </c>
      <c r="S22" s="9" t="s">
        <v>134</v>
      </c>
      <c r="T22" s="9" t="s">
        <v>133</v>
      </c>
      <c r="U22" s="86">
        <f>O22</f>
        <v>9.4600000000000009</v>
      </c>
    </row>
    <row r="23" spans="1:21" ht="14.5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  <c r="P23" s="483" t="s">
        <v>126</v>
      </c>
      <c r="Q23" s="4"/>
      <c r="R23" s="16" t="s">
        <v>135</v>
      </c>
      <c r="S23" s="9" t="s">
        <v>136</v>
      </c>
      <c r="T23" s="9" t="s">
        <v>137</v>
      </c>
      <c r="U23" s="86">
        <v>1.5599999999999999E-2</v>
      </c>
    </row>
    <row r="24" spans="1:21" ht="14.5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  <c r="P24" s="4"/>
      <c r="Q24" s="4"/>
      <c r="R24" s="2"/>
      <c r="S24" s="2"/>
      <c r="T24" s="2"/>
      <c r="U24" s="2"/>
    </row>
    <row r="25" spans="1:21" ht="14.5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  <c r="P25" s="4"/>
      <c r="Q25" s="4"/>
      <c r="R25" s="519" t="s">
        <v>19</v>
      </c>
      <c r="S25" s="519"/>
      <c r="T25" s="519"/>
      <c r="U25" s="519"/>
    </row>
    <row r="26" spans="1:21" ht="14.5">
      <c r="A26" s="9" t="s">
        <v>28</v>
      </c>
      <c r="B26" s="9" t="s">
        <v>29</v>
      </c>
      <c r="C26" s="9" t="s">
        <v>30</v>
      </c>
      <c r="D26" s="87">
        <f>ROUNDDOWN(D9*((D20*D21)+D22)*D23,0)</f>
        <v>6877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2468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4211</v>
      </c>
      <c r="P26" s="483"/>
      <c r="Q26" s="4"/>
      <c r="R26" s="16" t="s">
        <v>28</v>
      </c>
      <c r="S26" s="9" t="s">
        <v>29</v>
      </c>
      <c r="T26" s="9" t="s">
        <v>30</v>
      </c>
      <c r="U26" s="87">
        <f>ROUNDDOWN(U9*((U20*U21)+U22)*U23,0)</f>
        <v>195</v>
      </c>
    </row>
    <row r="27" spans="1:21" ht="14.5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O17*((O20*O21)+O22)*O230</f>
        <v>0</v>
      </c>
      <c r="P27" s="483"/>
      <c r="Q27" s="4"/>
      <c r="R27" s="16" t="s">
        <v>31</v>
      </c>
      <c r="S27" s="9" t="s">
        <v>32</v>
      </c>
      <c r="T27" s="9" t="s">
        <v>30</v>
      </c>
      <c r="U27" s="86">
        <f>U17*((U20*U21)+U22)*U230</f>
        <v>0</v>
      </c>
    </row>
    <row r="28" spans="1:21" ht="18" customHeight="1">
      <c r="A28" s="9" t="s">
        <v>33</v>
      </c>
      <c r="B28" s="9" t="s">
        <v>34</v>
      </c>
      <c r="C28" s="9" t="s">
        <v>35</v>
      </c>
      <c r="D28" s="86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6">
        <f>D28</f>
        <v>0.95</v>
      </c>
      <c r="K28" s="2"/>
      <c r="L28" s="9" t="s">
        <v>33</v>
      </c>
      <c r="M28" s="9" t="s">
        <v>34</v>
      </c>
      <c r="N28" s="9" t="s">
        <v>35</v>
      </c>
      <c r="O28" s="86">
        <f>D28</f>
        <v>0.95</v>
      </c>
      <c r="P28" s="483" t="s">
        <v>210</v>
      </c>
      <c r="Q28" s="4"/>
      <c r="R28" s="16" t="s">
        <v>33</v>
      </c>
      <c r="S28" s="9" t="s">
        <v>34</v>
      </c>
      <c r="T28" s="9" t="s">
        <v>35</v>
      </c>
      <c r="U28" s="86">
        <f>O28</f>
        <v>0.95</v>
      </c>
    </row>
    <row r="29" spans="1:21" ht="19.5" customHeight="1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  <c r="P29" s="483" t="s">
        <v>139</v>
      </c>
      <c r="Q29" s="4"/>
      <c r="R29" s="16" t="s">
        <v>36</v>
      </c>
      <c r="S29" s="9" t="s">
        <v>37</v>
      </c>
      <c r="T29" s="9" t="s">
        <v>30</v>
      </c>
      <c r="U29" s="86">
        <v>0</v>
      </c>
    </row>
    <row r="30" spans="1:21" ht="14.5">
      <c r="A30" s="9" t="s">
        <v>90</v>
      </c>
      <c r="B30" s="9" t="s">
        <v>39</v>
      </c>
      <c r="C30" s="9" t="s">
        <v>30</v>
      </c>
      <c r="D30" s="86">
        <f>ROUNDDOWN(((D26-D27)*D28)-D29,0)</f>
        <v>6533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2344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4000</v>
      </c>
      <c r="P30" s="483"/>
      <c r="Q30" s="4"/>
      <c r="R30" s="16" t="s">
        <v>90</v>
      </c>
      <c r="S30" s="9" t="s">
        <v>39</v>
      </c>
      <c r="T30" s="9" t="s">
        <v>30</v>
      </c>
      <c r="U30" s="86">
        <f>ROUNDDOWN(((U26-U27)*U28)-U29,0)</f>
        <v>185</v>
      </c>
    </row>
    <row r="31" spans="1:21" ht="14.5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  <c r="P31" s="4"/>
      <c r="Q31" s="4"/>
      <c r="R31" s="2"/>
      <c r="S31" s="2"/>
      <c r="T31" s="2"/>
      <c r="U31" s="2"/>
    </row>
    <row r="32" spans="1:21" ht="14.5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  <c r="P32" s="4"/>
      <c r="Q32" s="4"/>
      <c r="R32" s="519" t="s">
        <v>40</v>
      </c>
      <c r="S32" s="519"/>
      <c r="T32" s="519"/>
      <c r="U32" s="519"/>
    </row>
    <row r="33" spans="1:21" ht="19" customHeight="1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M33" s="9"/>
      <c r="N33" s="16"/>
      <c r="O33" s="91">
        <v>1</v>
      </c>
      <c r="P33" s="483" t="s">
        <v>95</v>
      </c>
      <c r="Q33" s="4"/>
      <c r="R33" s="477" t="s">
        <v>41</v>
      </c>
      <c r="S33" s="9"/>
      <c r="T33" s="16"/>
      <c r="U33" s="91">
        <v>1</v>
      </c>
    </row>
    <row r="34" spans="1:21" ht="17.5" customHeight="1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  <c r="P34" s="483" t="s">
        <v>95</v>
      </c>
      <c r="Q34" s="4"/>
      <c r="R34" s="477" t="s">
        <v>43</v>
      </c>
      <c r="S34" s="9" t="s">
        <v>42</v>
      </c>
      <c r="T34" s="16" t="s">
        <v>44</v>
      </c>
      <c r="U34" s="91">
        <v>0</v>
      </c>
    </row>
    <row r="35" spans="1:21" ht="14.5">
      <c r="A35" s="93" t="s">
        <v>140</v>
      </c>
      <c r="B35" s="94" t="s">
        <v>39</v>
      </c>
      <c r="C35" s="95" t="s">
        <v>30</v>
      </c>
      <c r="D35" s="96">
        <f>ROUNDDOWN(D30*(1-D34),0)</f>
        <v>6533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2344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4000</v>
      </c>
      <c r="P35" s="2"/>
      <c r="Q35" s="2"/>
      <c r="R35" s="485" t="s">
        <v>140</v>
      </c>
      <c r="S35" s="94" t="s">
        <v>39</v>
      </c>
      <c r="T35" s="95" t="s">
        <v>30</v>
      </c>
      <c r="U35" s="96">
        <f>ROUNDDOWN(U30*(1-U34),0)</f>
        <v>185</v>
      </c>
    </row>
    <row r="36" spans="1:21" ht="14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4.5">
      <c r="A37" s="93" t="s">
        <v>141</v>
      </c>
      <c r="B37" s="94"/>
      <c r="C37" s="95" t="s">
        <v>30</v>
      </c>
      <c r="D37" s="96">
        <f>J37+O37+U37</f>
        <v>6529</v>
      </c>
      <c r="E37" s="2"/>
      <c r="F37" s="2"/>
      <c r="G37" s="93" t="s">
        <v>141</v>
      </c>
      <c r="H37" s="94"/>
      <c r="I37" s="95" t="s">
        <v>30</v>
      </c>
      <c r="J37" s="96">
        <f>IF(J35&gt;'GS5825 PTDs'!B19*'GS5825 PTDs'!B20,'GS5825 PTDs'!B19*'GS5825 PTDs'!B20,'GS5825 ER Calcs'!J35)</f>
        <v>2344</v>
      </c>
      <c r="K37" s="2"/>
      <c r="L37" s="93" t="s">
        <v>141</v>
      </c>
      <c r="M37" s="94"/>
      <c r="N37" s="95" t="s">
        <v>30</v>
      </c>
      <c r="O37" s="96">
        <f>IF(O35&gt;'GS5825 PTDs'!B19*'GS5825 PTDs'!B21,'GS5825 PTDs'!B19*'GS5825 PTDs'!B21,'GS5825 ER Calcs'!O35)</f>
        <v>4000</v>
      </c>
      <c r="P37" s="2"/>
      <c r="Q37" s="2"/>
      <c r="R37" s="93" t="s">
        <v>141</v>
      </c>
      <c r="S37" s="94"/>
      <c r="T37" s="95" t="s">
        <v>30</v>
      </c>
      <c r="U37" s="96">
        <f>IF(U35&gt;'GS5825 PTDs'!B19*'GS5825 PTDs'!B22,'GS5825 PTDs'!B19*'GS5825 PTDs'!B22,'GS5825 ER Calcs'!U35)</f>
        <v>185</v>
      </c>
    </row>
    <row r="38" spans="1:21" ht="14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4.5">
      <c r="A39" s="1" t="s">
        <v>142</v>
      </c>
      <c r="B39" s="2"/>
      <c r="C39" s="2"/>
      <c r="D39" s="2"/>
      <c r="E39" s="2"/>
      <c r="F39" s="2"/>
      <c r="G39" s="1" t="s">
        <v>142</v>
      </c>
      <c r="H39" s="2"/>
      <c r="I39" s="2"/>
      <c r="J39" s="2"/>
      <c r="K39" s="2"/>
      <c r="L39" s="1" t="s">
        <v>142</v>
      </c>
      <c r="M39" s="2"/>
      <c r="N39" s="2"/>
      <c r="O39" s="2"/>
      <c r="P39" s="2"/>
      <c r="Q39" s="2"/>
      <c r="R39" s="1" t="s">
        <v>142</v>
      </c>
      <c r="S39" s="2"/>
      <c r="T39" s="2"/>
      <c r="U39" s="2"/>
    </row>
  </sheetData>
  <mergeCells count="24">
    <mergeCell ref="A1:D1"/>
    <mergeCell ref="G1:J1"/>
    <mergeCell ref="L1:O1"/>
    <mergeCell ref="A3:D3"/>
    <mergeCell ref="G3:J3"/>
    <mergeCell ref="L3:O3"/>
    <mergeCell ref="A11:D11"/>
    <mergeCell ref="G11:J11"/>
    <mergeCell ref="L11:O11"/>
    <mergeCell ref="A19:D19"/>
    <mergeCell ref="G19:J19"/>
    <mergeCell ref="L19:O19"/>
    <mergeCell ref="A25:D25"/>
    <mergeCell ref="G25:J25"/>
    <mergeCell ref="L25:O25"/>
    <mergeCell ref="A32:D32"/>
    <mergeCell ref="G32:J32"/>
    <mergeCell ref="L32:O32"/>
    <mergeCell ref="R32:U32"/>
    <mergeCell ref="R1:U1"/>
    <mergeCell ref="R3:U3"/>
    <mergeCell ref="R11:U11"/>
    <mergeCell ref="R19:U19"/>
    <mergeCell ref="R25:U2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8A8BF-3305-4AE3-995F-ECB57217BCBE}">
  <dimension ref="A1:AA39"/>
  <sheetViews>
    <sheetView topLeftCell="A23" zoomScale="70" zoomScaleNormal="70" workbookViewId="0">
      <selection activeCell="D37" sqref="D37"/>
    </sheetView>
  </sheetViews>
  <sheetFormatPr defaultColWidth="24.54296875" defaultRowHeight="14.5"/>
  <cols>
    <col min="1" max="1" width="77.1796875" bestFit="1" customWidth="1"/>
    <col min="2" max="2" width="15.7265625" bestFit="1" customWidth="1"/>
    <col min="3" max="3" width="10" bestFit="1" customWidth="1"/>
    <col min="4" max="4" width="11.81640625" bestFit="1" customWidth="1"/>
    <col min="5" max="5" width="22.54296875" bestFit="1" customWidth="1"/>
    <col min="7" max="7" width="77.1796875" bestFit="1" customWidth="1"/>
    <col min="8" max="8" width="15.7265625" bestFit="1" customWidth="1"/>
    <col min="9" max="9" width="10" bestFit="1" customWidth="1"/>
    <col min="10" max="10" width="11.81640625" bestFit="1" customWidth="1"/>
    <col min="12" max="12" width="77.1796875" bestFit="1" customWidth="1"/>
    <col min="13" max="13" width="15.7265625" bestFit="1" customWidth="1"/>
    <col min="14" max="14" width="10" bestFit="1" customWidth="1"/>
    <col min="15" max="15" width="11.81640625" bestFit="1" customWidth="1"/>
    <col min="16" max="16" width="20.453125" bestFit="1" customWidth="1"/>
  </cols>
  <sheetData>
    <row r="1" spans="1:27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  <c r="P1" s="2"/>
      <c r="R1" s="535" t="s">
        <v>276</v>
      </c>
      <c r="S1" s="535"/>
      <c r="T1" s="535"/>
      <c r="U1" s="535"/>
      <c r="V1" s="2"/>
      <c r="X1" s="550"/>
      <c r="Y1" s="550"/>
      <c r="Z1" s="550"/>
      <c r="AA1" s="550"/>
    </row>
    <row r="2" spans="1:2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R2" s="2"/>
      <c r="S2" s="2"/>
      <c r="T2" s="2"/>
      <c r="U2" s="2"/>
      <c r="V2" s="2"/>
      <c r="X2" s="1"/>
      <c r="Y2" s="1"/>
      <c r="Z2" s="1"/>
      <c r="AA2" s="1"/>
    </row>
    <row r="3" spans="1:27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34"/>
      <c r="P3" s="83" t="s">
        <v>92</v>
      </c>
      <c r="R3" s="533" t="s">
        <v>91</v>
      </c>
      <c r="S3" s="519"/>
      <c r="T3" s="519"/>
      <c r="U3" s="534"/>
      <c r="V3" s="482" t="s">
        <v>92</v>
      </c>
      <c r="X3" s="551"/>
      <c r="Y3" s="552"/>
      <c r="Z3" s="552"/>
      <c r="AA3" s="553"/>
    </row>
    <row r="4" spans="1:27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  <c r="P4" s="85" t="s">
        <v>95</v>
      </c>
      <c r="R4" s="9" t="s">
        <v>93</v>
      </c>
      <c r="S4" s="9" t="s">
        <v>94</v>
      </c>
      <c r="T4" s="9" t="s">
        <v>35</v>
      </c>
      <c r="U4" s="86">
        <v>0</v>
      </c>
      <c r="V4" s="483" t="s">
        <v>95</v>
      </c>
      <c r="X4" s="9"/>
      <c r="Y4" s="9"/>
      <c r="Z4" s="9"/>
      <c r="AA4" s="9"/>
    </row>
    <row r="5" spans="1:27" ht="29">
      <c r="A5" s="9" t="s">
        <v>96</v>
      </c>
      <c r="B5" s="9" t="s">
        <v>97</v>
      </c>
      <c r="C5" s="9"/>
      <c r="D5" s="87">
        <f>'GS5825 PTDs'!Q21</f>
        <v>2724554.3999999994</v>
      </c>
      <c r="E5" s="85" t="s">
        <v>273</v>
      </c>
      <c r="F5" s="2"/>
      <c r="G5" s="9" t="s">
        <v>96</v>
      </c>
      <c r="H5" s="9" t="s">
        <v>97</v>
      </c>
      <c r="I5" s="9"/>
      <c r="J5" s="87">
        <f>'GS5825 PTDs'!L21</f>
        <v>978279.59999999986</v>
      </c>
      <c r="K5" s="2"/>
      <c r="L5" s="9" t="s">
        <v>96</v>
      </c>
      <c r="M5" s="9" t="s">
        <v>97</v>
      </c>
      <c r="N5" s="9"/>
      <c r="O5" s="87">
        <f>'GS5825 PTDs'!N21</f>
        <v>1668561</v>
      </c>
      <c r="P5" s="85" t="s">
        <v>98</v>
      </c>
      <c r="R5" s="9" t="s">
        <v>96</v>
      </c>
      <c r="S5" s="9" t="s">
        <v>97</v>
      </c>
      <c r="T5" s="9"/>
      <c r="U5" s="486">
        <f>'GS5825 PTDs'!P21</f>
        <v>77713.799999999988</v>
      </c>
      <c r="V5" s="483" t="s">
        <v>98</v>
      </c>
      <c r="X5" s="9"/>
      <c r="Y5" s="9"/>
      <c r="Z5" s="9"/>
      <c r="AA5" s="108"/>
    </row>
    <row r="6" spans="1:27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  <c r="P6" s="85" t="s">
        <v>102</v>
      </c>
      <c r="R6" s="9" t="s">
        <v>99</v>
      </c>
      <c r="S6" s="9" t="s">
        <v>100</v>
      </c>
      <c r="T6" s="9" t="s">
        <v>101</v>
      </c>
      <c r="U6" s="86">
        <v>4.0000000000000002E-4</v>
      </c>
      <c r="V6" s="483" t="s">
        <v>102</v>
      </c>
      <c r="X6" s="9"/>
      <c r="Y6" s="9"/>
      <c r="Z6" s="9"/>
      <c r="AA6" s="9"/>
    </row>
    <row r="7" spans="1:27" ht="58">
      <c r="A7" s="88" t="s">
        <v>103</v>
      </c>
      <c r="B7" s="9" t="s">
        <v>104</v>
      </c>
      <c r="C7" s="9" t="s">
        <v>105</v>
      </c>
      <c r="D7" s="86">
        <v>7.5</v>
      </c>
      <c r="E7" s="85" t="s">
        <v>162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  <c r="P7" s="85" t="s">
        <v>304</v>
      </c>
      <c r="R7" s="88" t="s">
        <v>103</v>
      </c>
      <c r="S7" s="9" t="s">
        <v>104</v>
      </c>
      <c r="T7" s="9" t="s">
        <v>105</v>
      </c>
      <c r="U7" s="86">
        <v>7.5</v>
      </c>
      <c r="V7" s="483" t="s">
        <v>304</v>
      </c>
      <c r="X7" s="88"/>
      <c r="Y7" s="9"/>
      <c r="Z7" s="9"/>
      <c r="AA7" s="9"/>
    </row>
    <row r="8" spans="1:27" ht="43.5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  <c r="P8" s="85" t="s">
        <v>109</v>
      </c>
      <c r="R8" s="88" t="s">
        <v>107</v>
      </c>
      <c r="S8" s="9" t="s">
        <v>108</v>
      </c>
      <c r="T8" s="9" t="s">
        <v>105</v>
      </c>
      <c r="U8" s="86">
        <v>0</v>
      </c>
      <c r="V8" s="483" t="s">
        <v>109</v>
      </c>
      <c r="X8" s="88"/>
      <c r="Y8" s="9"/>
      <c r="Z8" s="9"/>
      <c r="AA8" s="9"/>
    </row>
    <row r="9" spans="1:27">
      <c r="A9" s="9" t="s">
        <v>110</v>
      </c>
      <c r="B9" s="9" t="s">
        <v>111</v>
      </c>
      <c r="C9" s="9" t="s">
        <v>112</v>
      </c>
      <c r="D9" s="86">
        <f>ROUNDDOWN((1-D4)*D5*D6*(D7+D8),0)</f>
        <v>8173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2934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5005</v>
      </c>
      <c r="P9" s="85"/>
      <c r="R9" s="9" t="s">
        <v>110</v>
      </c>
      <c r="S9" s="9" t="s">
        <v>111</v>
      </c>
      <c r="T9" s="9" t="s">
        <v>112</v>
      </c>
      <c r="U9" s="86">
        <f>ROUNDDOWN((1-U4)*U5*U6*(U7+U8),0)</f>
        <v>233</v>
      </c>
      <c r="V9" s="483"/>
      <c r="X9" s="9"/>
      <c r="Y9" s="9"/>
      <c r="Z9" s="9"/>
      <c r="AA9" s="9"/>
    </row>
    <row r="10" spans="1:27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P10" s="4"/>
      <c r="R10" s="2"/>
      <c r="S10" s="2"/>
      <c r="T10" s="2"/>
      <c r="U10" s="2"/>
      <c r="V10" s="4"/>
      <c r="X10" s="1"/>
      <c r="Y10" s="1"/>
      <c r="Z10" s="1"/>
      <c r="AA10" s="1"/>
    </row>
    <row r="11" spans="1:27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  <c r="P11" s="4"/>
      <c r="R11" s="533" t="s">
        <v>113</v>
      </c>
      <c r="S11" s="519"/>
      <c r="T11" s="519"/>
      <c r="U11" s="519"/>
      <c r="V11" s="4"/>
      <c r="X11" s="551"/>
      <c r="Y11" s="552"/>
      <c r="Z11" s="552"/>
      <c r="AA11" s="552"/>
    </row>
    <row r="12" spans="1:27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  <c r="P12" s="85" t="s">
        <v>95</v>
      </c>
      <c r="R12" s="9" t="s">
        <v>114</v>
      </c>
      <c r="S12" s="9" t="s">
        <v>94</v>
      </c>
      <c r="T12" s="9" t="s">
        <v>35</v>
      </c>
      <c r="U12" s="86">
        <v>0</v>
      </c>
      <c r="V12" s="483" t="s">
        <v>95</v>
      </c>
      <c r="X12" s="9"/>
      <c r="Y12" s="9"/>
      <c r="Z12" s="9"/>
      <c r="AA12" s="9"/>
    </row>
    <row r="13" spans="1:27" ht="29">
      <c r="A13" s="9" t="s">
        <v>96</v>
      </c>
      <c r="B13" s="9" t="s">
        <v>97</v>
      </c>
      <c r="C13" s="9"/>
      <c r="D13" s="87">
        <f>D5</f>
        <v>2724554.3999999994</v>
      </c>
      <c r="E13" s="85" t="s">
        <v>208</v>
      </c>
      <c r="F13" s="2"/>
      <c r="G13" s="9" t="s">
        <v>96</v>
      </c>
      <c r="H13" s="9" t="s">
        <v>97</v>
      </c>
      <c r="I13" s="9"/>
      <c r="J13" s="87">
        <f>J5</f>
        <v>978279.59999999986</v>
      </c>
      <c r="K13" s="2"/>
      <c r="L13" s="9" t="s">
        <v>96</v>
      </c>
      <c r="M13" s="9" t="s">
        <v>97</v>
      </c>
      <c r="N13" s="9"/>
      <c r="O13" s="87">
        <f>O5</f>
        <v>1668561</v>
      </c>
      <c r="P13" s="85" t="s">
        <v>115</v>
      </c>
      <c r="R13" s="9" t="s">
        <v>96</v>
      </c>
      <c r="S13" s="9" t="s">
        <v>97</v>
      </c>
      <c r="T13" s="9"/>
      <c r="U13" s="486">
        <f>U5</f>
        <v>77713.799999999988</v>
      </c>
      <c r="V13" s="483" t="s">
        <v>115</v>
      </c>
      <c r="X13" s="9"/>
      <c r="Y13" s="9"/>
      <c r="Z13" s="9"/>
      <c r="AA13" s="108"/>
    </row>
    <row r="14" spans="1:27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  <c r="P14" s="85"/>
      <c r="R14" s="9" t="s">
        <v>116</v>
      </c>
      <c r="S14" s="9" t="s">
        <v>117</v>
      </c>
      <c r="T14" s="9" t="s">
        <v>101</v>
      </c>
      <c r="U14" s="86">
        <v>4.0000000000000002E-4</v>
      </c>
      <c r="V14" s="483"/>
      <c r="X14" s="9"/>
      <c r="Y14" s="9"/>
      <c r="Z14" s="9"/>
      <c r="AA14" s="9"/>
    </row>
    <row r="15" spans="1:27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  <c r="P15" s="85" t="s">
        <v>109</v>
      </c>
      <c r="R15" s="9" t="s">
        <v>118</v>
      </c>
      <c r="S15" s="9" t="s">
        <v>108</v>
      </c>
      <c r="T15" s="9" t="s">
        <v>105</v>
      </c>
      <c r="U15" s="86">
        <v>0</v>
      </c>
      <c r="V15" s="483" t="s">
        <v>109</v>
      </c>
      <c r="X15" s="9"/>
      <c r="Y15" s="9"/>
      <c r="Z15" s="9"/>
      <c r="AA15" s="9"/>
    </row>
    <row r="16" spans="1:27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  <c r="P16" s="85" t="s">
        <v>109</v>
      </c>
      <c r="R16" s="9" t="s">
        <v>119</v>
      </c>
      <c r="S16" s="9" t="s">
        <v>120</v>
      </c>
      <c r="T16" s="9" t="s">
        <v>105</v>
      </c>
      <c r="U16" s="86">
        <v>0</v>
      </c>
      <c r="V16" s="483" t="s">
        <v>109</v>
      </c>
      <c r="X16" s="9"/>
      <c r="Y16" s="9"/>
      <c r="Z16" s="9"/>
      <c r="AA16" s="9"/>
    </row>
    <row r="17" spans="1:27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121</v>
      </c>
      <c r="M17" s="9" t="s">
        <v>122</v>
      </c>
      <c r="N17" s="9" t="s">
        <v>112</v>
      </c>
      <c r="O17" s="86">
        <f>ROUNDDOWN((1+O12)*O13*O14*(O16+O16),0)</f>
        <v>0</v>
      </c>
      <c r="P17" s="85"/>
      <c r="R17" s="9" t="s">
        <v>121</v>
      </c>
      <c r="S17" s="9" t="s">
        <v>122</v>
      </c>
      <c r="T17" s="9" t="s">
        <v>112</v>
      </c>
      <c r="U17" s="498">
        <f>ROUNDDOWN((1+U12)*U13*U14*(U16+U16),0)</f>
        <v>0</v>
      </c>
      <c r="V17" s="483"/>
      <c r="X17" s="9"/>
      <c r="Y17" s="9"/>
      <c r="Z17" s="9"/>
      <c r="AA17" s="9"/>
    </row>
    <row r="18" spans="1:27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  <c r="P18" s="4"/>
      <c r="R18" s="2"/>
      <c r="S18" s="2"/>
      <c r="T18" s="2"/>
      <c r="U18" s="2"/>
      <c r="V18" s="4"/>
      <c r="X18" s="1"/>
      <c r="Y18" s="1"/>
      <c r="Z18" s="1"/>
      <c r="AA18" s="1"/>
    </row>
    <row r="19" spans="1:27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  <c r="P19" s="4"/>
      <c r="R19" s="533" t="s">
        <v>123</v>
      </c>
      <c r="S19" s="519"/>
      <c r="T19" s="519"/>
      <c r="U19" s="519"/>
      <c r="V19" s="4"/>
      <c r="X19" s="551"/>
      <c r="Y19" s="552"/>
      <c r="Z19" s="552"/>
      <c r="AA19" s="552"/>
    </row>
    <row r="20" spans="1:27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  <c r="P20" s="85" t="s">
        <v>126</v>
      </c>
      <c r="R20" s="88" t="s">
        <v>124</v>
      </c>
      <c r="S20" s="9" t="s">
        <v>124</v>
      </c>
      <c r="T20" s="9" t="s">
        <v>125</v>
      </c>
      <c r="U20" s="86">
        <v>0.97</v>
      </c>
      <c r="V20" s="483" t="s">
        <v>126</v>
      </c>
      <c r="X20" s="88"/>
      <c r="Y20" s="9"/>
      <c r="Z20" s="9"/>
      <c r="AA20" s="9"/>
    </row>
    <row r="21" spans="1:27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  <c r="P21" s="85" t="s">
        <v>126</v>
      </c>
      <c r="R21" s="9" t="s">
        <v>127</v>
      </c>
      <c r="S21" s="9" t="s">
        <v>130</v>
      </c>
      <c r="T21" s="9" t="s">
        <v>129</v>
      </c>
      <c r="U21" s="86">
        <v>112</v>
      </c>
      <c r="V21" s="483" t="s">
        <v>126</v>
      </c>
      <c r="X21" s="9"/>
      <c r="Y21" s="9"/>
      <c r="Z21" s="9"/>
      <c r="AA21" s="9"/>
    </row>
    <row r="22" spans="1:27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D22</f>
        <v>9.4600000000000009</v>
      </c>
      <c r="P22" s="85" t="s">
        <v>126</v>
      </c>
      <c r="R22" s="9" t="s">
        <v>131</v>
      </c>
      <c r="S22" s="9" t="s">
        <v>134</v>
      </c>
      <c r="T22" s="9" t="s">
        <v>133</v>
      </c>
      <c r="U22" s="86">
        <f>J22</f>
        <v>9.4600000000000009</v>
      </c>
      <c r="V22" s="483" t="s">
        <v>126</v>
      </c>
      <c r="X22" s="9"/>
      <c r="Y22" s="9"/>
      <c r="Z22" s="9"/>
      <c r="AA22" s="9"/>
    </row>
    <row r="23" spans="1:27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  <c r="P23" s="85" t="s">
        <v>126</v>
      </c>
      <c r="R23" s="9" t="s">
        <v>135</v>
      </c>
      <c r="S23" s="9" t="s">
        <v>136</v>
      </c>
      <c r="T23" s="9" t="s">
        <v>137</v>
      </c>
      <c r="U23" s="86">
        <v>1.5599999999999999E-2</v>
      </c>
      <c r="V23" s="483" t="s">
        <v>126</v>
      </c>
      <c r="X23" s="9"/>
      <c r="Y23" s="9"/>
      <c r="Z23" s="9"/>
      <c r="AA23" s="9"/>
    </row>
    <row r="24" spans="1:27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  <c r="P24" s="4"/>
      <c r="R24" s="2"/>
      <c r="S24" s="2"/>
      <c r="T24" s="2"/>
      <c r="U24" s="2"/>
      <c r="V24" s="4"/>
      <c r="X24" s="1"/>
      <c r="Y24" s="1"/>
      <c r="Z24" s="1"/>
      <c r="AA24" s="1"/>
    </row>
    <row r="25" spans="1:27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  <c r="P25" s="4"/>
      <c r="R25" s="533" t="s">
        <v>19</v>
      </c>
      <c r="S25" s="519"/>
      <c r="T25" s="519"/>
      <c r="U25" s="519"/>
      <c r="V25" s="4"/>
      <c r="X25" s="551"/>
      <c r="Y25" s="552"/>
      <c r="Z25" s="552"/>
      <c r="AA25" s="552"/>
    </row>
    <row r="26" spans="1:27">
      <c r="A26" s="9" t="s">
        <v>28</v>
      </c>
      <c r="B26" s="9" t="s">
        <v>29</v>
      </c>
      <c r="C26" s="9" t="s">
        <v>30</v>
      </c>
      <c r="D26" s="87">
        <f>ROUNDDOWN(D9*((D20*D21)+D22)*D23,0)</f>
        <v>15057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5405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9221</v>
      </c>
      <c r="P26" s="85"/>
      <c r="R26" s="9" t="s">
        <v>28</v>
      </c>
      <c r="S26" s="9" t="s">
        <v>29</v>
      </c>
      <c r="T26" s="9" t="s">
        <v>30</v>
      </c>
      <c r="U26" s="87">
        <f>ROUNDDOWN(U9*((U20*U21)+U22)*U23,0)</f>
        <v>429</v>
      </c>
      <c r="V26" s="483"/>
      <c r="X26" s="9"/>
      <c r="Y26" s="9"/>
      <c r="Z26" s="9"/>
      <c r="AA26" s="108"/>
    </row>
    <row r="27" spans="1:27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O17*((O20*O21)+O22)*O230</f>
        <v>0</v>
      </c>
      <c r="P27" s="85"/>
      <c r="R27" s="9" t="s">
        <v>31</v>
      </c>
      <c r="S27" s="9" t="s">
        <v>32</v>
      </c>
      <c r="T27" s="9" t="s">
        <v>30</v>
      </c>
      <c r="U27" s="86">
        <f>U17*((U20*U21)+U22)*U230</f>
        <v>0</v>
      </c>
      <c r="V27" s="483"/>
      <c r="X27" s="9"/>
      <c r="Y27" s="9"/>
      <c r="Z27" s="9"/>
      <c r="AA27" s="9"/>
    </row>
    <row r="28" spans="1:27" ht="29">
      <c r="A28" s="9" t="s">
        <v>33</v>
      </c>
      <c r="B28" s="9" t="s">
        <v>34</v>
      </c>
      <c r="C28" s="9" t="s">
        <v>35</v>
      </c>
      <c r="D28" s="86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6">
        <f>D28</f>
        <v>0.95</v>
      </c>
      <c r="K28" s="2"/>
      <c r="L28" s="9" t="s">
        <v>33</v>
      </c>
      <c r="M28" s="9" t="s">
        <v>34</v>
      </c>
      <c r="N28" s="9" t="s">
        <v>35</v>
      </c>
      <c r="O28" s="86">
        <f>D28</f>
        <v>0.95</v>
      </c>
      <c r="P28" s="85" t="s">
        <v>210</v>
      </c>
      <c r="R28" s="9" t="s">
        <v>33</v>
      </c>
      <c r="S28" s="9" t="s">
        <v>34</v>
      </c>
      <c r="T28" s="9" t="s">
        <v>35</v>
      </c>
      <c r="U28" s="86">
        <f>J28</f>
        <v>0.95</v>
      </c>
      <c r="V28" s="483" t="s">
        <v>210</v>
      </c>
      <c r="X28" s="9"/>
      <c r="Y28" s="9"/>
      <c r="Z28" s="9"/>
      <c r="AA28" s="9"/>
    </row>
    <row r="29" spans="1:27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  <c r="P29" s="85" t="s">
        <v>139</v>
      </c>
      <c r="R29" s="9" t="s">
        <v>36</v>
      </c>
      <c r="S29" s="9" t="s">
        <v>37</v>
      </c>
      <c r="T29" s="9" t="s">
        <v>30</v>
      </c>
      <c r="U29" s="86">
        <v>0</v>
      </c>
      <c r="V29" s="483" t="s">
        <v>139</v>
      </c>
      <c r="X29" s="9"/>
      <c r="Y29" s="9"/>
      <c r="Z29" s="9"/>
      <c r="AA29" s="9"/>
    </row>
    <row r="30" spans="1:27">
      <c r="A30" s="9" t="s">
        <v>90</v>
      </c>
      <c r="B30" s="9" t="s">
        <v>39</v>
      </c>
      <c r="C30" s="9" t="s">
        <v>30</v>
      </c>
      <c r="D30" s="86">
        <f>ROUNDDOWN(((D26-D27)*D28)-D29,0)</f>
        <v>14304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5134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8759</v>
      </c>
      <c r="P30" s="85"/>
      <c r="R30" s="9" t="s">
        <v>90</v>
      </c>
      <c r="S30" s="9" t="s">
        <v>39</v>
      </c>
      <c r="T30" s="9" t="s">
        <v>30</v>
      </c>
      <c r="U30" s="86">
        <f>ROUNDDOWN(((U26-U27)*U28)-U29,0)</f>
        <v>407</v>
      </c>
      <c r="V30" s="483"/>
      <c r="X30" s="9"/>
      <c r="Y30" s="9"/>
      <c r="Z30" s="9"/>
      <c r="AA30" s="9"/>
    </row>
    <row r="31" spans="1:27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  <c r="P31" s="4"/>
      <c r="R31" s="2"/>
      <c r="S31" s="2"/>
      <c r="T31" s="2"/>
      <c r="U31" s="2"/>
      <c r="V31" s="4"/>
      <c r="X31" s="1"/>
      <c r="Y31" s="1"/>
      <c r="Z31" s="1"/>
      <c r="AA31" s="1"/>
    </row>
    <row r="32" spans="1:27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  <c r="P32" s="4"/>
      <c r="R32" s="533" t="s">
        <v>40</v>
      </c>
      <c r="S32" s="519"/>
      <c r="T32" s="519"/>
      <c r="U32" s="519"/>
      <c r="V32" s="4"/>
      <c r="X32" s="551"/>
      <c r="Y32" s="552"/>
      <c r="Z32" s="552"/>
      <c r="AA32" s="552"/>
    </row>
    <row r="33" spans="1:27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M33" s="9"/>
      <c r="N33" s="16"/>
      <c r="O33" s="91">
        <v>1</v>
      </c>
      <c r="P33" s="85" t="s">
        <v>95</v>
      </c>
      <c r="R33" s="90" t="s">
        <v>41</v>
      </c>
      <c r="S33" s="9"/>
      <c r="T33" s="16"/>
      <c r="U33" s="91">
        <v>1</v>
      </c>
      <c r="V33" s="483" t="s">
        <v>95</v>
      </c>
      <c r="X33" s="90"/>
      <c r="Y33" s="9"/>
      <c r="Z33" s="16"/>
      <c r="AA33" s="499"/>
    </row>
    <row r="34" spans="1:27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  <c r="P34" s="85" t="s">
        <v>95</v>
      </c>
      <c r="R34" s="90" t="s">
        <v>43</v>
      </c>
      <c r="S34" s="9" t="s">
        <v>42</v>
      </c>
      <c r="T34" s="16" t="s">
        <v>44</v>
      </c>
      <c r="U34" s="91">
        <v>0</v>
      </c>
      <c r="V34" s="483" t="s">
        <v>95</v>
      </c>
      <c r="X34" s="90"/>
      <c r="Y34" s="9"/>
      <c r="Z34" s="16"/>
      <c r="AA34" s="499"/>
    </row>
    <row r="35" spans="1:27">
      <c r="A35" s="93" t="s">
        <v>140</v>
      </c>
      <c r="B35" s="94" t="s">
        <v>39</v>
      </c>
      <c r="C35" s="95" t="s">
        <v>30</v>
      </c>
      <c r="D35" s="96">
        <f>ROUNDDOWN(D30*(1-D34),0)</f>
        <v>14304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5134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8759</v>
      </c>
      <c r="P35" s="2"/>
      <c r="R35" s="93" t="s">
        <v>140</v>
      </c>
      <c r="S35" s="94" t="s">
        <v>39</v>
      </c>
      <c r="T35" s="95" t="s">
        <v>30</v>
      </c>
      <c r="U35" s="96">
        <f>ROUNDDOWN(U30*(1-U34),0)</f>
        <v>407</v>
      </c>
      <c r="V35" s="2"/>
      <c r="X35" s="93"/>
      <c r="Y35" s="94"/>
      <c r="Z35" s="95"/>
      <c r="AA35" s="500"/>
    </row>
    <row r="36" spans="1:2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R36" s="2"/>
      <c r="S36" s="2"/>
      <c r="T36" s="2"/>
      <c r="U36" s="2"/>
      <c r="V36" s="2"/>
      <c r="X36" s="1"/>
      <c r="Y36" s="1"/>
      <c r="Z36" s="1"/>
      <c r="AA36" s="1"/>
    </row>
    <row r="37" spans="1:27">
      <c r="A37" s="93" t="s">
        <v>141</v>
      </c>
      <c r="B37" s="94"/>
      <c r="C37" s="95" t="s">
        <v>30</v>
      </c>
      <c r="D37" s="96">
        <f>J37+O37+U37</f>
        <v>14300</v>
      </c>
      <c r="E37" s="2"/>
      <c r="F37" s="2"/>
      <c r="G37" s="93" t="s">
        <v>141</v>
      </c>
      <c r="H37" s="94"/>
      <c r="I37" s="95" t="s">
        <v>30</v>
      </c>
      <c r="J37" s="96">
        <f>J35</f>
        <v>5134</v>
      </c>
      <c r="K37" s="2"/>
      <c r="L37" s="93" t="s">
        <v>141</v>
      </c>
      <c r="M37" s="94"/>
      <c r="N37" s="95" t="s">
        <v>30</v>
      </c>
      <c r="O37" s="96">
        <f>O35</f>
        <v>8759</v>
      </c>
      <c r="P37" s="2"/>
      <c r="R37" s="93" t="s">
        <v>141</v>
      </c>
      <c r="S37" s="94"/>
      <c r="T37" s="95" t="s">
        <v>30</v>
      </c>
      <c r="U37" s="96">
        <f>U35</f>
        <v>407</v>
      </c>
      <c r="V37" s="2"/>
      <c r="X37" s="93"/>
      <c r="Y37" s="94"/>
      <c r="Z37" s="95"/>
      <c r="AA37" s="500"/>
    </row>
    <row r="38" spans="1:2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R38" s="2"/>
      <c r="S38" s="2"/>
      <c r="T38" s="2"/>
      <c r="U38" s="2"/>
      <c r="V38" s="2"/>
    </row>
    <row r="39" spans="1:27">
      <c r="A39" s="1"/>
      <c r="B39" s="2"/>
      <c r="C39" s="2"/>
      <c r="D39" s="2"/>
      <c r="E39" s="2"/>
      <c r="F39" s="2"/>
      <c r="G39" s="1"/>
      <c r="H39" s="2"/>
      <c r="I39" s="2"/>
      <c r="J39" s="2"/>
      <c r="K39" s="2"/>
      <c r="L39" s="1"/>
      <c r="M39" s="2"/>
      <c r="N39" s="2"/>
      <c r="O39" s="2"/>
      <c r="P39" s="2"/>
      <c r="R39" s="1" t="s">
        <v>142</v>
      </c>
      <c r="S39" s="2"/>
      <c r="T39" s="2"/>
      <c r="U39" s="2"/>
      <c r="V39" s="2"/>
    </row>
  </sheetData>
  <mergeCells count="30">
    <mergeCell ref="R32:U32"/>
    <mergeCell ref="X1:AA1"/>
    <mergeCell ref="X3:AA3"/>
    <mergeCell ref="X11:AA11"/>
    <mergeCell ref="X19:AA19"/>
    <mergeCell ref="X25:AA25"/>
    <mergeCell ref="X32:AA32"/>
    <mergeCell ref="R1:U1"/>
    <mergeCell ref="R3:U3"/>
    <mergeCell ref="R11:U11"/>
    <mergeCell ref="R19:U19"/>
    <mergeCell ref="R25:U25"/>
    <mergeCell ref="A1:D1"/>
    <mergeCell ref="G1:J1"/>
    <mergeCell ref="L1:O1"/>
    <mergeCell ref="A3:D3"/>
    <mergeCell ref="G3:J3"/>
    <mergeCell ref="L3:O3"/>
    <mergeCell ref="A11:D11"/>
    <mergeCell ref="G11:J11"/>
    <mergeCell ref="L11:O11"/>
    <mergeCell ref="A19:D19"/>
    <mergeCell ref="G19:J19"/>
    <mergeCell ref="L19:O19"/>
    <mergeCell ref="A25:D25"/>
    <mergeCell ref="G25:J25"/>
    <mergeCell ref="L25:O25"/>
    <mergeCell ref="A32:D32"/>
    <mergeCell ref="G32:J32"/>
    <mergeCell ref="L32:O3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92474-C636-430B-AE5A-84B3E0B4A82A}">
  <dimension ref="A1:E22"/>
  <sheetViews>
    <sheetView topLeftCell="A8" zoomScale="80" zoomScaleNormal="80" workbookViewId="0">
      <selection activeCell="C17" sqref="C17"/>
    </sheetView>
  </sheetViews>
  <sheetFormatPr defaultRowHeight="14.5"/>
  <cols>
    <col min="1" max="1" width="20.1796875" bestFit="1" customWidth="1"/>
    <col min="2" max="2" width="127.54296875" bestFit="1" customWidth="1"/>
    <col min="3" max="3" width="28.54296875" bestFit="1" customWidth="1"/>
    <col min="5" max="5" width="37.54296875" bestFit="1" customWidth="1"/>
  </cols>
  <sheetData>
    <row r="1" spans="1:5" s="32" customFormat="1" ht="33.65" customHeight="1">
      <c r="A1" s="128" t="s">
        <v>145</v>
      </c>
      <c r="B1" s="137" t="s">
        <v>146</v>
      </c>
      <c r="C1" s="137" t="s">
        <v>147</v>
      </c>
      <c r="D1" s="137" t="s">
        <v>148</v>
      </c>
      <c r="E1" s="99" t="s">
        <v>92</v>
      </c>
    </row>
    <row r="2" spans="1:5" ht="25" customHeight="1">
      <c r="A2" s="100" t="s">
        <v>149</v>
      </c>
      <c r="B2" s="88" t="s">
        <v>150</v>
      </c>
      <c r="C2" s="129">
        <f>((C3-C4)/C3)*C8</f>
        <v>0.95</v>
      </c>
      <c r="D2" s="9" t="s">
        <v>151</v>
      </c>
      <c r="E2" s="9"/>
    </row>
    <row r="3" spans="1:5" ht="25.5" customHeight="1">
      <c r="A3" s="9" t="s">
        <v>152</v>
      </c>
      <c r="B3" s="88" t="s">
        <v>153</v>
      </c>
      <c r="C3" s="54">
        <f>C5*C6</f>
        <v>3.0000000000000001E-3</v>
      </c>
      <c r="D3" s="9" t="s">
        <v>154</v>
      </c>
      <c r="E3" s="9"/>
    </row>
    <row r="4" spans="1:5" ht="24.65" customHeight="1">
      <c r="A4" s="101" t="s">
        <v>155</v>
      </c>
      <c r="B4" s="88" t="s">
        <v>156</v>
      </c>
      <c r="C4" s="54">
        <f>C5*C7</f>
        <v>0</v>
      </c>
      <c r="D4" s="9" t="s">
        <v>154</v>
      </c>
      <c r="E4" s="88"/>
    </row>
    <row r="5" spans="1:5" ht="19" customHeight="1">
      <c r="A5" s="9" t="s">
        <v>100</v>
      </c>
      <c r="B5" s="88" t="s">
        <v>158</v>
      </c>
      <c r="C5" s="54">
        <f>'GS5825 ER Calcs'!D6</f>
        <v>4.0000000000000002E-4</v>
      </c>
      <c r="D5" s="9" t="s">
        <v>159</v>
      </c>
      <c r="E5" s="85" t="s">
        <v>102</v>
      </c>
    </row>
    <row r="6" spans="1:5" ht="20.149999999999999" customHeight="1">
      <c r="A6" s="9" t="s">
        <v>104</v>
      </c>
      <c r="B6" s="88" t="s">
        <v>160</v>
      </c>
      <c r="C6" s="54">
        <v>7.5</v>
      </c>
      <c r="D6" s="9" t="s">
        <v>161</v>
      </c>
      <c r="E6" s="85" t="s">
        <v>162</v>
      </c>
    </row>
    <row r="7" spans="1:5">
      <c r="A7" s="9" t="s">
        <v>163</v>
      </c>
      <c r="B7" s="88" t="s">
        <v>164</v>
      </c>
      <c r="C7" s="54">
        <v>0</v>
      </c>
      <c r="D7" s="9" t="s">
        <v>161</v>
      </c>
      <c r="E7" s="85" t="s">
        <v>109</v>
      </c>
    </row>
    <row r="8" spans="1:5" ht="27.65" customHeight="1">
      <c r="A8" s="9" t="s">
        <v>209</v>
      </c>
      <c r="B8" s="88" t="s">
        <v>166</v>
      </c>
      <c r="C8" s="172">
        <f>'GS5825 ER Calcs'!D28</f>
        <v>0.95</v>
      </c>
      <c r="D8" s="9" t="s">
        <v>151</v>
      </c>
      <c r="E8" s="85" t="s">
        <v>138</v>
      </c>
    </row>
    <row r="9" spans="1:5">
      <c r="A9" s="1"/>
      <c r="B9" s="1"/>
      <c r="C9" s="1"/>
      <c r="D9" s="1"/>
      <c r="E9" s="88"/>
    </row>
    <row r="10" spans="1:5" s="32" customFormat="1">
      <c r="A10" s="137" t="s">
        <v>167</v>
      </c>
      <c r="B10" s="137" t="s">
        <v>146</v>
      </c>
      <c r="C10" s="137" t="s">
        <v>168</v>
      </c>
      <c r="D10" s="137" t="s">
        <v>148</v>
      </c>
      <c r="E10" s="139"/>
    </row>
    <row r="11" spans="1:5">
      <c r="A11" s="88" t="s">
        <v>169</v>
      </c>
      <c r="B11" s="9" t="s">
        <v>170</v>
      </c>
      <c r="C11" s="105">
        <f>C13-C12</f>
        <v>0.72</v>
      </c>
      <c r="D11" s="9" t="s">
        <v>171</v>
      </c>
      <c r="E11" s="88" t="s">
        <v>174</v>
      </c>
    </row>
    <row r="12" spans="1:5">
      <c r="A12" s="88" t="s">
        <v>211</v>
      </c>
      <c r="B12" s="9" t="s">
        <v>173</v>
      </c>
      <c r="C12" s="9">
        <v>0</v>
      </c>
      <c r="D12" s="9" t="s">
        <v>171</v>
      </c>
      <c r="E12" s="88" t="s">
        <v>213</v>
      </c>
    </row>
    <row r="13" spans="1:5">
      <c r="A13" s="88" t="s">
        <v>212</v>
      </c>
      <c r="B13" s="9" t="s">
        <v>176</v>
      </c>
      <c r="C13" s="478">
        <v>0.72</v>
      </c>
      <c r="D13" s="9" t="s">
        <v>171</v>
      </c>
      <c r="E13" s="88"/>
    </row>
    <row r="14" spans="1:5">
      <c r="A14" s="1"/>
      <c r="B14" s="1"/>
      <c r="C14" s="1"/>
      <c r="D14" s="1"/>
      <c r="E14" s="88"/>
    </row>
    <row r="15" spans="1:5" s="32" customFormat="1" ht="42.65" customHeight="1">
      <c r="A15" s="128" t="s">
        <v>178</v>
      </c>
      <c r="B15" s="137" t="s">
        <v>146</v>
      </c>
      <c r="C15" s="137" t="s">
        <v>179</v>
      </c>
      <c r="D15" s="137" t="s">
        <v>148</v>
      </c>
      <c r="E15" s="139"/>
    </row>
    <row r="16" spans="1:5">
      <c r="A16" s="88" t="s">
        <v>180</v>
      </c>
      <c r="B16" s="9" t="s">
        <v>181</v>
      </c>
      <c r="C16" s="105">
        <f>ROUNDDOWN(C17*(1-C18)*C19,0)</f>
        <v>2428</v>
      </c>
      <c r="D16" s="9" t="s">
        <v>182</v>
      </c>
      <c r="E16" s="180"/>
    </row>
    <row r="17" spans="1:5">
      <c r="A17" s="88" t="s">
        <v>183</v>
      </c>
      <c r="B17" s="9" t="s">
        <v>184</v>
      </c>
      <c r="C17" s="9">
        <f>'GS5825 PTDs'!H9</f>
        <v>2556</v>
      </c>
      <c r="D17" s="9" t="s">
        <v>182</v>
      </c>
      <c r="E17" s="88" t="s">
        <v>228</v>
      </c>
    </row>
    <row r="18" spans="1:5">
      <c r="A18" s="88" t="s">
        <v>94</v>
      </c>
      <c r="B18" s="9" t="s">
        <v>186</v>
      </c>
      <c r="C18" s="106">
        <f>'GS5825 ER Calcs'!D4</f>
        <v>0</v>
      </c>
      <c r="D18" s="9" t="s">
        <v>151</v>
      </c>
      <c r="E18" s="88" t="s">
        <v>174</v>
      </c>
    </row>
    <row r="19" spans="1:5" ht="20.5" customHeight="1">
      <c r="A19" s="88" t="s">
        <v>209</v>
      </c>
      <c r="B19" s="9" t="s">
        <v>166</v>
      </c>
      <c r="C19" s="173">
        <f>'GS5825 ER Calcs'!D28</f>
        <v>0.95</v>
      </c>
      <c r="D19" s="9" t="s">
        <v>151</v>
      </c>
      <c r="E19" s="85" t="s">
        <v>138</v>
      </c>
    </row>
    <row r="20" spans="1:5">
      <c r="A20" s="1"/>
      <c r="B20" s="1"/>
      <c r="C20" s="1"/>
      <c r="D20" s="1"/>
      <c r="E20" s="9"/>
    </row>
    <row r="21" spans="1:5" s="32" customFormat="1">
      <c r="A21" s="128" t="s">
        <v>187</v>
      </c>
      <c r="B21" s="137" t="s">
        <v>146</v>
      </c>
      <c r="C21" s="137"/>
      <c r="D21" s="137" t="s">
        <v>148</v>
      </c>
      <c r="E21" s="94"/>
    </row>
    <row r="22" spans="1:5">
      <c r="A22" s="88" t="s">
        <v>188</v>
      </c>
      <c r="B22" s="9" t="s">
        <v>189</v>
      </c>
      <c r="C22" s="108">
        <f>'GS5825 ER Calcs'!D37</f>
        <v>6529</v>
      </c>
      <c r="D22" s="9" t="s">
        <v>190</v>
      </c>
      <c r="E22" s="9" t="s">
        <v>191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53542-31B0-40D0-BF69-D7C4CE71DA7A}">
  <dimension ref="A1:N50"/>
  <sheetViews>
    <sheetView workbookViewId="0">
      <selection activeCell="D50" sqref="D50"/>
    </sheetView>
  </sheetViews>
  <sheetFormatPr defaultRowHeight="14.5"/>
  <cols>
    <col min="1" max="1" width="39" bestFit="1" customWidth="1"/>
    <col min="4" max="4" width="9.7265625" customWidth="1"/>
  </cols>
  <sheetData>
    <row r="1" spans="1:14" ht="37" customHeight="1" thickBot="1">
      <c r="A1" s="521" t="s">
        <v>275</v>
      </c>
      <c r="B1" s="522"/>
      <c r="C1" s="522"/>
      <c r="D1" s="522"/>
      <c r="E1" s="4"/>
      <c r="F1" s="4"/>
      <c r="G1" s="4"/>
      <c r="H1" s="521" t="s">
        <v>16</v>
      </c>
      <c r="I1" s="522"/>
      <c r="J1" s="522"/>
      <c r="K1" s="522"/>
      <c r="L1" s="522"/>
      <c r="M1" s="522"/>
    </row>
    <row r="2" spans="1:14" ht="1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</row>
    <row r="3" spans="1:14" ht="14.5" customHeight="1">
      <c r="A3" s="523" t="s">
        <v>17</v>
      </c>
      <c r="B3" s="524"/>
      <c r="C3" s="524"/>
      <c r="D3" s="524"/>
      <c r="E3" s="2"/>
      <c r="F3" s="4"/>
      <c r="G3" s="4"/>
      <c r="H3" s="528" t="s">
        <v>18</v>
      </c>
      <c r="I3" s="529"/>
      <c r="J3" s="529"/>
      <c r="K3" s="529"/>
      <c r="L3" s="529"/>
      <c r="M3" s="529"/>
      <c r="N3" s="529"/>
    </row>
    <row r="4" spans="1:14" ht="29">
      <c r="A4" s="518" t="s">
        <v>19</v>
      </c>
      <c r="B4" s="519"/>
      <c r="C4" s="519"/>
      <c r="D4" s="519"/>
      <c r="E4" s="2"/>
      <c r="F4" s="4"/>
      <c r="G4" s="4"/>
      <c r="H4" s="6" t="s">
        <v>20</v>
      </c>
      <c r="I4" s="7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6" t="s">
        <v>27</v>
      </c>
    </row>
    <row r="5" spans="1:14">
      <c r="A5" s="8" t="s">
        <v>28</v>
      </c>
      <c r="B5" s="9" t="s">
        <v>29</v>
      </c>
      <c r="C5" s="9" t="s">
        <v>30</v>
      </c>
      <c r="D5" s="10">
        <f>'GS5826 ER Calcs'!J26</f>
        <v>2400</v>
      </c>
      <c r="E5" s="2"/>
      <c r="F5" s="4"/>
      <c r="G5" s="4"/>
      <c r="H5" s="109">
        <v>2017</v>
      </c>
      <c r="I5" s="390">
        <v>4736</v>
      </c>
      <c r="J5" s="390"/>
      <c r="K5" s="390"/>
      <c r="L5" s="390"/>
      <c r="M5" s="382"/>
      <c r="N5" s="392">
        <f>SUM(I5:K5)</f>
        <v>4736</v>
      </c>
    </row>
    <row r="6" spans="1:14">
      <c r="A6" s="8" t="s">
        <v>31</v>
      </c>
      <c r="B6" s="9" t="s">
        <v>32</v>
      </c>
      <c r="C6" s="9" t="s">
        <v>30</v>
      </c>
      <c r="D6" s="14">
        <f>'GS5826 ER Calcs'!J27</f>
        <v>0</v>
      </c>
      <c r="E6" s="2"/>
      <c r="F6" s="4"/>
      <c r="G6" s="4"/>
      <c r="H6" s="109">
        <v>2018</v>
      </c>
      <c r="I6" s="390">
        <v>10000</v>
      </c>
      <c r="J6" s="390"/>
      <c r="K6" s="390"/>
      <c r="L6" s="390"/>
      <c r="M6" s="382"/>
      <c r="N6" s="392">
        <f>SUM(I6:K6)</f>
        <v>10000</v>
      </c>
    </row>
    <row r="7" spans="1:14">
      <c r="A7" s="8" t="s">
        <v>33</v>
      </c>
      <c r="B7" s="9" t="s">
        <v>34</v>
      </c>
      <c r="C7" s="9" t="s">
        <v>35</v>
      </c>
      <c r="D7" s="14">
        <f>'GS5826 ER Calcs'!J28</f>
        <v>0.95</v>
      </c>
      <c r="E7" s="2"/>
      <c r="F7" s="4"/>
      <c r="G7" s="4"/>
      <c r="H7" s="109">
        <v>2019</v>
      </c>
      <c r="I7" s="390">
        <v>5244</v>
      </c>
      <c r="J7" s="390">
        <v>1907</v>
      </c>
      <c r="K7" s="390"/>
      <c r="L7" s="390"/>
      <c r="M7" s="382"/>
      <c r="N7" s="392">
        <f>SUM(I7:K7)</f>
        <v>7151</v>
      </c>
    </row>
    <row r="8" spans="1:14">
      <c r="A8" s="8" t="s">
        <v>36</v>
      </c>
      <c r="B8" s="9" t="s">
        <v>37</v>
      </c>
      <c r="C8" s="9" t="s">
        <v>30</v>
      </c>
      <c r="D8" s="14">
        <f>'GS5826 ER Calcs'!J29</f>
        <v>0</v>
      </c>
      <c r="E8" s="2"/>
      <c r="F8" s="4"/>
      <c r="G8" s="4"/>
      <c r="H8" s="109">
        <v>2020</v>
      </c>
      <c r="I8" s="390"/>
      <c r="J8" s="390">
        <v>1426</v>
      </c>
      <c r="K8" s="391">
        <v>1806</v>
      </c>
      <c r="L8" s="391"/>
      <c r="M8" s="382"/>
      <c r="N8" s="392">
        <f>SUM(I8:K8)</f>
        <v>3232</v>
      </c>
    </row>
    <row r="9" spans="1:14">
      <c r="A9" s="8"/>
      <c r="B9" s="9"/>
      <c r="C9" s="9"/>
      <c r="D9" s="14"/>
      <c r="E9" s="2"/>
      <c r="F9" s="4"/>
      <c r="G9" s="4"/>
      <c r="H9" s="109">
        <v>2021</v>
      </c>
      <c r="I9" s="390"/>
      <c r="J9" s="390"/>
      <c r="K9" s="391">
        <v>2140</v>
      </c>
      <c r="L9" s="391">
        <v>1919</v>
      </c>
      <c r="M9" s="382"/>
      <c r="N9" s="392">
        <f>SUM(I9:L9)</f>
        <v>4059</v>
      </c>
    </row>
    <row r="10" spans="1:14">
      <c r="A10" s="8" t="s">
        <v>38</v>
      </c>
      <c r="B10" s="9" t="s">
        <v>39</v>
      </c>
      <c r="C10" s="9" t="s">
        <v>30</v>
      </c>
      <c r="D10" s="10">
        <f>'GS5826 ER Calcs'!J30</f>
        <v>2280</v>
      </c>
      <c r="E10" s="2"/>
      <c r="F10" s="4"/>
      <c r="G10" s="4"/>
      <c r="H10" s="109">
        <v>2022</v>
      </c>
      <c r="I10" s="390"/>
      <c r="J10" s="390"/>
      <c r="K10" s="391"/>
      <c r="L10" s="391">
        <v>1353</v>
      </c>
      <c r="M10" s="383">
        <f>D45</f>
        <v>2280</v>
      </c>
      <c r="N10" s="392">
        <f>SUM(I10:M10)</f>
        <v>3633</v>
      </c>
    </row>
    <row r="11" spans="1:14">
      <c r="A11" s="518" t="s">
        <v>40</v>
      </c>
      <c r="B11" s="519"/>
      <c r="C11" s="519"/>
      <c r="D11" s="519"/>
      <c r="E11" s="2"/>
      <c r="F11" s="4"/>
      <c r="G11" s="4"/>
      <c r="H11" s="109">
        <v>2023</v>
      </c>
      <c r="I11" s="382"/>
      <c r="J11" s="382"/>
      <c r="K11" s="382"/>
      <c r="L11" s="382"/>
      <c r="M11" s="383">
        <f t="shared" ref="M11:M12" si="0">D46</f>
        <v>3892</v>
      </c>
      <c r="N11" s="392">
        <f t="shared" ref="N11:N12" si="1">SUM(I11:M11)</f>
        <v>3892</v>
      </c>
    </row>
    <row r="12" spans="1:14">
      <c r="A12" s="15" t="s">
        <v>41</v>
      </c>
      <c r="B12" s="9"/>
      <c r="C12" s="16"/>
      <c r="D12" s="17">
        <f>'GS5826 ER Calcs'!J33</f>
        <v>1</v>
      </c>
      <c r="E12" s="2"/>
      <c r="F12" s="4"/>
      <c r="G12" s="4"/>
      <c r="H12" s="109">
        <v>2024</v>
      </c>
      <c r="I12" s="401"/>
      <c r="J12" s="402"/>
      <c r="K12" s="402"/>
      <c r="L12" s="402"/>
      <c r="M12" s="383">
        <f t="shared" si="0"/>
        <v>179</v>
      </c>
      <c r="N12" s="392">
        <f t="shared" si="1"/>
        <v>179</v>
      </c>
    </row>
    <row r="13" spans="1:14">
      <c r="A13" s="15" t="s">
        <v>43</v>
      </c>
      <c r="B13" s="9" t="s">
        <v>42</v>
      </c>
      <c r="C13" s="16" t="s">
        <v>44</v>
      </c>
      <c r="D13" s="17">
        <f>'GS5826 ER Calcs'!J34</f>
        <v>0</v>
      </c>
      <c r="E13" s="2"/>
      <c r="F13" s="4"/>
      <c r="G13" s="4"/>
      <c r="H13" s="18" t="s">
        <v>13</v>
      </c>
      <c r="I13" s="131">
        <v>19980</v>
      </c>
      <c r="J13" s="131">
        <v>3333</v>
      </c>
      <c r="K13" s="400">
        <f>SUM(K5:K10)</f>
        <v>3946</v>
      </c>
      <c r="L13" s="400">
        <f>SUM(L5:L12)</f>
        <v>3272</v>
      </c>
      <c r="M13" s="400">
        <f>SUM(M5:M12)</f>
        <v>6351</v>
      </c>
      <c r="N13" s="18">
        <f>SUM(I13:K13)</f>
        <v>27259</v>
      </c>
    </row>
    <row r="14" spans="1:14" ht="15" thickBot="1">
      <c r="A14" s="21" t="s">
        <v>38</v>
      </c>
      <c r="B14" s="22" t="s">
        <v>39</v>
      </c>
      <c r="C14" s="22" t="s">
        <v>30</v>
      </c>
      <c r="D14" s="23">
        <f>'GS5826 ER Calcs'!J35</f>
        <v>2280</v>
      </c>
      <c r="E14" s="2"/>
      <c r="F14" s="4"/>
      <c r="G14" s="4"/>
      <c r="H14" s="4"/>
      <c r="I14" s="4"/>
      <c r="J14" s="4"/>
      <c r="K14" s="4"/>
      <c r="L14" s="4"/>
      <c r="M14" s="2"/>
    </row>
    <row r="15" spans="1:14" ht="15" thickBot="1">
      <c r="A15" s="21" t="s">
        <v>45</v>
      </c>
      <c r="B15" s="22" t="s">
        <v>39</v>
      </c>
      <c r="C15" s="22" t="s">
        <v>30</v>
      </c>
      <c r="D15" s="23">
        <f>'GS5826 ER Calcs'!J37</f>
        <v>2280</v>
      </c>
      <c r="E15" s="2"/>
      <c r="F15" s="4"/>
      <c r="G15" s="4"/>
      <c r="H15" s="4"/>
      <c r="I15" s="4"/>
      <c r="J15" s="4"/>
      <c r="K15" s="4"/>
      <c r="L15" s="4"/>
      <c r="M15" s="2"/>
    </row>
    <row r="16" spans="1:14" ht="15" thickBot="1">
      <c r="A16" s="4"/>
      <c r="B16" s="4"/>
      <c r="C16" s="4"/>
      <c r="D16" s="4"/>
      <c r="E16" s="2"/>
      <c r="F16" s="4"/>
      <c r="G16" s="4"/>
      <c r="H16" s="4"/>
      <c r="I16" s="4"/>
      <c r="J16" s="4"/>
      <c r="K16" s="4"/>
      <c r="L16" s="4"/>
      <c r="M16" s="2"/>
    </row>
    <row r="17" spans="1:13" ht="14.5" customHeight="1">
      <c r="A17" s="523" t="s">
        <v>46</v>
      </c>
      <c r="B17" s="524"/>
      <c r="C17" s="524"/>
      <c r="D17" s="524"/>
      <c r="E17" s="4"/>
      <c r="F17" s="4"/>
      <c r="G17" s="4"/>
      <c r="H17" s="4"/>
      <c r="I17" s="4"/>
      <c r="J17" s="4"/>
      <c r="K17" s="4"/>
      <c r="L17" s="4"/>
      <c r="M17" s="2"/>
    </row>
    <row r="18" spans="1:13">
      <c r="A18" s="518" t="s">
        <v>19</v>
      </c>
      <c r="B18" s="519"/>
      <c r="C18" s="519"/>
      <c r="D18" s="519"/>
      <c r="E18" s="4"/>
      <c r="F18" s="4"/>
      <c r="G18" s="4"/>
      <c r="H18" s="4"/>
      <c r="I18" s="4"/>
      <c r="J18" s="4"/>
      <c r="K18" s="4"/>
      <c r="L18" s="4"/>
      <c r="M18" s="2"/>
    </row>
    <row r="19" spans="1:13">
      <c r="A19" s="8" t="s">
        <v>28</v>
      </c>
      <c r="B19" s="9" t="s">
        <v>29</v>
      </c>
      <c r="C19" s="9" t="s">
        <v>30</v>
      </c>
      <c r="D19" s="10">
        <f>'GS5826 ER Calcs'!O26</f>
        <v>4097</v>
      </c>
      <c r="E19" s="4"/>
      <c r="F19" s="4"/>
      <c r="G19" s="4"/>
      <c r="H19" s="4"/>
      <c r="I19" s="4"/>
      <c r="J19" s="4"/>
      <c r="K19" s="4"/>
      <c r="L19" s="4"/>
      <c r="M19" s="2"/>
    </row>
    <row r="20" spans="1:13">
      <c r="A20" s="8" t="s">
        <v>31</v>
      </c>
      <c r="B20" s="9" t="s">
        <v>32</v>
      </c>
      <c r="C20" s="9" t="s">
        <v>30</v>
      </c>
      <c r="D20" s="14">
        <f>'GS5826 ER Calcs'!O27</f>
        <v>0</v>
      </c>
      <c r="E20" s="4"/>
      <c r="F20" s="4"/>
      <c r="G20" s="4"/>
      <c r="H20" s="4"/>
      <c r="I20" s="4"/>
      <c r="J20" s="4"/>
      <c r="K20" s="4"/>
      <c r="L20" s="4"/>
      <c r="M20" s="2"/>
    </row>
    <row r="21" spans="1:13">
      <c r="A21" s="8" t="s">
        <v>33</v>
      </c>
      <c r="B21" s="9" t="s">
        <v>34</v>
      </c>
      <c r="C21" s="9" t="s">
        <v>35</v>
      </c>
      <c r="D21" s="14">
        <f>'GS5826 ER Calcs'!O28</f>
        <v>0.95</v>
      </c>
      <c r="E21" s="4"/>
      <c r="F21" s="4"/>
      <c r="G21" s="4"/>
      <c r="H21" s="4"/>
      <c r="I21" s="4"/>
      <c r="J21" s="4"/>
      <c r="K21" s="4"/>
      <c r="L21" s="4"/>
      <c r="M21" s="2"/>
    </row>
    <row r="22" spans="1:13">
      <c r="A22" s="8" t="s">
        <v>36</v>
      </c>
      <c r="B22" s="9" t="s">
        <v>37</v>
      </c>
      <c r="C22" s="9" t="s">
        <v>30</v>
      </c>
      <c r="D22" s="14">
        <f>'GS5826 ER Calcs'!O29</f>
        <v>0</v>
      </c>
      <c r="E22" s="4"/>
      <c r="F22" s="4"/>
      <c r="G22" s="4"/>
      <c r="H22" s="4"/>
      <c r="I22" s="4"/>
      <c r="J22" s="4"/>
      <c r="K22" s="4"/>
      <c r="L22" s="4"/>
      <c r="M22" s="2"/>
    </row>
    <row r="23" spans="1:13">
      <c r="A23" s="8" t="s">
        <v>38</v>
      </c>
      <c r="B23" s="9" t="s">
        <v>39</v>
      </c>
      <c r="C23" s="9" t="s">
        <v>30</v>
      </c>
      <c r="D23" s="10">
        <f>'GS5826 ER Calcs'!O30</f>
        <v>3892</v>
      </c>
      <c r="E23" s="4"/>
      <c r="F23" s="4"/>
      <c r="G23" s="4"/>
      <c r="H23" s="4"/>
      <c r="I23" s="4"/>
      <c r="J23" s="4"/>
      <c r="K23" s="4"/>
      <c r="L23" s="4"/>
      <c r="M23" s="2"/>
    </row>
    <row r="24" spans="1:13">
      <c r="A24" s="518" t="s">
        <v>40</v>
      </c>
      <c r="B24" s="519"/>
      <c r="C24" s="519"/>
      <c r="D24" s="519"/>
      <c r="E24" s="4"/>
      <c r="F24" s="4"/>
      <c r="G24" s="4"/>
      <c r="H24" s="4"/>
      <c r="I24" s="4"/>
      <c r="J24" s="4"/>
      <c r="K24" s="4"/>
      <c r="L24" s="4"/>
      <c r="M24" s="2"/>
    </row>
    <row r="25" spans="1:13">
      <c r="A25" s="15" t="s">
        <v>41</v>
      </c>
      <c r="B25" s="9"/>
      <c r="C25" s="16"/>
      <c r="D25" s="17">
        <f>'GS5826 ER Calcs'!O33</f>
        <v>1</v>
      </c>
      <c r="E25" s="4"/>
      <c r="F25" s="4"/>
      <c r="G25" s="4"/>
      <c r="H25" s="4"/>
      <c r="I25" s="4"/>
      <c r="J25" s="4"/>
      <c r="K25" s="4"/>
      <c r="L25" s="4"/>
      <c r="M25" s="2"/>
    </row>
    <row r="26" spans="1:13">
      <c r="A26" s="15" t="s">
        <v>43</v>
      </c>
      <c r="B26" s="9" t="s">
        <v>42</v>
      </c>
      <c r="C26" s="16" t="s">
        <v>44</v>
      </c>
      <c r="D26" s="17">
        <f>'GS5826 ER Calcs'!O34</f>
        <v>0</v>
      </c>
      <c r="E26" s="4"/>
      <c r="F26" s="4"/>
      <c r="G26" s="4"/>
      <c r="H26" s="4"/>
      <c r="I26" s="4"/>
      <c r="J26" s="4"/>
      <c r="K26" s="4"/>
      <c r="L26" s="4"/>
      <c r="M26" s="2"/>
    </row>
    <row r="27" spans="1:13" ht="15" thickBot="1">
      <c r="A27" s="21" t="s">
        <v>38</v>
      </c>
      <c r="B27" s="22" t="s">
        <v>39</v>
      </c>
      <c r="C27" s="22" t="s">
        <v>30</v>
      </c>
      <c r="D27" s="23">
        <f>'GS5826 ER Calcs'!O35</f>
        <v>3892</v>
      </c>
      <c r="E27" s="4"/>
      <c r="F27" s="4"/>
      <c r="G27" s="4"/>
      <c r="H27" s="4"/>
      <c r="I27" s="4"/>
      <c r="J27" s="4"/>
      <c r="K27" s="4"/>
      <c r="L27" s="4"/>
      <c r="M27" s="2"/>
    </row>
    <row r="28" spans="1:13" ht="15" thickBot="1">
      <c r="A28" s="21" t="s">
        <v>45</v>
      </c>
      <c r="B28" s="22" t="s">
        <v>39</v>
      </c>
      <c r="C28" s="22" t="s">
        <v>30</v>
      </c>
      <c r="D28" s="23">
        <f>'GS5826 ER Calcs'!O37</f>
        <v>3892</v>
      </c>
      <c r="E28" s="4"/>
      <c r="F28" s="4"/>
      <c r="G28" s="4"/>
      <c r="H28" s="4"/>
      <c r="I28" s="4"/>
      <c r="J28" s="4"/>
      <c r="K28" s="4"/>
      <c r="L28" s="4"/>
      <c r="M28" s="2"/>
    </row>
    <row r="29" spans="1:13" ht="15" thickBot="1">
      <c r="A29" s="28"/>
      <c r="B29" s="376"/>
      <c r="C29" s="376"/>
      <c r="D29" s="368"/>
      <c r="E29" s="4"/>
      <c r="F29" s="4"/>
      <c r="G29" s="4"/>
      <c r="H29" s="4"/>
      <c r="I29" s="4"/>
      <c r="J29" s="4"/>
      <c r="K29" s="4"/>
      <c r="L29" s="4"/>
      <c r="M29" s="2"/>
    </row>
    <row r="30" spans="1:13">
      <c r="A30" s="523" t="s">
        <v>276</v>
      </c>
      <c r="B30" s="524"/>
      <c r="C30" s="524"/>
      <c r="D30" s="524"/>
      <c r="E30" s="4"/>
      <c r="F30" s="4"/>
      <c r="G30" s="4"/>
      <c r="H30" s="4"/>
      <c r="I30" s="4"/>
      <c r="J30" s="4"/>
      <c r="K30" s="4"/>
      <c r="L30" s="4"/>
      <c r="M30" s="2"/>
    </row>
    <row r="31" spans="1:13">
      <c r="A31" s="518" t="s">
        <v>19</v>
      </c>
      <c r="B31" s="519"/>
      <c r="C31" s="519"/>
      <c r="D31" s="519"/>
      <c r="E31" s="4"/>
      <c r="F31" s="4"/>
      <c r="G31" s="4"/>
      <c r="H31" s="4"/>
      <c r="I31" s="4"/>
      <c r="J31" s="4"/>
      <c r="K31" s="4"/>
      <c r="L31" s="4"/>
      <c r="M31" s="2"/>
    </row>
    <row r="32" spans="1:13">
      <c r="A32" s="8" t="s">
        <v>28</v>
      </c>
      <c r="B32" s="9" t="s">
        <v>29</v>
      </c>
      <c r="C32" s="9" t="s">
        <v>30</v>
      </c>
      <c r="D32" s="10">
        <f>'GS5826 ER Calcs'!T26</f>
        <v>189</v>
      </c>
      <c r="E32" s="4"/>
      <c r="F32" s="4"/>
      <c r="G32" s="4"/>
      <c r="H32" s="4"/>
      <c r="I32" s="4"/>
      <c r="J32" s="4"/>
      <c r="K32" s="4"/>
      <c r="L32" s="4"/>
      <c r="M32" s="2"/>
    </row>
    <row r="33" spans="1:13">
      <c r="A33" s="8" t="s">
        <v>31</v>
      </c>
      <c r="B33" s="9" t="s">
        <v>32</v>
      </c>
      <c r="C33" s="9" t="s">
        <v>30</v>
      </c>
      <c r="D33" s="10">
        <f>'GS5826 ER Calcs'!T27</f>
        <v>0</v>
      </c>
      <c r="E33" s="4"/>
      <c r="F33" s="4"/>
      <c r="G33" s="4"/>
      <c r="H33" s="4"/>
      <c r="I33" s="4"/>
      <c r="J33" s="4"/>
      <c r="K33" s="4"/>
      <c r="L33" s="4"/>
      <c r="M33" s="2"/>
    </row>
    <row r="34" spans="1:13">
      <c r="A34" s="8" t="s">
        <v>33</v>
      </c>
      <c r="B34" s="9" t="s">
        <v>34</v>
      </c>
      <c r="C34" s="9" t="s">
        <v>35</v>
      </c>
      <c r="D34" s="10">
        <f>'GS5826 ER Calcs'!T28</f>
        <v>0.95</v>
      </c>
      <c r="E34" s="4"/>
      <c r="F34" s="4"/>
      <c r="G34" s="4"/>
      <c r="H34" s="4"/>
      <c r="I34" s="4"/>
      <c r="J34" s="4"/>
      <c r="K34" s="4"/>
      <c r="L34" s="4"/>
      <c r="M34" s="2"/>
    </row>
    <row r="35" spans="1:13">
      <c r="A35" s="8" t="s">
        <v>36</v>
      </c>
      <c r="B35" s="9" t="s">
        <v>37</v>
      </c>
      <c r="C35" s="9" t="s">
        <v>30</v>
      </c>
      <c r="D35" s="10">
        <f>'GS5826 ER Calcs'!T29</f>
        <v>0</v>
      </c>
      <c r="E35" s="4"/>
      <c r="F35" s="4"/>
      <c r="G35" s="4"/>
      <c r="H35" s="4"/>
      <c r="I35" s="4"/>
      <c r="J35" s="4"/>
      <c r="K35" s="4"/>
      <c r="L35" s="4"/>
      <c r="M35" s="2"/>
    </row>
    <row r="36" spans="1:13">
      <c r="A36" s="8" t="s">
        <v>38</v>
      </c>
      <c r="B36" s="9" t="s">
        <v>39</v>
      </c>
      <c r="C36" s="9" t="s">
        <v>30</v>
      </c>
      <c r="D36" s="10">
        <f>'GS5826 ER Calcs'!T30</f>
        <v>179</v>
      </c>
      <c r="E36" s="4"/>
      <c r="F36" s="4"/>
      <c r="G36" s="4"/>
      <c r="H36" s="4"/>
      <c r="I36" s="4"/>
      <c r="J36" s="4"/>
      <c r="K36" s="4"/>
      <c r="L36" s="4"/>
      <c r="M36" s="2"/>
    </row>
    <row r="37" spans="1:13">
      <c r="A37" s="518" t="s">
        <v>40</v>
      </c>
      <c r="B37" s="519"/>
      <c r="C37" s="519"/>
      <c r="D37" s="519"/>
      <c r="E37" s="4"/>
      <c r="F37" s="4"/>
      <c r="G37" s="4"/>
      <c r="H37" s="4"/>
      <c r="I37" s="4"/>
      <c r="J37" s="4"/>
      <c r="K37" s="4"/>
      <c r="L37" s="4"/>
      <c r="M37" s="2"/>
    </row>
    <row r="38" spans="1:13">
      <c r="A38" s="15" t="s">
        <v>41</v>
      </c>
      <c r="B38" s="9"/>
      <c r="C38" s="16"/>
      <c r="D38" s="17">
        <f>'GS5826 ER Calcs'!T33</f>
        <v>1</v>
      </c>
      <c r="E38" s="4"/>
      <c r="F38" s="4"/>
      <c r="G38" s="4"/>
      <c r="H38" s="4"/>
      <c r="I38" s="4"/>
      <c r="J38" s="4"/>
      <c r="K38" s="4"/>
      <c r="L38" s="4"/>
      <c r="M38" s="2"/>
    </row>
    <row r="39" spans="1:13">
      <c r="A39" s="15" t="s">
        <v>277</v>
      </c>
      <c r="B39" s="9" t="s">
        <v>42</v>
      </c>
      <c r="C39" s="16" t="s">
        <v>44</v>
      </c>
      <c r="D39" s="17">
        <f>'GS5826 ER Calcs'!T34</f>
        <v>0</v>
      </c>
      <c r="E39" s="4"/>
      <c r="F39" s="4"/>
      <c r="G39" s="4"/>
      <c r="H39" s="4"/>
      <c r="I39" s="4"/>
      <c r="J39" s="4"/>
      <c r="K39" s="4"/>
      <c r="L39" s="4"/>
      <c r="M39" s="2"/>
    </row>
    <row r="40" spans="1:13" ht="15" thickBot="1">
      <c r="A40" s="21" t="s">
        <v>38</v>
      </c>
      <c r="B40" s="22" t="s">
        <v>39</v>
      </c>
      <c r="C40" s="22" t="s">
        <v>30</v>
      </c>
      <c r="D40" s="375">
        <f>'GS5826 ER Calcs'!T35</f>
        <v>179</v>
      </c>
      <c r="E40" s="4"/>
      <c r="F40" s="4"/>
      <c r="G40" s="4"/>
      <c r="H40" s="4"/>
      <c r="I40" s="4"/>
      <c r="J40" s="4"/>
      <c r="K40" s="4"/>
      <c r="L40" s="4"/>
      <c r="M40" s="2"/>
    </row>
    <row r="41" spans="1:13" ht="15" thickBot="1">
      <c r="A41" s="21" t="s">
        <v>45</v>
      </c>
      <c r="B41" s="22" t="s">
        <v>39</v>
      </c>
      <c r="C41" s="22" t="s">
        <v>30</v>
      </c>
      <c r="D41" s="23">
        <f>'GS5826 ER Calcs'!T37</f>
        <v>179</v>
      </c>
      <c r="E41" s="4"/>
      <c r="F41" s="4"/>
      <c r="G41" s="4"/>
      <c r="H41" s="4"/>
      <c r="I41" s="4"/>
      <c r="J41" s="4"/>
      <c r="K41" s="4"/>
      <c r="L41" s="4"/>
      <c r="M41" s="2"/>
    </row>
    <row r="42" spans="1:13" ht="15" thickBot="1">
      <c r="A42" s="2"/>
      <c r="B42" s="508"/>
      <c r="C42" s="508"/>
      <c r="D42" s="2"/>
      <c r="E42" s="4"/>
      <c r="F42" s="4"/>
      <c r="G42" s="4"/>
      <c r="H42" s="4"/>
      <c r="I42" s="2"/>
      <c r="J42" s="4"/>
      <c r="K42" s="4"/>
      <c r="L42" s="4"/>
      <c r="M42" s="2"/>
    </row>
    <row r="43" spans="1:13" ht="15.65" customHeight="1">
      <c r="A43" s="509" t="s">
        <v>278</v>
      </c>
      <c r="B43" s="510"/>
      <c r="C43" s="510"/>
      <c r="D43" s="510"/>
      <c r="E43" s="2"/>
      <c r="F43" s="2"/>
      <c r="G43" s="507"/>
      <c r="H43" s="507"/>
      <c r="I43" s="2"/>
      <c r="J43" s="2"/>
      <c r="K43" s="2"/>
      <c r="L43" s="2"/>
      <c r="M43" s="2"/>
    </row>
    <row r="44" spans="1:13">
      <c r="A44" s="511" t="s">
        <v>19</v>
      </c>
      <c r="B44" s="512"/>
      <c r="C44" s="512"/>
      <c r="D44" s="512"/>
      <c r="E44" s="2"/>
      <c r="F44" s="2"/>
      <c r="G44" s="507"/>
      <c r="H44" s="507"/>
      <c r="I44" s="2"/>
      <c r="J44" s="2"/>
      <c r="K44" s="2"/>
      <c r="L44" s="2"/>
      <c r="M44" s="2"/>
    </row>
    <row r="45" spans="1:13" ht="14.5" customHeight="1">
      <c r="A45" s="513">
        <v>2022</v>
      </c>
      <c r="B45" s="514"/>
      <c r="C45" s="514"/>
      <c r="D45" s="25">
        <f>D15</f>
        <v>2280</v>
      </c>
      <c r="E45" s="2"/>
      <c r="F45" s="2"/>
      <c r="G45" s="507"/>
      <c r="H45" s="507"/>
      <c r="I45" s="2"/>
      <c r="J45" s="2"/>
      <c r="K45" s="2"/>
      <c r="L45" s="2"/>
      <c r="M45" s="2"/>
    </row>
    <row r="46" spans="1:13">
      <c r="A46" s="513">
        <v>2023</v>
      </c>
      <c r="B46" s="514"/>
      <c r="C46" s="514"/>
      <c r="D46" s="26">
        <f>D28</f>
        <v>3892</v>
      </c>
      <c r="E46" s="2"/>
      <c r="F46" s="2"/>
      <c r="G46" s="507"/>
      <c r="H46" s="507"/>
      <c r="I46" s="2"/>
      <c r="J46" s="2"/>
      <c r="K46" s="2"/>
      <c r="L46" s="2"/>
      <c r="M46" s="2"/>
    </row>
    <row r="47" spans="1:13">
      <c r="A47" s="513">
        <v>2024</v>
      </c>
      <c r="B47" s="514"/>
      <c r="C47" s="514"/>
      <c r="D47" s="379">
        <f>D41</f>
        <v>179</v>
      </c>
      <c r="E47" s="2"/>
      <c r="F47" s="2"/>
      <c r="G47" s="2"/>
      <c r="H47" s="2"/>
      <c r="I47" s="2"/>
      <c r="J47" s="2"/>
      <c r="K47" s="2"/>
      <c r="L47" s="2"/>
      <c r="M47" s="2"/>
    </row>
    <row r="48" spans="1:13" ht="15" thickBot="1">
      <c r="A48" s="377"/>
      <c r="B48" s="378"/>
      <c r="C48" s="378"/>
      <c r="D48" s="379"/>
      <c r="E48" s="2"/>
      <c r="F48" s="2"/>
      <c r="G48" s="2"/>
      <c r="H48" s="2"/>
      <c r="I48" s="2"/>
      <c r="J48" s="2"/>
      <c r="K48" s="2"/>
      <c r="L48" s="2"/>
      <c r="M48" s="2"/>
    </row>
    <row r="49" spans="1:13" ht="21" customHeight="1" thickBot="1">
      <c r="A49" s="27" t="s">
        <v>245</v>
      </c>
      <c r="B49" s="29"/>
      <c r="C49" s="30"/>
      <c r="D49" s="31">
        <f>SUM(D45:D47)</f>
        <v>6351</v>
      </c>
      <c r="E49" s="2"/>
      <c r="F49" s="2"/>
      <c r="G49" s="507"/>
      <c r="H49" s="507"/>
      <c r="I49" s="2"/>
      <c r="J49" s="2"/>
      <c r="K49" s="2"/>
      <c r="L49" s="2"/>
      <c r="M49" s="2"/>
    </row>
    <row r="50" spans="1:13">
      <c r="A50" s="2"/>
      <c r="B50" s="517"/>
      <c r="C50" s="517"/>
      <c r="D50" s="2"/>
      <c r="E50" s="2"/>
      <c r="F50" s="2"/>
      <c r="G50" s="507"/>
      <c r="H50" s="507"/>
      <c r="J50" s="2"/>
      <c r="K50" s="2"/>
      <c r="L50" s="2"/>
      <c r="M50" s="2"/>
    </row>
  </sheetData>
  <mergeCells count="25">
    <mergeCell ref="G43:H43"/>
    <mergeCell ref="A1:D1"/>
    <mergeCell ref="H1:M1"/>
    <mergeCell ref="A3:D3"/>
    <mergeCell ref="A4:D4"/>
    <mergeCell ref="A11:D11"/>
    <mergeCell ref="A17:D17"/>
    <mergeCell ref="A18:D18"/>
    <mergeCell ref="A24:D24"/>
    <mergeCell ref="B42:C42"/>
    <mergeCell ref="A43:D43"/>
    <mergeCell ref="A30:D30"/>
    <mergeCell ref="A31:D31"/>
    <mergeCell ref="A37:D37"/>
    <mergeCell ref="H3:N3"/>
    <mergeCell ref="G49:H49"/>
    <mergeCell ref="B50:C50"/>
    <mergeCell ref="G50:H50"/>
    <mergeCell ref="A44:D44"/>
    <mergeCell ref="G44:H44"/>
    <mergeCell ref="A45:C45"/>
    <mergeCell ref="G45:H45"/>
    <mergeCell ref="A46:C46"/>
    <mergeCell ref="G46:H46"/>
    <mergeCell ref="A47:C47"/>
  </mergeCells>
  <phoneticPr fontId="15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8B3F-CDC4-4356-BAB5-DC33E37AF0C6}">
  <dimension ref="A1:Q23"/>
  <sheetViews>
    <sheetView workbookViewId="0">
      <selection activeCell="A21" sqref="A21"/>
    </sheetView>
  </sheetViews>
  <sheetFormatPr defaultRowHeight="14.5"/>
  <cols>
    <col min="1" max="1" width="25.54296875" bestFit="1" customWidth="1"/>
    <col min="2" max="2" width="17.26953125" bestFit="1" customWidth="1"/>
    <col min="3" max="3" width="13.81640625" customWidth="1"/>
    <col min="4" max="4" width="16.26953125" customWidth="1"/>
    <col min="5" max="5" width="11.81640625" customWidth="1"/>
    <col min="6" max="6" width="17.1796875" bestFit="1" customWidth="1"/>
    <col min="7" max="7" width="15.1796875" bestFit="1" customWidth="1"/>
    <col min="8" max="8" width="12.453125" customWidth="1"/>
    <col min="9" max="9" width="15.54296875" bestFit="1" customWidth="1"/>
    <col min="11" max="11" width="11.453125" customWidth="1"/>
    <col min="13" max="13" width="10.54296875" customWidth="1"/>
    <col min="14" max="14" width="10.1796875" customWidth="1"/>
    <col min="15" max="15" width="10.81640625" customWidth="1"/>
  </cols>
  <sheetData>
    <row r="1" spans="1:17" ht="43.5">
      <c r="A1" s="48" t="s">
        <v>0</v>
      </c>
      <c r="B1" s="49" t="s">
        <v>49</v>
      </c>
      <c r="C1" s="49" t="s">
        <v>50</v>
      </c>
      <c r="D1" s="49" t="s">
        <v>51</v>
      </c>
      <c r="E1" s="49" t="s">
        <v>52</v>
      </c>
      <c r="F1" s="49" t="s">
        <v>192</v>
      </c>
      <c r="G1" s="49" t="s">
        <v>53</v>
      </c>
      <c r="H1" s="50" t="s">
        <v>54</v>
      </c>
      <c r="I1" s="50" t="s">
        <v>11</v>
      </c>
      <c r="J1" s="2"/>
      <c r="K1" s="51" t="s">
        <v>55</v>
      </c>
      <c r="L1" s="52" t="s">
        <v>56</v>
      </c>
      <c r="M1" s="5" t="s">
        <v>57</v>
      </c>
      <c r="N1" s="53" t="s">
        <v>58</v>
      </c>
      <c r="O1" s="114" t="s">
        <v>279</v>
      </c>
      <c r="P1" s="49" t="s">
        <v>280</v>
      </c>
      <c r="Q1" s="50" t="s">
        <v>59</v>
      </c>
    </row>
    <row r="2" spans="1:17" ht="15.5">
      <c r="A2" s="530" t="s">
        <v>306</v>
      </c>
      <c r="B2" s="181" t="s">
        <v>307</v>
      </c>
      <c r="C2" s="54" t="s">
        <v>308</v>
      </c>
      <c r="D2" s="9">
        <v>14.865790000000001</v>
      </c>
      <c r="E2" s="9">
        <v>38.424160000000001</v>
      </c>
      <c r="F2" s="55">
        <v>42859</v>
      </c>
      <c r="G2" s="9">
        <v>107</v>
      </c>
      <c r="H2" s="9">
        <v>412</v>
      </c>
      <c r="I2" s="476">
        <f>IF(H2&lt;371,H2,371)</f>
        <v>371</v>
      </c>
      <c r="J2" s="133"/>
      <c r="K2" s="233">
        <f>$E$19</f>
        <v>203.29999999999998</v>
      </c>
      <c r="L2" s="85">
        <f>K2*I2</f>
        <v>75424.299999999988</v>
      </c>
      <c r="M2" s="291">
        <f>$E$20</f>
        <v>346.75</v>
      </c>
      <c r="N2" s="116">
        <f>I2*M2</f>
        <v>128644.25</v>
      </c>
      <c r="O2">
        <f>$E$21</f>
        <v>16.149999999999999</v>
      </c>
      <c r="P2">
        <f>I2*O2</f>
        <v>5991.65</v>
      </c>
      <c r="Q2" s="117">
        <f>L2+N2+P2</f>
        <v>210060.19999999998</v>
      </c>
    </row>
    <row r="3" spans="1:17" ht="15.5">
      <c r="A3" s="531"/>
      <c r="B3" s="181" t="s">
        <v>309</v>
      </c>
      <c r="C3" s="54" t="s">
        <v>310</v>
      </c>
      <c r="D3" s="9">
        <v>15.02267</v>
      </c>
      <c r="E3" s="9">
        <v>38.571019999999997</v>
      </c>
      <c r="F3" s="55">
        <v>42866</v>
      </c>
      <c r="G3" s="9">
        <v>117</v>
      </c>
      <c r="H3" s="9">
        <v>451</v>
      </c>
      <c r="I3" s="476">
        <f>IF(H3&lt;371,H3,371)</f>
        <v>371</v>
      </c>
      <c r="J3" s="133"/>
      <c r="K3" s="233">
        <f t="shared" ref="K3:K7" si="0">$E$19</f>
        <v>203.29999999999998</v>
      </c>
      <c r="L3" s="85">
        <f t="shared" ref="L3:L7" si="1">K3*I3</f>
        <v>75424.299999999988</v>
      </c>
      <c r="M3" s="291">
        <f t="shared" ref="M3:M7" si="2">$E$20</f>
        <v>346.75</v>
      </c>
      <c r="N3" s="116">
        <f t="shared" ref="N3:N7" si="3">I3*M3</f>
        <v>128644.25</v>
      </c>
      <c r="O3">
        <f t="shared" ref="O3:O7" si="4">$E$21</f>
        <v>16.149999999999999</v>
      </c>
      <c r="P3">
        <f t="shared" ref="P3:P7" si="5">I3*O3</f>
        <v>5991.65</v>
      </c>
      <c r="Q3" s="117">
        <f t="shared" ref="Q3:Q8" si="6">L3+N3+P3</f>
        <v>210060.19999999998</v>
      </c>
    </row>
    <row r="4" spans="1:17" ht="15.5">
      <c r="A4" s="531"/>
      <c r="B4" s="181" t="s">
        <v>311</v>
      </c>
      <c r="C4" s="54" t="s">
        <v>312</v>
      </c>
      <c r="D4" s="9">
        <v>14.92754</v>
      </c>
      <c r="E4" s="9">
        <v>38.562739999999998</v>
      </c>
      <c r="F4" s="55">
        <v>42872</v>
      </c>
      <c r="G4" s="9">
        <v>120</v>
      </c>
      <c r="H4" s="9">
        <v>510</v>
      </c>
      <c r="I4" s="476">
        <f>IF(H4&lt;371,H4,371)</f>
        <v>371</v>
      </c>
      <c r="J4" s="133"/>
      <c r="K4" s="233">
        <f t="shared" si="0"/>
        <v>203.29999999999998</v>
      </c>
      <c r="L4" s="85">
        <f t="shared" si="1"/>
        <v>75424.299999999988</v>
      </c>
      <c r="M4" s="291">
        <f t="shared" si="2"/>
        <v>346.75</v>
      </c>
      <c r="N4" s="116">
        <f t="shared" si="3"/>
        <v>128644.25</v>
      </c>
      <c r="O4">
        <f t="shared" si="4"/>
        <v>16.149999999999999</v>
      </c>
      <c r="P4">
        <f t="shared" si="5"/>
        <v>5991.65</v>
      </c>
      <c r="Q4" s="117">
        <f t="shared" si="6"/>
        <v>210060.19999999998</v>
      </c>
    </row>
    <row r="5" spans="1:17" ht="15.5">
      <c r="A5" s="531"/>
      <c r="B5" s="181" t="s">
        <v>313</v>
      </c>
      <c r="C5" s="54" t="s">
        <v>314</v>
      </c>
      <c r="D5" s="9">
        <v>14.94946</v>
      </c>
      <c r="E5" s="9">
        <v>38.614620000000002</v>
      </c>
      <c r="F5" s="55">
        <v>43096</v>
      </c>
      <c r="G5" s="9">
        <v>82</v>
      </c>
      <c r="H5" s="9">
        <v>355</v>
      </c>
      <c r="I5" s="476">
        <f>IF(H5&lt;371,H5,371)</f>
        <v>355</v>
      </c>
      <c r="J5" s="133"/>
      <c r="K5" s="233">
        <f t="shared" si="0"/>
        <v>203.29999999999998</v>
      </c>
      <c r="L5" s="85">
        <f t="shared" si="1"/>
        <v>72171.5</v>
      </c>
      <c r="M5" s="291">
        <f t="shared" si="2"/>
        <v>346.75</v>
      </c>
      <c r="N5" s="116">
        <f t="shared" si="3"/>
        <v>123096.25</v>
      </c>
      <c r="O5">
        <f t="shared" si="4"/>
        <v>16.149999999999999</v>
      </c>
      <c r="P5">
        <f t="shared" si="5"/>
        <v>5733.2499999999991</v>
      </c>
      <c r="Q5" s="117">
        <f t="shared" si="6"/>
        <v>201001</v>
      </c>
    </row>
    <row r="6" spans="1:17" ht="15.5">
      <c r="A6" s="531"/>
      <c r="B6" s="181" t="s">
        <v>315</v>
      </c>
      <c r="C6" s="9" t="s">
        <v>316</v>
      </c>
      <c r="D6" s="9">
        <v>14.81237</v>
      </c>
      <c r="E6" s="9">
        <v>38.418190000000003</v>
      </c>
      <c r="F6" s="55">
        <v>43097</v>
      </c>
      <c r="G6" s="9">
        <v>96</v>
      </c>
      <c r="H6" s="9">
        <v>359</v>
      </c>
      <c r="I6" s="476">
        <f>IF(H6&lt;355,H6,355)</f>
        <v>355</v>
      </c>
      <c r="J6" s="133"/>
      <c r="K6" s="233">
        <f t="shared" si="0"/>
        <v>203.29999999999998</v>
      </c>
      <c r="L6" s="85">
        <f t="shared" si="1"/>
        <v>72171.5</v>
      </c>
      <c r="M6" s="291">
        <f t="shared" si="2"/>
        <v>346.75</v>
      </c>
      <c r="N6" s="116">
        <f t="shared" si="3"/>
        <v>123096.25</v>
      </c>
      <c r="O6">
        <f t="shared" si="4"/>
        <v>16.149999999999999</v>
      </c>
      <c r="P6">
        <f t="shared" si="5"/>
        <v>5733.2499999999991</v>
      </c>
      <c r="Q6" s="117">
        <f t="shared" si="6"/>
        <v>201001</v>
      </c>
    </row>
    <row r="7" spans="1:17" ht="15.5">
      <c r="A7" s="532"/>
      <c r="B7" s="181" t="s">
        <v>317</v>
      </c>
      <c r="C7" s="9" t="s">
        <v>318</v>
      </c>
      <c r="D7" s="9">
        <v>14.566839999999999</v>
      </c>
      <c r="E7" s="9">
        <v>39.479410000000001</v>
      </c>
      <c r="F7" s="55">
        <v>43142</v>
      </c>
      <c r="G7" s="9">
        <v>72</v>
      </c>
      <c r="H7" s="9">
        <v>315</v>
      </c>
      <c r="I7" s="476">
        <f>IF(H7&lt;371,H7,371)</f>
        <v>315</v>
      </c>
      <c r="J7" s="133"/>
      <c r="K7" s="233">
        <f t="shared" si="0"/>
        <v>203.29999999999998</v>
      </c>
      <c r="L7" s="85">
        <f t="shared" si="1"/>
        <v>64039.499999999993</v>
      </c>
      <c r="M7" s="291">
        <f t="shared" si="2"/>
        <v>346.75</v>
      </c>
      <c r="N7" s="116">
        <f t="shared" si="3"/>
        <v>109226.25</v>
      </c>
      <c r="O7">
        <f t="shared" si="4"/>
        <v>16.149999999999999</v>
      </c>
      <c r="P7">
        <f t="shared" si="5"/>
        <v>5087.25</v>
      </c>
      <c r="Q7" s="117">
        <f t="shared" si="6"/>
        <v>178353</v>
      </c>
    </row>
    <row r="8" spans="1:17" ht="15" thickBot="1">
      <c r="A8" s="118"/>
      <c r="B8" s="1"/>
      <c r="C8" s="2"/>
      <c r="D8" s="2"/>
      <c r="E8" s="2"/>
      <c r="F8" s="62"/>
      <c r="G8" s="174" t="s">
        <v>13</v>
      </c>
      <c r="H8" s="175">
        <f>SUM(H2:H7)</f>
        <v>2402</v>
      </c>
      <c r="I8" s="175">
        <f>SUM(I2:I7)</f>
        <v>2138</v>
      </c>
      <c r="J8" s="2"/>
      <c r="K8" s="2"/>
      <c r="L8" s="182">
        <f>SUM(L2:L7)</f>
        <v>434655.39999999997</v>
      </c>
      <c r="M8" s="183"/>
      <c r="N8" s="178">
        <f t="shared" ref="N8" si="7">SUM(N2:N7)</f>
        <v>741351.5</v>
      </c>
      <c r="P8">
        <f>SUM(P2:P7)</f>
        <v>34528.699999999997</v>
      </c>
      <c r="Q8" s="179">
        <f t="shared" si="6"/>
        <v>1210535.5999999999</v>
      </c>
    </row>
    <row r="9" spans="1:17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Q9" s="2"/>
    </row>
    <row r="10" spans="1:17" ht="15" thickBot="1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7" ht="45" thickBot="1">
      <c r="A11" s="2"/>
      <c r="B11" s="66" t="s">
        <v>76</v>
      </c>
      <c r="C11" s="2"/>
      <c r="D11" s="73"/>
      <c r="E11" s="2"/>
      <c r="F11" s="2"/>
      <c r="G11" s="2"/>
      <c r="H11" s="2"/>
      <c r="I11" s="2"/>
      <c r="J11" s="2"/>
      <c r="K11" s="51" t="s">
        <v>55</v>
      </c>
      <c r="L11" s="52" t="s">
        <v>56</v>
      </c>
      <c r="M11" s="5" t="s">
        <v>57</v>
      </c>
      <c r="N11" s="53" t="s">
        <v>58</v>
      </c>
      <c r="O11" s="114" t="s">
        <v>279</v>
      </c>
      <c r="P11" s="49" t="s">
        <v>280</v>
      </c>
      <c r="Q11" s="50" t="s">
        <v>59</v>
      </c>
    </row>
    <row r="12" spans="1:17">
      <c r="A12" s="68" t="s">
        <v>296</v>
      </c>
      <c r="B12" s="69">
        <v>44713</v>
      </c>
      <c r="C12" s="2"/>
      <c r="D12" s="67"/>
      <c r="E12" s="346"/>
      <c r="F12" s="330"/>
      <c r="G12" s="330"/>
      <c r="H12" s="24"/>
      <c r="I12" s="333"/>
      <c r="J12" s="24"/>
      <c r="K12" s="233">
        <f>$E$19</f>
        <v>203.29999999999998</v>
      </c>
      <c r="L12" s="291">
        <f>K12*H2</f>
        <v>83759.599999999991</v>
      </c>
      <c r="M12" s="291">
        <f>$E$20</f>
        <v>346.75</v>
      </c>
      <c r="N12" s="278">
        <f>H2*M12</f>
        <v>142861</v>
      </c>
      <c r="O12">
        <f t="shared" ref="O12:O17" si="8">$E$21</f>
        <v>16.149999999999999</v>
      </c>
      <c r="P12">
        <f>O12*H2</f>
        <v>6653.7999999999993</v>
      </c>
      <c r="Q12" s="279">
        <f t="shared" ref="Q12:Q17" si="9">L12+N12</f>
        <v>226620.59999999998</v>
      </c>
    </row>
    <row r="13" spans="1:17" ht="15" thickBot="1">
      <c r="A13" s="123" t="s">
        <v>297</v>
      </c>
      <c r="B13" s="310">
        <v>45308</v>
      </c>
      <c r="C13" s="2"/>
      <c r="D13" s="347"/>
      <c r="E13" s="67"/>
      <c r="F13" s="357"/>
      <c r="G13" s="331"/>
      <c r="H13" s="2"/>
      <c r="I13" s="282"/>
      <c r="J13" s="24"/>
      <c r="K13" s="233">
        <f t="shared" ref="K13:K17" si="10">$E$19</f>
        <v>203.29999999999998</v>
      </c>
      <c r="L13" s="291">
        <f t="shared" ref="L13:L17" si="11">K13*H3</f>
        <v>91688.299999999988</v>
      </c>
      <c r="M13" s="291">
        <f t="shared" ref="M13:M17" si="12">$E$20</f>
        <v>346.75</v>
      </c>
      <c r="N13" s="278">
        <f t="shared" ref="N13:N17" si="13">H3*M13</f>
        <v>156384.25</v>
      </c>
      <c r="O13">
        <f t="shared" si="8"/>
        <v>16.149999999999999</v>
      </c>
      <c r="P13">
        <f t="shared" ref="P13:P17" si="14">O13*H3</f>
        <v>7283.65</v>
      </c>
      <c r="Q13" s="279">
        <f t="shared" si="9"/>
        <v>248072.55</v>
      </c>
    </row>
    <row r="14" spans="1:17" ht="15" thickBot="1">
      <c r="A14" s="123" t="s">
        <v>79</v>
      </c>
      <c r="B14" s="310">
        <v>44926</v>
      </c>
      <c r="C14" s="2"/>
      <c r="D14" s="347"/>
      <c r="E14" s="67"/>
      <c r="F14" s="357"/>
      <c r="G14" s="331"/>
      <c r="H14" s="2"/>
      <c r="I14" s="282"/>
      <c r="J14" s="2"/>
      <c r="K14" s="233">
        <f t="shared" si="10"/>
        <v>203.29999999999998</v>
      </c>
      <c r="L14" s="291">
        <f t="shared" si="11"/>
        <v>103682.99999999999</v>
      </c>
      <c r="M14" s="291">
        <f t="shared" si="12"/>
        <v>346.75</v>
      </c>
      <c r="N14" s="278">
        <f t="shared" si="13"/>
        <v>176842.5</v>
      </c>
      <c r="O14">
        <f t="shared" si="8"/>
        <v>16.149999999999999</v>
      </c>
      <c r="P14">
        <f t="shared" si="14"/>
        <v>8236.5</v>
      </c>
      <c r="Q14" s="279">
        <f t="shared" si="9"/>
        <v>280525.5</v>
      </c>
    </row>
    <row r="15" spans="1:17" ht="15" thickBot="1">
      <c r="A15" s="123" t="s">
        <v>298</v>
      </c>
      <c r="B15" s="310">
        <v>45291</v>
      </c>
      <c r="C15" s="2"/>
      <c r="E15" s="349"/>
      <c r="F15" s="358"/>
      <c r="J15" s="2"/>
      <c r="K15" s="233">
        <f t="shared" si="10"/>
        <v>203.29999999999998</v>
      </c>
      <c r="L15" s="291">
        <f t="shared" si="11"/>
        <v>72171.5</v>
      </c>
      <c r="M15" s="291">
        <f t="shared" si="12"/>
        <v>346.75</v>
      </c>
      <c r="N15" s="278">
        <f t="shared" si="13"/>
        <v>123096.25</v>
      </c>
      <c r="O15">
        <f t="shared" si="8"/>
        <v>16.149999999999999</v>
      </c>
      <c r="P15">
        <f t="shared" si="14"/>
        <v>5733.2499999999991</v>
      </c>
      <c r="Q15" s="279">
        <f t="shared" si="9"/>
        <v>195267.75</v>
      </c>
    </row>
    <row r="16" spans="1:17">
      <c r="C16" s="2"/>
      <c r="D16" s="4"/>
      <c r="E16" s="2"/>
      <c r="F16" s="2"/>
      <c r="G16" s="2"/>
      <c r="H16" s="2"/>
      <c r="I16" s="2"/>
      <c r="J16" s="2"/>
      <c r="K16" s="233">
        <f t="shared" si="10"/>
        <v>203.29999999999998</v>
      </c>
      <c r="L16" s="291">
        <f t="shared" si="11"/>
        <v>72984.7</v>
      </c>
      <c r="M16" s="291">
        <f t="shared" si="12"/>
        <v>346.75</v>
      </c>
      <c r="N16" s="278">
        <f t="shared" si="13"/>
        <v>124483.25</v>
      </c>
      <c r="O16">
        <f t="shared" si="8"/>
        <v>16.149999999999999</v>
      </c>
      <c r="P16">
        <f t="shared" si="14"/>
        <v>5797.8499999999995</v>
      </c>
      <c r="Q16" s="279">
        <f t="shared" si="9"/>
        <v>197467.95</v>
      </c>
    </row>
    <row r="17" spans="1:17">
      <c r="A17" s="197"/>
      <c r="B17" s="194" t="s">
        <v>301</v>
      </c>
      <c r="C17" s="57"/>
      <c r="D17" s="188"/>
      <c r="E17" s="188"/>
      <c r="F17" s="188"/>
      <c r="G17" s="2"/>
      <c r="H17" s="2"/>
      <c r="I17" s="2"/>
      <c r="J17" s="2"/>
      <c r="K17" s="233">
        <f t="shared" si="10"/>
        <v>203.29999999999998</v>
      </c>
      <c r="L17" s="291">
        <f t="shared" si="11"/>
        <v>64039.499999999993</v>
      </c>
      <c r="M17" s="291">
        <f t="shared" si="12"/>
        <v>346.75</v>
      </c>
      <c r="N17" s="278">
        <f t="shared" si="13"/>
        <v>109226.25</v>
      </c>
      <c r="O17">
        <f t="shared" si="8"/>
        <v>16.149999999999999</v>
      </c>
      <c r="P17">
        <f t="shared" si="14"/>
        <v>5087.25</v>
      </c>
      <c r="Q17" s="279">
        <f t="shared" si="9"/>
        <v>173265.75</v>
      </c>
    </row>
    <row r="18" spans="1:17" ht="15" thickBot="1">
      <c r="A18" s="195" t="s">
        <v>82</v>
      </c>
      <c r="B18" s="77">
        <v>27.4</v>
      </c>
      <c r="C18" s="57" t="s">
        <v>8</v>
      </c>
      <c r="D18" s="57" t="s">
        <v>83</v>
      </c>
      <c r="E18" s="57" t="s">
        <v>84</v>
      </c>
      <c r="F18" s="57" t="s">
        <v>226</v>
      </c>
      <c r="G18" s="2"/>
      <c r="H18" s="2"/>
      <c r="I18" s="2"/>
      <c r="J18" s="2"/>
      <c r="K18" s="282"/>
      <c r="L18" s="289">
        <f>SUM(L12:L17)</f>
        <v>488326.6</v>
      </c>
      <c r="M18" s="290"/>
      <c r="N18" s="285">
        <f t="shared" ref="N18" si="15">SUM(N12:N17)</f>
        <v>832893.5</v>
      </c>
      <c r="P18" s="286">
        <f t="shared" ref="P18:Q18" si="16">SUM(P12:P17)</f>
        <v>38792.299999999996</v>
      </c>
      <c r="Q18" s="286">
        <f t="shared" si="16"/>
        <v>1321220.0999999999</v>
      </c>
    </row>
    <row r="19" spans="1:17">
      <c r="A19" s="195" t="s">
        <v>86</v>
      </c>
      <c r="B19" s="77">
        <f>B14-B12+1</f>
        <v>214</v>
      </c>
      <c r="C19" s="57">
        <f>'Maintenance '!BI54/($B19*COUNTA($B$2:$B$7))</f>
        <v>0</v>
      </c>
      <c r="D19" s="57">
        <v>0.95</v>
      </c>
      <c r="E19" s="57">
        <f>F19*D19</f>
        <v>203.29999999999998</v>
      </c>
      <c r="F19" s="57">
        <f>B19</f>
        <v>214</v>
      </c>
      <c r="G19" s="2"/>
      <c r="H19" s="2"/>
      <c r="I19" s="2"/>
      <c r="J19" s="2"/>
      <c r="K19" s="2"/>
      <c r="L19" s="2"/>
      <c r="M19" s="2"/>
      <c r="N19" s="2"/>
      <c r="O19" s="2"/>
    </row>
    <row r="20" spans="1:17">
      <c r="A20" s="195" t="s">
        <v>87</v>
      </c>
      <c r="B20" s="77">
        <f>B15-B14</f>
        <v>365</v>
      </c>
      <c r="C20" s="57">
        <f>'Maintenance '!V47/($B20*COUNTA($B$2:$B$8))</f>
        <v>0</v>
      </c>
      <c r="D20" s="57">
        <v>0.95</v>
      </c>
      <c r="E20" s="57">
        <f>F20*D20</f>
        <v>346.75</v>
      </c>
      <c r="F20" s="57">
        <f>B20</f>
        <v>365</v>
      </c>
      <c r="G20" s="2"/>
      <c r="H20" s="2"/>
      <c r="I20" s="2"/>
      <c r="J20" s="2"/>
      <c r="K20" s="2"/>
      <c r="L20" s="2"/>
      <c r="M20" s="2"/>
      <c r="N20" s="2"/>
      <c r="O20" s="2"/>
    </row>
    <row r="21" spans="1:17">
      <c r="A21" s="195" t="s">
        <v>302</v>
      </c>
      <c r="B21" s="144">
        <f>B13-B15</f>
        <v>17</v>
      </c>
      <c r="C21" s="57">
        <f>'Maintenance '!BK54/($B21*COUNTA($B$2:$B$8))</f>
        <v>0</v>
      </c>
      <c r="D21" s="188">
        <v>0.95</v>
      </c>
      <c r="E21" s="188">
        <f>F21*D21</f>
        <v>16.149999999999999</v>
      </c>
      <c r="F21" s="188">
        <f>B21</f>
        <v>17</v>
      </c>
    </row>
    <row r="22" spans="1:17">
      <c r="A22" s="197" t="s">
        <v>88</v>
      </c>
    </row>
    <row r="23" spans="1:17">
      <c r="A23" s="125" t="s">
        <v>89</v>
      </c>
      <c r="B23" s="82">
        <v>2190</v>
      </c>
      <c r="C23" s="203">
        <f>'Maintenance '!BL54/B23</f>
        <v>0</v>
      </c>
    </row>
  </sheetData>
  <mergeCells count="1">
    <mergeCell ref="A2:A7"/>
  </mergeCells>
  <phoneticPr fontId="15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C863B-A6CB-40DE-A8EF-0A254D602118}">
  <dimension ref="A1:T40"/>
  <sheetViews>
    <sheetView workbookViewId="0">
      <selection activeCell="D35" sqref="D35"/>
    </sheetView>
  </sheetViews>
  <sheetFormatPr defaultRowHeight="14.5"/>
  <cols>
    <col min="1" max="1" width="73.26953125" customWidth="1"/>
    <col min="2" max="2" width="15.7265625" bestFit="1" customWidth="1"/>
    <col min="3" max="3" width="10" bestFit="1" customWidth="1"/>
    <col min="4" max="4" width="11.81640625" bestFit="1" customWidth="1"/>
    <col min="5" max="5" width="39.54296875" bestFit="1" customWidth="1"/>
    <col min="7" max="7" width="77.1796875" bestFit="1" customWidth="1"/>
    <col min="8" max="8" width="15.7265625" bestFit="1" customWidth="1"/>
    <col min="12" max="12" width="77.1796875" bestFit="1" customWidth="1"/>
    <col min="13" max="13" width="15.7265625" bestFit="1" customWidth="1"/>
    <col min="17" max="17" width="67.453125" customWidth="1"/>
  </cols>
  <sheetData>
    <row r="1" spans="1:20" ht="14.5" customHeight="1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  <c r="Q1" s="535" t="s">
        <v>276</v>
      </c>
      <c r="R1" s="535"/>
      <c r="S1" s="535"/>
      <c r="T1" s="535"/>
    </row>
    <row r="2" spans="1:2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2"/>
      <c r="R2" s="2"/>
      <c r="S2" s="2"/>
      <c r="T2" s="2"/>
    </row>
    <row r="3" spans="1:20" ht="16.5" customHeight="1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  <c r="Q3" s="533" t="s">
        <v>91</v>
      </c>
      <c r="R3" s="519"/>
      <c r="S3" s="519"/>
      <c r="T3" s="519"/>
    </row>
    <row r="4" spans="1:20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  <c r="Q4" s="9" t="s">
        <v>93</v>
      </c>
      <c r="R4" s="9" t="s">
        <v>94</v>
      </c>
      <c r="S4" s="9" t="s">
        <v>35</v>
      </c>
      <c r="T4" s="86">
        <v>0</v>
      </c>
    </row>
    <row r="5" spans="1:20" ht="23.15" customHeight="1">
      <c r="A5" s="9" t="s">
        <v>96</v>
      </c>
      <c r="B5" s="9" t="s">
        <v>97</v>
      </c>
      <c r="C5" s="9"/>
      <c r="D5" s="87">
        <f>'GS5826 PTDs'!Q8</f>
        <v>1210535.5999999999</v>
      </c>
      <c r="E5" s="85" t="s">
        <v>98</v>
      </c>
      <c r="F5" s="2"/>
      <c r="G5" s="9" t="s">
        <v>96</v>
      </c>
      <c r="H5" s="9" t="s">
        <v>97</v>
      </c>
      <c r="I5" s="9"/>
      <c r="J5" s="87">
        <f>'GS5826 PTDs'!L8</f>
        <v>434655.39999999997</v>
      </c>
      <c r="K5" s="2"/>
      <c r="L5" s="9" t="s">
        <v>96</v>
      </c>
      <c r="M5" s="9" t="s">
        <v>97</v>
      </c>
      <c r="N5" s="9"/>
      <c r="O5" s="87">
        <f>'GS5826 PTDs'!N8</f>
        <v>741351.5</v>
      </c>
      <c r="Q5" s="9" t="s">
        <v>96</v>
      </c>
      <c r="R5" s="9" t="s">
        <v>97</v>
      </c>
      <c r="S5" s="9"/>
      <c r="T5" s="87">
        <f>'GS5826 PTDs'!P8</f>
        <v>34528.699999999997</v>
      </c>
    </row>
    <row r="6" spans="1:20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  <c r="Q6" s="9" t="s">
        <v>99</v>
      </c>
      <c r="R6" s="9" t="s">
        <v>100</v>
      </c>
      <c r="S6" s="9" t="s">
        <v>101</v>
      </c>
      <c r="T6" s="86">
        <v>4.0000000000000002E-4</v>
      </c>
    </row>
    <row r="7" spans="1:20" ht="34.5" customHeight="1">
      <c r="A7" s="88" t="s">
        <v>103</v>
      </c>
      <c r="B7" s="9" t="s">
        <v>104</v>
      </c>
      <c r="C7" s="9" t="s">
        <v>105</v>
      </c>
      <c r="D7" s="86">
        <v>7.5</v>
      </c>
      <c r="E7" s="85" t="s">
        <v>162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  <c r="Q7" s="88" t="s">
        <v>103</v>
      </c>
      <c r="R7" s="9" t="s">
        <v>104</v>
      </c>
      <c r="S7" s="9" t="s">
        <v>105</v>
      </c>
      <c r="T7" s="86">
        <v>7.5</v>
      </c>
    </row>
    <row r="8" spans="1:20" ht="32.5" customHeight="1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  <c r="Q8" s="88" t="s">
        <v>107</v>
      </c>
      <c r="R8" s="9" t="s">
        <v>108</v>
      </c>
      <c r="S8" s="9" t="s">
        <v>105</v>
      </c>
      <c r="T8" s="86">
        <v>0</v>
      </c>
    </row>
    <row r="9" spans="1:20">
      <c r="A9" s="9" t="s">
        <v>110</v>
      </c>
      <c r="B9" s="9" t="s">
        <v>111</v>
      </c>
      <c r="C9" s="9" t="s">
        <v>112</v>
      </c>
      <c r="D9" s="86">
        <f>ROUNDDOWN((1-D4)*D5*D6*(D7+D8),0)</f>
        <v>3631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1303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2224</v>
      </c>
      <c r="Q9" s="9" t="s">
        <v>110</v>
      </c>
      <c r="R9" s="9" t="s">
        <v>111</v>
      </c>
      <c r="S9" s="9" t="s">
        <v>112</v>
      </c>
      <c r="T9" s="86">
        <f>ROUNDDOWN((1-T4)*T5*T6*(T7+T8),0)</f>
        <v>103</v>
      </c>
    </row>
    <row r="10" spans="1:20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Q10" s="2"/>
      <c r="R10" s="2"/>
      <c r="S10" s="2"/>
      <c r="T10" s="2"/>
    </row>
    <row r="11" spans="1:20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  <c r="Q11" s="533" t="s">
        <v>113</v>
      </c>
      <c r="R11" s="519"/>
      <c r="S11" s="519"/>
      <c r="T11" s="519"/>
    </row>
    <row r="12" spans="1:20" ht="17.5" customHeight="1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  <c r="Q12" s="9" t="s">
        <v>114</v>
      </c>
      <c r="R12" s="9" t="s">
        <v>94</v>
      </c>
      <c r="S12" s="9" t="s">
        <v>35</v>
      </c>
      <c r="T12" s="86">
        <v>0</v>
      </c>
    </row>
    <row r="13" spans="1:20" ht="19" customHeight="1">
      <c r="A13" s="9" t="s">
        <v>96</v>
      </c>
      <c r="B13" s="9" t="s">
        <v>97</v>
      </c>
      <c r="C13" s="9"/>
      <c r="D13" s="87">
        <f>D5</f>
        <v>1210535.5999999999</v>
      </c>
      <c r="E13" s="85" t="s">
        <v>115</v>
      </c>
      <c r="F13" s="2"/>
      <c r="G13" s="9" t="s">
        <v>96</v>
      </c>
      <c r="H13" s="9" t="s">
        <v>97</v>
      </c>
      <c r="I13" s="9"/>
      <c r="J13" s="87">
        <f>J5</f>
        <v>434655.39999999997</v>
      </c>
      <c r="K13" s="2"/>
      <c r="L13" s="9" t="s">
        <v>96</v>
      </c>
      <c r="M13" s="9" t="s">
        <v>97</v>
      </c>
      <c r="N13" s="9"/>
      <c r="O13" s="87">
        <f>O5</f>
        <v>741351.5</v>
      </c>
      <c r="Q13" s="9" t="s">
        <v>96</v>
      </c>
      <c r="R13" s="9" t="s">
        <v>97</v>
      </c>
      <c r="S13" s="9"/>
      <c r="T13" s="87">
        <f>T5</f>
        <v>34528.699999999997</v>
      </c>
    </row>
    <row r="14" spans="1:20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  <c r="Q14" s="9" t="s">
        <v>116</v>
      </c>
      <c r="R14" s="9" t="s">
        <v>117</v>
      </c>
      <c r="S14" s="9" t="s">
        <v>101</v>
      </c>
      <c r="T14" s="86">
        <v>4.0000000000000002E-4</v>
      </c>
    </row>
    <row r="15" spans="1:20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  <c r="Q15" s="9" t="s">
        <v>118</v>
      </c>
      <c r="R15" s="9" t="s">
        <v>108</v>
      </c>
      <c r="S15" s="9" t="s">
        <v>105</v>
      </c>
      <c r="T15" s="86">
        <v>0</v>
      </c>
    </row>
    <row r="16" spans="1:20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  <c r="Q16" s="9" t="s">
        <v>119</v>
      </c>
      <c r="R16" s="9" t="s">
        <v>120</v>
      </c>
      <c r="S16" s="9" t="s">
        <v>105</v>
      </c>
      <c r="T16" s="86">
        <v>0</v>
      </c>
    </row>
    <row r="17" spans="1:20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121</v>
      </c>
      <c r="M17" s="9" t="s">
        <v>122</v>
      </c>
      <c r="N17" s="9" t="s">
        <v>112</v>
      </c>
      <c r="O17" s="86">
        <f>ROUNDDOWN((1+O12)*O13*O14*(O16+O16),0)</f>
        <v>0</v>
      </c>
      <c r="Q17" s="9" t="s">
        <v>121</v>
      </c>
      <c r="R17" s="9" t="s">
        <v>122</v>
      </c>
      <c r="S17" s="9" t="s">
        <v>112</v>
      </c>
      <c r="T17" s="86">
        <v>0</v>
      </c>
    </row>
    <row r="18" spans="1:20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  <c r="Q18" s="2"/>
      <c r="R18" s="2"/>
      <c r="S18" s="2"/>
      <c r="T18" s="2"/>
    </row>
    <row r="19" spans="1:20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  <c r="Q19" s="533" t="s">
        <v>123</v>
      </c>
      <c r="R19" s="519"/>
      <c r="S19" s="519"/>
      <c r="T19" s="519"/>
    </row>
    <row r="20" spans="1:20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  <c r="Q20" s="88" t="s">
        <v>124</v>
      </c>
      <c r="R20" s="9" t="s">
        <v>124</v>
      </c>
      <c r="S20" s="9" t="s">
        <v>125</v>
      </c>
      <c r="T20" s="86">
        <v>0.97</v>
      </c>
    </row>
    <row r="21" spans="1:20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  <c r="Q21" s="9" t="s">
        <v>127</v>
      </c>
      <c r="R21" s="9" t="s">
        <v>130</v>
      </c>
      <c r="S21" s="9" t="s">
        <v>129</v>
      </c>
      <c r="T21" s="86">
        <v>112</v>
      </c>
    </row>
    <row r="22" spans="1:20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D22</f>
        <v>9.4600000000000009</v>
      </c>
      <c r="Q22" s="9" t="s">
        <v>131</v>
      </c>
      <c r="R22" s="9" t="s">
        <v>134</v>
      </c>
      <c r="S22" s="9" t="s">
        <v>133</v>
      </c>
      <c r="T22" s="86">
        <v>9.4600000000000009</v>
      </c>
    </row>
    <row r="23" spans="1:20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  <c r="Q23" s="9" t="s">
        <v>135</v>
      </c>
      <c r="R23" s="9" t="s">
        <v>136</v>
      </c>
      <c r="S23" s="9" t="s">
        <v>137</v>
      </c>
      <c r="T23" s="86">
        <v>1.5599999999999999E-2</v>
      </c>
    </row>
    <row r="24" spans="1:20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  <c r="Q24" s="2"/>
      <c r="R24" s="2"/>
      <c r="S24" s="2"/>
      <c r="T24" s="2"/>
    </row>
    <row r="25" spans="1:20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  <c r="Q25" s="533" t="s">
        <v>19</v>
      </c>
      <c r="R25" s="519"/>
      <c r="S25" s="519"/>
      <c r="T25" s="519"/>
    </row>
    <row r="26" spans="1:20">
      <c r="A26" s="9" t="s">
        <v>28</v>
      </c>
      <c r="B26" s="9" t="s">
        <v>29</v>
      </c>
      <c r="C26" s="9" t="s">
        <v>30</v>
      </c>
      <c r="D26" s="87">
        <f>ROUNDDOWN(D9*((D20*D21)+D22)*D23,0)</f>
        <v>6689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2400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4097</v>
      </c>
      <c r="Q26" s="9" t="s">
        <v>28</v>
      </c>
      <c r="R26" s="9" t="s">
        <v>29</v>
      </c>
      <c r="S26" s="9" t="s">
        <v>30</v>
      </c>
      <c r="T26" s="87">
        <f>ROUNDDOWN(T9*((T20*T21)+T22)*T23,0)</f>
        <v>189</v>
      </c>
    </row>
    <row r="27" spans="1:20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O17*((O20*O21)+O22)*O230</f>
        <v>0</v>
      </c>
      <c r="Q27" s="9" t="s">
        <v>31</v>
      </c>
      <c r="R27" s="9" t="s">
        <v>32</v>
      </c>
      <c r="S27" s="9" t="s">
        <v>30</v>
      </c>
      <c r="T27" s="86">
        <v>0</v>
      </c>
    </row>
    <row r="28" spans="1:20" ht="19" customHeight="1">
      <c r="A28" s="9" t="s">
        <v>33</v>
      </c>
      <c r="B28" s="9" t="s">
        <v>34</v>
      </c>
      <c r="C28" s="9" t="s">
        <v>35</v>
      </c>
      <c r="D28" s="314">
        <v>0.95</v>
      </c>
      <c r="E28" s="88" t="s">
        <v>138</v>
      </c>
      <c r="F28" s="2"/>
      <c r="G28" s="9" t="s">
        <v>33</v>
      </c>
      <c r="H28" s="9" t="s">
        <v>34</v>
      </c>
      <c r="I28" s="9" t="s">
        <v>35</v>
      </c>
      <c r="J28" s="86">
        <f>D28</f>
        <v>0.95</v>
      </c>
      <c r="K28" s="2"/>
      <c r="L28" s="9" t="s">
        <v>33</v>
      </c>
      <c r="M28" s="9" t="s">
        <v>34</v>
      </c>
      <c r="N28" s="9" t="s">
        <v>35</v>
      </c>
      <c r="O28" s="86">
        <f>D28</f>
        <v>0.95</v>
      </c>
      <c r="Q28" s="9" t="s">
        <v>33</v>
      </c>
      <c r="R28" s="9" t="s">
        <v>34</v>
      </c>
      <c r="S28" s="9" t="s">
        <v>35</v>
      </c>
      <c r="T28" s="86">
        <v>0.95</v>
      </c>
    </row>
    <row r="29" spans="1:20" ht="18" customHeight="1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  <c r="Q29" s="9" t="s">
        <v>36</v>
      </c>
      <c r="R29" s="9" t="s">
        <v>37</v>
      </c>
      <c r="S29" s="9" t="s">
        <v>30</v>
      </c>
      <c r="T29" s="86">
        <v>0</v>
      </c>
    </row>
    <row r="30" spans="1:20">
      <c r="A30" s="9" t="s">
        <v>90</v>
      </c>
      <c r="B30" s="9" t="s">
        <v>39</v>
      </c>
      <c r="C30" s="9" t="s">
        <v>30</v>
      </c>
      <c r="D30" s="86">
        <f>ROUNDDOWN(((D26-D27)*D28)-D29,0)</f>
        <v>6354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2280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3892</v>
      </c>
      <c r="Q30" s="9" t="s">
        <v>90</v>
      </c>
      <c r="R30" s="9" t="s">
        <v>39</v>
      </c>
      <c r="S30" s="9" t="s">
        <v>30</v>
      </c>
      <c r="T30" s="86">
        <f>ROUNDDOWN(((T26-T27)*T28)-T29,0)</f>
        <v>179</v>
      </c>
    </row>
    <row r="31" spans="1:20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  <c r="Q31" s="2"/>
      <c r="R31" s="2"/>
      <c r="S31" s="2"/>
      <c r="T31" s="2"/>
    </row>
    <row r="32" spans="1:20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  <c r="Q32" s="533" t="s">
        <v>40</v>
      </c>
      <c r="R32" s="519"/>
      <c r="S32" s="519"/>
      <c r="T32" s="519"/>
    </row>
    <row r="33" spans="1:20" ht="19.5" customHeight="1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M33" s="9"/>
      <c r="N33" s="16"/>
      <c r="O33" s="91">
        <v>1</v>
      </c>
      <c r="Q33" s="90" t="s">
        <v>41</v>
      </c>
      <c r="R33" s="9"/>
      <c r="S33" s="16"/>
      <c r="T33" s="91">
        <v>1</v>
      </c>
    </row>
    <row r="34" spans="1:20" ht="20.149999999999999" customHeight="1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  <c r="Q34" s="90" t="s">
        <v>277</v>
      </c>
      <c r="R34" s="9" t="s">
        <v>42</v>
      </c>
      <c r="S34" s="16" t="s">
        <v>44</v>
      </c>
      <c r="T34" s="91">
        <v>0</v>
      </c>
    </row>
    <row r="35" spans="1:20">
      <c r="A35" s="93" t="s">
        <v>140</v>
      </c>
      <c r="B35" s="94" t="s">
        <v>39</v>
      </c>
      <c r="C35" s="95" t="s">
        <v>30</v>
      </c>
      <c r="D35" s="246">
        <f>ROUNDDOWN(D30*(1-D34),0)</f>
        <v>6354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2280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3892</v>
      </c>
      <c r="Q35" s="93" t="s">
        <v>140</v>
      </c>
      <c r="R35" s="94" t="s">
        <v>39</v>
      </c>
      <c r="S35" s="95" t="s">
        <v>30</v>
      </c>
      <c r="T35" s="96">
        <f>ROUNDDOWN(T30*(1-T34),0)</f>
        <v>179</v>
      </c>
    </row>
    <row r="36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</row>
    <row r="37" spans="1:20">
      <c r="A37" s="93" t="s">
        <v>141</v>
      </c>
      <c r="B37" s="94"/>
      <c r="C37" s="95" t="s">
        <v>30</v>
      </c>
      <c r="D37" s="96">
        <f>J37+O37+T37</f>
        <v>6351</v>
      </c>
      <c r="E37" s="2"/>
      <c r="F37" s="2"/>
      <c r="G37" s="93" t="s">
        <v>141</v>
      </c>
      <c r="H37" s="94"/>
      <c r="I37" s="95" t="s">
        <v>30</v>
      </c>
      <c r="J37" s="96">
        <f>IF(J35&gt;'GS5826 PTDs'!B18*'GS5826 PTDs'!B19,'GS5826 PTDs'!B18*'GS5826 PTDs'!B19,'GS5826 ER Calcs'!J35)</f>
        <v>2280</v>
      </c>
      <c r="K37" s="2"/>
      <c r="L37" s="93" t="s">
        <v>141</v>
      </c>
      <c r="M37" s="94"/>
      <c r="N37" s="95" t="s">
        <v>30</v>
      </c>
      <c r="O37" s="96">
        <f>IF(O35&gt;'GS5826 PTDs'!B18*'GS5826 PTDs'!B20,'GS5826 PTDs'!B18*'GS5826 PTDs'!B20,'GS5826 ER Calcs'!O35)</f>
        <v>3892</v>
      </c>
      <c r="Q37" s="93" t="s">
        <v>141</v>
      </c>
      <c r="R37" s="94"/>
      <c r="S37" s="95" t="s">
        <v>30</v>
      </c>
      <c r="T37" s="96">
        <f>IF(T35&gt;'GS5826 PTDs'!B18*'GS5826 PTDs'!B21,'GS5826 PTDs'!B18*'GS5826 PTDs'!B21,'GS5826 ER Calcs'!T35)</f>
        <v>179</v>
      </c>
    </row>
    <row r="38" spans="1:2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</row>
    <row r="39" spans="1:20">
      <c r="A39" s="1" t="s">
        <v>142</v>
      </c>
      <c r="B39" s="2"/>
      <c r="C39" s="2"/>
      <c r="D39" s="2"/>
      <c r="E39" s="2"/>
      <c r="F39" s="2"/>
      <c r="G39" s="1" t="s">
        <v>142</v>
      </c>
      <c r="H39" s="2"/>
      <c r="I39" s="2"/>
      <c r="J39" s="2"/>
      <c r="K39" s="2"/>
      <c r="L39" s="1" t="s">
        <v>142</v>
      </c>
      <c r="M39" s="2"/>
      <c r="N39" s="2"/>
      <c r="O39" s="2"/>
      <c r="Q39" s="1" t="s">
        <v>142</v>
      </c>
      <c r="R39" s="2"/>
      <c r="S39" s="2"/>
      <c r="T39" s="2"/>
    </row>
    <row r="40" spans="1:2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2"/>
      <c r="R40" s="2"/>
      <c r="S40" s="2"/>
      <c r="T40" s="2"/>
    </row>
  </sheetData>
  <mergeCells count="24">
    <mergeCell ref="A1:D1"/>
    <mergeCell ref="G1:J1"/>
    <mergeCell ref="L1:O1"/>
    <mergeCell ref="A3:D3"/>
    <mergeCell ref="G3:J3"/>
    <mergeCell ref="L3:O3"/>
    <mergeCell ref="A11:D11"/>
    <mergeCell ref="G11:J11"/>
    <mergeCell ref="L11:O11"/>
    <mergeCell ref="A19:D19"/>
    <mergeCell ref="G19:J19"/>
    <mergeCell ref="L19:O19"/>
    <mergeCell ref="A25:D25"/>
    <mergeCell ref="G25:J25"/>
    <mergeCell ref="L25:O25"/>
    <mergeCell ref="A32:D32"/>
    <mergeCell ref="G32:J32"/>
    <mergeCell ref="L32:O32"/>
    <mergeCell ref="Q32:T32"/>
    <mergeCell ref="Q1:T1"/>
    <mergeCell ref="Q3:T3"/>
    <mergeCell ref="Q11:T11"/>
    <mergeCell ref="Q19:T19"/>
    <mergeCell ref="Q25:T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392D8-7560-4018-86DC-4BDF90DDAEC5}">
  <dimension ref="A1:Q41"/>
  <sheetViews>
    <sheetView zoomScale="80" zoomScaleNormal="80" workbookViewId="0">
      <selection activeCell="H2" sqref="H2:P2"/>
    </sheetView>
  </sheetViews>
  <sheetFormatPr defaultRowHeight="14.5"/>
  <cols>
    <col min="2" max="2" width="50.453125" customWidth="1"/>
    <col min="3" max="3" width="9.54296875" customWidth="1"/>
    <col min="4" max="4" width="10" bestFit="1" customWidth="1"/>
    <col min="5" max="5" width="8.1796875" customWidth="1"/>
    <col min="6" max="6" width="46.81640625" bestFit="1" customWidth="1"/>
    <col min="8" max="8" width="77.1796875" bestFit="1" customWidth="1"/>
    <col min="9" max="9" width="15.7265625" bestFit="1" customWidth="1"/>
    <col min="10" max="10" width="10" bestFit="1" customWidth="1"/>
    <col min="11" max="11" width="8.54296875" bestFit="1" customWidth="1"/>
    <col min="13" max="13" width="77.1796875" bestFit="1" customWidth="1"/>
    <col min="14" max="14" width="15.7265625" bestFit="1" customWidth="1"/>
    <col min="15" max="15" width="10" bestFit="1" customWidth="1"/>
    <col min="16" max="16" width="12.453125" customWidth="1"/>
  </cols>
  <sheetData>
    <row r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4.5" customHeight="1">
      <c r="A2" s="2"/>
      <c r="B2" s="535" t="s">
        <v>90</v>
      </c>
      <c r="C2" s="535"/>
      <c r="D2" s="535"/>
      <c r="E2" s="535"/>
      <c r="F2" s="2"/>
      <c r="G2" s="2"/>
      <c r="H2" s="535" t="s">
        <v>17</v>
      </c>
      <c r="I2" s="535"/>
      <c r="J2" s="535"/>
      <c r="K2" s="535"/>
      <c r="L2" s="2"/>
      <c r="M2" s="535" t="s">
        <v>46</v>
      </c>
      <c r="N2" s="535"/>
      <c r="O2" s="535"/>
      <c r="P2" s="535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2"/>
      <c r="B4" s="533" t="s">
        <v>91</v>
      </c>
      <c r="C4" s="519"/>
      <c r="D4" s="519"/>
      <c r="E4" s="534"/>
      <c r="F4" s="83" t="s">
        <v>92</v>
      </c>
      <c r="G4" s="2"/>
      <c r="H4" s="533" t="s">
        <v>91</v>
      </c>
      <c r="I4" s="519"/>
      <c r="J4" s="519"/>
      <c r="K4" s="519"/>
      <c r="L4" s="2"/>
      <c r="M4" s="533" t="s">
        <v>91</v>
      </c>
      <c r="N4" s="519"/>
      <c r="O4" s="519"/>
      <c r="P4" s="519"/>
      <c r="Q4" s="2"/>
    </row>
    <row r="5" spans="1:17" ht="23.15" customHeight="1">
      <c r="A5" s="2"/>
      <c r="B5" s="9" t="s">
        <v>93</v>
      </c>
      <c r="C5" s="9" t="s">
        <v>94</v>
      </c>
      <c r="D5" s="9" t="s">
        <v>35</v>
      </c>
      <c r="E5" s="84">
        <v>0</v>
      </c>
      <c r="F5" s="85" t="s">
        <v>95</v>
      </c>
      <c r="G5" s="2"/>
      <c r="H5" s="9" t="s">
        <v>93</v>
      </c>
      <c r="I5" s="9" t="s">
        <v>94</v>
      </c>
      <c r="J5" s="9" t="s">
        <v>35</v>
      </c>
      <c r="K5" s="86">
        <f>E5</f>
        <v>0</v>
      </c>
      <c r="L5" s="2"/>
      <c r="M5" s="9" t="s">
        <v>93</v>
      </c>
      <c r="N5" s="9" t="s">
        <v>94</v>
      </c>
      <c r="O5" s="9" t="s">
        <v>35</v>
      </c>
      <c r="P5" s="86">
        <f>E5</f>
        <v>0</v>
      </c>
      <c r="Q5" s="2"/>
    </row>
    <row r="6" spans="1:17" ht="19.5" customHeight="1">
      <c r="A6" s="2"/>
      <c r="B6" s="9" t="s">
        <v>96</v>
      </c>
      <c r="C6" s="9" t="s">
        <v>97</v>
      </c>
      <c r="D6" s="9"/>
      <c r="E6" s="87">
        <f>'GS5038 PTDS'!O7</f>
        <v>783162.89999999991</v>
      </c>
      <c r="F6" s="85" t="s">
        <v>98</v>
      </c>
      <c r="G6" s="2"/>
      <c r="H6" s="9" t="s">
        <v>96</v>
      </c>
      <c r="I6" s="9" t="s">
        <v>97</v>
      </c>
      <c r="J6" s="9"/>
      <c r="K6" s="87">
        <f>'GS5038 PTDS'!L7</f>
        <v>330565.79999999993</v>
      </c>
      <c r="L6" s="2"/>
      <c r="M6" s="9" t="s">
        <v>96</v>
      </c>
      <c r="N6" s="9" t="s">
        <v>97</v>
      </c>
      <c r="O6" s="9"/>
      <c r="P6" s="87">
        <f>'GS5038 PTDS'!N7</f>
        <v>452597.09999999992</v>
      </c>
      <c r="Q6" s="2"/>
    </row>
    <row r="7" spans="1:17">
      <c r="A7" s="2"/>
      <c r="B7" s="9" t="s">
        <v>99</v>
      </c>
      <c r="C7" s="9" t="s">
        <v>100</v>
      </c>
      <c r="D7" s="9" t="s">
        <v>101</v>
      </c>
      <c r="E7" s="86">
        <v>4.0000000000000002E-4</v>
      </c>
      <c r="F7" s="85" t="s">
        <v>102</v>
      </c>
      <c r="G7" s="2"/>
      <c r="H7" s="9" t="s">
        <v>99</v>
      </c>
      <c r="I7" s="9" t="s">
        <v>100</v>
      </c>
      <c r="J7" s="9" t="s">
        <v>101</v>
      </c>
      <c r="K7" s="86">
        <f>E7</f>
        <v>4.0000000000000002E-4</v>
      </c>
      <c r="L7" s="2"/>
      <c r="M7" s="9" t="s">
        <v>99</v>
      </c>
      <c r="N7" s="9" t="s">
        <v>100</v>
      </c>
      <c r="O7" s="9" t="s">
        <v>101</v>
      </c>
      <c r="P7" s="86">
        <v>4.0000000000000002E-4</v>
      </c>
      <c r="Q7" s="2"/>
    </row>
    <row r="8" spans="1:17" ht="27.65" customHeight="1">
      <c r="A8" s="2"/>
      <c r="B8" s="88" t="s">
        <v>103</v>
      </c>
      <c r="C8" s="9" t="s">
        <v>104</v>
      </c>
      <c r="D8" s="9" t="s">
        <v>105</v>
      </c>
      <c r="E8" s="84">
        <v>7.5</v>
      </c>
      <c r="F8" s="85" t="s">
        <v>106</v>
      </c>
      <c r="G8" s="2"/>
      <c r="H8" s="88" t="s">
        <v>103</v>
      </c>
      <c r="I8" s="9" t="s">
        <v>104</v>
      </c>
      <c r="J8" s="9" t="s">
        <v>105</v>
      </c>
      <c r="K8" s="84">
        <f>E8</f>
        <v>7.5</v>
      </c>
      <c r="L8" s="2"/>
      <c r="M8" s="88" t="s">
        <v>103</v>
      </c>
      <c r="N8" s="9" t="s">
        <v>104</v>
      </c>
      <c r="O8" s="9" t="s">
        <v>105</v>
      </c>
      <c r="P8" s="86">
        <f>E8</f>
        <v>7.5</v>
      </c>
      <c r="Q8" s="2"/>
    </row>
    <row r="9" spans="1:17" ht="34.5" customHeight="1">
      <c r="A9" s="2"/>
      <c r="B9" s="88" t="s">
        <v>107</v>
      </c>
      <c r="C9" s="9" t="s">
        <v>108</v>
      </c>
      <c r="D9" s="9" t="s">
        <v>105</v>
      </c>
      <c r="E9" s="86">
        <v>0</v>
      </c>
      <c r="F9" s="85" t="s">
        <v>109</v>
      </c>
      <c r="G9" s="2"/>
      <c r="H9" s="88" t="s">
        <v>107</v>
      </c>
      <c r="I9" s="9" t="s">
        <v>108</v>
      </c>
      <c r="J9" s="9" t="s">
        <v>105</v>
      </c>
      <c r="K9" s="86">
        <v>0</v>
      </c>
      <c r="L9" s="2"/>
      <c r="M9" s="88" t="s">
        <v>107</v>
      </c>
      <c r="N9" s="9" t="s">
        <v>108</v>
      </c>
      <c r="O9" s="9" t="s">
        <v>105</v>
      </c>
      <c r="P9" s="86">
        <f>E9</f>
        <v>0</v>
      </c>
      <c r="Q9" s="2"/>
    </row>
    <row r="10" spans="1:17">
      <c r="A10" s="2"/>
      <c r="B10" s="9" t="s">
        <v>110</v>
      </c>
      <c r="C10" s="9" t="s">
        <v>111</v>
      </c>
      <c r="D10" s="9" t="s">
        <v>112</v>
      </c>
      <c r="E10" s="86">
        <f>ROUNDDOWN((1-E5)*E6*E7*(E8+E9),0)</f>
        <v>2349</v>
      </c>
      <c r="F10" s="85"/>
      <c r="G10" s="2"/>
      <c r="H10" s="9" t="s">
        <v>110</v>
      </c>
      <c r="I10" s="9" t="s">
        <v>111</v>
      </c>
      <c r="J10" s="9" t="s">
        <v>112</v>
      </c>
      <c r="K10" s="86">
        <f>ROUNDDOWN((1-K5)*K6*K7*(K8+K9),0)</f>
        <v>991</v>
      </c>
      <c r="L10" s="2"/>
      <c r="M10" s="9" t="s">
        <v>110</v>
      </c>
      <c r="N10" s="9" t="s">
        <v>111</v>
      </c>
      <c r="O10" s="9" t="s">
        <v>112</v>
      </c>
      <c r="P10" s="86">
        <f>ROUNDDOWN((1-P5)*P6*P7*(P8+P9),0)</f>
        <v>1357</v>
      </c>
      <c r="Q10" s="2"/>
    </row>
    <row r="11" spans="1:17">
      <c r="A11" s="2"/>
      <c r="B11" s="2"/>
      <c r="C11" s="2"/>
      <c r="D11" s="2"/>
      <c r="E11" s="2"/>
      <c r="F11" s="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2"/>
      <c r="B12" s="533" t="s">
        <v>113</v>
      </c>
      <c r="C12" s="519"/>
      <c r="D12" s="519"/>
      <c r="E12" s="534"/>
      <c r="F12" s="4"/>
      <c r="G12" s="2"/>
      <c r="H12" s="533" t="s">
        <v>113</v>
      </c>
      <c r="I12" s="519"/>
      <c r="J12" s="519"/>
      <c r="K12" s="519"/>
      <c r="L12" s="2"/>
      <c r="M12" s="533" t="s">
        <v>113</v>
      </c>
      <c r="N12" s="519"/>
      <c r="O12" s="519"/>
      <c r="P12" s="519"/>
      <c r="Q12" s="2"/>
    </row>
    <row r="13" spans="1:17">
      <c r="A13" s="2"/>
      <c r="B13" s="9" t="s">
        <v>114</v>
      </c>
      <c r="C13" s="9" t="s">
        <v>94</v>
      </c>
      <c r="D13" s="9" t="s">
        <v>35</v>
      </c>
      <c r="E13" s="86">
        <f>E5</f>
        <v>0</v>
      </c>
      <c r="F13" s="85" t="s">
        <v>95</v>
      </c>
      <c r="G13" s="2"/>
      <c r="H13" s="9" t="s">
        <v>114</v>
      </c>
      <c r="I13" s="9" t="s">
        <v>94</v>
      </c>
      <c r="J13" s="9" t="s">
        <v>35</v>
      </c>
      <c r="K13" s="86">
        <f>K5</f>
        <v>0</v>
      </c>
      <c r="L13" s="2"/>
      <c r="M13" s="9" t="s">
        <v>114</v>
      </c>
      <c r="N13" s="9" t="s">
        <v>94</v>
      </c>
      <c r="O13" s="9" t="s">
        <v>35</v>
      </c>
      <c r="P13" s="86">
        <f>P5</f>
        <v>0</v>
      </c>
      <c r="Q13" s="2"/>
    </row>
    <row r="14" spans="1:17" ht="18" customHeight="1">
      <c r="A14" s="2"/>
      <c r="B14" s="9" t="s">
        <v>96</v>
      </c>
      <c r="C14" s="9" t="s">
        <v>97</v>
      </c>
      <c r="D14" s="9"/>
      <c r="E14" s="87">
        <f>E6</f>
        <v>783162.89999999991</v>
      </c>
      <c r="F14" s="85" t="s">
        <v>115</v>
      </c>
      <c r="G14" s="2"/>
      <c r="H14" s="9" t="s">
        <v>96</v>
      </c>
      <c r="I14" s="9" t="s">
        <v>97</v>
      </c>
      <c r="J14" s="9"/>
      <c r="K14" s="87">
        <f>K6</f>
        <v>330565.79999999993</v>
      </c>
      <c r="L14" s="2"/>
      <c r="M14" s="9" t="s">
        <v>96</v>
      </c>
      <c r="N14" s="9" t="s">
        <v>97</v>
      </c>
      <c r="O14" s="9"/>
      <c r="P14" s="87">
        <f>P6</f>
        <v>452597.09999999992</v>
      </c>
      <c r="Q14" s="2"/>
    </row>
    <row r="15" spans="1:17">
      <c r="A15" s="2"/>
      <c r="B15" s="9" t="s">
        <v>116</v>
      </c>
      <c r="C15" s="9" t="s">
        <v>117</v>
      </c>
      <c r="D15" s="9" t="s">
        <v>101</v>
      </c>
      <c r="E15" s="86">
        <f>E7</f>
        <v>4.0000000000000002E-4</v>
      </c>
      <c r="F15" s="85"/>
      <c r="G15" s="2"/>
      <c r="H15" s="9" t="s">
        <v>116</v>
      </c>
      <c r="I15" s="9" t="s">
        <v>117</v>
      </c>
      <c r="J15" s="9" t="s">
        <v>101</v>
      </c>
      <c r="K15" s="86">
        <f>K7</f>
        <v>4.0000000000000002E-4</v>
      </c>
      <c r="L15" s="2"/>
      <c r="M15" s="9" t="s">
        <v>116</v>
      </c>
      <c r="N15" s="9" t="s">
        <v>117</v>
      </c>
      <c r="O15" s="9" t="s">
        <v>101</v>
      </c>
      <c r="P15" s="86">
        <f>E15</f>
        <v>4.0000000000000002E-4</v>
      </c>
      <c r="Q15" s="2"/>
    </row>
    <row r="16" spans="1:17">
      <c r="A16" s="2"/>
      <c r="B16" s="9" t="s">
        <v>118</v>
      </c>
      <c r="C16" s="9" t="s">
        <v>108</v>
      </c>
      <c r="D16" s="9" t="s">
        <v>105</v>
      </c>
      <c r="E16" s="86">
        <v>0</v>
      </c>
      <c r="F16" s="85" t="s">
        <v>109</v>
      </c>
      <c r="G16" s="2"/>
      <c r="H16" s="9" t="s">
        <v>118</v>
      </c>
      <c r="I16" s="9" t="s">
        <v>108</v>
      </c>
      <c r="J16" s="9" t="s">
        <v>105</v>
      </c>
      <c r="K16" s="86">
        <f>E16</f>
        <v>0</v>
      </c>
      <c r="L16" s="2"/>
      <c r="M16" s="9" t="s">
        <v>118</v>
      </c>
      <c r="N16" s="9" t="s">
        <v>108</v>
      </c>
      <c r="O16" s="9" t="s">
        <v>105</v>
      </c>
      <c r="P16" s="86">
        <f>E16</f>
        <v>0</v>
      </c>
      <c r="Q16" s="2"/>
    </row>
    <row r="17" spans="1:17">
      <c r="A17" s="2"/>
      <c r="B17" s="9" t="s">
        <v>119</v>
      </c>
      <c r="C17" s="9" t="s">
        <v>120</v>
      </c>
      <c r="D17" s="9" t="s">
        <v>105</v>
      </c>
      <c r="E17" s="86">
        <v>0</v>
      </c>
      <c r="F17" s="85" t="s">
        <v>109</v>
      </c>
      <c r="G17" s="2"/>
      <c r="H17" s="9" t="s">
        <v>119</v>
      </c>
      <c r="I17" s="9" t="s">
        <v>120</v>
      </c>
      <c r="J17" s="9" t="s">
        <v>105</v>
      </c>
      <c r="K17" s="86">
        <f>E17</f>
        <v>0</v>
      </c>
      <c r="L17" s="2"/>
      <c r="M17" s="9" t="s">
        <v>119</v>
      </c>
      <c r="N17" s="9" t="s">
        <v>120</v>
      </c>
      <c r="O17" s="9" t="s">
        <v>105</v>
      </c>
      <c r="P17" s="86">
        <f>E17</f>
        <v>0</v>
      </c>
      <c r="Q17" s="2"/>
    </row>
    <row r="18" spans="1:17">
      <c r="A18" s="2"/>
      <c r="B18" s="9" t="s">
        <v>121</v>
      </c>
      <c r="C18" s="9" t="s">
        <v>122</v>
      </c>
      <c r="D18" s="9" t="s">
        <v>112</v>
      </c>
      <c r="E18" s="242">
        <f>ROUNDDOWN((1-E13)*E14*E15*(E16+E17),0)</f>
        <v>0</v>
      </c>
      <c r="F18" s="85"/>
      <c r="G18" s="2"/>
      <c r="H18" s="9" t="s">
        <v>121</v>
      </c>
      <c r="I18" s="9" t="s">
        <v>122</v>
      </c>
      <c r="J18" s="9" t="s">
        <v>112</v>
      </c>
      <c r="K18" s="86">
        <f>ROUNDDOWN((1-K13)*K14*K15*(K16+K17),0)</f>
        <v>0</v>
      </c>
      <c r="L18" s="2"/>
      <c r="M18" s="9" t="s">
        <v>121</v>
      </c>
      <c r="N18" s="9" t="s">
        <v>122</v>
      </c>
      <c r="O18" s="9" t="s">
        <v>112</v>
      </c>
      <c r="P18" s="86">
        <f>ROUNDDOWN((1-P13)*P14*P15*(P16+P17),0)</f>
        <v>0</v>
      </c>
      <c r="Q18" s="2"/>
    </row>
    <row r="19" spans="1:17">
      <c r="A19" s="2"/>
      <c r="B19" s="2"/>
      <c r="C19" s="2"/>
      <c r="D19" s="2"/>
      <c r="E19" s="2"/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>
      <c r="A20" s="2"/>
      <c r="B20" s="533" t="s">
        <v>123</v>
      </c>
      <c r="C20" s="519"/>
      <c r="D20" s="519"/>
      <c r="E20" s="519"/>
      <c r="F20" s="4"/>
      <c r="G20" s="2"/>
      <c r="H20" s="533" t="s">
        <v>123</v>
      </c>
      <c r="I20" s="519"/>
      <c r="J20" s="519"/>
      <c r="K20" s="519"/>
      <c r="L20" s="2"/>
      <c r="M20" s="533" t="s">
        <v>123</v>
      </c>
      <c r="N20" s="519"/>
      <c r="O20" s="519"/>
      <c r="P20" s="519"/>
      <c r="Q20" s="2"/>
    </row>
    <row r="21" spans="1:17">
      <c r="A21" s="2"/>
      <c r="B21" s="88" t="s">
        <v>124</v>
      </c>
      <c r="C21" s="9" t="s">
        <v>124</v>
      </c>
      <c r="D21" s="9" t="s">
        <v>125</v>
      </c>
      <c r="E21" s="86">
        <v>0.97</v>
      </c>
      <c r="F21" s="85" t="s">
        <v>126</v>
      </c>
      <c r="G21" s="2"/>
      <c r="H21" s="88" t="s">
        <v>124</v>
      </c>
      <c r="I21" s="9" t="s">
        <v>124</v>
      </c>
      <c r="J21" s="9" t="s">
        <v>125</v>
      </c>
      <c r="K21" s="86">
        <f>E21</f>
        <v>0.97</v>
      </c>
      <c r="L21" s="2"/>
      <c r="M21" s="88" t="s">
        <v>124</v>
      </c>
      <c r="N21" s="9" t="s">
        <v>124</v>
      </c>
      <c r="O21" s="9" t="s">
        <v>125</v>
      </c>
      <c r="P21" s="86">
        <f>E21</f>
        <v>0.97</v>
      </c>
      <c r="Q21" s="2"/>
    </row>
    <row r="22" spans="1:17">
      <c r="A22" s="2"/>
      <c r="B22" s="9" t="s">
        <v>127</v>
      </c>
      <c r="C22" s="9" t="s">
        <v>128</v>
      </c>
      <c r="D22" s="9" t="s">
        <v>129</v>
      </c>
      <c r="E22" s="86">
        <v>112</v>
      </c>
      <c r="F22" s="85" t="s">
        <v>126</v>
      </c>
      <c r="G22" s="2"/>
      <c r="H22" s="9" t="s">
        <v>127</v>
      </c>
      <c r="I22" s="9" t="s">
        <v>128</v>
      </c>
      <c r="J22" s="9" t="s">
        <v>129</v>
      </c>
      <c r="K22" s="86">
        <f>E22</f>
        <v>112</v>
      </c>
      <c r="L22" s="2"/>
      <c r="M22" s="9" t="s">
        <v>127</v>
      </c>
      <c r="N22" s="9" t="s">
        <v>130</v>
      </c>
      <c r="O22" s="9" t="s">
        <v>129</v>
      </c>
      <c r="P22" s="86">
        <f>E22</f>
        <v>112</v>
      </c>
      <c r="Q22" s="2"/>
    </row>
    <row r="23" spans="1:17">
      <c r="A23" s="2"/>
      <c r="B23" s="9" t="s">
        <v>131</v>
      </c>
      <c r="C23" s="9" t="s">
        <v>132</v>
      </c>
      <c r="D23" s="9" t="s">
        <v>133</v>
      </c>
      <c r="E23" s="86">
        <v>9.4600000000000009</v>
      </c>
      <c r="F23" s="85" t="s">
        <v>126</v>
      </c>
      <c r="G23" s="2"/>
      <c r="H23" s="9" t="s">
        <v>131</v>
      </c>
      <c r="I23" s="9" t="s">
        <v>132</v>
      </c>
      <c r="J23" s="9" t="s">
        <v>133</v>
      </c>
      <c r="K23" s="241">
        <f>E23</f>
        <v>9.4600000000000009</v>
      </c>
      <c r="L23" s="2"/>
      <c r="M23" s="9" t="s">
        <v>131</v>
      </c>
      <c r="N23" s="9" t="s">
        <v>134</v>
      </c>
      <c r="O23" s="9" t="s">
        <v>133</v>
      </c>
      <c r="P23" s="86">
        <f>E23</f>
        <v>9.4600000000000009</v>
      </c>
      <c r="Q23" s="2"/>
    </row>
    <row r="24" spans="1:17">
      <c r="A24" s="2"/>
      <c r="B24" s="9" t="s">
        <v>135</v>
      </c>
      <c r="C24" s="9" t="s">
        <v>136</v>
      </c>
      <c r="D24" s="9" t="s">
        <v>137</v>
      </c>
      <c r="E24" s="86">
        <v>1.5599999999999999E-2</v>
      </c>
      <c r="F24" s="85" t="s">
        <v>126</v>
      </c>
      <c r="G24" s="2"/>
      <c r="H24" s="9" t="s">
        <v>135</v>
      </c>
      <c r="I24" s="9" t="s">
        <v>136</v>
      </c>
      <c r="J24" s="9" t="s">
        <v>137</v>
      </c>
      <c r="K24" s="86">
        <f>E24</f>
        <v>1.5599999999999999E-2</v>
      </c>
      <c r="L24" s="2"/>
      <c r="M24" s="9" t="s">
        <v>135</v>
      </c>
      <c r="N24" s="9" t="s">
        <v>136</v>
      </c>
      <c r="O24" s="9" t="s">
        <v>137</v>
      </c>
      <c r="P24" s="86">
        <f>E24</f>
        <v>1.5599999999999999E-2</v>
      </c>
      <c r="Q24" s="2"/>
    </row>
    <row r="25" spans="1:17">
      <c r="A25" s="2"/>
      <c r="B25" s="2"/>
      <c r="C25" s="2"/>
      <c r="D25" s="2"/>
      <c r="E25" s="2"/>
      <c r="F25" s="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>
      <c r="A26" s="2"/>
      <c r="B26" s="533" t="s">
        <v>19</v>
      </c>
      <c r="C26" s="519"/>
      <c r="D26" s="519"/>
      <c r="E26" s="519"/>
      <c r="F26" s="4"/>
      <c r="G26" s="2"/>
      <c r="H26" s="533" t="s">
        <v>19</v>
      </c>
      <c r="I26" s="519"/>
      <c r="J26" s="519"/>
      <c r="K26" s="519"/>
      <c r="L26" s="2"/>
      <c r="M26" s="533" t="s">
        <v>19</v>
      </c>
      <c r="N26" s="519"/>
      <c r="O26" s="519"/>
      <c r="P26" s="519"/>
      <c r="Q26" s="2"/>
    </row>
    <row r="27" spans="1:17">
      <c r="A27" s="2"/>
      <c r="B27" s="9" t="s">
        <v>28</v>
      </c>
      <c r="C27" s="9" t="s">
        <v>29</v>
      </c>
      <c r="D27" s="9" t="s">
        <v>30</v>
      </c>
      <c r="E27" s="87">
        <f>ROUNDDOWN(E10*((E22*E21)+E23)*E24,0)</f>
        <v>4327</v>
      </c>
      <c r="F27" s="85"/>
      <c r="G27" s="2"/>
      <c r="H27" s="9" t="s">
        <v>28</v>
      </c>
      <c r="I27" s="9" t="s">
        <v>29</v>
      </c>
      <c r="J27" s="9" t="s">
        <v>30</v>
      </c>
      <c r="K27" s="87">
        <f>ROUNDDOWN(K10*((K22*K21)+K23)*K24,0)</f>
        <v>1825</v>
      </c>
      <c r="L27" s="2"/>
      <c r="M27" s="9" t="s">
        <v>28</v>
      </c>
      <c r="N27" s="9" t="s">
        <v>29</v>
      </c>
      <c r="O27" s="9" t="s">
        <v>30</v>
      </c>
      <c r="P27" s="87">
        <f>ROUNDDOWN(P10*((P22*P21)+P23)*P24,0)</f>
        <v>2500</v>
      </c>
      <c r="Q27" s="2"/>
    </row>
    <row r="28" spans="1:17">
      <c r="A28" s="2"/>
      <c r="B28" s="9" t="s">
        <v>31</v>
      </c>
      <c r="C28" s="9" t="s">
        <v>32</v>
      </c>
      <c r="D28" s="9" t="s">
        <v>30</v>
      </c>
      <c r="E28" s="86">
        <f>E18*((E21*E22)+E23)*E231</f>
        <v>0</v>
      </c>
      <c r="F28" s="85"/>
      <c r="G28" s="2"/>
      <c r="H28" s="9" t="s">
        <v>31</v>
      </c>
      <c r="I28" s="9" t="s">
        <v>32</v>
      </c>
      <c r="J28" s="9" t="str">
        <f>D28</f>
        <v>tCO2/y</v>
      </c>
      <c r="K28" s="86">
        <f>K18*((K22*K21)+K23)*K24</f>
        <v>0</v>
      </c>
      <c r="L28" s="2"/>
      <c r="M28" s="9" t="s">
        <v>31</v>
      </c>
      <c r="N28" s="9" t="s">
        <v>32</v>
      </c>
      <c r="O28" s="9" t="str">
        <f>D28</f>
        <v>tCO2/y</v>
      </c>
      <c r="P28" s="86">
        <f>P18*((P22*P21)+P23)*P24</f>
        <v>0</v>
      </c>
      <c r="Q28" s="2"/>
    </row>
    <row r="29" spans="1:17" ht="22" customHeight="1">
      <c r="A29" s="2"/>
      <c r="B29" s="9" t="s">
        <v>33</v>
      </c>
      <c r="C29" s="9" t="s">
        <v>34</v>
      </c>
      <c r="D29" s="9" t="s">
        <v>35</v>
      </c>
      <c r="E29" s="309">
        <v>0.95</v>
      </c>
      <c r="F29" s="85" t="s">
        <v>138</v>
      </c>
      <c r="G29" s="2"/>
      <c r="H29" s="9" t="s">
        <v>33</v>
      </c>
      <c r="I29" s="9" t="s">
        <v>34</v>
      </c>
      <c r="J29" s="9" t="s">
        <v>35</v>
      </c>
      <c r="K29" s="89">
        <f>E29</f>
        <v>0.95</v>
      </c>
      <c r="L29" s="2"/>
      <c r="M29" s="9" t="s">
        <v>33</v>
      </c>
      <c r="N29" s="9" t="s">
        <v>34</v>
      </c>
      <c r="O29" s="9" t="s">
        <v>35</v>
      </c>
      <c r="P29" s="89">
        <f>E29</f>
        <v>0.95</v>
      </c>
      <c r="Q29" s="2"/>
    </row>
    <row r="30" spans="1:17" ht="22" customHeight="1">
      <c r="A30" s="2"/>
      <c r="B30" s="9" t="s">
        <v>36</v>
      </c>
      <c r="C30" s="9" t="s">
        <v>37</v>
      </c>
      <c r="D30" s="9" t="s">
        <v>30</v>
      </c>
      <c r="E30" s="86">
        <v>0</v>
      </c>
      <c r="F30" s="85" t="s">
        <v>139</v>
      </c>
      <c r="G30" s="2"/>
      <c r="H30" s="9" t="s">
        <v>36</v>
      </c>
      <c r="I30" s="9" t="s">
        <v>37</v>
      </c>
      <c r="J30" s="9" t="s">
        <v>30</v>
      </c>
      <c r="K30" s="86">
        <f>E30</f>
        <v>0</v>
      </c>
      <c r="L30" s="2"/>
      <c r="M30" s="9" t="s">
        <v>36</v>
      </c>
      <c r="N30" s="9" t="s">
        <v>37</v>
      </c>
      <c r="O30" s="9" t="s">
        <v>30</v>
      </c>
      <c r="P30" s="86">
        <v>0</v>
      </c>
      <c r="Q30" s="2"/>
    </row>
    <row r="31" spans="1:17">
      <c r="A31" s="2"/>
      <c r="B31" s="9" t="s">
        <v>90</v>
      </c>
      <c r="C31" s="9" t="s">
        <v>39</v>
      </c>
      <c r="D31" s="9" t="s">
        <v>30</v>
      </c>
      <c r="E31" s="86">
        <f>ROUNDDOWN(((E27-E28)*E29)-E30,0)</f>
        <v>4110</v>
      </c>
      <c r="F31" s="85"/>
      <c r="G31" s="2"/>
      <c r="H31" s="9" t="s">
        <v>90</v>
      </c>
      <c r="I31" s="9" t="s">
        <v>39</v>
      </c>
      <c r="J31" s="9" t="s">
        <v>30</v>
      </c>
      <c r="K31" s="244">
        <f>((K27-K28)*K29)-K30</f>
        <v>1733.75</v>
      </c>
      <c r="L31" s="2"/>
      <c r="M31" s="9" t="s">
        <v>90</v>
      </c>
      <c r="N31" s="9" t="s">
        <v>39</v>
      </c>
      <c r="O31" s="9" t="s">
        <v>30</v>
      </c>
      <c r="P31" s="244">
        <f>ROUNDDOWN(((P27-P28)*P29)-P30,0)</f>
        <v>2375</v>
      </c>
      <c r="Q31" s="2"/>
    </row>
    <row r="32" spans="1:17">
      <c r="A32" s="2"/>
      <c r="B32" s="2"/>
      <c r="C32" s="2"/>
      <c r="D32" s="2"/>
      <c r="E32" s="2"/>
      <c r="F32" s="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>
      <c r="A33" s="2"/>
      <c r="B33" s="533" t="s">
        <v>40</v>
      </c>
      <c r="C33" s="519"/>
      <c r="D33" s="519"/>
      <c r="E33" s="519"/>
      <c r="F33" s="4"/>
      <c r="G33" s="2"/>
      <c r="H33" s="533" t="s">
        <v>40</v>
      </c>
      <c r="I33" s="519"/>
      <c r="J33" s="519"/>
      <c r="K33" s="519"/>
      <c r="L33" s="2"/>
      <c r="M33" s="533" t="s">
        <v>40</v>
      </c>
      <c r="N33" s="519"/>
      <c r="O33" s="519"/>
      <c r="P33" s="519"/>
      <c r="Q33" s="2"/>
    </row>
    <row r="34" spans="1:17">
      <c r="A34" s="2"/>
      <c r="B34" s="90" t="s">
        <v>41</v>
      </c>
      <c r="C34" s="2"/>
      <c r="D34" s="16"/>
      <c r="E34" s="91">
        <v>1</v>
      </c>
      <c r="F34" s="85" t="s">
        <v>95</v>
      </c>
      <c r="G34" s="2"/>
      <c r="H34" s="90" t="s">
        <v>41</v>
      </c>
      <c r="I34" s="9"/>
      <c r="J34" s="16"/>
      <c r="K34" s="91">
        <f>E34</f>
        <v>1</v>
      </c>
      <c r="L34" s="2"/>
      <c r="M34" s="90" t="s">
        <v>41</v>
      </c>
      <c r="N34" s="9"/>
      <c r="O34" s="16"/>
      <c r="P34" s="91">
        <f>E34</f>
        <v>1</v>
      </c>
      <c r="Q34" s="2"/>
    </row>
    <row r="35" spans="1:17">
      <c r="A35" s="2"/>
      <c r="B35" s="90" t="s">
        <v>43</v>
      </c>
      <c r="C35" s="9" t="s">
        <v>42</v>
      </c>
      <c r="D35" s="16" t="s">
        <v>44</v>
      </c>
      <c r="E35" s="92">
        <v>0</v>
      </c>
      <c r="F35" s="85" t="s">
        <v>95</v>
      </c>
      <c r="G35" s="2"/>
      <c r="H35" s="90" t="s">
        <v>43</v>
      </c>
      <c r="I35" s="9" t="s">
        <v>42</v>
      </c>
      <c r="J35" s="16" t="s">
        <v>44</v>
      </c>
      <c r="K35" s="91">
        <f>E35</f>
        <v>0</v>
      </c>
      <c r="L35" s="2"/>
      <c r="M35" s="90" t="s">
        <v>43</v>
      </c>
      <c r="N35" s="9" t="s">
        <v>42</v>
      </c>
      <c r="O35" s="16" t="s">
        <v>44</v>
      </c>
      <c r="P35" s="91">
        <f>E35</f>
        <v>0</v>
      </c>
      <c r="Q35" s="2"/>
    </row>
    <row r="36" spans="1:17">
      <c r="A36" s="2"/>
      <c r="B36" s="93" t="s">
        <v>140</v>
      </c>
      <c r="C36" s="94" t="s">
        <v>39</v>
      </c>
      <c r="D36" s="95" t="s">
        <v>30</v>
      </c>
      <c r="E36" s="96">
        <f>ROUNDDOWN(E31*(1-E35),0)</f>
        <v>4110</v>
      </c>
      <c r="F36" s="2"/>
      <c r="G36" s="2"/>
      <c r="H36" s="93" t="s">
        <v>140</v>
      </c>
      <c r="I36" s="94" t="s">
        <v>39</v>
      </c>
      <c r="J36" s="95" t="s">
        <v>30</v>
      </c>
      <c r="K36" s="96">
        <f>ROUNDDOWN(K31*(1-K35),0)</f>
        <v>1733</v>
      </c>
      <c r="L36" s="2"/>
      <c r="M36" s="93" t="s">
        <v>140</v>
      </c>
      <c r="N36" s="94" t="s">
        <v>39</v>
      </c>
      <c r="O36" s="95" t="s">
        <v>30</v>
      </c>
      <c r="P36" s="96">
        <f>ROUNDDOWN(P31*(1-P35),0)</f>
        <v>2375</v>
      </c>
      <c r="Q36" s="2"/>
    </row>
    <row r="37" spans="1:1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>
      <c r="A38" s="2"/>
      <c r="B38" s="93" t="s">
        <v>141</v>
      </c>
      <c r="C38" s="94"/>
      <c r="D38" s="95" t="s">
        <v>30</v>
      </c>
      <c r="E38" s="96">
        <f>K38+P38</f>
        <v>4108</v>
      </c>
      <c r="F38" s="2"/>
      <c r="G38" s="2"/>
      <c r="H38" s="93" t="s">
        <v>141</v>
      </c>
      <c r="I38" s="94"/>
      <c r="J38" s="95" t="s">
        <v>30</v>
      </c>
      <c r="K38" s="243">
        <f>IF(K36&gt;'GS5038 PTDS'!B18*'GS5038 PTDS'!B19,'GS5038 PTDS'!B18*'GS5038 PTDS'!B19,'GS5038 ER Calcs'!K36)</f>
        <v>1733</v>
      </c>
      <c r="L38" s="2"/>
      <c r="M38" s="93" t="s">
        <v>141</v>
      </c>
      <c r="N38" s="94"/>
      <c r="O38" s="95" t="s">
        <v>30</v>
      </c>
      <c r="P38" s="96">
        <f>IF(P36&gt;'GS5038 PTDS'!B18*'GS5038 PTDS'!B20,'GS5038 PTDS'!B18*'GS5038 PTDS'!B20,'GS5038 ER Calcs'!P36)</f>
        <v>2375</v>
      </c>
      <c r="Q38" s="2"/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>
      <c r="A40" s="2"/>
      <c r="B40" s="1" t="s">
        <v>142</v>
      </c>
      <c r="C40" s="2"/>
      <c r="D40" s="2"/>
      <c r="E40" s="2"/>
      <c r="F40" s="2"/>
      <c r="G40" s="2"/>
      <c r="H40" s="1" t="s">
        <v>142</v>
      </c>
      <c r="I40" s="2"/>
      <c r="J40" s="2"/>
      <c r="K40" s="2"/>
      <c r="L40" s="2"/>
      <c r="M40" s="1" t="s">
        <v>142</v>
      </c>
      <c r="N40" s="2"/>
      <c r="O40" s="2"/>
      <c r="P40" s="2"/>
      <c r="Q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</sheetData>
  <mergeCells count="18">
    <mergeCell ref="B2:E2"/>
    <mergeCell ref="H2:K2"/>
    <mergeCell ref="M2:P2"/>
    <mergeCell ref="B4:E4"/>
    <mergeCell ref="H4:K4"/>
    <mergeCell ref="M4:P4"/>
    <mergeCell ref="B12:E12"/>
    <mergeCell ref="H12:K12"/>
    <mergeCell ref="M12:P12"/>
    <mergeCell ref="B20:E20"/>
    <mergeCell ref="H20:K20"/>
    <mergeCell ref="M20:P20"/>
    <mergeCell ref="B26:E26"/>
    <mergeCell ref="H26:K26"/>
    <mergeCell ref="M26:P26"/>
    <mergeCell ref="B33:E33"/>
    <mergeCell ref="H33:K33"/>
    <mergeCell ref="M33:P3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C17C6-AFC9-4CA1-96AF-92428156C0F7}">
  <dimension ref="A1:Y40"/>
  <sheetViews>
    <sheetView workbookViewId="0">
      <selection activeCell="E42" sqref="E42"/>
    </sheetView>
  </sheetViews>
  <sheetFormatPr defaultRowHeight="14.5"/>
  <cols>
    <col min="1" max="1" width="73.26953125" customWidth="1"/>
    <col min="2" max="2" width="15.7265625" bestFit="1" customWidth="1"/>
    <col min="3" max="3" width="10" bestFit="1" customWidth="1"/>
    <col min="4" max="4" width="11.81640625" bestFit="1" customWidth="1"/>
    <col min="5" max="5" width="39.54296875" bestFit="1" customWidth="1"/>
    <col min="7" max="7" width="77.1796875" bestFit="1" customWidth="1"/>
    <col min="8" max="8" width="15.7265625" bestFit="1" customWidth="1"/>
    <col min="12" max="12" width="77.1796875" bestFit="1" customWidth="1"/>
    <col min="13" max="13" width="15.7265625" bestFit="1" customWidth="1"/>
    <col min="17" max="17" width="56" customWidth="1"/>
    <col min="18" max="18" width="23.7265625" customWidth="1"/>
    <col min="19" max="19" width="19.81640625" customWidth="1"/>
    <col min="20" max="20" width="22.54296875" customWidth="1"/>
    <col min="22" max="22" width="56" customWidth="1"/>
    <col min="23" max="23" width="23.7265625" customWidth="1"/>
    <col min="24" max="24" width="19.81640625" customWidth="1"/>
    <col min="25" max="25" width="22.54296875" customWidth="1"/>
  </cols>
  <sheetData>
    <row r="1" spans="1:25" ht="14.5" customHeight="1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  <c r="Q1" s="535" t="s">
        <v>276</v>
      </c>
      <c r="R1" s="535"/>
      <c r="S1" s="535"/>
      <c r="T1" s="535"/>
      <c r="V1" s="550"/>
      <c r="W1" s="550"/>
      <c r="X1" s="550"/>
      <c r="Y1" s="550"/>
    </row>
    <row r="2" spans="1: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2"/>
      <c r="R2" s="2"/>
      <c r="S2" s="2"/>
      <c r="T2" s="2"/>
      <c r="V2" s="1"/>
      <c r="W2" s="1"/>
      <c r="X2" s="1"/>
      <c r="Y2" s="1"/>
    </row>
    <row r="3" spans="1:25" ht="15" customHeight="1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  <c r="Q3" s="533" t="s">
        <v>91</v>
      </c>
      <c r="R3" s="519"/>
      <c r="S3" s="519"/>
      <c r="T3" s="519"/>
      <c r="V3" s="551"/>
      <c r="W3" s="552"/>
      <c r="X3" s="552"/>
      <c r="Y3" s="552"/>
    </row>
    <row r="4" spans="1:25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  <c r="Q4" s="9" t="s">
        <v>93</v>
      </c>
      <c r="R4" s="9" t="s">
        <v>94</v>
      </c>
      <c r="S4" s="9" t="s">
        <v>35</v>
      </c>
      <c r="T4" s="86">
        <v>0</v>
      </c>
      <c r="V4" s="9"/>
      <c r="W4" s="9"/>
      <c r="X4" s="9"/>
      <c r="Y4" s="9"/>
    </row>
    <row r="5" spans="1:25">
      <c r="A5" s="9" t="s">
        <v>96</v>
      </c>
      <c r="B5" s="9" t="s">
        <v>97</v>
      </c>
      <c r="C5" s="9"/>
      <c r="D5" s="87">
        <f>'GS5826 PTDs'!Q18</f>
        <v>1321220.0999999999</v>
      </c>
      <c r="E5" s="85" t="s">
        <v>207</v>
      </c>
      <c r="F5" s="2"/>
      <c r="G5" s="9" t="s">
        <v>96</v>
      </c>
      <c r="H5" s="9" t="s">
        <v>97</v>
      </c>
      <c r="I5" s="9"/>
      <c r="J5" s="87">
        <f>'GS5826 PTDs'!L18</f>
        <v>488326.6</v>
      </c>
      <c r="K5" s="2"/>
      <c r="L5" s="9" t="s">
        <v>96</v>
      </c>
      <c r="M5" s="9" t="s">
        <v>97</v>
      </c>
      <c r="N5" s="9"/>
      <c r="O5" s="87">
        <f>'GS5826 PTDs'!N18</f>
        <v>832893.5</v>
      </c>
      <c r="Q5" s="9" t="s">
        <v>96</v>
      </c>
      <c r="R5" s="9" t="s">
        <v>97</v>
      </c>
      <c r="S5" s="9"/>
      <c r="T5" s="87">
        <f>'GS5826 PTDs'!$P$18</f>
        <v>38792.299999999996</v>
      </c>
      <c r="V5" s="9"/>
      <c r="W5" s="9"/>
      <c r="X5" s="9"/>
      <c r="Y5" s="108"/>
    </row>
    <row r="6" spans="1:25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  <c r="Q6" s="9" t="s">
        <v>99</v>
      </c>
      <c r="R6" s="9" t="s">
        <v>100</v>
      </c>
      <c r="S6" s="9" t="s">
        <v>101</v>
      </c>
      <c r="T6" s="86">
        <v>4.0000000000000002E-4</v>
      </c>
      <c r="V6" s="9"/>
      <c r="W6" s="9"/>
      <c r="X6" s="9"/>
      <c r="Y6" s="9"/>
    </row>
    <row r="7" spans="1:25" ht="34.5" customHeight="1">
      <c r="A7" s="88" t="s">
        <v>103</v>
      </c>
      <c r="B7" s="9" t="s">
        <v>104</v>
      </c>
      <c r="C7" s="9" t="s">
        <v>105</v>
      </c>
      <c r="D7" s="86">
        <v>7.5</v>
      </c>
      <c r="E7" s="85" t="s">
        <v>162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  <c r="Q7" s="88" t="s">
        <v>103</v>
      </c>
      <c r="R7" s="9" t="s">
        <v>104</v>
      </c>
      <c r="S7" s="9" t="s">
        <v>105</v>
      </c>
      <c r="T7" s="86">
        <v>7.5</v>
      </c>
      <c r="V7" s="88"/>
      <c r="W7" s="9"/>
      <c r="X7" s="9"/>
      <c r="Y7" s="9"/>
    </row>
    <row r="8" spans="1:25" ht="38.25" customHeight="1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  <c r="Q8" s="88" t="s">
        <v>107</v>
      </c>
      <c r="R8" s="9" t="s">
        <v>108</v>
      </c>
      <c r="S8" s="9" t="s">
        <v>105</v>
      </c>
      <c r="T8" s="86">
        <v>0</v>
      </c>
      <c r="V8" s="88"/>
      <c r="W8" s="9"/>
      <c r="X8" s="9"/>
      <c r="Y8" s="9"/>
    </row>
    <row r="9" spans="1:25">
      <c r="A9" s="9" t="s">
        <v>110</v>
      </c>
      <c r="B9" s="9" t="s">
        <v>111</v>
      </c>
      <c r="C9" s="9" t="s">
        <v>112</v>
      </c>
      <c r="D9" s="86">
        <f>ROUNDDOWN((1-D4)*D5*D6*(D7+D8),0)</f>
        <v>3963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1464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2498</v>
      </c>
      <c r="Q9" s="9" t="s">
        <v>110</v>
      </c>
      <c r="R9" s="9" t="s">
        <v>111</v>
      </c>
      <c r="S9" s="9" t="s">
        <v>112</v>
      </c>
      <c r="T9" s="86">
        <f>ROUNDDOWN((1-T4)*T5*T6*(T7+T8),0)</f>
        <v>116</v>
      </c>
      <c r="V9" s="9"/>
      <c r="W9" s="9"/>
      <c r="X9" s="9"/>
      <c r="Y9" s="9"/>
    </row>
    <row r="10" spans="1:25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Q10" s="2"/>
      <c r="R10" s="2"/>
      <c r="S10" s="2"/>
      <c r="T10" s="2"/>
      <c r="V10" s="1"/>
      <c r="W10" s="1"/>
      <c r="X10" s="1"/>
      <c r="Y10" s="1"/>
    </row>
    <row r="11" spans="1:25" ht="15" customHeight="1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  <c r="Q11" s="533" t="s">
        <v>113</v>
      </c>
      <c r="R11" s="519"/>
      <c r="S11" s="519"/>
      <c r="T11" s="519"/>
      <c r="V11" s="551"/>
      <c r="W11" s="552"/>
      <c r="X11" s="552"/>
      <c r="Y11" s="552"/>
    </row>
    <row r="12" spans="1:25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  <c r="Q12" s="9" t="s">
        <v>114</v>
      </c>
      <c r="R12" s="9" t="s">
        <v>94</v>
      </c>
      <c r="S12" s="9" t="s">
        <v>35</v>
      </c>
      <c r="T12" s="86">
        <v>0</v>
      </c>
      <c r="V12" s="9"/>
      <c r="W12" s="9"/>
      <c r="X12" s="9"/>
      <c r="Y12" s="9"/>
    </row>
    <row r="13" spans="1:25">
      <c r="A13" s="9" t="s">
        <v>96</v>
      </c>
      <c r="B13" s="9" t="s">
        <v>97</v>
      </c>
      <c r="C13" s="9"/>
      <c r="D13" s="87">
        <f>D5</f>
        <v>1321220.0999999999</v>
      </c>
      <c r="E13" s="85" t="s">
        <v>208</v>
      </c>
      <c r="F13" s="2"/>
      <c r="G13" s="9" t="s">
        <v>96</v>
      </c>
      <c r="H13" s="9" t="s">
        <v>97</v>
      </c>
      <c r="I13" s="9"/>
      <c r="J13" s="87">
        <f>J5</f>
        <v>488326.6</v>
      </c>
      <c r="K13" s="2"/>
      <c r="L13" s="9" t="s">
        <v>96</v>
      </c>
      <c r="M13" s="9" t="s">
        <v>97</v>
      </c>
      <c r="N13" s="9"/>
      <c r="O13" s="87">
        <f>O5</f>
        <v>832893.5</v>
      </c>
      <c r="Q13" s="9" t="s">
        <v>96</v>
      </c>
      <c r="R13" s="9" t="s">
        <v>97</v>
      </c>
      <c r="S13" s="9"/>
      <c r="T13" s="87">
        <f>T5</f>
        <v>38792.299999999996</v>
      </c>
      <c r="V13" s="9"/>
      <c r="W13" s="9"/>
      <c r="X13" s="9"/>
      <c r="Y13" s="108"/>
    </row>
    <row r="14" spans="1:25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  <c r="Q14" s="9" t="s">
        <v>116</v>
      </c>
      <c r="R14" s="9" t="s">
        <v>117</v>
      </c>
      <c r="S14" s="9" t="s">
        <v>101</v>
      </c>
      <c r="T14" s="86">
        <v>4.0000000000000002E-4</v>
      </c>
      <c r="V14" s="9"/>
      <c r="W14" s="9"/>
      <c r="X14" s="9"/>
      <c r="Y14" s="9"/>
    </row>
    <row r="15" spans="1:25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  <c r="Q15" s="9" t="s">
        <v>118</v>
      </c>
      <c r="R15" s="9" t="s">
        <v>108</v>
      </c>
      <c r="S15" s="9" t="s">
        <v>105</v>
      </c>
      <c r="T15" s="86">
        <v>0</v>
      </c>
      <c r="V15" s="9"/>
      <c r="W15" s="9"/>
      <c r="X15" s="9"/>
      <c r="Y15" s="9"/>
    </row>
    <row r="16" spans="1:25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  <c r="Q16" s="9" t="s">
        <v>119</v>
      </c>
      <c r="R16" s="9" t="s">
        <v>120</v>
      </c>
      <c r="S16" s="9" t="s">
        <v>105</v>
      </c>
      <c r="T16" s="86">
        <v>0</v>
      </c>
      <c r="V16" s="9"/>
      <c r="W16" s="9"/>
      <c r="X16" s="9"/>
      <c r="Y16" s="9"/>
    </row>
    <row r="17" spans="1:25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121</v>
      </c>
      <c r="M17" s="9" t="s">
        <v>122</v>
      </c>
      <c r="N17" s="9" t="s">
        <v>112</v>
      </c>
      <c r="O17" s="86">
        <f>ROUNDDOWN((1+O12)*O13*O14*(O16+O16),0)</f>
        <v>0</v>
      </c>
      <c r="Q17" s="9" t="s">
        <v>121</v>
      </c>
      <c r="R17" s="9" t="s">
        <v>122</v>
      </c>
      <c r="S17" s="9" t="s">
        <v>112</v>
      </c>
      <c r="T17" s="86">
        <f>ROUNDDOWN((1+T12)*T13*T14*(T16+T16),0)</f>
        <v>0</v>
      </c>
      <c r="V17" s="9"/>
      <c r="W17" s="9"/>
      <c r="X17" s="9"/>
      <c r="Y17" s="9"/>
    </row>
    <row r="18" spans="1:25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  <c r="Q18" s="2"/>
      <c r="R18" s="2"/>
      <c r="S18" s="2"/>
      <c r="T18" s="2"/>
      <c r="V18" s="1"/>
      <c r="W18" s="1"/>
      <c r="X18" s="1"/>
      <c r="Y18" s="1"/>
    </row>
    <row r="19" spans="1:25" ht="15" customHeight="1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  <c r="Q19" s="533" t="s">
        <v>123</v>
      </c>
      <c r="R19" s="519"/>
      <c r="S19" s="519"/>
      <c r="T19" s="519"/>
      <c r="V19" s="551"/>
      <c r="W19" s="552"/>
      <c r="X19" s="552"/>
      <c r="Y19" s="552"/>
    </row>
    <row r="20" spans="1:25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  <c r="Q20" s="88" t="s">
        <v>124</v>
      </c>
      <c r="R20" s="9" t="s">
        <v>124</v>
      </c>
      <c r="S20" s="9" t="s">
        <v>125</v>
      </c>
      <c r="T20" s="86">
        <v>0.97</v>
      </c>
      <c r="V20" s="88"/>
      <c r="W20" s="9"/>
      <c r="X20" s="9"/>
      <c r="Y20" s="9"/>
    </row>
    <row r="21" spans="1:25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  <c r="Q21" s="9" t="s">
        <v>127</v>
      </c>
      <c r="R21" s="9" t="s">
        <v>130</v>
      </c>
      <c r="S21" s="9" t="s">
        <v>129</v>
      </c>
      <c r="T21" s="86">
        <v>112</v>
      </c>
      <c r="V21" s="9"/>
      <c r="W21" s="9"/>
      <c r="X21" s="9"/>
      <c r="Y21" s="9"/>
    </row>
    <row r="22" spans="1:25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D22</f>
        <v>9.4600000000000009</v>
      </c>
      <c r="Q22" s="9" t="s">
        <v>131</v>
      </c>
      <c r="R22" s="9" t="s">
        <v>134</v>
      </c>
      <c r="S22" s="9" t="s">
        <v>133</v>
      </c>
      <c r="T22" s="86">
        <f>D22</f>
        <v>9.4600000000000009</v>
      </c>
      <c r="V22" s="9"/>
      <c r="W22" s="9"/>
      <c r="X22" s="9"/>
      <c r="Y22" s="9"/>
    </row>
    <row r="23" spans="1:25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  <c r="Q23" s="9" t="s">
        <v>135</v>
      </c>
      <c r="R23" s="9" t="s">
        <v>136</v>
      </c>
      <c r="S23" s="9" t="s">
        <v>137</v>
      </c>
      <c r="T23" s="86">
        <v>1.5599999999999999E-2</v>
      </c>
      <c r="V23" s="9"/>
      <c r="W23" s="9"/>
      <c r="X23" s="9"/>
      <c r="Y23" s="9"/>
    </row>
    <row r="24" spans="1:25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  <c r="Q24" s="2"/>
      <c r="R24" s="2"/>
      <c r="S24" s="2"/>
      <c r="T24" s="2"/>
      <c r="V24" s="1"/>
      <c r="W24" s="1"/>
      <c r="X24" s="1"/>
      <c r="Y24" s="1"/>
    </row>
    <row r="25" spans="1:25" ht="15" customHeight="1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  <c r="Q25" s="533" t="s">
        <v>19</v>
      </c>
      <c r="R25" s="519"/>
      <c r="S25" s="519"/>
      <c r="T25" s="519"/>
      <c r="V25" s="551"/>
      <c r="W25" s="552"/>
      <c r="X25" s="552"/>
      <c r="Y25" s="552"/>
    </row>
    <row r="26" spans="1:25">
      <c r="A26" s="9" t="s">
        <v>28</v>
      </c>
      <c r="B26" s="9" t="s">
        <v>29</v>
      </c>
      <c r="C26" s="9" t="s">
        <v>30</v>
      </c>
      <c r="D26" s="87">
        <f>ROUNDDOWN(D9*((D20*D21)+D22)*D23,0)</f>
        <v>7301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2697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4602</v>
      </c>
      <c r="Q26" s="9" t="s">
        <v>28</v>
      </c>
      <c r="R26" s="9" t="s">
        <v>29</v>
      </c>
      <c r="S26" s="9" t="s">
        <v>30</v>
      </c>
      <c r="T26" s="87">
        <f>ROUNDDOWN(T9*((T20*T21)+T22)*T23,0)</f>
        <v>213</v>
      </c>
      <c r="V26" s="9"/>
      <c r="W26" s="9"/>
      <c r="X26" s="9"/>
      <c r="Y26" s="108"/>
    </row>
    <row r="27" spans="1:25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O17*((O20*O21)+O22)*O230</f>
        <v>0</v>
      </c>
      <c r="Q27" s="9" t="s">
        <v>31</v>
      </c>
      <c r="R27" s="9" t="s">
        <v>32</v>
      </c>
      <c r="S27" s="9" t="s">
        <v>30</v>
      </c>
      <c r="T27" s="86">
        <f>T17*((T20*T21)+T22)*T230</f>
        <v>0</v>
      </c>
      <c r="V27" s="9"/>
      <c r="W27" s="9"/>
      <c r="X27" s="9"/>
      <c r="Y27" s="9"/>
    </row>
    <row r="28" spans="1:25">
      <c r="A28" s="9" t="s">
        <v>33</v>
      </c>
      <c r="B28" s="9" t="s">
        <v>34</v>
      </c>
      <c r="C28" s="9" t="s">
        <v>35</v>
      </c>
      <c r="D28" s="311">
        <v>0.95</v>
      </c>
      <c r="E28" s="88" t="s">
        <v>138</v>
      </c>
      <c r="F28" s="2"/>
      <c r="G28" s="9" t="s">
        <v>33</v>
      </c>
      <c r="H28" s="9" t="s">
        <v>34</v>
      </c>
      <c r="I28" s="9" t="s">
        <v>35</v>
      </c>
      <c r="J28" s="86">
        <f>D28</f>
        <v>0.95</v>
      </c>
      <c r="K28" s="2"/>
      <c r="L28" s="9" t="s">
        <v>33</v>
      </c>
      <c r="M28" s="9" t="s">
        <v>34</v>
      </c>
      <c r="N28" s="9" t="s">
        <v>35</v>
      </c>
      <c r="O28" s="86">
        <f>D28</f>
        <v>0.95</v>
      </c>
      <c r="Q28" s="9" t="s">
        <v>33</v>
      </c>
      <c r="R28" s="9" t="s">
        <v>34</v>
      </c>
      <c r="S28" s="9" t="s">
        <v>35</v>
      </c>
      <c r="T28" s="86">
        <f>D28</f>
        <v>0.95</v>
      </c>
      <c r="V28" s="9"/>
      <c r="W28" s="9"/>
      <c r="X28" s="9"/>
      <c r="Y28" s="9"/>
    </row>
    <row r="29" spans="1:25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  <c r="Q29" s="9" t="s">
        <v>36</v>
      </c>
      <c r="R29" s="9" t="s">
        <v>37</v>
      </c>
      <c r="S29" s="9" t="s">
        <v>30</v>
      </c>
      <c r="T29" s="86">
        <v>0</v>
      </c>
      <c r="V29" s="9"/>
      <c r="W29" s="9"/>
      <c r="X29" s="9"/>
      <c r="Y29" s="9"/>
    </row>
    <row r="30" spans="1:25">
      <c r="A30" s="9" t="s">
        <v>90</v>
      </c>
      <c r="B30" s="9" t="s">
        <v>39</v>
      </c>
      <c r="C30" s="9" t="s">
        <v>30</v>
      </c>
      <c r="D30" s="86">
        <f>ROUNDDOWN(((D26-D27)*D28)-D29,0)</f>
        <v>6935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2562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4371</v>
      </c>
      <c r="Q30" s="9" t="s">
        <v>90</v>
      </c>
      <c r="R30" s="9" t="s">
        <v>39</v>
      </c>
      <c r="S30" s="9" t="s">
        <v>30</v>
      </c>
      <c r="T30" s="86">
        <f>ROUNDDOWN(((T26-T27)*T28)-T29,0)</f>
        <v>202</v>
      </c>
      <c r="V30" s="9"/>
      <c r="W30" s="9"/>
      <c r="X30" s="9"/>
      <c r="Y30" s="9"/>
    </row>
    <row r="31" spans="1:25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  <c r="Q31" s="2"/>
      <c r="R31" s="2"/>
      <c r="S31" s="2"/>
      <c r="T31" s="2"/>
      <c r="V31" s="1"/>
      <c r="W31" s="1"/>
      <c r="X31" s="1"/>
      <c r="Y31" s="1"/>
    </row>
    <row r="32" spans="1:25" ht="15" customHeight="1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  <c r="Q32" s="533" t="s">
        <v>40</v>
      </c>
      <c r="R32" s="519"/>
      <c r="S32" s="519"/>
      <c r="T32" s="519"/>
      <c r="V32" s="551"/>
      <c r="W32" s="552"/>
      <c r="X32" s="552"/>
      <c r="Y32" s="552"/>
    </row>
    <row r="33" spans="1:25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M33" s="9"/>
      <c r="N33" s="16"/>
      <c r="O33" s="91">
        <v>1</v>
      </c>
      <c r="Q33" s="90" t="s">
        <v>41</v>
      </c>
      <c r="R33" s="9"/>
      <c r="S33" s="16"/>
      <c r="T33" s="91">
        <v>1</v>
      </c>
      <c r="V33" s="90"/>
      <c r="W33" s="9"/>
      <c r="X33" s="16"/>
      <c r="Y33" s="499"/>
    </row>
    <row r="34" spans="1:25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  <c r="Q34" s="90" t="s">
        <v>43</v>
      </c>
      <c r="R34" s="9" t="s">
        <v>42</v>
      </c>
      <c r="S34" s="16" t="s">
        <v>44</v>
      </c>
      <c r="T34" s="91">
        <v>0</v>
      </c>
      <c r="V34" s="90"/>
      <c r="W34" s="9"/>
      <c r="X34" s="16"/>
      <c r="Y34" s="499"/>
    </row>
    <row r="35" spans="1:25">
      <c r="A35" s="93" t="s">
        <v>140</v>
      </c>
      <c r="B35" s="94" t="s">
        <v>39</v>
      </c>
      <c r="C35" s="95" t="s">
        <v>30</v>
      </c>
      <c r="D35" s="246">
        <f>ROUNDDOWN(D30*(1-D34),0)</f>
        <v>6935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2562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4371</v>
      </c>
      <c r="Q35" s="93" t="s">
        <v>140</v>
      </c>
      <c r="R35" s="94" t="s">
        <v>39</v>
      </c>
      <c r="S35" s="95" t="s">
        <v>30</v>
      </c>
      <c r="T35" s="96">
        <f>ROUNDDOWN(T30*(1-T34),0)</f>
        <v>202</v>
      </c>
      <c r="V35" s="93"/>
      <c r="W35" s="94"/>
      <c r="X35" s="95"/>
      <c r="Y35" s="500"/>
    </row>
    <row r="36" spans="1: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  <c r="V36" s="1"/>
      <c r="W36" s="1"/>
      <c r="X36" s="1"/>
      <c r="Y36" s="1"/>
    </row>
    <row r="37" spans="1:25">
      <c r="A37" s="93" t="s">
        <v>141</v>
      </c>
      <c r="B37" s="94"/>
      <c r="C37" s="95" t="s">
        <v>30</v>
      </c>
      <c r="D37" s="96">
        <f>J37+O37+T37</f>
        <v>7135</v>
      </c>
      <c r="E37" s="2"/>
      <c r="F37" s="2"/>
      <c r="G37" s="93" t="s">
        <v>141</v>
      </c>
      <c r="H37" s="94"/>
      <c r="I37" s="95" t="s">
        <v>30</v>
      </c>
      <c r="J37" s="96">
        <f>J35</f>
        <v>2562</v>
      </c>
      <c r="K37" s="2"/>
      <c r="L37" s="93" t="s">
        <v>141</v>
      </c>
      <c r="M37" s="94"/>
      <c r="N37" s="95" t="s">
        <v>30</v>
      </c>
      <c r="O37" s="96">
        <f>O35</f>
        <v>4371</v>
      </c>
      <c r="Q37" s="93" t="s">
        <v>141</v>
      </c>
      <c r="R37" s="94"/>
      <c r="S37" s="95" t="s">
        <v>30</v>
      </c>
      <c r="T37" s="96">
        <f>T35</f>
        <v>202</v>
      </c>
      <c r="V37" s="93"/>
      <c r="W37" s="94"/>
      <c r="X37" s="95"/>
      <c r="Y37" s="500"/>
    </row>
    <row r="38" spans="1: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25">
      <c r="A39" s="1"/>
      <c r="B39" s="2"/>
      <c r="C39" s="2"/>
      <c r="D39" s="2"/>
      <c r="E39" s="2"/>
      <c r="F39" s="2"/>
      <c r="G39" s="1"/>
      <c r="H39" s="2"/>
      <c r="I39" s="2"/>
      <c r="J39" s="2"/>
      <c r="K39" s="2"/>
      <c r="L39" s="1"/>
      <c r="M39" s="2"/>
      <c r="N39" s="2"/>
      <c r="O39" s="2"/>
    </row>
    <row r="40" spans="1: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</sheetData>
  <mergeCells count="30">
    <mergeCell ref="A1:D1"/>
    <mergeCell ref="G1:J1"/>
    <mergeCell ref="L1:O1"/>
    <mergeCell ref="A3:D3"/>
    <mergeCell ref="G3:J3"/>
    <mergeCell ref="L3:O3"/>
    <mergeCell ref="A11:D11"/>
    <mergeCell ref="G11:J11"/>
    <mergeCell ref="L11:O11"/>
    <mergeCell ref="A19:D19"/>
    <mergeCell ref="G19:J19"/>
    <mergeCell ref="L19:O19"/>
    <mergeCell ref="A25:D25"/>
    <mergeCell ref="G25:J25"/>
    <mergeCell ref="L25:O25"/>
    <mergeCell ref="A32:D32"/>
    <mergeCell ref="G32:J32"/>
    <mergeCell ref="L32:O32"/>
    <mergeCell ref="Q32:T32"/>
    <mergeCell ref="V1:Y1"/>
    <mergeCell ref="V3:Y3"/>
    <mergeCell ref="V11:Y11"/>
    <mergeCell ref="V19:Y19"/>
    <mergeCell ref="V25:Y25"/>
    <mergeCell ref="V32:Y32"/>
    <mergeCell ref="Q1:T1"/>
    <mergeCell ref="Q3:T3"/>
    <mergeCell ref="Q11:T11"/>
    <mergeCell ref="Q19:T19"/>
    <mergeCell ref="Q25:T2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8A34D-08CF-42DE-B644-06E1AFDE163B}">
  <dimension ref="A1:E22"/>
  <sheetViews>
    <sheetView topLeftCell="B14" workbookViewId="0">
      <selection activeCell="C17" sqref="C17"/>
    </sheetView>
  </sheetViews>
  <sheetFormatPr defaultRowHeight="14.5"/>
  <cols>
    <col min="1" max="1" width="20.1796875" bestFit="1" customWidth="1"/>
    <col min="2" max="2" width="115.54296875" customWidth="1"/>
    <col min="3" max="3" width="32.26953125" customWidth="1"/>
    <col min="4" max="4" width="7" customWidth="1"/>
    <col min="5" max="5" width="32.7265625" bestFit="1" customWidth="1"/>
  </cols>
  <sheetData>
    <row r="1" spans="1:5" s="32" customFormat="1" ht="36.65" customHeight="1">
      <c r="A1" s="128" t="s">
        <v>145</v>
      </c>
      <c r="B1" s="137" t="s">
        <v>146</v>
      </c>
      <c r="C1" s="137" t="s">
        <v>147</v>
      </c>
      <c r="D1" s="137" t="s">
        <v>148</v>
      </c>
      <c r="E1" s="99" t="s">
        <v>92</v>
      </c>
    </row>
    <row r="2" spans="1:5" ht="28.5" customHeight="1">
      <c r="A2" s="100" t="s">
        <v>149</v>
      </c>
      <c r="B2" s="88" t="s">
        <v>150</v>
      </c>
      <c r="C2" s="129">
        <f>((C3-C4)/C3)*C8</f>
        <v>0.95</v>
      </c>
      <c r="D2" s="9" t="s">
        <v>151</v>
      </c>
      <c r="E2" s="88"/>
    </row>
    <row r="3" spans="1:5" ht="34" customHeight="1">
      <c r="A3" s="9" t="s">
        <v>152</v>
      </c>
      <c r="B3" s="88" t="s">
        <v>153</v>
      </c>
      <c r="C3" s="54">
        <f>C5*C6</f>
        <v>3.0000000000000001E-3</v>
      </c>
      <c r="D3" s="9" t="s">
        <v>154</v>
      </c>
      <c r="E3" s="88"/>
    </row>
    <row r="4" spans="1:5" ht="33" customHeight="1">
      <c r="A4" s="101" t="s">
        <v>155</v>
      </c>
      <c r="B4" s="88" t="s">
        <v>156</v>
      </c>
      <c r="C4" s="54">
        <f>C5*C7</f>
        <v>0</v>
      </c>
      <c r="D4" s="9" t="s">
        <v>154</v>
      </c>
      <c r="E4" s="88"/>
    </row>
    <row r="5" spans="1:5" ht="39" customHeight="1">
      <c r="A5" s="9" t="s">
        <v>100</v>
      </c>
      <c r="B5" s="88" t="s">
        <v>158</v>
      </c>
      <c r="C5" s="54">
        <f>'GS5826 ER Calcs'!D6</f>
        <v>4.0000000000000002E-4</v>
      </c>
      <c r="D5" s="9" t="s">
        <v>159</v>
      </c>
      <c r="E5" s="85" t="s">
        <v>102</v>
      </c>
    </row>
    <row r="6" spans="1:5" ht="36" customHeight="1">
      <c r="A6" s="9" t="s">
        <v>104</v>
      </c>
      <c r="B6" s="88" t="s">
        <v>160</v>
      </c>
      <c r="C6" s="54">
        <v>7.5</v>
      </c>
      <c r="D6" s="9" t="s">
        <v>161</v>
      </c>
      <c r="E6" s="85" t="s">
        <v>162</v>
      </c>
    </row>
    <row r="7" spans="1:5" ht="34" customHeight="1">
      <c r="A7" s="9" t="s">
        <v>163</v>
      </c>
      <c r="B7" s="88" t="s">
        <v>164</v>
      </c>
      <c r="C7" s="54">
        <v>0</v>
      </c>
      <c r="D7" s="9" t="s">
        <v>161</v>
      </c>
      <c r="E7" s="85" t="s">
        <v>109</v>
      </c>
    </row>
    <row r="8" spans="1:5" ht="23.5" customHeight="1">
      <c r="A8" s="9" t="s">
        <v>209</v>
      </c>
      <c r="B8" s="88" t="s">
        <v>166</v>
      </c>
      <c r="C8" s="172">
        <f>'GS5826 ER Calcs'!D28</f>
        <v>0.95</v>
      </c>
      <c r="D8" s="9" t="s">
        <v>151</v>
      </c>
      <c r="E8" s="85" t="s">
        <v>210</v>
      </c>
    </row>
    <row r="9" spans="1:5">
      <c r="A9" s="1"/>
      <c r="B9" s="1"/>
      <c r="C9" s="1"/>
      <c r="D9" s="1"/>
      <c r="E9" s="88"/>
    </row>
    <row r="10" spans="1:5" s="32" customFormat="1">
      <c r="A10" s="137" t="s">
        <v>167</v>
      </c>
      <c r="B10" s="137" t="s">
        <v>146</v>
      </c>
      <c r="C10" s="137" t="s">
        <v>168</v>
      </c>
      <c r="D10" s="137" t="s">
        <v>148</v>
      </c>
      <c r="E10" s="99" t="s">
        <v>92</v>
      </c>
    </row>
    <row r="11" spans="1:5">
      <c r="A11" s="88" t="s">
        <v>169</v>
      </c>
      <c r="B11" s="9" t="s">
        <v>170</v>
      </c>
      <c r="C11" s="105">
        <f>C13-C12</f>
        <v>0.72</v>
      </c>
      <c r="D11" s="9" t="s">
        <v>171</v>
      </c>
      <c r="E11" s="88"/>
    </row>
    <row r="12" spans="1:5" ht="22" customHeight="1">
      <c r="A12" s="88" t="s">
        <v>211</v>
      </c>
      <c r="B12" s="9" t="s">
        <v>173</v>
      </c>
      <c r="C12" s="9">
        <v>0</v>
      </c>
      <c r="D12" s="9" t="s">
        <v>171</v>
      </c>
      <c r="E12" s="88" t="s">
        <v>174</v>
      </c>
    </row>
    <row r="13" spans="1:5">
      <c r="A13" s="88" t="s">
        <v>212</v>
      </c>
      <c r="B13" s="9" t="s">
        <v>176</v>
      </c>
      <c r="C13" s="478">
        <v>0.72</v>
      </c>
      <c r="D13" s="9" t="s">
        <v>171</v>
      </c>
      <c r="E13" s="88" t="s">
        <v>177</v>
      </c>
    </row>
    <row r="14" spans="1:5">
      <c r="A14" s="1"/>
      <c r="B14" s="1"/>
      <c r="C14" s="1"/>
      <c r="D14" s="1"/>
      <c r="E14" s="88"/>
    </row>
    <row r="15" spans="1:5" s="32" customFormat="1" ht="39.65" customHeight="1">
      <c r="A15" s="128" t="s">
        <v>178</v>
      </c>
      <c r="B15" s="137" t="s">
        <v>146</v>
      </c>
      <c r="C15" s="137" t="s">
        <v>179</v>
      </c>
      <c r="D15" s="137" t="s">
        <v>148</v>
      </c>
      <c r="E15" s="99" t="s">
        <v>92</v>
      </c>
    </row>
    <row r="16" spans="1:5">
      <c r="A16" s="88" t="s">
        <v>180</v>
      </c>
      <c r="B16" s="9" t="s">
        <v>181</v>
      </c>
      <c r="C16" s="105">
        <f>ROUNDDOWN(C17*(1-C18)*C19,0)</f>
        <v>2281</v>
      </c>
      <c r="D16" s="9" t="s">
        <v>182</v>
      </c>
      <c r="E16" s="9"/>
    </row>
    <row r="17" spans="1:5">
      <c r="A17" s="88" t="s">
        <v>183</v>
      </c>
      <c r="B17" s="9" t="s">
        <v>184</v>
      </c>
      <c r="C17" s="9">
        <f>'GS5826 PTDs'!H8</f>
        <v>2402</v>
      </c>
      <c r="D17" s="9" t="s">
        <v>182</v>
      </c>
      <c r="E17" s="88" t="s">
        <v>228</v>
      </c>
    </row>
    <row r="18" spans="1:5" ht="18.649999999999999" customHeight="1">
      <c r="A18" s="88" t="s">
        <v>94</v>
      </c>
      <c r="B18" s="9" t="s">
        <v>186</v>
      </c>
      <c r="C18" s="106">
        <f>'GS5825 ER Calcs'!D4</f>
        <v>0</v>
      </c>
      <c r="D18" s="9" t="s">
        <v>151</v>
      </c>
      <c r="E18" s="88" t="s">
        <v>174</v>
      </c>
    </row>
    <row r="19" spans="1:5" ht="22" customHeight="1">
      <c r="A19" s="88" t="s">
        <v>209</v>
      </c>
      <c r="B19" s="9" t="s">
        <v>166</v>
      </c>
      <c r="C19" s="173">
        <f>'GS5826 ER Calcs'!D28</f>
        <v>0.95</v>
      </c>
      <c r="D19" s="9" t="s">
        <v>151</v>
      </c>
      <c r="E19" s="85" t="s">
        <v>138</v>
      </c>
    </row>
    <row r="20" spans="1:5">
      <c r="A20" s="1"/>
      <c r="B20" s="1"/>
      <c r="C20" s="1"/>
      <c r="D20" s="1"/>
      <c r="E20" s="88"/>
    </row>
    <row r="21" spans="1:5" s="32" customFormat="1" ht="35.15" customHeight="1">
      <c r="A21" s="128" t="s">
        <v>187</v>
      </c>
      <c r="B21" s="137" t="s">
        <v>146</v>
      </c>
      <c r="C21" s="137"/>
      <c r="D21" s="137" t="s">
        <v>148</v>
      </c>
      <c r="E21" s="99" t="s">
        <v>92</v>
      </c>
    </row>
    <row r="22" spans="1:5">
      <c r="A22" s="88" t="s">
        <v>188</v>
      </c>
      <c r="B22" s="9" t="s">
        <v>189</v>
      </c>
      <c r="C22" s="108">
        <f>'GS5826 ER Calcs'!D37</f>
        <v>6351</v>
      </c>
      <c r="D22" s="9" t="s">
        <v>190</v>
      </c>
      <c r="E22" s="88" t="s">
        <v>191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E9B48-F31E-4D7B-B470-1A7D9FC61134}">
  <dimension ref="A1:N49"/>
  <sheetViews>
    <sheetView workbookViewId="0">
      <selection activeCell="L10" sqref="L10"/>
    </sheetView>
  </sheetViews>
  <sheetFormatPr defaultRowHeight="14.5"/>
  <cols>
    <col min="1" max="1" width="39" bestFit="1" customWidth="1"/>
    <col min="3" max="3" width="10" bestFit="1" customWidth="1"/>
    <col min="4" max="4" width="10.26953125" customWidth="1"/>
  </cols>
  <sheetData>
    <row r="1" spans="1:14" ht="37" customHeight="1" thickBot="1">
      <c r="A1" s="521" t="s">
        <v>275</v>
      </c>
      <c r="B1" s="522"/>
      <c r="C1" s="522"/>
      <c r="D1" s="522"/>
      <c r="E1" s="4"/>
      <c r="F1" s="4"/>
      <c r="G1" s="4"/>
      <c r="H1" s="521" t="s">
        <v>16</v>
      </c>
      <c r="I1" s="522"/>
      <c r="J1" s="522"/>
      <c r="K1" s="522"/>
      <c r="L1" s="522"/>
      <c r="M1" s="522"/>
    </row>
    <row r="2" spans="1:14" ht="1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</row>
    <row r="3" spans="1:14" ht="14.5" customHeight="1">
      <c r="A3" s="523" t="s">
        <v>17</v>
      </c>
      <c r="B3" s="524"/>
      <c r="C3" s="524"/>
      <c r="D3" s="524"/>
      <c r="E3" s="2"/>
      <c r="F3" s="4"/>
      <c r="G3" s="4"/>
      <c r="H3" s="528" t="s">
        <v>18</v>
      </c>
      <c r="I3" s="529"/>
      <c r="J3" s="529"/>
      <c r="K3" s="529"/>
      <c r="L3" s="529"/>
      <c r="M3" s="529"/>
      <c r="N3" s="529"/>
    </row>
    <row r="4" spans="1:14" ht="29">
      <c r="A4" s="518" t="s">
        <v>19</v>
      </c>
      <c r="B4" s="519"/>
      <c r="C4" s="519"/>
      <c r="D4" s="519"/>
      <c r="E4" s="2"/>
      <c r="F4" s="4"/>
      <c r="G4" s="4"/>
      <c r="H4" s="6" t="s">
        <v>20</v>
      </c>
      <c r="I4" s="7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6" t="s">
        <v>27</v>
      </c>
    </row>
    <row r="5" spans="1:14">
      <c r="A5" s="8" t="s">
        <v>28</v>
      </c>
      <c r="B5" s="9" t="s">
        <v>29</v>
      </c>
      <c r="C5" s="9" t="s">
        <v>30</v>
      </c>
      <c r="D5" s="10">
        <f>'GS5827 ER Calcs'!J26</f>
        <v>2151</v>
      </c>
      <c r="E5" s="2"/>
      <c r="F5" s="4"/>
      <c r="G5" s="4"/>
      <c r="H5" s="109">
        <v>2017</v>
      </c>
      <c r="I5" s="390">
        <v>4811</v>
      </c>
      <c r="J5" s="390"/>
      <c r="K5" s="390"/>
      <c r="L5" s="390"/>
      <c r="M5" s="382"/>
      <c r="N5" s="392">
        <f>SUM(I5:L5)</f>
        <v>4811</v>
      </c>
    </row>
    <row r="6" spans="1:14">
      <c r="A6" s="8" t="s">
        <v>31</v>
      </c>
      <c r="B6" s="9" t="s">
        <v>32</v>
      </c>
      <c r="C6" s="9" t="s">
        <v>30</v>
      </c>
      <c r="D6" s="14">
        <f>'GS5827 ER Calcs'!J27</f>
        <v>0</v>
      </c>
      <c r="E6" s="2"/>
      <c r="F6" s="4"/>
      <c r="G6" s="4"/>
      <c r="H6" s="109">
        <v>2018</v>
      </c>
      <c r="I6" s="390">
        <v>10000</v>
      </c>
      <c r="J6" s="390"/>
      <c r="K6" s="390"/>
      <c r="L6" s="390"/>
      <c r="M6" s="382"/>
      <c r="N6" s="392">
        <f>SUM(I6:L6)</f>
        <v>10000</v>
      </c>
    </row>
    <row r="7" spans="1:14">
      <c r="A7" s="8" t="s">
        <v>33</v>
      </c>
      <c r="B7" s="9" t="s">
        <v>34</v>
      </c>
      <c r="C7" s="9" t="s">
        <v>35</v>
      </c>
      <c r="D7" s="14">
        <f>'GS5827 ER Calcs'!J28</f>
        <v>0.95</v>
      </c>
      <c r="E7" s="2"/>
      <c r="F7" s="4"/>
      <c r="G7" s="4"/>
      <c r="H7" s="109">
        <v>2019</v>
      </c>
      <c r="I7" s="390">
        <v>5845</v>
      </c>
      <c r="J7" s="390">
        <v>1907</v>
      </c>
      <c r="K7" s="390"/>
      <c r="L7" s="390"/>
      <c r="M7" s="382"/>
      <c r="N7" s="392">
        <f>SUM(I7:L7)</f>
        <v>7752</v>
      </c>
    </row>
    <row r="8" spans="1:14">
      <c r="A8" s="8" t="s">
        <v>36</v>
      </c>
      <c r="B8" s="9" t="s">
        <v>37</v>
      </c>
      <c r="C8" s="9" t="s">
        <v>30</v>
      </c>
      <c r="D8" s="14">
        <f>'GS5827 ER Calcs'!J29</f>
        <v>0</v>
      </c>
      <c r="E8" s="2"/>
      <c r="F8" s="4"/>
      <c r="G8" s="4"/>
      <c r="H8" s="109">
        <v>2020</v>
      </c>
      <c r="I8" s="390"/>
      <c r="J8" s="390">
        <v>1426</v>
      </c>
      <c r="K8" s="391">
        <v>1806</v>
      </c>
      <c r="L8" s="391"/>
      <c r="M8" s="382"/>
      <c r="N8" s="392">
        <f>SUM(I8:L8)</f>
        <v>3232</v>
      </c>
    </row>
    <row r="9" spans="1:14">
      <c r="A9" s="8"/>
      <c r="B9" s="9"/>
      <c r="C9" s="9"/>
      <c r="D9" s="14"/>
      <c r="E9" s="2"/>
      <c r="F9" s="4"/>
      <c r="G9" s="4"/>
      <c r="H9" s="109">
        <v>2021</v>
      </c>
      <c r="I9" s="390"/>
      <c r="J9" s="390"/>
      <c r="K9" s="391">
        <v>2140</v>
      </c>
      <c r="L9" s="391">
        <v>1919</v>
      </c>
      <c r="M9" s="382"/>
      <c r="N9" s="392">
        <f>SUM(I9:L9)</f>
        <v>4059</v>
      </c>
    </row>
    <row r="10" spans="1:14">
      <c r="A10" s="8" t="s">
        <v>38</v>
      </c>
      <c r="B10" s="9" t="s">
        <v>39</v>
      </c>
      <c r="C10" s="9" t="s">
        <v>30</v>
      </c>
      <c r="D10" s="10">
        <f>'GS5827 ER Calcs'!J30</f>
        <v>2043</v>
      </c>
      <c r="E10" s="2"/>
      <c r="F10" s="4"/>
      <c r="G10" s="4"/>
      <c r="H10" s="109">
        <v>2022</v>
      </c>
      <c r="I10" s="390"/>
      <c r="J10" s="390"/>
      <c r="K10" s="391"/>
      <c r="L10" s="391">
        <v>1353</v>
      </c>
      <c r="M10" s="383">
        <f>D45</f>
        <v>2043</v>
      </c>
      <c r="N10" s="392">
        <f>SUM(I10:M10)</f>
        <v>3396</v>
      </c>
    </row>
    <row r="11" spans="1:14">
      <c r="A11" s="518" t="s">
        <v>40</v>
      </c>
      <c r="B11" s="519"/>
      <c r="C11" s="519"/>
      <c r="D11" s="519"/>
      <c r="E11" s="2"/>
      <c r="F11" s="4"/>
      <c r="G11" s="4"/>
      <c r="H11" s="109">
        <v>2023</v>
      </c>
      <c r="I11" s="382"/>
      <c r="J11" s="382"/>
      <c r="K11" s="382"/>
      <c r="L11" s="382"/>
      <c r="M11" s="383">
        <f t="shared" ref="M11:M12" si="0">D46</f>
        <v>3487</v>
      </c>
      <c r="N11" s="392">
        <f t="shared" ref="N11:N12" si="1">SUM(I11:M11)</f>
        <v>3487</v>
      </c>
    </row>
    <row r="12" spans="1:14">
      <c r="A12" s="15" t="s">
        <v>41</v>
      </c>
      <c r="B12" s="9"/>
      <c r="C12" s="16"/>
      <c r="D12" s="17">
        <f>'GS5827 ER Calcs'!J33</f>
        <v>1</v>
      </c>
      <c r="E12" s="2"/>
      <c r="F12" s="4"/>
      <c r="G12" s="4"/>
      <c r="H12" s="109">
        <v>2024</v>
      </c>
      <c r="I12" s="19"/>
      <c r="J12" s="402"/>
      <c r="K12" s="402"/>
      <c r="L12" s="402"/>
      <c r="M12" s="383">
        <f t="shared" si="0"/>
        <v>160</v>
      </c>
      <c r="N12" s="392">
        <f t="shared" si="1"/>
        <v>160</v>
      </c>
    </row>
    <row r="13" spans="1:14">
      <c r="A13" s="15" t="s">
        <v>43</v>
      </c>
      <c r="B13" s="9" t="s">
        <v>42</v>
      </c>
      <c r="C13" s="16" t="s">
        <v>44</v>
      </c>
      <c r="D13" s="17">
        <f>'GS5827 ER Calcs'!J34</f>
        <v>0</v>
      </c>
      <c r="E13" s="2"/>
      <c r="F13" s="4"/>
      <c r="G13" s="4"/>
      <c r="H13" s="18" t="s">
        <v>13</v>
      </c>
      <c r="I13" s="131">
        <f>SUM(I5:I10)</f>
        <v>20656</v>
      </c>
      <c r="J13" s="131">
        <f>SUM(J5:J10)</f>
        <v>3333</v>
      </c>
      <c r="K13" s="131">
        <f>SUM(K5:K10)</f>
        <v>3946</v>
      </c>
      <c r="L13" s="131">
        <f>SUM(L5:L12)</f>
        <v>3272</v>
      </c>
      <c r="M13" s="131">
        <f>SUM(M5:M12)</f>
        <v>5690</v>
      </c>
      <c r="N13" s="18">
        <f>SUM(I13:M13)</f>
        <v>36897</v>
      </c>
    </row>
    <row r="14" spans="1:14" ht="15" thickBot="1">
      <c r="A14" s="21" t="s">
        <v>38</v>
      </c>
      <c r="B14" s="22" t="s">
        <v>39</v>
      </c>
      <c r="C14" s="22" t="s">
        <v>30</v>
      </c>
      <c r="D14" s="23">
        <f>'GS5827 ER Calcs'!J35</f>
        <v>2043</v>
      </c>
      <c r="E14" s="2"/>
      <c r="F14" s="4"/>
      <c r="G14" s="4"/>
      <c r="H14" s="4"/>
      <c r="I14" s="4"/>
      <c r="J14" s="4"/>
      <c r="K14" s="4"/>
      <c r="L14" s="4"/>
      <c r="M14" s="2"/>
    </row>
    <row r="15" spans="1:14" ht="15" thickBot="1">
      <c r="A15" s="21" t="s">
        <v>45</v>
      </c>
      <c r="B15" s="22" t="s">
        <v>39</v>
      </c>
      <c r="C15" s="22" t="s">
        <v>30</v>
      </c>
      <c r="D15" s="23">
        <f>'GS5827 ER Calcs'!J37</f>
        <v>2043</v>
      </c>
      <c r="E15" s="2"/>
      <c r="F15" s="4"/>
      <c r="G15" s="4"/>
      <c r="H15" s="4"/>
      <c r="I15" s="4"/>
      <c r="J15" s="4"/>
      <c r="K15" s="4"/>
      <c r="L15" s="4"/>
      <c r="M15" s="2"/>
    </row>
    <row r="16" spans="1:14" ht="15" thickBot="1">
      <c r="A16" s="4"/>
      <c r="B16" s="4"/>
      <c r="C16" s="4"/>
      <c r="D16" s="4"/>
      <c r="E16" s="2"/>
      <c r="F16" s="4"/>
      <c r="G16" s="4"/>
      <c r="H16" s="4"/>
      <c r="I16" s="4"/>
      <c r="J16" s="4"/>
      <c r="K16" s="4"/>
      <c r="L16" s="4"/>
      <c r="M16" s="2"/>
    </row>
    <row r="17" spans="1:13" ht="14.5" customHeight="1">
      <c r="A17" s="523" t="s">
        <v>46</v>
      </c>
      <c r="B17" s="524"/>
      <c r="C17" s="524"/>
      <c r="D17" s="524"/>
      <c r="E17" s="4"/>
      <c r="F17" s="4"/>
      <c r="G17" s="4"/>
      <c r="H17" s="4"/>
      <c r="I17" s="4"/>
      <c r="J17" s="4"/>
      <c r="K17" s="4"/>
      <c r="L17" s="4"/>
      <c r="M17" s="2"/>
    </row>
    <row r="18" spans="1:13">
      <c r="A18" s="518" t="s">
        <v>19</v>
      </c>
      <c r="B18" s="519"/>
      <c r="C18" s="519"/>
      <c r="D18" s="519"/>
      <c r="E18" s="4"/>
      <c r="F18" s="4"/>
      <c r="G18" s="4"/>
      <c r="H18" s="4"/>
      <c r="I18" s="4"/>
      <c r="J18" s="4"/>
      <c r="K18" s="4"/>
      <c r="L18" s="4"/>
      <c r="M18" s="2"/>
    </row>
    <row r="19" spans="1:13">
      <c r="A19" s="8" t="s">
        <v>28</v>
      </c>
      <c r="B19" s="9" t="s">
        <v>29</v>
      </c>
      <c r="C19" s="9" t="s">
        <v>30</v>
      </c>
      <c r="D19" s="10">
        <f>'GS5827 ER Calcs'!O26</f>
        <v>3671</v>
      </c>
      <c r="E19" s="4"/>
      <c r="F19" s="4"/>
      <c r="G19" s="4"/>
      <c r="H19" s="4"/>
      <c r="I19" s="4"/>
      <c r="J19" s="4"/>
      <c r="K19" s="4"/>
      <c r="L19" s="4"/>
      <c r="M19" s="2"/>
    </row>
    <row r="20" spans="1:13">
      <c r="A20" s="8" t="s">
        <v>31</v>
      </c>
      <c r="B20" s="9" t="s">
        <v>32</v>
      </c>
      <c r="C20" s="9" t="s">
        <v>30</v>
      </c>
      <c r="D20" s="14">
        <f>'GS5827 ER Calcs'!O27</f>
        <v>0</v>
      </c>
      <c r="E20" s="4"/>
      <c r="F20" s="4"/>
      <c r="G20" s="4"/>
      <c r="H20" s="4"/>
      <c r="I20" s="4"/>
      <c r="J20" s="4"/>
      <c r="K20" s="4"/>
      <c r="L20" s="4"/>
      <c r="M20" s="2"/>
    </row>
    <row r="21" spans="1:13">
      <c r="A21" s="8" t="s">
        <v>33</v>
      </c>
      <c r="B21" s="9" t="s">
        <v>34</v>
      </c>
      <c r="C21" s="9" t="s">
        <v>35</v>
      </c>
      <c r="D21" s="14">
        <f>'GS5827 ER Calcs'!O28</f>
        <v>0.95</v>
      </c>
      <c r="E21" s="4"/>
      <c r="F21" s="4"/>
      <c r="G21" s="4"/>
      <c r="H21" s="4"/>
      <c r="I21" s="4"/>
      <c r="J21" s="4"/>
      <c r="K21" s="4"/>
      <c r="L21" s="4"/>
      <c r="M21" s="2"/>
    </row>
    <row r="22" spans="1:13">
      <c r="A22" s="8" t="s">
        <v>36</v>
      </c>
      <c r="B22" s="9" t="s">
        <v>37</v>
      </c>
      <c r="C22" s="9" t="s">
        <v>30</v>
      </c>
      <c r="D22" s="14">
        <f>'GS5827 ER Calcs'!O29</f>
        <v>0</v>
      </c>
      <c r="E22" s="4"/>
      <c r="F22" s="4"/>
      <c r="G22" s="4"/>
      <c r="H22" s="4"/>
      <c r="I22" s="4"/>
      <c r="J22" s="4"/>
      <c r="K22" s="4"/>
      <c r="L22" s="4"/>
      <c r="M22" s="2"/>
    </row>
    <row r="23" spans="1:13">
      <c r="A23" s="8" t="s">
        <v>38</v>
      </c>
      <c r="B23" s="9" t="s">
        <v>39</v>
      </c>
      <c r="C23" s="9" t="s">
        <v>30</v>
      </c>
      <c r="D23" s="10">
        <f>'GS5827 ER Calcs'!O30</f>
        <v>3487</v>
      </c>
      <c r="E23" s="4"/>
      <c r="F23" s="4"/>
      <c r="G23" s="4"/>
      <c r="H23" s="4"/>
      <c r="I23" s="4"/>
      <c r="J23" s="4"/>
      <c r="K23" s="4"/>
      <c r="L23" s="4"/>
      <c r="M23" s="2"/>
    </row>
    <row r="24" spans="1:13">
      <c r="A24" s="518" t="s">
        <v>40</v>
      </c>
      <c r="B24" s="519"/>
      <c r="C24" s="519"/>
      <c r="D24" s="519"/>
      <c r="E24" s="4"/>
      <c r="F24" s="4"/>
      <c r="G24" s="4"/>
      <c r="H24" s="4"/>
      <c r="I24" s="4"/>
      <c r="J24" s="4"/>
      <c r="K24" s="4"/>
      <c r="L24" s="4"/>
      <c r="M24" s="2"/>
    </row>
    <row r="25" spans="1:13">
      <c r="A25" s="15" t="s">
        <v>41</v>
      </c>
      <c r="B25" s="9"/>
      <c r="C25" s="16"/>
      <c r="D25" s="17">
        <f>'GS5827 ER Calcs'!O33</f>
        <v>1</v>
      </c>
      <c r="E25" s="4"/>
      <c r="F25" s="4"/>
      <c r="G25" s="4"/>
      <c r="H25" s="4"/>
      <c r="I25" s="4"/>
      <c r="J25" s="4"/>
      <c r="K25" s="4"/>
      <c r="L25" s="4"/>
      <c r="M25" s="2"/>
    </row>
    <row r="26" spans="1:13">
      <c r="A26" s="15" t="s">
        <v>43</v>
      </c>
      <c r="B26" s="9" t="s">
        <v>42</v>
      </c>
      <c r="C26" s="16" t="s">
        <v>44</v>
      </c>
      <c r="D26" s="17">
        <f>'GS5827 ER Calcs'!O34</f>
        <v>0</v>
      </c>
      <c r="E26" s="4"/>
      <c r="F26" s="4"/>
      <c r="G26" s="4"/>
      <c r="H26" s="4"/>
      <c r="I26" s="4"/>
      <c r="J26" s="4"/>
      <c r="K26" s="4"/>
      <c r="L26" s="4"/>
      <c r="M26" s="2"/>
    </row>
    <row r="27" spans="1:13" ht="15" thickBot="1">
      <c r="A27" s="21" t="s">
        <v>38</v>
      </c>
      <c r="B27" s="22" t="s">
        <v>39</v>
      </c>
      <c r="C27" s="22" t="s">
        <v>30</v>
      </c>
      <c r="D27" s="23">
        <f>'GS5827 ER Calcs'!O35</f>
        <v>3487</v>
      </c>
      <c r="E27" s="4"/>
      <c r="F27" s="4"/>
      <c r="G27" s="4"/>
      <c r="H27" s="4"/>
      <c r="I27" s="4"/>
      <c r="J27" s="4"/>
      <c r="K27" s="4"/>
      <c r="L27" s="4"/>
      <c r="M27" s="2"/>
    </row>
    <row r="28" spans="1:13" ht="15" thickBot="1">
      <c r="A28" s="21" t="s">
        <v>45</v>
      </c>
      <c r="B28" s="22" t="s">
        <v>39</v>
      </c>
      <c r="C28" s="22" t="s">
        <v>30</v>
      </c>
      <c r="D28" s="23">
        <f>'GS5827 ER Calcs'!O37</f>
        <v>3487</v>
      </c>
      <c r="E28" s="4"/>
      <c r="F28" s="4"/>
      <c r="G28" s="4"/>
      <c r="H28" s="4"/>
      <c r="I28" s="4"/>
      <c r="J28" s="4"/>
      <c r="K28" s="4"/>
      <c r="L28" s="4"/>
      <c r="M28" s="2"/>
    </row>
    <row r="29" spans="1:13" ht="15" thickBot="1">
      <c r="A29" s="2"/>
      <c r="B29" s="508"/>
      <c r="C29" s="508"/>
      <c r="D29" s="2"/>
      <c r="E29" s="4"/>
      <c r="F29" s="4"/>
      <c r="G29" s="4"/>
      <c r="H29" s="4"/>
      <c r="I29" s="4"/>
      <c r="J29" s="4"/>
      <c r="K29" s="4"/>
      <c r="L29" s="4"/>
      <c r="M29" s="2"/>
    </row>
    <row r="30" spans="1:13">
      <c r="A30" s="523" t="s">
        <v>276</v>
      </c>
      <c r="B30" s="524"/>
      <c r="C30" s="524"/>
      <c r="D30" s="524"/>
      <c r="E30" s="4"/>
      <c r="F30" s="4"/>
      <c r="G30" s="4"/>
      <c r="H30" s="4"/>
      <c r="I30" s="4"/>
      <c r="J30" s="4"/>
      <c r="K30" s="4"/>
      <c r="L30" s="4"/>
      <c r="M30" s="2"/>
    </row>
    <row r="31" spans="1:13">
      <c r="A31" s="518" t="s">
        <v>19</v>
      </c>
      <c r="B31" s="519"/>
      <c r="C31" s="519"/>
      <c r="D31" s="519"/>
      <c r="E31" s="4"/>
      <c r="F31" s="4"/>
      <c r="G31" s="4"/>
      <c r="H31" s="4"/>
      <c r="I31" s="4"/>
      <c r="J31" s="4"/>
      <c r="K31" s="4"/>
      <c r="L31" s="4"/>
      <c r="M31" s="2"/>
    </row>
    <row r="32" spans="1:13">
      <c r="A32" s="8" t="s">
        <v>28</v>
      </c>
      <c r="B32" s="9" t="s">
        <v>29</v>
      </c>
      <c r="C32" s="9" t="s">
        <v>30</v>
      </c>
      <c r="D32" s="10">
        <f>'GS5827 ER Calcs'!T26</f>
        <v>169</v>
      </c>
      <c r="E32" s="4"/>
      <c r="F32" s="4"/>
      <c r="G32" s="4"/>
      <c r="H32" s="4"/>
      <c r="I32" s="4"/>
      <c r="J32" s="4"/>
      <c r="K32" s="4"/>
      <c r="L32" s="4"/>
      <c r="M32" s="2"/>
    </row>
    <row r="33" spans="1:13">
      <c r="A33" s="8" t="s">
        <v>31</v>
      </c>
      <c r="B33" s="9" t="s">
        <v>32</v>
      </c>
      <c r="C33" s="9" t="s">
        <v>30</v>
      </c>
      <c r="D33" s="10">
        <f>'GS5827 ER Calcs'!T27</f>
        <v>0</v>
      </c>
      <c r="E33" s="4"/>
      <c r="F33" s="4"/>
      <c r="G33" s="4"/>
      <c r="H33" s="4"/>
      <c r="I33" s="4"/>
      <c r="J33" s="4"/>
      <c r="K33" s="4"/>
      <c r="L33" s="4"/>
      <c r="M33" s="2"/>
    </row>
    <row r="34" spans="1:13">
      <c r="A34" s="8" t="s">
        <v>33</v>
      </c>
      <c r="B34" s="9" t="s">
        <v>34</v>
      </c>
      <c r="C34" s="9" t="s">
        <v>35</v>
      </c>
      <c r="D34" s="10">
        <f>'GS5827 ER Calcs'!T28</f>
        <v>0.95</v>
      </c>
      <c r="E34" s="4"/>
      <c r="F34" s="4"/>
      <c r="G34" s="4"/>
      <c r="H34" s="4"/>
      <c r="I34" s="4"/>
      <c r="J34" s="4"/>
      <c r="K34" s="4"/>
      <c r="L34" s="4"/>
      <c r="M34" s="2"/>
    </row>
    <row r="35" spans="1:13">
      <c r="A35" s="8" t="s">
        <v>36</v>
      </c>
      <c r="B35" s="9" t="s">
        <v>37</v>
      </c>
      <c r="C35" s="9" t="s">
        <v>30</v>
      </c>
      <c r="D35" s="10">
        <f>'GS5827 ER Calcs'!T29</f>
        <v>0</v>
      </c>
      <c r="E35" s="4"/>
      <c r="F35" s="4"/>
      <c r="G35" s="4"/>
      <c r="H35" s="4"/>
      <c r="I35" s="4"/>
      <c r="J35" s="4"/>
      <c r="K35" s="4"/>
      <c r="L35" s="4"/>
      <c r="M35" s="2"/>
    </row>
    <row r="36" spans="1:13">
      <c r="A36" s="8" t="s">
        <v>38</v>
      </c>
      <c r="B36" s="9" t="s">
        <v>39</v>
      </c>
      <c r="C36" s="9" t="s">
        <v>30</v>
      </c>
      <c r="D36" s="10">
        <f>'GS5827 ER Calcs'!T30</f>
        <v>160</v>
      </c>
      <c r="E36" s="4"/>
      <c r="F36" s="4"/>
      <c r="G36" s="4"/>
      <c r="H36" s="4"/>
      <c r="I36" s="4"/>
      <c r="J36" s="4"/>
      <c r="K36" s="4"/>
      <c r="L36" s="4"/>
      <c r="M36" s="2"/>
    </row>
    <row r="37" spans="1:13">
      <c r="A37" s="518" t="s">
        <v>40</v>
      </c>
      <c r="B37" s="519"/>
      <c r="C37" s="519"/>
      <c r="D37" s="519"/>
      <c r="E37" s="4"/>
      <c r="F37" s="4"/>
      <c r="G37" s="4"/>
      <c r="H37" s="4"/>
      <c r="I37" s="4"/>
      <c r="J37" s="4"/>
      <c r="K37" s="4"/>
      <c r="L37" s="4"/>
      <c r="M37" s="2"/>
    </row>
    <row r="38" spans="1:13">
      <c r="A38" s="15" t="s">
        <v>41</v>
      </c>
      <c r="B38" s="9"/>
      <c r="C38" s="16"/>
      <c r="D38" s="17">
        <f>'GS5827 ER Calcs'!T33</f>
        <v>1</v>
      </c>
      <c r="E38" s="4"/>
      <c r="F38" s="4"/>
      <c r="G38" s="4"/>
      <c r="H38" s="4"/>
      <c r="I38" s="4"/>
      <c r="J38" s="4"/>
      <c r="K38" s="4"/>
      <c r="L38" s="4"/>
      <c r="M38" s="2"/>
    </row>
    <row r="39" spans="1:13">
      <c r="A39" s="15" t="s">
        <v>277</v>
      </c>
      <c r="B39" s="9" t="s">
        <v>42</v>
      </c>
      <c r="C39" s="16" t="s">
        <v>44</v>
      </c>
      <c r="D39" s="17">
        <f>'GS5827 ER Calcs'!T34</f>
        <v>0</v>
      </c>
      <c r="E39" s="4"/>
      <c r="F39" s="4"/>
      <c r="G39" s="4"/>
      <c r="H39" s="4"/>
      <c r="I39" s="4"/>
      <c r="J39" s="4"/>
      <c r="K39" s="4"/>
      <c r="L39" s="4"/>
      <c r="M39" s="2"/>
    </row>
    <row r="40" spans="1:13" ht="15" thickBot="1">
      <c r="A40" s="21" t="s">
        <v>38</v>
      </c>
      <c r="B40" s="22" t="s">
        <v>39</v>
      </c>
      <c r="C40" s="22" t="s">
        <v>30</v>
      </c>
      <c r="D40" s="375">
        <f>'GS5827 ER Calcs'!T35</f>
        <v>160</v>
      </c>
      <c r="E40" s="4"/>
      <c r="F40" s="4"/>
      <c r="G40" s="4"/>
      <c r="H40" s="4"/>
      <c r="I40" s="4"/>
      <c r="J40" s="4"/>
      <c r="K40" s="4"/>
      <c r="L40" s="4"/>
      <c r="M40" s="2"/>
    </row>
    <row r="41" spans="1:13" ht="15" thickBot="1">
      <c r="A41" s="21" t="s">
        <v>45</v>
      </c>
      <c r="B41" s="22" t="s">
        <v>39</v>
      </c>
      <c r="C41" s="22" t="s">
        <v>30</v>
      </c>
      <c r="D41" s="23">
        <f>'GS5827 ER Calcs'!T37</f>
        <v>160</v>
      </c>
      <c r="E41" s="4"/>
      <c r="F41" s="4"/>
      <c r="G41" s="4"/>
      <c r="H41" s="4"/>
      <c r="I41" s="4"/>
      <c r="J41" s="4"/>
      <c r="K41" s="4"/>
      <c r="L41" s="4"/>
      <c r="M41" s="2"/>
    </row>
    <row r="42" spans="1:13" ht="15" thickBot="1">
      <c r="A42" s="2"/>
      <c r="B42" s="365"/>
      <c r="C42" s="365"/>
      <c r="D42" s="2"/>
      <c r="E42" s="4"/>
      <c r="F42" s="4"/>
      <c r="G42" s="4"/>
      <c r="H42" s="4"/>
      <c r="I42" s="4"/>
      <c r="J42" s="4"/>
      <c r="K42" s="4"/>
      <c r="L42" s="4"/>
      <c r="M42" s="2"/>
    </row>
    <row r="43" spans="1:13" ht="15.65" customHeight="1">
      <c r="A43" s="509" t="s">
        <v>278</v>
      </c>
      <c r="B43" s="510"/>
      <c r="C43" s="510"/>
      <c r="D43" s="510"/>
      <c r="E43" s="2"/>
      <c r="F43" s="2"/>
      <c r="G43" s="507"/>
      <c r="H43" s="507"/>
      <c r="I43" s="2"/>
      <c r="J43" s="2"/>
      <c r="K43" s="2"/>
      <c r="L43" s="2"/>
      <c r="M43" s="2"/>
    </row>
    <row r="44" spans="1:13">
      <c r="A44" s="511" t="s">
        <v>19</v>
      </c>
      <c r="B44" s="512"/>
      <c r="C44" s="512"/>
      <c r="D44" s="512"/>
      <c r="E44" s="2"/>
      <c r="F44" s="2"/>
      <c r="G44" s="507"/>
      <c r="H44" s="507"/>
      <c r="I44" s="2"/>
      <c r="J44" s="2"/>
      <c r="K44" s="2"/>
      <c r="L44" s="2"/>
      <c r="M44" s="2"/>
    </row>
    <row r="45" spans="1:13" ht="14.5" customHeight="1">
      <c r="A45" s="513">
        <v>2022</v>
      </c>
      <c r="B45" s="514"/>
      <c r="C45" s="514"/>
      <c r="D45" s="25">
        <f>D15</f>
        <v>2043</v>
      </c>
      <c r="E45" s="2"/>
      <c r="F45" s="2"/>
      <c r="G45" s="507"/>
      <c r="H45" s="507"/>
      <c r="I45" s="2"/>
      <c r="J45" s="2"/>
      <c r="K45" s="2"/>
      <c r="L45" s="2"/>
      <c r="M45" s="2"/>
    </row>
    <row r="46" spans="1:13">
      <c r="A46" s="513">
        <v>2023</v>
      </c>
      <c r="B46" s="514"/>
      <c r="C46" s="514"/>
      <c r="D46" s="26">
        <f>D28</f>
        <v>3487</v>
      </c>
      <c r="E46" s="2"/>
      <c r="F46" s="2"/>
      <c r="G46" s="507"/>
      <c r="H46" s="507"/>
      <c r="I46" s="2"/>
      <c r="J46" s="2"/>
      <c r="K46" s="2"/>
      <c r="L46" s="2"/>
      <c r="M46" s="2"/>
    </row>
    <row r="47" spans="1:13" ht="15" thickBot="1">
      <c r="A47" s="513">
        <v>2024</v>
      </c>
      <c r="B47" s="514"/>
      <c r="C47" s="514"/>
      <c r="D47" s="379">
        <f>D41</f>
        <v>160</v>
      </c>
      <c r="E47" s="2"/>
      <c r="F47" s="2"/>
      <c r="G47" s="2"/>
      <c r="H47" s="2"/>
      <c r="I47" s="2"/>
      <c r="J47" s="2"/>
      <c r="K47" s="2"/>
      <c r="L47" s="2"/>
      <c r="M47" s="2"/>
    </row>
    <row r="48" spans="1:13" ht="17.149999999999999" customHeight="1" thickBot="1">
      <c r="A48" s="27" t="s">
        <v>245</v>
      </c>
      <c r="B48" s="29"/>
      <c r="C48" s="30"/>
      <c r="D48" s="31">
        <f>SUM(D45:D47)</f>
        <v>5690</v>
      </c>
      <c r="E48" s="2"/>
      <c r="F48" s="2"/>
      <c r="G48" s="507"/>
      <c r="H48" s="507"/>
      <c r="I48" s="2"/>
      <c r="J48" s="2"/>
      <c r="K48" s="2"/>
      <c r="L48" s="2"/>
      <c r="M48" s="2"/>
    </row>
    <row r="49" spans="1:13">
      <c r="A49" s="2"/>
      <c r="B49" s="517"/>
      <c r="C49" s="517"/>
      <c r="D49" s="2"/>
      <c r="E49" s="2"/>
      <c r="F49" s="2"/>
      <c r="G49" s="507"/>
      <c r="H49" s="507"/>
      <c r="I49" s="2"/>
      <c r="J49" s="2"/>
      <c r="K49" s="2"/>
      <c r="L49" s="2"/>
      <c r="M49" s="2"/>
    </row>
  </sheetData>
  <mergeCells count="25">
    <mergeCell ref="G43:H43"/>
    <mergeCell ref="A1:D1"/>
    <mergeCell ref="H1:M1"/>
    <mergeCell ref="A3:D3"/>
    <mergeCell ref="A4:D4"/>
    <mergeCell ref="A11:D11"/>
    <mergeCell ref="A17:D17"/>
    <mergeCell ref="A18:D18"/>
    <mergeCell ref="A24:D24"/>
    <mergeCell ref="B29:C29"/>
    <mergeCell ref="A43:D43"/>
    <mergeCell ref="H3:N3"/>
    <mergeCell ref="A30:D30"/>
    <mergeCell ref="A31:D31"/>
    <mergeCell ref="A37:D37"/>
    <mergeCell ref="G48:H48"/>
    <mergeCell ref="B49:C49"/>
    <mergeCell ref="G49:H49"/>
    <mergeCell ref="A44:D44"/>
    <mergeCell ref="G44:H44"/>
    <mergeCell ref="A45:C45"/>
    <mergeCell ref="G45:H45"/>
    <mergeCell ref="A46:C46"/>
    <mergeCell ref="G46:H46"/>
    <mergeCell ref="A47:C47"/>
  </mergeCells>
  <phoneticPr fontId="15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63211-154E-431F-BF54-EDF739AFD932}">
  <dimension ref="A1:Q23"/>
  <sheetViews>
    <sheetView workbookViewId="0">
      <selection activeCell="B21" sqref="B21"/>
    </sheetView>
  </sheetViews>
  <sheetFormatPr defaultRowHeight="14.5"/>
  <cols>
    <col min="1" max="1" width="25.7265625" customWidth="1"/>
    <col min="2" max="2" width="17.26953125" bestFit="1" customWidth="1"/>
    <col min="3" max="3" width="16.54296875" bestFit="1" customWidth="1"/>
    <col min="4" max="4" width="15.81640625" customWidth="1"/>
    <col min="5" max="5" width="17.453125" customWidth="1"/>
    <col min="6" max="6" width="17.1796875" bestFit="1" customWidth="1"/>
    <col min="7" max="7" width="13.453125" bestFit="1" customWidth="1"/>
    <col min="8" max="8" width="15.1796875" bestFit="1" customWidth="1"/>
    <col min="9" max="9" width="15.54296875" bestFit="1" customWidth="1"/>
    <col min="11" max="11" width="9.26953125" customWidth="1"/>
    <col min="13" max="13" width="10" customWidth="1"/>
    <col min="15" max="15" width="15.1796875" customWidth="1"/>
  </cols>
  <sheetData>
    <row r="1" spans="1:17" ht="43.5">
      <c r="A1" s="48" t="s">
        <v>0</v>
      </c>
      <c r="B1" s="49" t="s">
        <v>49</v>
      </c>
      <c r="C1" s="49" t="s">
        <v>50</v>
      </c>
      <c r="D1" s="49" t="s">
        <v>51</v>
      </c>
      <c r="E1" s="49" t="s">
        <v>52</v>
      </c>
      <c r="F1" s="49" t="s">
        <v>192</v>
      </c>
      <c r="G1" s="49" t="s">
        <v>53</v>
      </c>
      <c r="H1" s="50" t="s">
        <v>54</v>
      </c>
      <c r="I1" s="50" t="s">
        <v>11</v>
      </c>
      <c r="J1" s="2"/>
      <c r="K1" s="51" t="s">
        <v>55</v>
      </c>
      <c r="L1" s="52" t="s">
        <v>56</v>
      </c>
      <c r="M1" s="5" t="s">
        <v>57</v>
      </c>
      <c r="N1" s="53" t="s">
        <v>58</v>
      </c>
      <c r="O1" s="114" t="s">
        <v>279</v>
      </c>
      <c r="P1" s="49" t="s">
        <v>280</v>
      </c>
      <c r="Q1" s="50" t="s">
        <v>59</v>
      </c>
    </row>
    <row r="2" spans="1:17" ht="15.5">
      <c r="A2" s="530" t="s">
        <v>319</v>
      </c>
      <c r="B2" s="9" t="s">
        <v>320</v>
      </c>
      <c r="C2" s="54" t="s">
        <v>321</v>
      </c>
      <c r="D2" s="9" t="s">
        <v>322</v>
      </c>
      <c r="E2" s="9">
        <v>38.409970000000001</v>
      </c>
      <c r="F2" s="55">
        <v>42859</v>
      </c>
      <c r="G2" s="9">
        <v>96</v>
      </c>
      <c r="H2" s="9">
        <v>331</v>
      </c>
      <c r="I2" s="476">
        <f>IF(H2&lt;371,H2,371)</f>
        <v>331</v>
      </c>
      <c r="J2" s="2"/>
      <c r="K2" s="233">
        <f t="shared" ref="K2:K7" si="0">$E$19</f>
        <v>203.29999999999998</v>
      </c>
      <c r="L2" s="57">
        <f>K2*I2</f>
        <v>67292.299999999988</v>
      </c>
      <c r="M2" s="235">
        <f t="shared" ref="M2:M7" si="1">$E$20</f>
        <v>346.75</v>
      </c>
      <c r="N2" s="116">
        <f>I2*M2</f>
        <v>114774.25</v>
      </c>
      <c r="O2">
        <f>$E$21</f>
        <v>16.149999999999999</v>
      </c>
      <c r="P2" s="2">
        <f>I2*O2</f>
        <v>5345.65</v>
      </c>
      <c r="Q2" s="117">
        <f>L2+N2+P2</f>
        <v>187412.19999999998</v>
      </c>
    </row>
    <row r="3" spans="1:17" ht="15.5">
      <c r="A3" s="531"/>
      <c r="B3" s="9" t="s">
        <v>323</v>
      </c>
      <c r="C3" s="54" t="s">
        <v>324</v>
      </c>
      <c r="D3" s="9">
        <v>15.00224</v>
      </c>
      <c r="E3" s="9">
        <v>38.578159999999997</v>
      </c>
      <c r="F3" s="55">
        <v>42864</v>
      </c>
      <c r="G3" s="9">
        <v>143</v>
      </c>
      <c r="H3" s="9">
        <v>517</v>
      </c>
      <c r="I3" s="476">
        <f>IF(H3&lt;371,H3,371)</f>
        <v>371</v>
      </c>
      <c r="J3" s="2"/>
      <c r="K3" s="233">
        <f t="shared" si="0"/>
        <v>203.29999999999998</v>
      </c>
      <c r="L3" s="57">
        <f t="shared" ref="L3:L7" si="2">K3*I3</f>
        <v>75424.299999999988</v>
      </c>
      <c r="M3" s="235">
        <f t="shared" si="1"/>
        <v>346.75</v>
      </c>
      <c r="N3" s="116">
        <f t="shared" ref="N3:N7" si="3">I3*M3</f>
        <v>128644.25</v>
      </c>
      <c r="O3">
        <f t="shared" ref="O3:O7" si="4">$E$21</f>
        <v>16.149999999999999</v>
      </c>
      <c r="P3" s="2">
        <f t="shared" ref="P3:P7" si="5">I3*O3</f>
        <v>5991.65</v>
      </c>
      <c r="Q3" s="117">
        <f t="shared" ref="Q3:Q7" si="6">L3+N3+P3</f>
        <v>210060.19999999998</v>
      </c>
    </row>
    <row r="4" spans="1:17" ht="15.5">
      <c r="A4" s="531"/>
      <c r="B4" s="9" t="s">
        <v>325</v>
      </c>
      <c r="C4" s="54" t="s">
        <v>326</v>
      </c>
      <c r="D4" s="9">
        <v>14.94407</v>
      </c>
      <c r="E4" s="9">
        <v>38.667740000000002</v>
      </c>
      <c r="F4" s="55">
        <v>42870</v>
      </c>
      <c r="G4" s="9">
        <v>161</v>
      </c>
      <c r="H4" s="9">
        <v>619</v>
      </c>
      <c r="I4" s="476">
        <f>IF(H4&lt;330,H4,330)</f>
        <v>330</v>
      </c>
      <c r="J4" s="2"/>
      <c r="K4" s="233">
        <f t="shared" si="0"/>
        <v>203.29999999999998</v>
      </c>
      <c r="L4" s="57">
        <f t="shared" si="2"/>
        <v>67089</v>
      </c>
      <c r="M4" s="235">
        <f t="shared" si="1"/>
        <v>346.75</v>
      </c>
      <c r="N4" s="116">
        <f t="shared" si="3"/>
        <v>114427.5</v>
      </c>
      <c r="O4">
        <f t="shared" si="4"/>
        <v>16.149999999999999</v>
      </c>
      <c r="P4" s="2">
        <f t="shared" si="5"/>
        <v>5329.4999999999991</v>
      </c>
      <c r="Q4" s="117">
        <f t="shared" si="6"/>
        <v>186846</v>
      </c>
    </row>
    <row r="5" spans="1:17" ht="15.5">
      <c r="A5" s="531"/>
      <c r="B5" s="9" t="s">
        <v>327</v>
      </c>
      <c r="C5" s="54" t="s">
        <v>328</v>
      </c>
      <c r="D5" s="9">
        <v>14.932219999999999</v>
      </c>
      <c r="E5" s="9">
        <v>38.58708</v>
      </c>
      <c r="F5" s="55">
        <v>43100</v>
      </c>
      <c r="G5" s="9">
        <v>65</v>
      </c>
      <c r="H5" s="9">
        <v>280</v>
      </c>
      <c r="I5" s="476">
        <f>IF(H5&lt;371,H5,371)</f>
        <v>280</v>
      </c>
      <c r="J5" s="2"/>
      <c r="K5" s="233">
        <f t="shared" si="0"/>
        <v>203.29999999999998</v>
      </c>
      <c r="L5" s="57">
        <f t="shared" si="2"/>
        <v>56923.999999999993</v>
      </c>
      <c r="M5" s="235">
        <f t="shared" si="1"/>
        <v>346.75</v>
      </c>
      <c r="N5" s="116">
        <f t="shared" si="3"/>
        <v>97090</v>
      </c>
      <c r="O5">
        <f t="shared" si="4"/>
        <v>16.149999999999999</v>
      </c>
      <c r="P5" s="2">
        <f t="shared" si="5"/>
        <v>4522</v>
      </c>
      <c r="Q5" s="117">
        <f t="shared" si="6"/>
        <v>158536</v>
      </c>
    </row>
    <row r="6" spans="1:17" ht="15.5">
      <c r="A6" s="531"/>
      <c r="B6" s="9" t="s">
        <v>329</v>
      </c>
      <c r="C6" s="9" t="s">
        <v>330</v>
      </c>
      <c r="D6" s="9">
        <v>14.538869999999999</v>
      </c>
      <c r="E6" s="9">
        <v>39.436430000000001</v>
      </c>
      <c r="F6" s="55">
        <v>43128</v>
      </c>
      <c r="G6" s="9">
        <v>56</v>
      </c>
      <c r="H6" s="9">
        <v>233</v>
      </c>
      <c r="I6" s="476">
        <f>IF(H6&lt;371,H6,371)</f>
        <v>233</v>
      </c>
      <c r="J6" s="2"/>
      <c r="K6" s="233">
        <f t="shared" si="0"/>
        <v>203.29999999999998</v>
      </c>
      <c r="L6" s="57">
        <f t="shared" si="2"/>
        <v>47368.899999999994</v>
      </c>
      <c r="M6" s="235">
        <f t="shared" si="1"/>
        <v>346.75</v>
      </c>
      <c r="N6" s="116">
        <f t="shared" si="3"/>
        <v>80792.75</v>
      </c>
      <c r="O6">
        <f t="shared" si="4"/>
        <v>16.149999999999999</v>
      </c>
      <c r="P6" s="2">
        <f t="shared" si="5"/>
        <v>3762.95</v>
      </c>
      <c r="Q6" s="117">
        <f t="shared" si="6"/>
        <v>131924.6</v>
      </c>
    </row>
    <row r="7" spans="1:17" ht="15.5">
      <c r="A7" s="532"/>
      <c r="B7" s="9" t="s">
        <v>331</v>
      </c>
      <c r="C7" s="9" t="s">
        <v>332</v>
      </c>
      <c r="D7" s="9">
        <v>14.617190000000001</v>
      </c>
      <c r="E7" s="9">
        <v>39.3782</v>
      </c>
      <c r="F7" s="55">
        <v>43161</v>
      </c>
      <c r="G7" s="9">
        <v>177</v>
      </c>
      <c r="H7" s="9">
        <v>796</v>
      </c>
      <c r="I7" s="476">
        <f>IF(H7&lt;371,H7,371)</f>
        <v>371</v>
      </c>
      <c r="J7" s="2"/>
      <c r="K7" s="233">
        <f t="shared" si="0"/>
        <v>203.29999999999998</v>
      </c>
      <c r="L7" s="57">
        <f t="shared" si="2"/>
        <v>75424.299999999988</v>
      </c>
      <c r="M7" s="235">
        <f t="shared" si="1"/>
        <v>346.75</v>
      </c>
      <c r="N7" s="116">
        <f t="shared" si="3"/>
        <v>128644.25</v>
      </c>
      <c r="O7">
        <f t="shared" si="4"/>
        <v>16.149999999999999</v>
      </c>
      <c r="P7" s="2">
        <f t="shared" si="5"/>
        <v>5991.65</v>
      </c>
      <c r="Q7" s="117">
        <f t="shared" si="6"/>
        <v>210060.19999999998</v>
      </c>
    </row>
    <row r="8" spans="1:17" ht="15" thickBot="1">
      <c r="A8" s="118"/>
      <c r="B8" s="1"/>
      <c r="C8" s="2"/>
      <c r="D8" s="2"/>
      <c r="E8" s="2"/>
      <c r="F8" s="62"/>
      <c r="G8" s="174" t="s">
        <v>13</v>
      </c>
      <c r="H8" s="175">
        <f>SUM(H2:H7)</f>
        <v>2776</v>
      </c>
      <c r="I8" s="175">
        <f>SUM(I2:I7)</f>
        <v>1916</v>
      </c>
      <c r="J8" s="2"/>
      <c r="K8" s="2"/>
      <c r="L8" s="182">
        <f>SUM(L2:L7)</f>
        <v>389522.8</v>
      </c>
      <c r="M8" s="183"/>
      <c r="N8" s="178">
        <f t="shared" ref="N8" si="7">SUM(N2:N7)</f>
        <v>664373</v>
      </c>
      <c r="P8" s="179">
        <f>SUM(P2:P7)</f>
        <v>30943.4</v>
      </c>
      <c r="Q8" s="179">
        <f>SUM(Q2:Q7)</f>
        <v>1084839.2</v>
      </c>
    </row>
    <row r="9" spans="1:17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7" ht="19" thickBot="1">
      <c r="C10" s="2"/>
      <c r="D10" s="2"/>
      <c r="E10" s="7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ht="57.65" customHeight="1" thickBot="1">
      <c r="A11" s="2"/>
      <c r="B11" s="66" t="s">
        <v>76</v>
      </c>
      <c r="C11" s="67"/>
      <c r="D11" s="2"/>
      <c r="E11" s="541"/>
      <c r="F11" s="542"/>
      <c r="G11" s="543"/>
      <c r="H11" s="543"/>
      <c r="I11" s="525"/>
      <c r="J11" s="525"/>
      <c r="K11" s="51" t="s">
        <v>55</v>
      </c>
      <c r="L11" s="52" t="s">
        <v>56</v>
      </c>
      <c r="M11" s="5" t="s">
        <v>57</v>
      </c>
      <c r="N11" s="53" t="s">
        <v>58</v>
      </c>
      <c r="O11" s="114" t="s">
        <v>279</v>
      </c>
      <c r="P11" s="49" t="s">
        <v>280</v>
      </c>
      <c r="Q11" s="50" t="s">
        <v>59</v>
      </c>
    </row>
    <row r="12" spans="1:17">
      <c r="A12" s="68" t="s">
        <v>296</v>
      </c>
      <c r="B12" s="69">
        <v>44713</v>
      </c>
      <c r="C12" s="2"/>
      <c r="D12" s="2"/>
      <c r="E12" s="541"/>
      <c r="F12" s="542"/>
      <c r="G12" s="543"/>
      <c r="H12" s="543"/>
      <c r="I12" s="525"/>
      <c r="J12" s="525"/>
      <c r="K12" s="233">
        <f t="shared" ref="K12:K17" si="8">$E$19</f>
        <v>203.29999999999998</v>
      </c>
      <c r="L12" s="235">
        <f>K12*H2</f>
        <v>67292.299999999988</v>
      </c>
      <c r="M12" s="235">
        <f t="shared" ref="M12:M17" si="9">$E$20</f>
        <v>346.75</v>
      </c>
      <c r="N12" s="278">
        <f>H2*M12</f>
        <v>114774.25</v>
      </c>
      <c r="O12">
        <f>$E$21</f>
        <v>16.149999999999999</v>
      </c>
      <c r="P12">
        <f>H2*O12</f>
        <v>5345.65</v>
      </c>
      <c r="Q12" s="279">
        <f t="shared" ref="Q12:Q17" si="10">L12+N12</f>
        <v>182066.55</v>
      </c>
    </row>
    <row r="13" spans="1:17" ht="15" thickBot="1">
      <c r="A13" s="123" t="s">
        <v>297</v>
      </c>
      <c r="B13" s="310">
        <v>45308</v>
      </c>
      <c r="C13" s="2"/>
      <c r="D13" s="2"/>
      <c r="E13" s="72"/>
      <c r="F13" s="67"/>
      <c r="K13" s="233">
        <f t="shared" si="8"/>
        <v>203.29999999999998</v>
      </c>
      <c r="L13" s="235">
        <f t="shared" ref="L13:L17" si="11">K13*H3</f>
        <v>105106.09999999999</v>
      </c>
      <c r="M13" s="235">
        <f t="shared" si="9"/>
        <v>346.75</v>
      </c>
      <c r="N13" s="278">
        <f t="shared" ref="N13:N17" si="12">H3*M13</f>
        <v>179269.75</v>
      </c>
      <c r="O13">
        <f t="shared" ref="O13:O17" si="13">$E$21</f>
        <v>16.149999999999999</v>
      </c>
      <c r="P13">
        <f t="shared" ref="P13:P17" si="14">H3*O13</f>
        <v>8349.5499999999993</v>
      </c>
      <c r="Q13" s="279">
        <f t="shared" si="10"/>
        <v>284375.84999999998</v>
      </c>
    </row>
    <row r="14" spans="1:17" ht="15" thickBot="1">
      <c r="A14" s="362" t="s">
        <v>79</v>
      </c>
      <c r="B14" s="363">
        <v>44926</v>
      </c>
      <c r="C14" s="2"/>
      <c r="D14" s="2"/>
      <c r="E14" s="72"/>
      <c r="F14" s="67"/>
      <c r="K14" s="233">
        <f t="shared" si="8"/>
        <v>203.29999999999998</v>
      </c>
      <c r="L14" s="235">
        <f t="shared" si="11"/>
        <v>125842.69999999998</v>
      </c>
      <c r="M14" s="235">
        <f t="shared" si="9"/>
        <v>346.75</v>
      </c>
      <c r="N14" s="278">
        <f t="shared" si="12"/>
        <v>214638.25</v>
      </c>
      <c r="O14">
        <f t="shared" si="13"/>
        <v>16.149999999999999</v>
      </c>
      <c r="P14">
        <f t="shared" si="14"/>
        <v>9996.8499999999985</v>
      </c>
      <c r="Q14" s="279">
        <f t="shared" si="10"/>
        <v>340480.94999999995</v>
      </c>
    </row>
    <row r="15" spans="1:17" ht="15" thickBot="1">
      <c r="A15" s="78" t="s">
        <v>298</v>
      </c>
      <c r="B15" s="364">
        <v>45291</v>
      </c>
      <c r="C15" s="2"/>
      <c r="D15" s="2"/>
      <c r="E15" s="2"/>
      <c r="F15" s="67"/>
      <c r="K15" s="233">
        <f t="shared" si="8"/>
        <v>203.29999999999998</v>
      </c>
      <c r="L15" s="235">
        <f t="shared" si="11"/>
        <v>56923.999999999993</v>
      </c>
      <c r="M15" s="235">
        <f t="shared" si="9"/>
        <v>346.75</v>
      </c>
      <c r="N15" s="278">
        <f t="shared" si="12"/>
        <v>97090</v>
      </c>
      <c r="O15">
        <f t="shared" si="13"/>
        <v>16.149999999999999</v>
      </c>
      <c r="P15">
        <f t="shared" si="14"/>
        <v>4522</v>
      </c>
      <c r="Q15" s="279">
        <f t="shared" si="10"/>
        <v>154014</v>
      </c>
    </row>
    <row r="16" spans="1:17">
      <c r="C16" s="2"/>
      <c r="D16" s="2"/>
      <c r="H16" s="2"/>
      <c r="I16" s="2"/>
      <c r="J16" s="2"/>
      <c r="K16" s="233">
        <f t="shared" si="8"/>
        <v>203.29999999999998</v>
      </c>
      <c r="L16" s="235">
        <f t="shared" si="11"/>
        <v>47368.899999999994</v>
      </c>
      <c r="M16" s="235">
        <f t="shared" si="9"/>
        <v>346.75</v>
      </c>
      <c r="N16" s="278">
        <f t="shared" si="12"/>
        <v>80792.75</v>
      </c>
      <c r="O16">
        <f t="shared" si="13"/>
        <v>16.149999999999999</v>
      </c>
      <c r="P16">
        <f t="shared" si="14"/>
        <v>3762.95</v>
      </c>
      <c r="Q16" s="279">
        <f t="shared" si="10"/>
        <v>128161.65</v>
      </c>
    </row>
    <row r="17" spans="1:17" ht="15" thickBot="1">
      <c r="A17" s="61"/>
      <c r="B17" s="66" t="s">
        <v>301</v>
      </c>
      <c r="C17" s="2"/>
      <c r="D17" s="2"/>
      <c r="H17" s="2"/>
      <c r="I17" s="2"/>
      <c r="J17" s="2"/>
      <c r="K17" s="233">
        <f t="shared" si="8"/>
        <v>203.29999999999998</v>
      </c>
      <c r="L17" s="235">
        <f t="shared" si="11"/>
        <v>161826.79999999999</v>
      </c>
      <c r="M17" s="235">
        <f t="shared" si="9"/>
        <v>346.75</v>
      </c>
      <c r="N17" s="278">
        <f t="shared" si="12"/>
        <v>276013</v>
      </c>
      <c r="O17">
        <f t="shared" si="13"/>
        <v>16.149999999999999</v>
      </c>
      <c r="P17">
        <f t="shared" si="14"/>
        <v>12855.4</v>
      </c>
      <c r="Q17" s="279">
        <f t="shared" si="10"/>
        <v>437839.8</v>
      </c>
    </row>
    <row r="18" spans="1:17" ht="44" thickBot="1">
      <c r="A18" s="68" t="s">
        <v>82</v>
      </c>
      <c r="B18" s="74">
        <v>27.4</v>
      </c>
      <c r="C18" s="57" t="s">
        <v>8</v>
      </c>
      <c r="D18" s="132" t="s">
        <v>83</v>
      </c>
      <c r="E18" s="338" t="s">
        <v>84</v>
      </c>
      <c r="F18" s="198" t="s">
        <v>226</v>
      </c>
      <c r="G18" s="2"/>
      <c r="H18" s="2"/>
      <c r="I18" s="2"/>
      <c r="J18" s="2"/>
      <c r="K18" s="282"/>
      <c r="L18" s="289">
        <f>SUM(L12:L17)</f>
        <v>564360.80000000005</v>
      </c>
      <c r="M18" s="290"/>
      <c r="N18" s="285">
        <f t="shared" ref="N18" si="15">SUM(N12:N17)</f>
        <v>962578</v>
      </c>
      <c r="P18" s="286">
        <f t="shared" ref="P18:Q18" si="16">SUM(P12:P17)</f>
        <v>44832.399999999994</v>
      </c>
      <c r="Q18" s="286">
        <f t="shared" si="16"/>
        <v>1526938.7999999998</v>
      </c>
    </row>
    <row r="19" spans="1:17">
      <c r="A19" s="75" t="s">
        <v>86</v>
      </c>
      <c r="B19" s="76">
        <f>B14-B12+1</f>
        <v>214</v>
      </c>
      <c r="C19" s="248">
        <f>'Maintenance '!BI61/($B19*COUNTA($B$2:$B$8))</f>
        <v>0</v>
      </c>
      <c r="D19" s="196">
        <v>0.95</v>
      </c>
      <c r="E19" s="235">
        <f>F19*D19</f>
        <v>203.29999999999998</v>
      </c>
      <c r="F19" s="57">
        <f>B19</f>
        <v>214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7" ht="15" thickBot="1">
      <c r="A20" s="195" t="s">
        <v>87</v>
      </c>
      <c r="B20" s="79">
        <f>B15-B14</f>
        <v>365</v>
      </c>
      <c r="C20" s="248">
        <f>'Maintenance '!BJ61/($B20*COUNTA($B$2:$B$8))</f>
        <v>0</v>
      </c>
      <c r="D20" s="196">
        <v>0.95</v>
      </c>
      <c r="E20" s="235">
        <f>F20*D20</f>
        <v>346.75</v>
      </c>
      <c r="F20" s="57">
        <f>B20</f>
        <v>365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7" ht="15" thickBot="1">
      <c r="A21" s="195" t="s">
        <v>302</v>
      </c>
      <c r="B21" s="80">
        <f>B13-B15</f>
        <v>17</v>
      </c>
      <c r="C21" s="248">
        <f>'Maintenance '!BK61/($B21*COUNTA($B$2:$B$8))</f>
        <v>0</v>
      </c>
      <c r="D21" s="57">
        <v>0.95</v>
      </c>
      <c r="E21" s="57">
        <f>F21*D21</f>
        <v>16.149999999999999</v>
      </c>
      <c r="F21" s="57">
        <f>B21</f>
        <v>17</v>
      </c>
    </row>
    <row r="22" spans="1:17" ht="15" thickBot="1">
      <c r="A22" s="63" t="s">
        <v>88</v>
      </c>
    </row>
    <row r="23" spans="1:17">
      <c r="A23" s="197" t="s">
        <v>243</v>
      </c>
      <c r="B23" s="194">
        <v>2190</v>
      </c>
      <c r="C23" s="225">
        <f>'Maintenance '!BL61/B23</f>
        <v>0</v>
      </c>
    </row>
  </sheetData>
  <mergeCells count="7">
    <mergeCell ref="J11:J12"/>
    <mergeCell ref="A2:A7"/>
    <mergeCell ref="E11:E12"/>
    <mergeCell ref="F11:F12"/>
    <mergeCell ref="G11:G12"/>
    <mergeCell ref="H11:H12"/>
    <mergeCell ref="I11:I1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2B7D-2720-4C03-995A-B0F814A294E0}">
  <dimension ref="A1:T39"/>
  <sheetViews>
    <sheetView zoomScale="90" zoomScaleNormal="90" workbookViewId="0">
      <selection activeCell="D37" sqref="D37"/>
    </sheetView>
  </sheetViews>
  <sheetFormatPr defaultRowHeight="14.5"/>
  <cols>
    <col min="1" max="1" width="77.1796875" bestFit="1" customWidth="1"/>
    <col min="5" max="5" width="39.54296875" bestFit="1" customWidth="1"/>
    <col min="7" max="7" width="77.1796875" bestFit="1" customWidth="1"/>
    <col min="8" max="8" width="15.7265625" bestFit="1" customWidth="1"/>
    <col min="12" max="12" width="77.1796875" bestFit="1" customWidth="1"/>
    <col min="13" max="13" width="15.7265625" bestFit="1" customWidth="1"/>
    <col min="17" max="17" width="79.1796875" customWidth="1"/>
    <col min="20" max="20" width="8.7265625" customWidth="1"/>
  </cols>
  <sheetData>
    <row r="1" spans="1:20" ht="14.5" customHeight="1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  <c r="Q1" s="535" t="s">
        <v>276</v>
      </c>
      <c r="R1" s="535"/>
      <c r="S1" s="535"/>
      <c r="T1" s="535"/>
    </row>
    <row r="2" spans="1:2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2"/>
      <c r="R2" s="2"/>
      <c r="S2" s="2"/>
      <c r="T2" s="2"/>
    </row>
    <row r="3" spans="1:20" ht="12.65" customHeight="1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  <c r="Q3" s="533" t="s">
        <v>91</v>
      </c>
      <c r="R3" s="519"/>
      <c r="S3" s="519"/>
      <c r="T3" s="519"/>
    </row>
    <row r="4" spans="1:20" ht="17.149999999999999" customHeight="1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  <c r="Q4" s="9" t="s">
        <v>93</v>
      </c>
      <c r="R4" s="9" t="s">
        <v>94</v>
      </c>
      <c r="S4" s="9" t="s">
        <v>35</v>
      </c>
      <c r="T4" s="86">
        <v>0</v>
      </c>
    </row>
    <row r="5" spans="1:20" ht="22.5" customHeight="1">
      <c r="A5" s="9" t="s">
        <v>96</v>
      </c>
      <c r="B5" s="9" t="s">
        <v>97</v>
      </c>
      <c r="C5" s="9"/>
      <c r="D5" s="87">
        <f>'GS5827 PTDs'!Q8</f>
        <v>1084839.2</v>
      </c>
      <c r="E5" s="85" t="s">
        <v>98</v>
      </c>
      <c r="F5" s="2"/>
      <c r="G5" s="9" t="s">
        <v>96</v>
      </c>
      <c r="H5" s="9" t="s">
        <v>97</v>
      </c>
      <c r="I5" s="9"/>
      <c r="J5" s="87">
        <f>'GS5827 PTDs'!L8</f>
        <v>389522.8</v>
      </c>
      <c r="K5" s="2"/>
      <c r="L5" s="9" t="s">
        <v>96</v>
      </c>
      <c r="M5" s="9" t="s">
        <v>97</v>
      </c>
      <c r="N5" s="9"/>
      <c r="O5" s="87">
        <f>'GS5827 PTDs'!N8</f>
        <v>664373</v>
      </c>
      <c r="Q5" s="9" t="s">
        <v>96</v>
      </c>
      <c r="R5" s="9" t="s">
        <v>97</v>
      </c>
      <c r="S5" s="9"/>
      <c r="T5" s="87">
        <f>'GS5827 PTDs'!P8</f>
        <v>30943.4</v>
      </c>
    </row>
    <row r="6" spans="1:20" ht="20.149999999999999" customHeight="1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  <c r="Q6" s="9" t="s">
        <v>99</v>
      </c>
      <c r="R6" s="9" t="s">
        <v>100</v>
      </c>
      <c r="S6" s="9" t="s">
        <v>101</v>
      </c>
      <c r="T6" s="86">
        <v>4.0000000000000002E-4</v>
      </c>
    </row>
    <row r="7" spans="1:20" ht="20.5" customHeight="1">
      <c r="A7" s="88" t="s">
        <v>103</v>
      </c>
      <c r="B7" s="9" t="s">
        <v>104</v>
      </c>
      <c r="C7" s="9" t="s">
        <v>105</v>
      </c>
      <c r="D7" s="86">
        <v>7.5</v>
      </c>
      <c r="E7" s="85" t="s">
        <v>162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  <c r="Q7" s="88" t="s">
        <v>103</v>
      </c>
      <c r="R7" s="9" t="s">
        <v>104</v>
      </c>
      <c r="S7" s="9" t="s">
        <v>105</v>
      </c>
      <c r="T7" s="86">
        <v>7.5</v>
      </c>
    </row>
    <row r="8" spans="1:20" ht="21.65" customHeight="1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  <c r="Q8" s="88" t="s">
        <v>107</v>
      </c>
      <c r="R8" s="9" t="s">
        <v>108</v>
      </c>
      <c r="S8" s="9" t="s">
        <v>105</v>
      </c>
      <c r="T8" s="86">
        <v>0</v>
      </c>
    </row>
    <row r="9" spans="1:20">
      <c r="A9" s="9" t="s">
        <v>110</v>
      </c>
      <c r="B9" s="9" t="s">
        <v>111</v>
      </c>
      <c r="C9" s="9" t="s">
        <v>112</v>
      </c>
      <c r="D9" s="86">
        <f>ROUNDDOWN((1-D4)*D5*D6*(D7+D8),0)</f>
        <v>3254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1168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1993</v>
      </c>
      <c r="Q9" s="9" t="s">
        <v>110</v>
      </c>
      <c r="R9" s="9" t="s">
        <v>111</v>
      </c>
      <c r="S9" s="9" t="s">
        <v>112</v>
      </c>
      <c r="T9" s="86">
        <f>ROUNDDOWN((1-T4)*T5*T6*(T7+T8),0)</f>
        <v>92</v>
      </c>
    </row>
    <row r="10" spans="1:20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Q10" s="2"/>
      <c r="R10" s="2"/>
      <c r="S10" s="2"/>
      <c r="T10" s="2"/>
    </row>
    <row r="11" spans="1:20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  <c r="Q11" s="533" t="s">
        <v>113</v>
      </c>
      <c r="R11" s="519"/>
      <c r="S11" s="519"/>
      <c r="T11" s="519"/>
    </row>
    <row r="12" spans="1:20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  <c r="Q12" s="9" t="s">
        <v>114</v>
      </c>
      <c r="R12" s="9" t="s">
        <v>94</v>
      </c>
      <c r="S12" s="9" t="s">
        <v>35</v>
      </c>
      <c r="T12" s="86">
        <v>0</v>
      </c>
    </row>
    <row r="13" spans="1:20" ht="13.5" customHeight="1">
      <c r="A13" s="9" t="s">
        <v>96</v>
      </c>
      <c r="B13" s="9" t="s">
        <v>97</v>
      </c>
      <c r="C13" s="9"/>
      <c r="D13" s="87">
        <f>D5</f>
        <v>1084839.2</v>
      </c>
      <c r="E13" s="85" t="s">
        <v>115</v>
      </c>
      <c r="F13" s="2"/>
      <c r="G13" s="9" t="s">
        <v>96</v>
      </c>
      <c r="H13" s="9" t="s">
        <v>97</v>
      </c>
      <c r="I13" s="9"/>
      <c r="J13" s="87">
        <f>J5</f>
        <v>389522.8</v>
      </c>
      <c r="K13" s="2"/>
      <c r="L13" s="9" t="s">
        <v>96</v>
      </c>
      <c r="M13" s="9" t="s">
        <v>97</v>
      </c>
      <c r="N13" s="9"/>
      <c r="O13" s="87">
        <f>O5</f>
        <v>664373</v>
      </c>
      <c r="Q13" s="9" t="s">
        <v>96</v>
      </c>
      <c r="R13" s="9" t="s">
        <v>97</v>
      </c>
      <c r="S13" s="9"/>
      <c r="T13" s="87">
        <f>T5</f>
        <v>30943.4</v>
      </c>
    </row>
    <row r="14" spans="1:20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  <c r="Q14" s="9" t="s">
        <v>116</v>
      </c>
      <c r="R14" s="9" t="s">
        <v>117</v>
      </c>
      <c r="S14" s="9" t="s">
        <v>101</v>
      </c>
      <c r="T14" s="86">
        <v>4.0000000000000002E-4</v>
      </c>
    </row>
    <row r="15" spans="1:20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  <c r="Q15" s="9" t="s">
        <v>118</v>
      </c>
      <c r="R15" s="9" t="s">
        <v>108</v>
      </c>
      <c r="S15" s="9" t="s">
        <v>105</v>
      </c>
      <c r="T15" s="86">
        <v>0</v>
      </c>
    </row>
    <row r="16" spans="1:20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  <c r="Q16" s="9" t="s">
        <v>119</v>
      </c>
      <c r="R16" s="9" t="s">
        <v>120</v>
      </c>
      <c r="S16" s="9" t="s">
        <v>105</v>
      </c>
      <c r="T16" s="86">
        <v>0</v>
      </c>
    </row>
    <row r="17" spans="1:20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121</v>
      </c>
      <c r="M17" s="9" t="s">
        <v>122</v>
      </c>
      <c r="N17" s="9" t="s">
        <v>112</v>
      </c>
      <c r="O17" s="86">
        <f>ROUNDDOWN((1+O12)*O13*O14*(O16+O16),0)</f>
        <v>0</v>
      </c>
      <c r="Q17" s="9" t="s">
        <v>121</v>
      </c>
      <c r="R17" s="9" t="s">
        <v>122</v>
      </c>
      <c r="S17" s="9" t="s">
        <v>112</v>
      </c>
      <c r="T17" s="86">
        <f>ROUNDDOWN((1+T12)*T13*T14*(T16+T16),0)</f>
        <v>0</v>
      </c>
    </row>
    <row r="18" spans="1:20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  <c r="Q18" s="2"/>
      <c r="R18" s="2"/>
      <c r="S18" s="2"/>
      <c r="T18" s="2"/>
    </row>
    <row r="19" spans="1:20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  <c r="Q19" s="533" t="s">
        <v>123</v>
      </c>
      <c r="R19" s="519"/>
      <c r="S19" s="519"/>
      <c r="T19" s="519"/>
    </row>
    <row r="20" spans="1:20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  <c r="Q20" s="88" t="s">
        <v>124</v>
      </c>
      <c r="R20" s="9" t="s">
        <v>124</v>
      </c>
      <c r="S20" s="9" t="s">
        <v>125</v>
      </c>
      <c r="T20" s="86">
        <v>0.97</v>
      </c>
    </row>
    <row r="21" spans="1:20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  <c r="Q21" s="9" t="s">
        <v>127</v>
      </c>
      <c r="R21" s="9" t="s">
        <v>130</v>
      </c>
      <c r="S21" s="9" t="s">
        <v>129</v>
      </c>
      <c r="T21" s="86">
        <v>112</v>
      </c>
    </row>
    <row r="22" spans="1:20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D22</f>
        <v>9.4600000000000009</v>
      </c>
      <c r="Q22" s="9" t="s">
        <v>131</v>
      </c>
      <c r="R22" s="9" t="s">
        <v>134</v>
      </c>
      <c r="S22" s="9" t="s">
        <v>133</v>
      </c>
      <c r="T22" s="86">
        <f>O22</f>
        <v>9.4600000000000009</v>
      </c>
    </row>
    <row r="23" spans="1:20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  <c r="Q23" s="9" t="s">
        <v>135</v>
      </c>
      <c r="R23" s="9" t="s">
        <v>136</v>
      </c>
      <c r="S23" s="9" t="s">
        <v>137</v>
      </c>
      <c r="T23" s="86">
        <v>1.5599999999999999E-2</v>
      </c>
    </row>
    <row r="24" spans="1:20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  <c r="Q24" s="2"/>
      <c r="R24" s="2"/>
      <c r="S24" s="2"/>
      <c r="T24" s="2"/>
    </row>
    <row r="25" spans="1:20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  <c r="Q25" s="533" t="s">
        <v>19</v>
      </c>
      <c r="R25" s="519"/>
      <c r="S25" s="519"/>
      <c r="T25" s="519"/>
    </row>
    <row r="26" spans="1:20">
      <c r="A26" s="9" t="s">
        <v>28</v>
      </c>
      <c r="B26" s="9" t="s">
        <v>29</v>
      </c>
      <c r="C26" s="9" t="s">
        <v>30</v>
      </c>
      <c r="D26" s="87">
        <f>ROUNDDOWN(D9*((D20*D21)+D22)*D23,0)</f>
        <v>5995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2151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3671</v>
      </c>
      <c r="Q26" s="9" t="s">
        <v>28</v>
      </c>
      <c r="R26" s="9" t="s">
        <v>29</v>
      </c>
      <c r="S26" s="9" t="s">
        <v>30</v>
      </c>
      <c r="T26" s="87">
        <f>ROUNDDOWN(T9*((T20*T21)+T22)*T23,0)</f>
        <v>169</v>
      </c>
    </row>
    <row r="27" spans="1:20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O17*((O20*O21)+O22)*O230</f>
        <v>0</v>
      </c>
      <c r="Q27" s="9" t="s">
        <v>31</v>
      </c>
      <c r="R27" s="9" t="s">
        <v>32</v>
      </c>
      <c r="S27" s="9" t="s">
        <v>30</v>
      </c>
      <c r="T27" s="86">
        <f>T17*((T20*T21)+T22)*T230</f>
        <v>0</v>
      </c>
    </row>
    <row r="28" spans="1:20" ht="16.5" customHeight="1">
      <c r="A28" s="9" t="s">
        <v>33</v>
      </c>
      <c r="B28" s="9" t="s">
        <v>34</v>
      </c>
      <c r="C28" s="9" t="s">
        <v>35</v>
      </c>
      <c r="D28" s="86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6">
        <f>D28</f>
        <v>0.95</v>
      </c>
      <c r="K28" s="2"/>
      <c r="L28" s="9" t="s">
        <v>33</v>
      </c>
      <c r="M28" s="9" t="s">
        <v>34</v>
      </c>
      <c r="N28" s="9" t="s">
        <v>35</v>
      </c>
      <c r="O28" s="86">
        <f>D28</f>
        <v>0.95</v>
      </c>
      <c r="Q28" s="9" t="s">
        <v>33</v>
      </c>
      <c r="R28" s="9" t="s">
        <v>34</v>
      </c>
      <c r="S28" s="9" t="s">
        <v>35</v>
      </c>
      <c r="T28" s="86">
        <f>O28</f>
        <v>0.95</v>
      </c>
    </row>
    <row r="29" spans="1:20" ht="18" customHeight="1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  <c r="Q29" s="9" t="s">
        <v>36</v>
      </c>
      <c r="R29" s="9" t="s">
        <v>37</v>
      </c>
      <c r="S29" s="9" t="s">
        <v>30</v>
      </c>
      <c r="T29" s="86">
        <v>0</v>
      </c>
    </row>
    <row r="30" spans="1:20">
      <c r="A30" s="9" t="s">
        <v>90</v>
      </c>
      <c r="B30" s="9" t="s">
        <v>39</v>
      </c>
      <c r="C30" s="9" t="s">
        <v>30</v>
      </c>
      <c r="D30" s="86">
        <f>ROUNDDOWN(((D26-D27)*D28)-D29,0)</f>
        <v>5695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2043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3487</v>
      </c>
      <c r="Q30" s="9" t="s">
        <v>90</v>
      </c>
      <c r="R30" s="9" t="s">
        <v>39</v>
      </c>
      <c r="S30" s="9" t="s">
        <v>30</v>
      </c>
      <c r="T30" s="86">
        <f>ROUNDDOWN(((T26-T27)*T28)-T29,0)</f>
        <v>160</v>
      </c>
    </row>
    <row r="31" spans="1:20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  <c r="Q31" s="2"/>
      <c r="R31" s="2"/>
      <c r="S31" s="2"/>
      <c r="T31" s="2"/>
    </row>
    <row r="32" spans="1:20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  <c r="Q32" s="533" t="s">
        <v>40</v>
      </c>
      <c r="R32" s="519"/>
      <c r="S32" s="519"/>
      <c r="T32" s="519"/>
    </row>
    <row r="33" spans="1:20" ht="24" customHeight="1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M33" s="9"/>
      <c r="N33" s="16"/>
      <c r="O33" s="91">
        <v>1</v>
      </c>
      <c r="Q33" s="90" t="s">
        <v>41</v>
      </c>
      <c r="R33" s="9"/>
      <c r="S33" s="16"/>
      <c r="T33" s="91">
        <v>1</v>
      </c>
    </row>
    <row r="34" spans="1:20" ht="13" customHeight="1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  <c r="Q34" s="90" t="s">
        <v>277</v>
      </c>
      <c r="R34" s="9" t="s">
        <v>42</v>
      </c>
      <c r="S34" s="16" t="s">
        <v>44</v>
      </c>
      <c r="T34" s="91">
        <v>0</v>
      </c>
    </row>
    <row r="35" spans="1:20">
      <c r="A35" s="93" t="s">
        <v>140</v>
      </c>
      <c r="B35" s="94" t="s">
        <v>39</v>
      </c>
      <c r="C35" s="95" t="s">
        <v>30</v>
      </c>
      <c r="D35" s="246">
        <f>ROUNDDOWN(D30*(1-D34),0)</f>
        <v>5695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2043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3487</v>
      </c>
      <c r="Q35" s="93" t="s">
        <v>140</v>
      </c>
      <c r="R35" s="94" t="s">
        <v>39</v>
      </c>
      <c r="S35" s="95" t="s">
        <v>30</v>
      </c>
      <c r="T35" s="96">
        <f>ROUNDDOWN(T30*(1-T34),0)</f>
        <v>160</v>
      </c>
    </row>
    <row r="36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</row>
    <row r="37" spans="1:20">
      <c r="A37" s="93" t="s">
        <v>141</v>
      </c>
      <c r="B37" s="94"/>
      <c r="C37" s="95" t="s">
        <v>30</v>
      </c>
      <c r="D37" s="96">
        <f>J37+O37+T37</f>
        <v>5690</v>
      </c>
      <c r="E37" s="2"/>
      <c r="F37" s="2"/>
      <c r="G37" s="93" t="s">
        <v>141</v>
      </c>
      <c r="H37" s="94"/>
      <c r="I37" s="95" t="s">
        <v>30</v>
      </c>
      <c r="J37" s="96">
        <f>IF(J35&gt;'GS5827 PTDs'!B18*'GS5827 PTDs'!B19,'GS5827 PTDs'!B18*'GS5827 PTDs'!B19,'GS5827 ER Calcs'!J35)</f>
        <v>2043</v>
      </c>
      <c r="K37" s="2"/>
      <c r="L37" s="93" t="s">
        <v>141</v>
      </c>
      <c r="M37" s="94"/>
      <c r="N37" s="95" t="s">
        <v>30</v>
      </c>
      <c r="O37" s="96">
        <f>IF(O35&gt;'GS5827 PTDs'!B18*'GS5827 PTDs'!B20,'GS5827 PTDs'!B18*'GS5827 PTDs'!B20,'GS5827 ER Calcs'!O35)</f>
        <v>3487</v>
      </c>
      <c r="Q37" s="93" t="s">
        <v>141</v>
      </c>
      <c r="R37" s="94"/>
      <c r="S37" s="95" t="s">
        <v>30</v>
      </c>
      <c r="T37" s="96">
        <f>IF(T35&gt;'GS5827 PTDs'!B18*'GS5827 PTDs'!B21,'GS5827 PTDs'!B18*'GS5827 PTDs'!B21,'GS5827 ER Calcs'!T35)</f>
        <v>160</v>
      </c>
    </row>
    <row r="38" spans="1:2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</row>
    <row r="39" spans="1:20">
      <c r="A39" s="1" t="s">
        <v>142</v>
      </c>
      <c r="B39" s="2"/>
      <c r="C39" s="2"/>
      <c r="D39" s="2"/>
      <c r="E39" s="2"/>
      <c r="F39" s="2"/>
      <c r="G39" s="1" t="s">
        <v>142</v>
      </c>
      <c r="H39" s="2"/>
      <c r="I39" s="2"/>
      <c r="J39" s="2"/>
      <c r="K39" s="2"/>
      <c r="L39" s="1" t="s">
        <v>142</v>
      </c>
      <c r="M39" s="2"/>
      <c r="N39" s="2"/>
      <c r="O39" s="2"/>
      <c r="Q39" s="1"/>
      <c r="R39" s="2"/>
      <c r="S39" s="2"/>
      <c r="T39" s="2"/>
    </row>
  </sheetData>
  <mergeCells count="24">
    <mergeCell ref="G11:J11"/>
    <mergeCell ref="L11:O11"/>
    <mergeCell ref="A1:D1"/>
    <mergeCell ref="G1:J1"/>
    <mergeCell ref="L1:O1"/>
    <mergeCell ref="A3:D3"/>
    <mergeCell ref="G3:J3"/>
    <mergeCell ref="L3:O3"/>
    <mergeCell ref="A11:D11"/>
    <mergeCell ref="A32:D32"/>
    <mergeCell ref="G32:J32"/>
    <mergeCell ref="L32:O32"/>
    <mergeCell ref="A19:D19"/>
    <mergeCell ref="G19:J19"/>
    <mergeCell ref="L19:O19"/>
    <mergeCell ref="A25:D25"/>
    <mergeCell ref="G25:J25"/>
    <mergeCell ref="L25:O25"/>
    <mergeCell ref="Q32:T32"/>
    <mergeCell ref="Q1:T1"/>
    <mergeCell ref="Q3:T3"/>
    <mergeCell ref="Q11:T11"/>
    <mergeCell ref="Q19:T19"/>
    <mergeCell ref="Q25:T25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D324-52BB-45FA-BBE2-AEF509B2D034}">
  <dimension ref="A1:Y39"/>
  <sheetViews>
    <sheetView workbookViewId="0">
      <selection activeCell="E6" sqref="E6"/>
    </sheetView>
  </sheetViews>
  <sheetFormatPr defaultColWidth="23.54296875" defaultRowHeight="14.5"/>
  <cols>
    <col min="1" max="1" width="77.1796875" bestFit="1" customWidth="1"/>
    <col min="2" max="2" width="15.7265625" bestFit="1" customWidth="1"/>
    <col min="3" max="3" width="10" bestFit="1" customWidth="1"/>
    <col min="4" max="4" width="11.81640625" bestFit="1" customWidth="1"/>
    <col min="5" max="5" width="22.54296875" bestFit="1" customWidth="1"/>
    <col min="7" max="7" width="77.1796875" bestFit="1" customWidth="1"/>
    <col min="8" max="8" width="15.7265625" bestFit="1" customWidth="1"/>
    <col min="9" max="9" width="10" bestFit="1" customWidth="1"/>
    <col min="10" max="10" width="11.81640625" bestFit="1" customWidth="1"/>
    <col min="12" max="12" width="77.1796875" bestFit="1" customWidth="1"/>
    <col min="13" max="13" width="15.7265625" bestFit="1" customWidth="1"/>
    <col min="14" max="14" width="10" bestFit="1" customWidth="1"/>
    <col min="15" max="15" width="11.81640625" bestFit="1" customWidth="1"/>
    <col min="17" max="17" width="77.1796875" bestFit="1" customWidth="1"/>
    <col min="18" max="18" width="15.7265625" bestFit="1" customWidth="1"/>
    <col min="19" max="19" width="10" bestFit="1" customWidth="1"/>
    <col min="20" max="20" width="11.81640625" bestFit="1" customWidth="1"/>
    <col min="22" max="22" width="77.1796875" bestFit="1" customWidth="1"/>
    <col min="23" max="23" width="15.7265625" bestFit="1" customWidth="1"/>
    <col min="24" max="24" width="10" bestFit="1" customWidth="1"/>
    <col min="25" max="25" width="11.81640625" bestFit="1" customWidth="1"/>
  </cols>
  <sheetData>
    <row r="1" spans="1:25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  <c r="Q1" s="535" t="s">
        <v>276</v>
      </c>
      <c r="R1" s="535"/>
      <c r="S1" s="535"/>
      <c r="T1" s="535"/>
      <c r="V1" s="550"/>
      <c r="W1" s="550"/>
      <c r="X1" s="550"/>
      <c r="Y1" s="550"/>
    </row>
    <row r="2" spans="1: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2"/>
      <c r="R2" s="2"/>
      <c r="S2" s="2"/>
      <c r="T2" s="2"/>
      <c r="V2" s="1"/>
      <c r="W2" s="1"/>
      <c r="X2" s="1"/>
      <c r="Y2" s="1"/>
    </row>
    <row r="3" spans="1:25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  <c r="Q3" s="533" t="s">
        <v>91</v>
      </c>
      <c r="R3" s="519"/>
      <c r="S3" s="519"/>
      <c r="T3" s="519"/>
      <c r="V3" s="554"/>
      <c r="W3" s="554"/>
      <c r="X3" s="554"/>
      <c r="Y3" s="554"/>
    </row>
    <row r="4" spans="1:25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  <c r="Q4" s="9" t="s">
        <v>93</v>
      </c>
      <c r="R4" s="9" t="s">
        <v>94</v>
      </c>
      <c r="S4" s="9" t="s">
        <v>35</v>
      </c>
      <c r="T4" s="86">
        <v>0</v>
      </c>
      <c r="V4" s="1"/>
      <c r="W4" s="1"/>
      <c r="X4" s="1"/>
      <c r="Y4" s="1"/>
    </row>
    <row r="5" spans="1:25" ht="29">
      <c r="A5" s="9" t="s">
        <v>96</v>
      </c>
      <c r="B5" s="9" t="s">
        <v>97</v>
      </c>
      <c r="C5" s="9"/>
      <c r="D5" s="87">
        <f>'GS5827 PTDs'!Q18</f>
        <v>1526938.7999999998</v>
      </c>
      <c r="E5" s="85" t="s">
        <v>207</v>
      </c>
      <c r="F5" s="2"/>
      <c r="G5" s="9" t="s">
        <v>96</v>
      </c>
      <c r="H5" s="9" t="s">
        <v>97</v>
      </c>
      <c r="I5" s="9"/>
      <c r="J5" s="87">
        <f>'GS5827 PTDs'!L18</f>
        <v>564360.80000000005</v>
      </c>
      <c r="K5" s="2"/>
      <c r="L5" s="9" t="s">
        <v>96</v>
      </c>
      <c r="M5" s="9" t="s">
        <v>97</v>
      </c>
      <c r="N5" s="9"/>
      <c r="O5" s="87">
        <f>'GS5827 PTDs'!N18</f>
        <v>962578</v>
      </c>
      <c r="Q5" s="9" t="s">
        <v>96</v>
      </c>
      <c r="R5" s="9" t="s">
        <v>97</v>
      </c>
      <c r="S5" s="9"/>
      <c r="T5" s="87">
        <f>'GS5827 PTDs'!$P$18</f>
        <v>44832.399999999994</v>
      </c>
      <c r="V5" s="1"/>
      <c r="W5" s="1"/>
      <c r="X5" s="1"/>
      <c r="Y5" s="501"/>
    </row>
    <row r="6" spans="1:25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  <c r="Q6" s="9" t="s">
        <v>99</v>
      </c>
      <c r="R6" s="9" t="s">
        <v>100</v>
      </c>
      <c r="S6" s="9" t="s">
        <v>101</v>
      </c>
      <c r="T6" s="86">
        <v>4.0000000000000002E-4</v>
      </c>
      <c r="V6" s="1"/>
      <c r="W6" s="1"/>
      <c r="X6" s="1"/>
      <c r="Y6" s="1"/>
    </row>
    <row r="7" spans="1:25" ht="29">
      <c r="A7" s="88" t="s">
        <v>103</v>
      </c>
      <c r="B7" s="9" t="s">
        <v>104</v>
      </c>
      <c r="C7" s="9" t="s">
        <v>105</v>
      </c>
      <c r="D7" s="86">
        <v>7.5</v>
      </c>
      <c r="E7" s="85" t="s">
        <v>162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  <c r="Q7" s="88" t="s">
        <v>103</v>
      </c>
      <c r="R7" s="9" t="s">
        <v>104</v>
      </c>
      <c r="S7" s="9" t="s">
        <v>105</v>
      </c>
      <c r="T7" s="86">
        <v>7.5</v>
      </c>
      <c r="V7" s="180"/>
      <c r="W7" s="1"/>
      <c r="X7" s="1"/>
      <c r="Y7" s="1"/>
    </row>
    <row r="8" spans="1:25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  <c r="Q8" s="88" t="s">
        <v>107</v>
      </c>
      <c r="R8" s="9" t="s">
        <v>108</v>
      </c>
      <c r="S8" s="9" t="s">
        <v>105</v>
      </c>
      <c r="T8" s="86">
        <v>0</v>
      </c>
      <c r="V8" s="180"/>
      <c r="W8" s="1"/>
      <c r="X8" s="1"/>
      <c r="Y8" s="1"/>
    </row>
    <row r="9" spans="1:25">
      <c r="A9" s="9" t="s">
        <v>110</v>
      </c>
      <c r="B9" s="9" t="s">
        <v>111</v>
      </c>
      <c r="C9" s="9" t="s">
        <v>112</v>
      </c>
      <c r="D9" s="86">
        <f>ROUNDDOWN((1-D4)*D5*D6*(D7+D8),0)</f>
        <v>4580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1693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2887</v>
      </c>
      <c r="Q9" s="9" t="s">
        <v>110</v>
      </c>
      <c r="R9" s="9" t="s">
        <v>111</v>
      </c>
      <c r="S9" s="9" t="s">
        <v>112</v>
      </c>
      <c r="T9" s="86">
        <f>ROUNDDOWN((1-T4)*T5*T6*(T7+T8),0)</f>
        <v>134</v>
      </c>
      <c r="V9" s="1"/>
      <c r="W9" s="1"/>
      <c r="X9" s="1"/>
      <c r="Y9" s="1"/>
    </row>
    <row r="10" spans="1:25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Q10" s="2"/>
      <c r="R10" s="2"/>
      <c r="S10" s="2"/>
      <c r="T10" s="2"/>
      <c r="V10" s="1"/>
      <c r="W10" s="1"/>
      <c r="X10" s="1"/>
      <c r="Y10" s="1"/>
    </row>
    <row r="11" spans="1:25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  <c r="Q11" s="533" t="s">
        <v>113</v>
      </c>
      <c r="R11" s="519"/>
      <c r="S11" s="519"/>
      <c r="T11" s="519"/>
      <c r="V11" s="554"/>
      <c r="W11" s="554"/>
      <c r="X11" s="554"/>
      <c r="Y11" s="554"/>
    </row>
    <row r="12" spans="1:25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  <c r="Q12" s="9" t="s">
        <v>114</v>
      </c>
      <c r="R12" s="9" t="s">
        <v>94</v>
      </c>
      <c r="S12" s="9" t="s">
        <v>35</v>
      </c>
      <c r="T12" s="86">
        <v>0</v>
      </c>
      <c r="V12" s="1"/>
      <c r="W12" s="1"/>
      <c r="X12" s="1"/>
      <c r="Y12" s="1"/>
    </row>
    <row r="13" spans="1:25" ht="29">
      <c r="A13" s="9" t="s">
        <v>96</v>
      </c>
      <c r="B13" s="9" t="s">
        <v>97</v>
      </c>
      <c r="C13" s="9"/>
      <c r="D13" s="87">
        <f>D5</f>
        <v>1526938.7999999998</v>
      </c>
      <c r="E13" s="85" t="s">
        <v>208</v>
      </c>
      <c r="F13" s="2"/>
      <c r="G13" s="9" t="s">
        <v>96</v>
      </c>
      <c r="H13" s="9" t="s">
        <v>97</v>
      </c>
      <c r="I13" s="9"/>
      <c r="J13" s="87">
        <f>J5</f>
        <v>564360.80000000005</v>
      </c>
      <c r="K13" s="2"/>
      <c r="L13" s="9" t="s">
        <v>96</v>
      </c>
      <c r="M13" s="9" t="s">
        <v>97</v>
      </c>
      <c r="N13" s="9"/>
      <c r="O13" s="87">
        <f>O5</f>
        <v>962578</v>
      </c>
      <c r="Q13" s="9" t="s">
        <v>96</v>
      </c>
      <c r="R13" s="9" t="s">
        <v>97</v>
      </c>
      <c r="S13" s="9"/>
      <c r="T13" s="87">
        <f>T5</f>
        <v>44832.399999999994</v>
      </c>
      <c r="V13" s="1"/>
      <c r="W13" s="1"/>
      <c r="X13" s="1"/>
      <c r="Y13" s="501"/>
    </row>
    <row r="14" spans="1:25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  <c r="Q14" s="9" t="s">
        <v>116</v>
      </c>
      <c r="R14" s="9" t="s">
        <v>117</v>
      </c>
      <c r="S14" s="9" t="s">
        <v>101</v>
      </c>
      <c r="T14" s="86">
        <v>4.0000000000000002E-4</v>
      </c>
      <c r="V14" s="1"/>
      <c r="W14" s="1"/>
      <c r="X14" s="1"/>
      <c r="Y14" s="1"/>
    </row>
    <row r="15" spans="1:25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  <c r="Q15" s="9" t="s">
        <v>118</v>
      </c>
      <c r="R15" s="9" t="s">
        <v>108</v>
      </c>
      <c r="S15" s="9" t="s">
        <v>105</v>
      </c>
      <c r="T15" s="86">
        <v>0</v>
      </c>
      <c r="V15" s="1"/>
      <c r="W15" s="1"/>
      <c r="X15" s="1"/>
      <c r="Y15" s="1"/>
    </row>
    <row r="16" spans="1:25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  <c r="Q16" s="9" t="s">
        <v>119</v>
      </c>
      <c r="R16" s="9" t="s">
        <v>120</v>
      </c>
      <c r="S16" s="9" t="s">
        <v>105</v>
      </c>
      <c r="T16" s="86">
        <v>0</v>
      </c>
      <c r="V16" s="1"/>
      <c r="W16" s="1"/>
      <c r="X16" s="1"/>
      <c r="Y16" s="1"/>
    </row>
    <row r="17" spans="1:25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121</v>
      </c>
      <c r="M17" s="9" t="s">
        <v>122</v>
      </c>
      <c r="N17" s="9" t="s">
        <v>112</v>
      </c>
      <c r="O17" s="86">
        <f>ROUNDDOWN((1+O12)*O13*O14*(O16+O16),0)</f>
        <v>0</v>
      </c>
      <c r="Q17" s="9" t="s">
        <v>121</v>
      </c>
      <c r="R17" s="9" t="s">
        <v>122</v>
      </c>
      <c r="S17" s="9" t="s">
        <v>112</v>
      </c>
      <c r="T17" s="86">
        <f>ROUNDDOWN((1+T12)*T13*T14*(T16+T16),0)</f>
        <v>0</v>
      </c>
      <c r="V17" s="1"/>
      <c r="W17" s="1"/>
      <c r="X17" s="1"/>
      <c r="Y17" s="1"/>
    </row>
    <row r="18" spans="1:25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  <c r="Q18" s="2"/>
      <c r="R18" s="2"/>
      <c r="S18" s="2"/>
      <c r="T18" s="2"/>
      <c r="V18" s="1"/>
      <c r="W18" s="1"/>
      <c r="X18" s="1"/>
      <c r="Y18" s="1"/>
    </row>
    <row r="19" spans="1:25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  <c r="Q19" s="533" t="s">
        <v>123</v>
      </c>
      <c r="R19" s="519"/>
      <c r="S19" s="519"/>
      <c r="T19" s="519"/>
      <c r="V19" s="554"/>
      <c r="W19" s="554"/>
      <c r="X19" s="554"/>
      <c r="Y19" s="554"/>
    </row>
    <row r="20" spans="1:25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  <c r="Q20" s="88" t="s">
        <v>124</v>
      </c>
      <c r="R20" s="9" t="s">
        <v>124</v>
      </c>
      <c r="S20" s="9" t="s">
        <v>125</v>
      </c>
      <c r="T20" s="86">
        <v>0.97</v>
      </c>
      <c r="V20" s="180"/>
      <c r="W20" s="1"/>
      <c r="X20" s="1"/>
      <c r="Y20" s="1"/>
    </row>
    <row r="21" spans="1:25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  <c r="Q21" s="9" t="s">
        <v>127</v>
      </c>
      <c r="R21" s="9" t="s">
        <v>130</v>
      </c>
      <c r="S21" s="9" t="s">
        <v>129</v>
      </c>
      <c r="T21" s="86">
        <v>112</v>
      </c>
      <c r="V21" s="1"/>
      <c r="W21" s="1"/>
      <c r="X21" s="1"/>
      <c r="Y21" s="1"/>
    </row>
    <row r="22" spans="1:25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D22</f>
        <v>9.4600000000000009</v>
      </c>
      <c r="Q22" s="9" t="s">
        <v>131</v>
      </c>
      <c r="R22" s="9" t="s">
        <v>134</v>
      </c>
      <c r="S22" s="9" t="s">
        <v>133</v>
      </c>
      <c r="T22" s="86">
        <f>D22</f>
        <v>9.4600000000000009</v>
      </c>
      <c r="V22" s="1"/>
      <c r="W22" s="1"/>
      <c r="X22" s="1"/>
      <c r="Y22" s="1"/>
    </row>
    <row r="23" spans="1:25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  <c r="Q23" s="9" t="s">
        <v>135</v>
      </c>
      <c r="R23" s="9" t="s">
        <v>136</v>
      </c>
      <c r="S23" s="9" t="s">
        <v>137</v>
      </c>
      <c r="T23" s="86">
        <v>1.5599999999999999E-2</v>
      </c>
      <c r="V23" s="1"/>
      <c r="W23" s="1"/>
      <c r="X23" s="1"/>
      <c r="Y23" s="1"/>
    </row>
    <row r="24" spans="1:25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  <c r="Q24" s="2"/>
      <c r="R24" s="2"/>
      <c r="S24" s="2"/>
      <c r="T24" s="2"/>
      <c r="V24" s="1"/>
      <c r="W24" s="1"/>
      <c r="X24" s="1"/>
      <c r="Y24" s="1"/>
    </row>
    <row r="25" spans="1:25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  <c r="Q25" s="533" t="s">
        <v>19</v>
      </c>
      <c r="R25" s="519"/>
      <c r="S25" s="519"/>
      <c r="T25" s="519"/>
      <c r="V25" s="554"/>
      <c r="W25" s="554"/>
      <c r="X25" s="554"/>
      <c r="Y25" s="554"/>
    </row>
    <row r="26" spans="1:25">
      <c r="A26" s="9" t="s">
        <v>28</v>
      </c>
      <c r="B26" s="9" t="s">
        <v>29</v>
      </c>
      <c r="C26" s="9" t="s">
        <v>30</v>
      </c>
      <c r="D26" s="87">
        <f>ROUNDDOWN(D9*((D20*D21)+D22)*D23,0)</f>
        <v>8438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3119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5318</v>
      </c>
      <c r="Q26" s="9" t="s">
        <v>28</v>
      </c>
      <c r="R26" s="9" t="s">
        <v>29</v>
      </c>
      <c r="S26" s="9" t="s">
        <v>30</v>
      </c>
      <c r="T26" s="87">
        <f>ROUNDDOWN(T9*((T20*T21)+T22)*T23,0)</f>
        <v>246</v>
      </c>
      <c r="V26" s="1"/>
      <c r="W26" s="1"/>
      <c r="X26" s="1"/>
      <c r="Y26" s="501"/>
    </row>
    <row r="27" spans="1:25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O17*((O20*O21)+O22)*O230</f>
        <v>0</v>
      </c>
      <c r="Q27" s="9" t="s">
        <v>31</v>
      </c>
      <c r="R27" s="9" t="s">
        <v>32</v>
      </c>
      <c r="S27" s="9" t="s">
        <v>30</v>
      </c>
      <c r="T27" s="86">
        <f>T17*((T20*T21)+T22)*T230</f>
        <v>0</v>
      </c>
      <c r="V27" s="1"/>
      <c r="W27" s="1"/>
      <c r="X27" s="1"/>
      <c r="Y27" s="1"/>
    </row>
    <row r="28" spans="1:25" ht="29">
      <c r="A28" s="9" t="s">
        <v>33</v>
      </c>
      <c r="B28" s="9" t="s">
        <v>34</v>
      </c>
      <c r="C28" s="9" t="s">
        <v>35</v>
      </c>
      <c r="D28" s="86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6">
        <f>D28</f>
        <v>0.95</v>
      </c>
      <c r="K28" s="2"/>
      <c r="L28" s="9" t="s">
        <v>33</v>
      </c>
      <c r="M28" s="9" t="s">
        <v>34</v>
      </c>
      <c r="N28" s="9" t="s">
        <v>35</v>
      </c>
      <c r="O28" s="86">
        <f>D28</f>
        <v>0.95</v>
      </c>
      <c r="Q28" s="9" t="s">
        <v>33</v>
      </c>
      <c r="R28" s="9" t="s">
        <v>34</v>
      </c>
      <c r="S28" s="9" t="s">
        <v>35</v>
      </c>
      <c r="T28" s="86">
        <f>D28</f>
        <v>0.95</v>
      </c>
      <c r="V28" s="1"/>
      <c r="W28" s="1"/>
      <c r="X28" s="1"/>
      <c r="Y28" s="1"/>
    </row>
    <row r="29" spans="1:25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  <c r="Q29" s="9" t="s">
        <v>36</v>
      </c>
      <c r="R29" s="9" t="s">
        <v>37</v>
      </c>
      <c r="S29" s="9" t="s">
        <v>30</v>
      </c>
      <c r="T29" s="86">
        <v>0</v>
      </c>
      <c r="V29" s="1"/>
      <c r="W29" s="1"/>
      <c r="X29" s="1"/>
      <c r="Y29" s="1"/>
    </row>
    <row r="30" spans="1:25">
      <c r="A30" s="9" t="s">
        <v>90</v>
      </c>
      <c r="B30" s="9" t="s">
        <v>39</v>
      </c>
      <c r="C30" s="9" t="s">
        <v>30</v>
      </c>
      <c r="D30" s="86">
        <f>ROUNDDOWN(((D26-D27)*D28)-D29,0)</f>
        <v>8016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2963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5052</v>
      </c>
      <c r="Q30" s="9" t="s">
        <v>90</v>
      </c>
      <c r="R30" s="9" t="s">
        <v>39</v>
      </c>
      <c r="S30" s="9" t="s">
        <v>30</v>
      </c>
      <c r="T30" s="86">
        <f>ROUNDDOWN(((T26-T27)*T28)-T29,0)</f>
        <v>233</v>
      </c>
      <c r="V30" s="1"/>
      <c r="W30" s="1"/>
      <c r="X30" s="1"/>
      <c r="Y30" s="1"/>
    </row>
    <row r="31" spans="1:25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  <c r="Q31" s="2"/>
      <c r="R31" s="2"/>
      <c r="S31" s="2"/>
      <c r="T31" s="2"/>
      <c r="V31" s="1"/>
      <c r="W31" s="1"/>
      <c r="X31" s="1"/>
      <c r="Y31" s="1"/>
    </row>
    <row r="32" spans="1:25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  <c r="Q32" s="533" t="s">
        <v>40</v>
      </c>
      <c r="R32" s="519"/>
      <c r="S32" s="519"/>
      <c r="T32" s="519"/>
      <c r="V32" s="554"/>
      <c r="W32" s="554"/>
      <c r="X32" s="554"/>
      <c r="Y32" s="554"/>
    </row>
    <row r="33" spans="1:25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M33" s="9"/>
      <c r="N33" s="16"/>
      <c r="O33" s="91">
        <v>1</v>
      </c>
      <c r="Q33" s="90" t="s">
        <v>41</v>
      </c>
      <c r="R33" s="9"/>
      <c r="S33" s="16"/>
      <c r="T33" s="91">
        <v>1</v>
      </c>
      <c r="V33" s="1"/>
      <c r="W33" s="1"/>
      <c r="X33" s="1"/>
      <c r="Y33" s="502"/>
    </row>
    <row r="34" spans="1:25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  <c r="Q34" s="90" t="s">
        <v>43</v>
      </c>
      <c r="R34" s="9" t="s">
        <v>42</v>
      </c>
      <c r="S34" s="16" t="s">
        <v>44</v>
      </c>
      <c r="T34" s="91">
        <v>0</v>
      </c>
      <c r="V34" s="1"/>
      <c r="W34" s="1"/>
      <c r="X34" s="1"/>
      <c r="Y34" s="502"/>
    </row>
    <row r="35" spans="1:25">
      <c r="A35" s="93" t="s">
        <v>140</v>
      </c>
      <c r="B35" s="94" t="s">
        <v>39</v>
      </c>
      <c r="C35" s="95" t="s">
        <v>30</v>
      </c>
      <c r="D35" s="246">
        <f>ROUNDDOWN(D30*(1-D34),0)</f>
        <v>8016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2963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5052</v>
      </c>
      <c r="Q35" s="93" t="s">
        <v>140</v>
      </c>
      <c r="R35" s="94" t="s">
        <v>39</v>
      </c>
      <c r="S35" s="95" t="s">
        <v>30</v>
      </c>
      <c r="T35" s="96">
        <f>ROUNDDOWN(T30*(1-T34),0)</f>
        <v>233</v>
      </c>
      <c r="V35" s="28"/>
      <c r="W35" s="28"/>
      <c r="X35" s="28"/>
      <c r="Y35" s="503"/>
    </row>
    <row r="36" spans="1: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  <c r="V36" s="1"/>
      <c r="W36" s="1"/>
      <c r="X36" s="1"/>
      <c r="Y36" s="1"/>
    </row>
    <row r="37" spans="1:25">
      <c r="A37" s="93" t="s">
        <v>141</v>
      </c>
      <c r="B37" s="94"/>
      <c r="C37" s="95" t="s">
        <v>30</v>
      </c>
      <c r="D37" s="96">
        <f>J37+O37+T37</f>
        <v>8248</v>
      </c>
      <c r="E37" s="2"/>
      <c r="F37" s="2"/>
      <c r="G37" s="93" t="s">
        <v>141</v>
      </c>
      <c r="H37" s="94"/>
      <c r="I37" s="95" t="s">
        <v>30</v>
      </c>
      <c r="J37" s="96">
        <f>J35</f>
        <v>2963</v>
      </c>
      <c r="K37" s="2"/>
      <c r="L37" s="93" t="s">
        <v>141</v>
      </c>
      <c r="M37" s="94"/>
      <c r="N37" s="95" t="s">
        <v>30</v>
      </c>
      <c r="O37" s="96">
        <f>O35</f>
        <v>5052</v>
      </c>
      <c r="Q37" s="93" t="s">
        <v>141</v>
      </c>
      <c r="R37" s="94"/>
      <c r="S37" s="95" t="s">
        <v>30</v>
      </c>
      <c r="T37" s="96">
        <f>T35</f>
        <v>233</v>
      </c>
      <c r="V37" s="28"/>
      <c r="W37" s="28"/>
      <c r="X37" s="28"/>
      <c r="Y37" s="503"/>
    </row>
    <row r="38" spans="1: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  <c r="V38" s="2"/>
      <c r="W38" s="2"/>
      <c r="X38" s="2"/>
      <c r="Y38" s="2"/>
    </row>
    <row r="39" spans="1:25">
      <c r="A39" s="1"/>
      <c r="B39" s="2"/>
      <c r="C39" s="2"/>
      <c r="D39" s="2"/>
      <c r="E39" s="2"/>
      <c r="F39" s="2"/>
      <c r="G39" s="1"/>
      <c r="H39" s="2"/>
      <c r="I39" s="2"/>
      <c r="J39" s="2"/>
      <c r="K39" s="2"/>
      <c r="L39" s="1"/>
      <c r="M39" s="2"/>
      <c r="N39" s="2"/>
      <c r="O39" s="2"/>
      <c r="Q39" s="1"/>
      <c r="R39" s="2"/>
      <c r="S39" s="2"/>
      <c r="T39" s="2"/>
      <c r="V39" s="1"/>
      <c r="W39" s="2"/>
      <c r="X39" s="2"/>
      <c r="Y39" s="2"/>
    </row>
  </sheetData>
  <mergeCells count="30">
    <mergeCell ref="A1:D1"/>
    <mergeCell ref="G1:J1"/>
    <mergeCell ref="L1:O1"/>
    <mergeCell ref="A3:D3"/>
    <mergeCell ref="G3:J3"/>
    <mergeCell ref="L3:O3"/>
    <mergeCell ref="A11:D11"/>
    <mergeCell ref="G11:J11"/>
    <mergeCell ref="L11:O11"/>
    <mergeCell ref="A19:D19"/>
    <mergeCell ref="G19:J19"/>
    <mergeCell ref="L19:O19"/>
    <mergeCell ref="A25:D25"/>
    <mergeCell ref="G25:J25"/>
    <mergeCell ref="L25:O25"/>
    <mergeCell ref="A32:D32"/>
    <mergeCell ref="G32:J32"/>
    <mergeCell ref="L32:O32"/>
    <mergeCell ref="Q32:T32"/>
    <mergeCell ref="V1:Y1"/>
    <mergeCell ref="V3:Y3"/>
    <mergeCell ref="V11:Y11"/>
    <mergeCell ref="V19:Y19"/>
    <mergeCell ref="V25:Y25"/>
    <mergeCell ref="V32:Y32"/>
    <mergeCell ref="Q1:T1"/>
    <mergeCell ref="Q3:T3"/>
    <mergeCell ref="Q11:T11"/>
    <mergeCell ref="Q19:T19"/>
    <mergeCell ref="Q25:T25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73AE5-ED26-425C-9368-7BB8CA554F9D}">
  <dimension ref="A1:E22"/>
  <sheetViews>
    <sheetView topLeftCell="B12" workbookViewId="0">
      <selection activeCell="C17" sqref="C17"/>
    </sheetView>
  </sheetViews>
  <sheetFormatPr defaultRowHeight="14.5"/>
  <cols>
    <col min="1" max="1" width="20.1796875" bestFit="1" customWidth="1"/>
    <col min="2" max="2" width="62.81640625" customWidth="1"/>
    <col min="3" max="3" width="28.54296875" bestFit="1" customWidth="1"/>
    <col min="5" max="5" width="37.7265625" bestFit="1" customWidth="1"/>
  </cols>
  <sheetData>
    <row r="1" spans="1:5" s="32" customFormat="1" ht="39" customHeight="1">
      <c r="A1" s="128" t="s">
        <v>145</v>
      </c>
      <c r="B1" s="137" t="s">
        <v>146</v>
      </c>
      <c r="C1" s="137" t="s">
        <v>147</v>
      </c>
      <c r="D1" s="137" t="s">
        <v>148</v>
      </c>
      <c r="E1" s="184" t="s">
        <v>92</v>
      </c>
    </row>
    <row r="2" spans="1:5" ht="16.5" customHeight="1">
      <c r="A2" s="100" t="s">
        <v>149</v>
      </c>
      <c r="B2" s="88" t="s">
        <v>150</v>
      </c>
      <c r="C2" s="129">
        <f>((C3-C4)/C3)*C8</f>
        <v>0.95</v>
      </c>
      <c r="D2" s="9" t="s">
        <v>151</v>
      </c>
      <c r="E2" s="88"/>
    </row>
    <row r="3" spans="1:5" ht="30" customHeight="1">
      <c r="A3" s="9" t="s">
        <v>152</v>
      </c>
      <c r="B3" s="88" t="s">
        <v>153</v>
      </c>
      <c r="C3" s="54">
        <f>C5*C6</f>
        <v>3.0000000000000001E-3</v>
      </c>
      <c r="D3" s="9" t="s">
        <v>154</v>
      </c>
      <c r="E3" s="88"/>
    </row>
    <row r="4" spans="1:5" ht="28" customHeight="1">
      <c r="A4" s="101" t="s">
        <v>155</v>
      </c>
      <c r="B4" s="88" t="s">
        <v>156</v>
      </c>
      <c r="C4" s="54">
        <f>C5*C7</f>
        <v>0</v>
      </c>
      <c r="D4" s="9" t="s">
        <v>154</v>
      </c>
      <c r="E4" s="88"/>
    </row>
    <row r="5" spans="1:5" ht="32.5" customHeight="1">
      <c r="A5" s="9" t="s">
        <v>100</v>
      </c>
      <c r="B5" s="88" t="s">
        <v>158</v>
      </c>
      <c r="C5" s="54">
        <f>'GS5827 ER Calcs'!D6</f>
        <v>4.0000000000000002E-4</v>
      </c>
      <c r="D5" s="9" t="s">
        <v>159</v>
      </c>
      <c r="E5" s="85" t="s">
        <v>102</v>
      </c>
    </row>
    <row r="6" spans="1:5" ht="31.5" customHeight="1">
      <c r="A6" s="9" t="s">
        <v>104</v>
      </c>
      <c r="B6" s="88" t="s">
        <v>160</v>
      </c>
      <c r="C6" s="54">
        <v>7.5</v>
      </c>
      <c r="D6" s="9" t="s">
        <v>161</v>
      </c>
      <c r="E6" s="85" t="s">
        <v>162</v>
      </c>
    </row>
    <row r="7" spans="1:5" ht="33.65" customHeight="1">
      <c r="A7" s="9" t="s">
        <v>163</v>
      </c>
      <c r="B7" s="88" t="s">
        <v>164</v>
      </c>
      <c r="C7" s="54">
        <v>0</v>
      </c>
      <c r="D7" s="9" t="s">
        <v>161</v>
      </c>
      <c r="E7" s="85" t="s">
        <v>109</v>
      </c>
    </row>
    <row r="8" spans="1:5" ht="20.5" customHeight="1">
      <c r="A8" s="9" t="s">
        <v>209</v>
      </c>
      <c r="B8" s="88" t="s">
        <v>166</v>
      </c>
      <c r="C8" s="172">
        <f>'GS5827 ER Calcs'!D28</f>
        <v>0.95</v>
      </c>
      <c r="D8" s="9" t="s">
        <v>151</v>
      </c>
      <c r="E8" s="85" t="s">
        <v>138</v>
      </c>
    </row>
    <row r="9" spans="1:5">
      <c r="A9" s="1"/>
      <c r="B9" s="1"/>
      <c r="C9" s="1"/>
      <c r="D9" s="1"/>
      <c r="E9" s="88"/>
    </row>
    <row r="10" spans="1:5" s="32" customFormat="1">
      <c r="A10" s="137" t="s">
        <v>167</v>
      </c>
      <c r="B10" s="137" t="s">
        <v>146</v>
      </c>
      <c r="C10" s="137" t="s">
        <v>168</v>
      </c>
      <c r="D10" s="137" t="s">
        <v>148</v>
      </c>
      <c r="E10" s="184" t="s">
        <v>92</v>
      </c>
    </row>
    <row r="11" spans="1:5" ht="22" customHeight="1">
      <c r="A11" s="88" t="s">
        <v>169</v>
      </c>
      <c r="B11" s="9" t="s">
        <v>170</v>
      </c>
      <c r="C11" s="105">
        <f>C13-C12</f>
        <v>0.72</v>
      </c>
      <c r="D11" s="9" t="s">
        <v>171</v>
      </c>
      <c r="E11" s="88" t="s">
        <v>174</v>
      </c>
    </row>
    <row r="12" spans="1:5" ht="24" customHeight="1">
      <c r="A12" s="88" t="s">
        <v>211</v>
      </c>
      <c r="B12" s="9" t="s">
        <v>173</v>
      </c>
      <c r="C12" s="9">
        <v>0</v>
      </c>
      <c r="D12" s="9" t="s">
        <v>171</v>
      </c>
      <c r="E12" s="88" t="s">
        <v>213</v>
      </c>
    </row>
    <row r="13" spans="1:5">
      <c r="A13" s="88" t="s">
        <v>212</v>
      </c>
      <c r="B13" s="9" t="s">
        <v>176</v>
      </c>
      <c r="C13" s="478">
        <v>0.72</v>
      </c>
      <c r="D13" s="9" t="s">
        <v>171</v>
      </c>
      <c r="E13" s="88"/>
    </row>
    <row r="14" spans="1:5">
      <c r="A14" s="1"/>
      <c r="B14" s="1"/>
      <c r="C14" s="1"/>
      <c r="D14" s="1"/>
      <c r="E14" s="88"/>
    </row>
    <row r="15" spans="1:5" ht="29">
      <c r="A15" s="97" t="s">
        <v>178</v>
      </c>
      <c r="B15" s="98" t="s">
        <v>146</v>
      </c>
      <c r="C15" s="98" t="s">
        <v>179</v>
      </c>
      <c r="D15" s="98" t="s">
        <v>148</v>
      </c>
      <c r="E15" s="184" t="s">
        <v>92</v>
      </c>
    </row>
    <row r="16" spans="1:5">
      <c r="A16" s="88" t="s">
        <v>180</v>
      </c>
      <c r="B16" s="9" t="s">
        <v>181</v>
      </c>
      <c r="C16" s="105">
        <f>ROUNDDOWN(C17*(1-C18)*C19,0)</f>
        <v>2637</v>
      </c>
      <c r="D16" s="9" t="s">
        <v>182</v>
      </c>
    </row>
    <row r="17" spans="1:5" ht="22.5" customHeight="1">
      <c r="A17" s="88" t="s">
        <v>183</v>
      </c>
      <c r="B17" s="9" t="s">
        <v>184</v>
      </c>
      <c r="C17" s="9">
        <f>'GS5827 PTDs'!H8</f>
        <v>2776</v>
      </c>
      <c r="D17" s="9" t="s">
        <v>182</v>
      </c>
      <c r="E17" s="88" t="s">
        <v>228</v>
      </c>
    </row>
    <row r="18" spans="1:5" ht="21" customHeight="1">
      <c r="A18" s="88" t="s">
        <v>94</v>
      </c>
      <c r="B18" s="9" t="s">
        <v>186</v>
      </c>
      <c r="C18" s="106">
        <f>'GS5827 ER Calcs'!D4</f>
        <v>0</v>
      </c>
      <c r="D18" s="9" t="s">
        <v>151</v>
      </c>
      <c r="E18" s="88" t="s">
        <v>174</v>
      </c>
    </row>
    <row r="19" spans="1:5" ht="16.5">
      <c r="A19" s="88" t="s">
        <v>209</v>
      </c>
      <c r="B19" s="9" t="s">
        <v>166</v>
      </c>
      <c r="C19" s="173">
        <f>'GS5827 ER Calcs'!D28</f>
        <v>0.95</v>
      </c>
      <c r="D19" s="9" t="s">
        <v>151</v>
      </c>
      <c r="E19" s="88" t="s">
        <v>138</v>
      </c>
    </row>
    <row r="20" spans="1:5">
      <c r="A20" s="1"/>
      <c r="B20" s="1"/>
      <c r="C20" s="1"/>
      <c r="D20" s="1"/>
      <c r="E20" s="88"/>
    </row>
    <row r="21" spans="1:5">
      <c r="A21" s="128" t="s">
        <v>187</v>
      </c>
      <c r="B21" s="98" t="s">
        <v>146</v>
      </c>
      <c r="C21" s="98"/>
      <c r="D21" s="98" t="s">
        <v>148</v>
      </c>
      <c r="E21" s="184" t="s">
        <v>92</v>
      </c>
    </row>
    <row r="22" spans="1:5">
      <c r="A22" s="88" t="s">
        <v>188</v>
      </c>
      <c r="B22" s="9" t="s">
        <v>189</v>
      </c>
      <c r="C22" s="108">
        <f>'GS5827 ER Calcs'!D37</f>
        <v>5690</v>
      </c>
      <c r="D22" s="9" t="s">
        <v>190</v>
      </c>
      <c r="E22" s="88" t="s">
        <v>191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3BBFF-6716-416B-98D1-A18296FA91E6}">
  <dimension ref="A1:P35"/>
  <sheetViews>
    <sheetView workbookViewId="0">
      <selection activeCell="F27" sqref="F27"/>
    </sheetView>
  </sheetViews>
  <sheetFormatPr defaultRowHeight="14.5"/>
  <cols>
    <col min="1" max="1" width="39" bestFit="1" customWidth="1"/>
    <col min="4" max="4" width="7.81640625" bestFit="1" customWidth="1"/>
  </cols>
  <sheetData>
    <row r="1" spans="1:16" ht="37" customHeight="1" thickBot="1">
      <c r="A1" s="521" t="s">
        <v>333</v>
      </c>
      <c r="B1" s="522"/>
      <c r="C1" s="522"/>
      <c r="D1" s="522"/>
      <c r="E1" s="4"/>
      <c r="F1" s="4"/>
      <c r="G1" s="4"/>
      <c r="H1" s="521" t="s">
        <v>16</v>
      </c>
      <c r="I1" s="522"/>
      <c r="J1" s="522"/>
      <c r="K1" s="522"/>
      <c r="L1" s="522"/>
      <c r="M1" s="522"/>
      <c r="N1" s="522"/>
      <c r="O1" s="304"/>
      <c r="P1" s="2"/>
    </row>
    <row r="2" spans="1:16" ht="1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  <c r="O2" s="2"/>
      <c r="P2" s="2"/>
    </row>
    <row r="3" spans="1:16" ht="14.5" customHeight="1">
      <c r="A3" s="523" t="s">
        <v>17</v>
      </c>
      <c r="B3" s="524"/>
      <c r="C3" s="524"/>
      <c r="D3" s="524"/>
      <c r="E3" s="2"/>
      <c r="F3" s="4"/>
      <c r="G3" s="4"/>
      <c r="H3" s="528" t="s">
        <v>18</v>
      </c>
      <c r="I3" s="529"/>
      <c r="J3" s="529"/>
      <c r="K3" s="529"/>
      <c r="L3" s="529"/>
      <c r="M3" s="529"/>
      <c r="N3" s="529"/>
      <c r="O3" s="5"/>
      <c r="P3" s="2"/>
    </row>
    <row r="4" spans="1:16" ht="29">
      <c r="A4" s="518" t="s">
        <v>19</v>
      </c>
      <c r="B4" s="519"/>
      <c r="C4" s="519"/>
      <c r="D4" s="519"/>
      <c r="E4" s="2"/>
      <c r="F4" s="4"/>
      <c r="G4" s="4"/>
      <c r="H4" s="6" t="s">
        <v>20</v>
      </c>
      <c r="I4" s="7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6" t="s">
        <v>26</v>
      </c>
      <c r="O4" s="6" t="s">
        <v>27</v>
      </c>
      <c r="P4" s="2"/>
    </row>
    <row r="5" spans="1:16">
      <c r="A5" s="8" t="s">
        <v>28</v>
      </c>
      <c r="B5" s="9" t="s">
        <v>29</v>
      </c>
      <c r="C5" s="9" t="s">
        <v>30</v>
      </c>
      <c r="D5" s="10">
        <f>'GS7330 ER Calcs'!J26</f>
        <v>2033</v>
      </c>
      <c r="E5" s="2"/>
      <c r="F5" s="4"/>
      <c r="G5" s="4"/>
      <c r="H5" s="109">
        <v>2017</v>
      </c>
      <c r="I5" s="390"/>
      <c r="J5" s="390">
        <v>1863</v>
      </c>
      <c r="K5" s="390"/>
      <c r="L5" s="390"/>
      <c r="M5" s="390"/>
      <c r="N5" s="382"/>
      <c r="O5" s="392">
        <f>SUM(I5:M5)</f>
        <v>1863</v>
      </c>
      <c r="P5" s="2" t="s">
        <v>334</v>
      </c>
    </row>
    <row r="6" spans="1:16">
      <c r="A6" s="8" t="s">
        <v>31</v>
      </c>
      <c r="B6" s="9" t="s">
        <v>32</v>
      </c>
      <c r="C6" s="9" t="s">
        <v>30</v>
      </c>
      <c r="D6" s="14">
        <f>'GS7330 ER Calcs'!J27</f>
        <v>0</v>
      </c>
      <c r="E6" s="2"/>
      <c r="F6" s="4"/>
      <c r="G6" s="4"/>
      <c r="H6" s="109">
        <v>2018</v>
      </c>
      <c r="I6" s="390"/>
      <c r="J6" s="390">
        <v>10000</v>
      </c>
      <c r="K6" s="390"/>
      <c r="L6" s="390"/>
      <c r="M6" s="390"/>
      <c r="N6" s="382"/>
      <c r="O6" s="392">
        <f>SUM(I6:M6)</f>
        <v>10000</v>
      </c>
      <c r="P6" s="2"/>
    </row>
    <row r="7" spans="1:16">
      <c r="A7" s="8" t="s">
        <v>33</v>
      </c>
      <c r="B7" s="9" t="s">
        <v>34</v>
      </c>
      <c r="C7" s="9" t="s">
        <v>35</v>
      </c>
      <c r="D7" s="14">
        <f>'GS7330 ER Calcs'!J28</f>
        <v>0.95</v>
      </c>
      <c r="E7" s="2"/>
      <c r="F7" s="4"/>
      <c r="G7" s="4"/>
      <c r="H7" s="109">
        <v>2019</v>
      </c>
      <c r="I7" s="390"/>
      <c r="J7" s="390">
        <v>4137</v>
      </c>
      <c r="K7" s="390">
        <v>1839</v>
      </c>
      <c r="L7" s="390"/>
      <c r="M7" s="390"/>
      <c r="N7" s="382"/>
      <c r="O7" s="392">
        <f>SUM(I7:M7)</f>
        <v>5976</v>
      </c>
      <c r="P7" s="2"/>
    </row>
    <row r="8" spans="1:16">
      <c r="A8" s="8" t="s">
        <v>36</v>
      </c>
      <c r="B8" s="9" t="s">
        <v>37</v>
      </c>
      <c r="C8" s="9" t="s">
        <v>30</v>
      </c>
      <c r="D8" s="14">
        <f>'GS7330 ER Calcs'!J29</f>
        <v>0</v>
      </c>
      <c r="E8" s="2"/>
      <c r="F8" s="4"/>
      <c r="G8" s="4"/>
      <c r="H8" s="109">
        <v>2020</v>
      </c>
      <c r="I8" s="390"/>
      <c r="J8" s="390"/>
      <c r="K8" s="390">
        <v>1305</v>
      </c>
      <c r="L8" s="391">
        <v>1742</v>
      </c>
      <c r="M8" s="391"/>
      <c r="N8" s="382"/>
      <c r="O8" s="392">
        <f>SUM(I8:M8)</f>
        <v>3047</v>
      </c>
      <c r="P8" s="2"/>
    </row>
    <row r="9" spans="1:16">
      <c r="A9" s="8"/>
      <c r="B9" s="9"/>
      <c r="C9" s="9"/>
      <c r="D9" s="14"/>
      <c r="E9" s="2"/>
      <c r="F9" s="4"/>
      <c r="G9" s="4"/>
      <c r="H9" s="109">
        <v>2021</v>
      </c>
      <c r="I9" s="390"/>
      <c r="J9" s="390"/>
      <c r="K9" s="390"/>
      <c r="L9" s="391">
        <v>2047</v>
      </c>
      <c r="M9" s="391">
        <v>1851</v>
      </c>
      <c r="N9" s="382"/>
      <c r="O9" s="392">
        <f>SUM(I9:M9)</f>
        <v>3898</v>
      </c>
      <c r="P9" s="2"/>
    </row>
    <row r="10" spans="1:16">
      <c r="A10" s="8"/>
      <c r="B10" s="9"/>
      <c r="C10" s="9"/>
      <c r="D10" s="14"/>
      <c r="E10" s="2"/>
      <c r="F10" s="4"/>
      <c r="G10" s="4"/>
      <c r="H10" s="109">
        <v>2022</v>
      </c>
      <c r="I10" s="390"/>
      <c r="J10" s="390"/>
      <c r="K10" s="390"/>
      <c r="L10" s="391"/>
      <c r="M10" s="391">
        <v>1305</v>
      </c>
      <c r="N10" s="383">
        <f>D33</f>
        <v>1931</v>
      </c>
      <c r="O10" s="392">
        <f>SUM(I10:N10)</f>
        <v>3236</v>
      </c>
      <c r="P10" s="2"/>
    </row>
    <row r="11" spans="1:16">
      <c r="A11" s="8" t="s">
        <v>38</v>
      </c>
      <c r="B11" s="9" t="s">
        <v>39</v>
      </c>
      <c r="C11" s="9" t="s">
        <v>30</v>
      </c>
      <c r="D11" s="10">
        <f>'GS7330 ER Calcs'!J30</f>
        <v>1931</v>
      </c>
      <c r="E11" s="2"/>
      <c r="F11" s="4"/>
      <c r="G11" s="4"/>
      <c r="H11" s="109">
        <v>2023</v>
      </c>
      <c r="I11" s="382"/>
      <c r="J11" s="382"/>
      <c r="K11" s="382"/>
      <c r="L11" s="382"/>
      <c r="M11" s="382"/>
      <c r="N11" s="383">
        <f>D34</f>
        <v>2717</v>
      </c>
      <c r="O11" s="392">
        <f>SUM(I11:N11)</f>
        <v>2717</v>
      </c>
      <c r="P11" s="2"/>
    </row>
    <row r="12" spans="1:16">
      <c r="A12" s="518" t="s">
        <v>40</v>
      </c>
      <c r="B12" s="519"/>
      <c r="C12" s="519"/>
      <c r="D12" s="519"/>
      <c r="E12" s="2"/>
      <c r="F12" s="4"/>
      <c r="G12" s="4"/>
      <c r="H12" s="18" t="s">
        <v>13</v>
      </c>
      <c r="I12" s="131">
        <f>SUM(I5:I10)</f>
        <v>0</v>
      </c>
      <c r="J12" s="131">
        <f>SUM(J5:J10)</f>
        <v>16000</v>
      </c>
      <c r="K12" s="131">
        <f>SUM(K5:K10)</f>
        <v>3144</v>
      </c>
      <c r="L12" s="131">
        <f>SUM(L5:L10)</f>
        <v>3789</v>
      </c>
      <c r="M12" s="131">
        <f>SUM(M5:M11)</f>
        <v>3156</v>
      </c>
      <c r="N12" s="131">
        <f>SUM(N5:N11)</f>
        <v>4648</v>
      </c>
      <c r="O12" s="18">
        <f>SUM(I12:N12)</f>
        <v>30737</v>
      </c>
      <c r="P12" s="2"/>
    </row>
    <row r="13" spans="1:16">
      <c r="A13" s="15" t="s">
        <v>41</v>
      </c>
      <c r="B13" s="9"/>
      <c r="C13" s="16"/>
      <c r="D13" s="17">
        <f>'GS7330 ER Calcs'!J33</f>
        <v>1</v>
      </c>
      <c r="E13" s="2"/>
      <c r="F13" s="4"/>
      <c r="G13" s="4"/>
      <c r="H13" s="4"/>
      <c r="I13" s="2"/>
      <c r="J13" s="2"/>
      <c r="K13" s="2"/>
      <c r="L13" s="2"/>
      <c r="M13" s="2"/>
      <c r="N13" s="2"/>
      <c r="O13" s="2"/>
      <c r="P13" s="2"/>
    </row>
    <row r="14" spans="1:16">
      <c r="A14" s="15" t="s">
        <v>43</v>
      </c>
      <c r="B14" s="9" t="s">
        <v>42</v>
      </c>
      <c r="C14" s="16" t="s">
        <v>44</v>
      </c>
      <c r="D14" s="17">
        <f>'GS7330 ER Calcs'!J34</f>
        <v>0</v>
      </c>
      <c r="E14" s="2"/>
      <c r="F14" s="4"/>
      <c r="G14" s="4"/>
      <c r="H14" s="4"/>
      <c r="I14" s="4"/>
      <c r="J14" s="4"/>
      <c r="K14" s="4"/>
      <c r="L14" s="4"/>
      <c r="M14" s="4"/>
      <c r="N14" s="2"/>
      <c r="O14" s="2"/>
      <c r="P14" s="2"/>
    </row>
    <row r="15" spans="1:16" ht="15" thickBot="1">
      <c r="A15" s="21" t="s">
        <v>38</v>
      </c>
      <c r="B15" s="22" t="s">
        <v>39</v>
      </c>
      <c r="C15" s="22" t="s">
        <v>30</v>
      </c>
      <c r="D15" s="273">
        <f>'GS7330 ER Calcs'!J35</f>
        <v>1931</v>
      </c>
      <c r="E15" s="2"/>
      <c r="F15" s="4"/>
      <c r="G15" s="4"/>
      <c r="H15" s="4"/>
      <c r="I15" s="4"/>
      <c r="J15" s="4"/>
      <c r="K15" s="4"/>
      <c r="L15" s="4"/>
      <c r="M15" s="4"/>
      <c r="N15" s="2"/>
      <c r="O15" s="2"/>
      <c r="P15" s="2"/>
    </row>
    <row r="16" spans="1:16" ht="15" thickBot="1">
      <c r="A16" s="21" t="s">
        <v>45</v>
      </c>
      <c r="B16" s="22" t="s">
        <v>39</v>
      </c>
      <c r="C16" s="22" t="s">
        <v>30</v>
      </c>
      <c r="D16" s="23">
        <f>'GS7330 ER Calcs'!J37</f>
        <v>1931</v>
      </c>
      <c r="E16" s="2"/>
      <c r="F16" s="4"/>
      <c r="G16" s="4"/>
      <c r="H16" s="4"/>
      <c r="I16" s="4"/>
      <c r="J16" s="4"/>
      <c r="K16" s="4"/>
      <c r="L16" s="4"/>
      <c r="M16" s="4"/>
      <c r="N16" s="2"/>
      <c r="O16" s="2"/>
      <c r="P16" s="2"/>
    </row>
    <row r="17" spans="1:16" ht="15" thickBot="1">
      <c r="A17" s="4"/>
      <c r="B17" s="4"/>
      <c r="C17" s="4"/>
      <c r="D17" s="4"/>
      <c r="E17" s="2"/>
      <c r="F17" s="4"/>
      <c r="G17" s="4"/>
      <c r="H17" s="4"/>
      <c r="I17" s="4"/>
      <c r="J17" s="4"/>
      <c r="K17" s="4"/>
      <c r="L17" s="4"/>
      <c r="M17" s="4"/>
      <c r="N17" s="2"/>
      <c r="O17" s="2"/>
      <c r="P17" s="2"/>
    </row>
    <row r="18" spans="1:16" ht="14.5" customHeight="1">
      <c r="A18" s="523" t="s">
        <v>46</v>
      </c>
      <c r="B18" s="524"/>
      <c r="C18" s="524"/>
      <c r="D18" s="524"/>
      <c r="E18" s="4"/>
      <c r="F18" s="4"/>
      <c r="G18" s="4"/>
      <c r="H18" s="4"/>
      <c r="I18" s="4"/>
      <c r="J18" s="4"/>
      <c r="K18" s="4"/>
      <c r="L18" s="4"/>
      <c r="M18" s="4"/>
      <c r="N18" s="2"/>
      <c r="O18" s="2"/>
      <c r="P18" s="2"/>
    </row>
    <row r="19" spans="1:16">
      <c r="A19" s="518" t="s">
        <v>19</v>
      </c>
      <c r="B19" s="519"/>
      <c r="C19" s="519"/>
      <c r="D19" s="519"/>
      <c r="E19" s="4"/>
      <c r="F19" s="4"/>
      <c r="G19" s="4"/>
      <c r="H19" s="4"/>
      <c r="I19" s="4"/>
      <c r="J19" s="4"/>
      <c r="K19" s="4"/>
      <c r="L19" s="4"/>
      <c r="M19" s="4"/>
      <c r="N19" s="2"/>
      <c r="O19" s="2"/>
      <c r="P19" s="2"/>
    </row>
    <row r="20" spans="1:16">
      <c r="A20" s="8" t="s">
        <v>28</v>
      </c>
      <c r="B20" s="9" t="s">
        <v>29</v>
      </c>
      <c r="C20" s="9" t="s">
        <v>30</v>
      </c>
      <c r="D20" s="10">
        <f>'GS7330 ER Calcs'!P26</f>
        <v>2861</v>
      </c>
      <c r="E20" s="4"/>
      <c r="F20" s="4"/>
      <c r="G20" s="4"/>
      <c r="H20" s="4"/>
      <c r="I20" s="4"/>
      <c r="J20" s="4"/>
      <c r="K20" s="4"/>
      <c r="L20" s="4"/>
      <c r="M20" s="4"/>
      <c r="N20" s="2"/>
      <c r="O20" s="2"/>
      <c r="P20" s="2"/>
    </row>
    <row r="21" spans="1:16">
      <c r="A21" s="8" t="s">
        <v>31</v>
      </c>
      <c r="B21" s="9" t="s">
        <v>32</v>
      </c>
      <c r="C21" s="9" t="s">
        <v>30</v>
      </c>
      <c r="D21" s="14">
        <f>'GS7330 ER Calcs'!P27</f>
        <v>0</v>
      </c>
      <c r="E21" s="4"/>
      <c r="F21" s="4"/>
      <c r="G21" s="4"/>
      <c r="H21" s="4"/>
      <c r="I21" s="4"/>
      <c r="J21" s="4"/>
      <c r="K21" s="4"/>
      <c r="L21" s="4"/>
      <c r="M21" s="4"/>
      <c r="N21" s="2"/>
      <c r="O21" s="2"/>
      <c r="P21" s="2"/>
    </row>
    <row r="22" spans="1:16">
      <c r="A22" s="8" t="s">
        <v>33</v>
      </c>
      <c r="B22" s="9" t="s">
        <v>34</v>
      </c>
      <c r="C22" s="9" t="s">
        <v>35</v>
      </c>
      <c r="D22" s="14">
        <f>'GS7330 ER Calcs'!P28</f>
        <v>0.95</v>
      </c>
      <c r="E22" s="4"/>
      <c r="F22" s="4"/>
      <c r="G22" s="4"/>
      <c r="H22" s="4"/>
      <c r="I22" s="4"/>
      <c r="J22" s="4"/>
      <c r="K22" s="4"/>
      <c r="L22" s="4"/>
      <c r="M22" s="4"/>
      <c r="N22" s="2"/>
      <c r="O22" s="2"/>
      <c r="P22" s="2"/>
    </row>
    <row r="23" spans="1:16">
      <c r="A23" s="8" t="s">
        <v>36</v>
      </c>
      <c r="B23" s="9" t="s">
        <v>37</v>
      </c>
      <c r="C23" s="9" t="s">
        <v>30</v>
      </c>
      <c r="D23" s="14">
        <f>'GS7330 ER Calcs'!P29</f>
        <v>0</v>
      </c>
      <c r="E23" s="4"/>
      <c r="F23" s="4"/>
      <c r="G23" s="4"/>
      <c r="H23" s="4"/>
      <c r="I23" s="4"/>
      <c r="J23" s="4"/>
      <c r="K23" s="4"/>
      <c r="L23" s="4"/>
      <c r="M23" s="4"/>
      <c r="N23" s="2"/>
      <c r="O23" s="2"/>
      <c r="P23" s="2"/>
    </row>
    <row r="24" spans="1:16">
      <c r="A24" s="8" t="s">
        <v>38</v>
      </c>
      <c r="B24" s="9" t="s">
        <v>39</v>
      </c>
      <c r="C24" s="9" t="s">
        <v>30</v>
      </c>
      <c r="D24" s="10">
        <f>'GS7330 ER Calcs'!P30</f>
        <v>2717</v>
      </c>
      <c r="E24" s="4"/>
      <c r="F24" s="4"/>
      <c r="G24" s="4"/>
      <c r="H24" s="4"/>
      <c r="I24" s="4"/>
      <c r="J24" s="4"/>
      <c r="K24" s="4"/>
      <c r="L24" s="4"/>
      <c r="M24" s="4"/>
      <c r="N24" s="2"/>
      <c r="O24" s="2"/>
      <c r="P24" s="2"/>
    </row>
    <row r="25" spans="1:16">
      <c r="A25" s="518" t="s">
        <v>40</v>
      </c>
      <c r="B25" s="519"/>
      <c r="C25" s="519"/>
      <c r="D25" s="519"/>
      <c r="E25" s="4"/>
      <c r="F25" s="4"/>
      <c r="G25" s="4"/>
      <c r="H25" s="4"/>
      <c r="I25" s="4"/>
      <c r="J25" s="4"/>
      <c r="K25" s="4"/>
      <c r="L25" s="4"/>
      <c r="M25" s="4"/>
      <c r="N25" s="2"/>
      <c r="O25" s="2"/>
      <c r="P25" s="2"/>
    </row>
    <row r="26" spans="1:16">
      <c r="A26" s="15" t="s">
        <v>41</v>
      </c>
      <c r="B26" s="9"/>
      <c r="C26" s="16"/>
      <c r="D26" s="17">
        <f>'GS7330 ER Calcs'!P33</f>
        <v>1</v>
      </c>
      <c r="E26" s="4"/>
      <c r="F26" s="4"/>
      <c r="G26" s="4"/>
      <c r="H26" s="4"/>
      <c r="I26" s="4"/>
      <c r="J26" s="4"/>
      <c r="K26" s="4"/>
      <c r="L26" s="4"/>
      <c r="M26" s="4"/>
      <c r="N26" s="2"/>
      <c r="O26" s="2"/>
      <c r="P26" s="2"/>
    </row>
    <row r="27" spans="1:16">
      <c r="A27" s="15" t="s">
        <v>43</v>
      </c>
      <c r="B27" s="9" t="s">
        <v>42</v>
      </c>
      <c r="C27" s="16" t="s">
        <v>44</v>
      </c>
      <c r="D27" s="17">
        <f>'GS7330 ER Calcs'!P34</f>
        <v>0</v>
      </c>
      <c r="E27" s="4"/>
      <c r="F27" s="4"/>
      <c r="G27" s="4"/>
      <c r="H27" s="4"/>
      <c r="I27" s="4"/>
      <c r="J27" s="4"/>
      <c r="K27" s="4"/>
      <c r="L27" s="4"/>
      <c r="M27" s="4"/>
      <c r="N27" s="2"/>
      <c r="O27" s="2"/>
      <c r="P27" s="2"/>
    </row>
    <row r="28" spans="1:16" ht="15" thickBot="1">
      <c r="A28" s="21" t="s">
        <v>38</v>
      </c>
      <c r="B28" s="22" t="s">
        <v>39</v>
      </c>
      <c r="C28" s="22" t="s">
        <v>30</v>
      </c>
      <c r="D28" s="273">
        <f>'GS7330 ER Calcs'!P35</f>
        <v>2717</v>
      </c>
      <c r="E28" s="4"/>
      <c r="F28" s="4"/>
      <c r="G28" s="4"/>
      <c r="H28" s="4"/>
      <c r="I28" s="4"/>
      <c r="J28" s="4"/>
      <c r="K28" s="4"/>
      <c r="L28" s="4"/>
      <c r="M28" s="4"/>
      <c r="N28" s="2"/>
      <c r="O28" s="2"/>
      <c r="P28" s="2"/>
    </row>
    <row r="29" spans="1:16" ht="15" thickBot="1">
      <c r="A29" s="21" t="s">
        <v>45</v>
      </c>
      <c r="B29" s="22" t="s">
        <v>39</v>
      </c>
      <c r="C29" s="22" t="s">
        <v>30</v>
      </c>
      <c r="D29" s="23">
        <f>'GS7330 ER Calcs'!P37</f>
        <v>2717</v>
      </c>
      <c r="E29" s="4"/>
      <c r="F29" s="4"/>
      <c r="G29" s="4"/>
      <c r="H29" s="4"/>
      <c r="I29" s="4"/>
      <c r="J29" s="4"/>
      <c r="K29" s="4"/>
      <c r="L29" s="4"/>
      <c r="M29" s="4"/>
      <c r="N29" s="2"/>
      <c r="O29" s="2"/>
      <c r="P29" s="2"/>
    </row>
    <row r="30" spans="1:16" ht="15" thickBot="1">
      <c r="A30" s="2"/>
      <c r="B30" s="508"/>
      <c r="C30" s="508"/>
      <c r="D30" s="2"/>
      <c r="E30" s="4"/>
      <c r="F30" s="4"/>
      <c r="G30" s="4"/>
      <c r="H30" s="4"/>
      <c r="I30" s="4"/>
      <c r="J30" s="4"/>
      <c r="K30" s="4"/>
      <c r="L30" s="4"/>
      <c r="M30" s="4"/>
      <c r="N30" s="2"/>
      <c r="O30" s="2"/>
      <c r="P30" s="2"/>
    </row>
    <row r="31" spans="1:16" ht="15.65" customHeight="1">
      <c r="A31" s="509" t="s">
        <v>47</v>
      </c>
      <c r="B31" s="510"/>
      <c r="C31" s="510"/>
      <c r="D31" s="510"/>
      <c r="E31" s="2"/>
      <c r="F31" s="2"/>
      <c r="G31" s="507"/>
      <c r="H31" s="507"/>
      <c r="I31" s="2"/>
      <c r="J31" s="2"/>
      <c r="K31" s="2"/>
      <c r="L31" s="2"/>
      <c r="M31" s="2"/>
      <c r="N31" s="2"/>
      <c r="O31" s="2"/>
      <c r="P31" s="2"/>
    </row>
    <row r="32" spans="1:16">
      <c r="A32" s="511" t="s">
        <v>19</v>
      </c>
      <c r="B32" s="512"/>
      <c r="C32" s="512"/>
      <c r="D32" s="512"/>
      <c r="E32" s="2"/>
      <c r="F32" s="2"/>
      <c r="G32" s="507"/>
      <c r="H32" s="507"/>
      <c r="I32" s="2"/>
      <c r="J32" s="2"/>
      <c r="K32" s="2"/>
      <c r="L32" s="2"/>
      <c r="M32" s="2"/>
      <c r="N32" s="2"/>
      <c r="O32" s="2"/>
      <c r="P32" s="2"/>
    </row>
    <row r="33" spans="1:16" ht="14.5" customHeight="1">
      <c r="A33" s="513">
        <v>2022</v>
      </c>
      <c r="B33" s="514"/>
      <c r="C33" s="514"/>
      <c r="D33" s="25">
        <f>D16</f>
        <v>1931</v>
      </c>
      <c r="E33" s="2"/>
      <c r="F33" s="2"/>
      <c r="G33" s="507"/>
      <c r="H33" s="507"/>
      <c r="I33" s="2"/>
      <c r="J33" s="2"/>
      <c r="K33" s="2"/>
      <c r="L33" s="2"/>
      <c r="M33" s="2"/>
      <c r="N33" s="2"/>
      <c r="O33" s="2"/>
      <c r="P33" s="2"/>
    </row>
    <row r="34" spans="1:16" ht="15" thickBot="1">
      <c r="A34" s="515">
        <v>2023</v>
      </c>
      <c r="B34" s="516"/>
      <c r="C34" s="516"/>
      <c r="D34" s="26">
        <f>D29</f>
        <v>2717</v>
      </c>
      <c r="E34" s="2"/>
      <c r="F34" s="2"/>
      <c r="G34" s="507"/>
      <c r="H34" s="507"/>
      <c r="I34" s="2"/>
      <c r="J34" s="2"/>
      <c r="K34" s="2"/>
      <c r="L34" s="2"/>
      <c r="M34" s="2"/>
      <c r="N34" s="2"/>
      <c r="O34" s="2"/>
      <c r="P34" s="2"/>
    </row>
    <row r="35" spans="1:16" ht="20.5" customHeight="1" thickBot="1">
      <c r="A35" s="27" t="s">
        <v>48</v>
      </c>
      <c r="B35" s="29"/>
      <c r="C35" s="30"/>
      <c r="D35" s="31">
        <f>SUM(D33:D34)</f>
        <v>4648</v>
      </c>
      <c r="E35" s="2"/>
      <c r="F35" s="2"/>
      <c r="G35" s="507"/>
      <c r="H35" s="507"/>
      <c r="I35" s="2"/>
      <c r="J35" s="2"/>
      <c r="K35" s="2"/>
      <c r="L35" s="2"/>
      <c r="M35" s="2"/>
      <c r="N35" s="2"/>
      <c r="O35" s="2"/>
      <c r="P35" s="2"/>
    </row>
  </sheetData>
  <mergeCells count="19">
    <mergeCell ref="G31:H31"/>
    <mergeCell ref="A1:D1"/>
    <mergeCell ref="H1:N1"/>
    <mergeCell ref="A3:D3"/>
    <mergeCell ref="H3:N3"/>
    <mergeCell ref="A4:D4"/>
    <mergeCell ref="A12:D12"/>
    <mergeCell ref="A18:D18"/>
    <mergeCell ref="A19:D19"/>
    <mergeCell ref="A25:D25"/>
    <mergeCell ref="B30:C30"/>
    <mergeCell ref="A31:D31"/>
    <mergeCell ref="G35:H35"/>
    <mergeCell ref="A32:D32"/>
    <mergeCell ref="G32:H32"/>
    <mergeCell ref="A33:C33"/>
    <mergeCell ref="G33:H33"/>
    <mergeCell ref="A34:C34"/>
    <mergeCell ref="G34:H34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A5954-C2D7-496C-8A18-D1759E61337F}">
  <dimension ref="A1:O23"/>
  <sheetViews>
    <sheetView workbookViewId="0">
      <selection activeCell="K11" sqref="K11:N11"/>
    </sheetView>
  </sheetViews>
  <sheetFormatPr defaultRowHeight="14.5"/>
  <cols>
    <col min="1" max="1" width="25.54296875" bestFit="1" customWidth="1"/>
    <col min="2" max="2" width="17.26953125" bestFit="1" customWidth="1"/>
    <col min="3" max="3" width="13" customWidth="1"/>
    <col min="4" max="4" width="16.1796875" customWidth="1"/>
    <col min="5" max="5" width="11.453125" customWidth="1"/>
    <col min="6" max="6" width="18.26953125" customWidth="1"/>
    <col min="7" max="7" width="15.1796875" bestFit="1" customWidth="1"/>
    <col min="8" max="8" width="11.26953125" customWidth="1"/>
    <col min="9" max="9" width="19.54296875" customWidth="1"/>
    <col min="11" max="11" width="10.7265625" customWidth="1"/>
    <col min="12" max="12" width="10.81640625" customWidth="1"/>
    <col min="13" max="13" width="20.81640625" bestFit="1" customWidth="1"/>
  </cols>
  <sheetData>
    <row r="1" spans="1:15" ht="43.5">
      <c r="A1" s="48" t="s">
        <v>0</v>
      </c>
      <c r="B1" s="49" t="s">
        <v>49</v>
      </c>
      <c r="C1" s="49" t="s">
        <v>50</v>
      </c>
      <c r="D1" s="49" t="s">
        <v>51</v>
      </c>
      <c r="E1" s="49" t="s">
        <v>52</v>
      </c>
      <c r="F1" s="49" t="s">
        <v>192</v>
      </c>
      <c r="G1" s="49" t="s">
        <v>53</v>
      </c>
      <c r="H1" s="50" t="s">
        <v>54</v>
      </c>
      <c r="I1" s="50" t="s">
        <v>11</v>
      </c>
      <c r="J1" s="2"/>
      <c r="K1" s="113" t="s">
        <v>335</v>
      </c>
      <c r="L1" s="48" t="s">
        <v>56</v>
      </c>
      <c r="M1" s="185" t="s">
        <v>336</v>
      </c>
      <c r="N1" s="49" t="s">
        <v>58</v>
      </c>
      <c r="O1" s="50" t="s">
        <v>59</v>
      </c>
    </row>
    <row r="2" spans="1:15" ht="15.5">
      <c r="A2" s="530" t="s">
        <v>337</v>
      </c>
      <c r="B2" s="9" t="s">
        <v>338</v>
      </c>
      <c r="C2" s="54" t="s">
        <v>339</v>
      </c>
      <c r="D2" s="9">
        <v>14.646710000000001</v>
      </c>
      <c r="E2" s="9">
        <v>39.46481</v>
      </c>
      <c r="F2" s="55">
        <v>42671</v>
      </c>
      <c r="G2" s="9">
        <v>102</v>
      </c>
      <c r="H2" s="9">
        <v>213</v>
      </c>
      <c r="I2" s="476">
        <f>IF(H2&lt;371,H2,371)</f>
        <v>213</v>
      </c>
      <c r="J2" s="133"/>
      <c r="K2" s="233">
        <f t="shared" ref="K2:K7" si="0">$E$19</f>
        <v>203.29999999999998</v>
      </c>
      <c r="L2" s="277">
        <f>K2*I2</f>
        <v>43302.899999999994</v>
      </c>
      <c r="M2" s="276">
        <f t="shared" ref="M2:M7" si="1">$E$20</f>
        <v>285.95</v>
      </c>
      <c r="N2" s="278">
        <f>I2*M2</f>
        <v>60907.35</v>
      </c>
      <c r="O2" s="279">
        <f>L2+N2</f>
        <v>104210.25</v>
      </c>
    </row>
    <row r="3" spans="1:15" ht="15.5">
      <c r="A3" s="531"/>
      <c r="B3" s="9" t="s">
        <v>340</v>
      </c>
      <c r="C3" s="54" t="s">
        <v>341</v>
      </c>
      <c r="D3" s="9">
        <v>14.61149</v>
      </c>
      <c r="E3" s="9">
        <v>38.874110000000002</v>
      </c>
      <c r="F3" s="55">
        <v>42761</v>
      </c>
      <c r="G3" s="9">
        <v>138</v>
      </c>
      <c r="H3" s="9">
        <v>554</v>
      </c>
      <c r="I3" s="476">
        <f>IF(H3&lt;371,H3,371)</f>
        <v>371</v>
      </c>
      <c r="J3" s="133"/>
      <c r="K3" s="233">
        <f t="shared" si="0"/>
        <v>203.29999999999998</v>
      </c>
      <c r="L3" s="277">
        <f t="shared" ref="L3:L7" si="2">K3*I3</f>
        <v>75424.299999999988</v>
      </c>
      <c r="M3" s="276">
        <f t="shared" si="1"/>
        <v>285.95</v>
      </c>
      <c r="N3" s="278">
        <f t="shared" ref="N3:N7" si="3">I3*M3</f>
        <v>106087.45</v>
      </c>
      <c r="O3" s="279">
        <f t="shared" ref="O3:O7" si="4">L3+N3</f>
        <v>181511.75</v>
      </c>
    </row>
    <row r="4" spans="1:15" ht="15.5">
      <c r="A4" s="531"/>
      <c r="B4" s="9" t="s">
        <v>342</v>
      </c>
      <c r="C4" s="54" t="s">
        <v>343</v>
      </c>
      <c r="D4" s="9">
        <v>14.750730000000001</v>
      </c>
      <c r="E4" s="9">
        <v>39.2851</v>
      </c>
      <c r="F4" s="55">
        <v>42785</v>
      </c>
      <c r="G4" s="9">
        <v>201</v>
      </c>
      <c r="H4" s="9">
        <v>720</v>
      </c>
      <c r="I4" s="476">
        <f>IF(H4&lt;344,H4,344)</f>
        <v>344</v>
      </c>
      <c r="J4" s="133"/>
      <c r="K4" s="233">
        <f t="shared" si="0"/>
        <v>203.29999999999998</v>
      </c>
      <c r="L4" s="277">
        <f t="shared" si="2"/>
        <v>69935.199999999997</v>
      </c>
      <c r="M4" s="276">
        <f t="shared" si="1"/>
        <v>285.95</v>
      </c>
      <c r="N4" s="278">
        <f t="shared" si="3"/>
        <v>98366.8</v>
      </c>
      <c r="O4" s="279">
        <f t="shared" si="4"/>
        <v>168302</v>
      </c>
    </row>
    <row r="5" spans="1:15" ht="15.5">
      <c r="A5" s="531"/>
      <c r="B5" s="9" t="s">
        <v>344</v>
      </c>
      <c r="C5" s="9" t="s">
        <v>345</v>
      </c>
      <c r="D5" s="9">
        <v>14.639060000000001</v>
      </c>
      <c r="E5" s="9">
        <v>39.255009999999999</v>
      </c>
      <c r="F5" s="55">
        <v>42788</v>
      </c>
      <c r="G5" s="9">
        <v>192</v>
      </c>
      <c r="H5" s="9">
        <v>691</v>
      </c>
      <c r="I5" s="476">
        <f>IF(H5&lt;371,H5,371)</f>
        <v>371</v>
      </c>
      <c r="J5" s="133"/>
      <c r="K5" s="233">
        <f t="shared" si="0"/>
        <v>203.29999999999998</v>
      </c>
      <c r="L5" s="277">
        <f t="shared" si="2"/>
        <v>75424.299999999988</v>
      </c>
      <c r="M5" s="276">
        <f t="shared" si="1"/>
        <v>285.95</v>
      </c>
      <c r="N5" s="278">
        <f t="shared" si="3"/>
        <v>106087.45</v>
      </c>
      <c r="O5" s="279">
        <f t="shared" si="4"/>
        <v>181511.75</v>
      </c>
    </row>
    <row r="6" spans="1:15" ht="15.5">
      <c r="A6" s="531"/>
      <c r="B6" s="9" t="s">
        <v>346</v>
      </c>
      <c r="C6" s="9" t="s">
        <v>347</v>
      </c>
      <c r="D6" s="9">
        <v>14.547169999999999</v>
      </c>
      <c r="E6" s="9">
        <v>38.493180000000002</v>
      </c>
      <c r="F6" s="55">
        <v>42810</v>
      </c>
      <c r="G6" s="9">
        <v>51</v>
      </c>
      <c r="H6" s="9">
        <v>171</v>
      </c>
      <c r="I6" s="476">
        <f>IF(H6&lt;371,H6,371)</f>
        <v>171</v>
      </c>
      <c r="J6" s="186"/>
      <c r="K6" s="233">
        <f t="shared" si="0"/>
        <v>203.29999999999998</v>
      </c>
      <c r="L6" s="277">
        <f t="shared" si="2"/>
        <v>34764.299999999996</v>
      </c>
      <c r="M6" s="276">
        <f t="shared" si="1"/>
        <v>285.95</v>
      </c>
      <c r="N6" s="278">
        <f t="shared" si="3"/>
        <v>48897.45</v>
      </c>
      <c r="O6" s="279">
        <f t="shared" si="4"/>
        <v>83661.75</v>
      </c>
    </row>
    <row r="7" spans="1:15" ht="15.5">
      <c r="A7" s="532"/>
      <c r="B7" s="9" t="s">
        <v>348</v>
      </c>
      <c r="C7" s="9" t="s">
        <v>349</v>
      </c>
      <c r="D7" s="58">
        <v>14.51071</v>
      </c>
      <c r="E7" s="58">
        <v>38.428849999999997</v>
      </c>
      <c r="F7" s="55">
        <v>42813</v>
      </c>
      <c r="G7" s="9">
        <v>204</v>
      </c>
      <c r="H7" s="9">
        <v>774</v>
      </c>
      <c r="I7" s="476">
        <f>IF(H7&lt;341,H7,341)</f>
        <v>341</v>
      </c>
      <c r="J7" s="187"/>
      <c r="K7" s="233">
        <f t="shared" si="0"/>
        <v>203.29999999999998</v>
      </c>
      <c r="L7" s="277">
        <f t="shared" si="2"/>
        <v>69325.299999999988</v>
      </c>
      <c r="M7" s="276">
        <f t="shared" si="1"/>
        <v>285.95</v>
      </c>
      <c r="N7" s="278">
        <f t="shared" si="3"/>
        <v>97508.95</v>
      </c>
      <c r="O7" s="279">
        <f t="shared" si="4"/>
        <v>166834.25</v>
      </c>
    </row>
    <row r="8" spans="1:15" ht="15" thickBot="1">
      <c r="A8" s="118"/>
      <c r="B8" s="1"/>
      <c r="C8" s="2"/>
      <c r="D8" s="2"/>
      <c r="E8" s="2"/>
      <c r="F8" s="62"/>
      <c r="G8" s="174" t="s">
        <v>13</v>
      </c>
      <c r="H8" s="175">
        <f>SUM(H2:H7)</f>
        <v>3123</v>
      </c>
      <c r="I8" s="175">
        <f>SUM(I2:I7)</f>
        <v>1811</v>
      </c>
      <c r="J8" s="2"/>
      <c r="K8" s="2"/>
      <c r="L8" s="176">
        <f>SUM(L2:L7)</f>
        <v>368176.29999999993</v>
      </c>
      <c r="M8" s="176"/>
      <c r="N8" s="176">
        <f t="shared" ref="N8:O8" si="5">SUM(N2:N7)</f>
        <v>517855.45</v>
      </c>
      <c r="O8" s="176">
        <f t="shared" si="5"/>
        <v>886031.75</v>
      </c>
    </row>
    <row r="9" spans="1:1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5" thickBot="1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45" thickBot="1">
      <c r="A11" s="2"/>
      <c r="B11" s="66" t="s">
        <v>76</v>
      </c>
      <c r="C11" s="67"/>
      <c r="D11" s="73"/>
      <c r="E11" s="2"/>
      <c r="F11" s="2"/>
      <c r="G11" s="2"/>
      <c r="H11" s="2"/>
      <c r="I11" s="2"/>
      <c r="J11" s="2"/>
      <c r="K11" s="113" t="s">
        <v>335</v>
      </c>
      <c r="L11" s="48" t="s">
        <v>56</v>
      </c>
      <c r="M11" s="185" t="s">
        <v>336</v>
      </c>
      <c r="N11" s="49" t="s">
        <v>58</v>
      </c>
      <c r="O11" s="50" t="s">
        <v>59</v>
      </c>
    </row>
    <row r="12" spans="1:15" ht="58" customHeight="1">
      <c r="A12" s="68" t="s">
        <v>77</v>
      </c>
      <c r="B12" s="69">
        <v>44713</v>
      </c>
      <c r="C12" s="2"/>
      <c r="D12" s="541"/>
      <c r="E12" s="542"/>
      <c r="F12" s="543"/>
      <c r="G12" s="543"/>
      <c r="H12" s="525"/>
      <c r="I12" s="525"/>
      <c r="J12" s="24"/>
      <c r="K12" s="233">
        <f t="shared" ref="K12:K17" si="6">$E$19</f>
        <v>203.29999999999998</v>
      </c>
      <c r="L12" s="277">
        <f>K12*H2</f>
        <v>43302.899999999994</v>
      </c>
      <c r="M12" s="276">
        <f t="shared" ref="M12:M17" si="7">$E$20</f>
        <v>285.95</v>
      </c>
      <c r="N12" s="278">
        <f>H2*M12</f>
        <v>60907.35</v>
      </c>
      <c r="O12" s="279">
        <f>L12+N12</f>
        <v>104210.25</v>
      </c>
    </row>
    <row r="13" spans="1:15" ht="15" thickBot="1">
      <c r="A13" s="123" t="s">
        <v>78</v>
      </c>
      <c r="B13" s="310">
        <v>45227</v>
      </c>
      <c r="C13" s="2"/>
      <c r="D13" s="541"/>
      <c r="E13" s="542"/>
      <c r="F13" s="543"/>
      <c r="G13" s="543"/>
      <c r="H13" s="525"/>
      <c r="I13" s="525"/>
      <c r="J13" s="24"/>
      <c r="K13" s="233">
        <f t="shared" si="6"/>
        <v>203.29999999999998</v>
      </c>
      <c r="L13" s="277">
        <f t="shared" ref="L13:L17" si="8">K13*H3</f>
        <v>112628.2</v>
      </c>
      <c r="M13" s="276">
        <f t="shared" si="7"/>
        <v>285.95</v>
      </c>
      <c r="N13" s="278">
        <f t="shared" ref="N13:N17" si="9">H3*M13</f>
        <v>158416.29999999999</v>
      </c>
      <c r="O13" s="279">
        <f t="shared" ref="O13:O17" si="10">L13+N13</f>
        <v>271044.5</v>
      </c>
    </row>
    <row r="14" spans="1:15" ht="15" thickBot="1">
      <c r="A14" s="123" t="s">
        <v>79</v>
      </c>
      <c r="B14" s="310">
        <v>44926</v>
      </c>
      <c r="C14" s="2"/>
      <c r="D14" s="72"/>
      <c r="E14" s="67"/>
      <c r="J14" s="2"/>
      <c r="K14" s="233">
        <f t="shared" si="6"/>
        <v>203.29999999999998</v>
      </c>
      <c r="L14" s="277">
        <f t="shared" si="8"/>
        <v>146376</v>
      </c>
      <c r="M14" s="276">
        <f t="shared" si="7"/>
        <v>285.95</v>
      </c>
      <c r="N14" s="278">
        <f t="shared" si="9"/>
        <v>205884</v>
      </c>
      <c r="O14" s="279">
        <f t="shared" si="10"/>
        <v>352260</v>
      </c>
    </row>
    <row r="15" spans="1:15">
      <c r="C15" s="2"/>
      <c r="D15" s="72"/>
      <c r="E15" s="67"/>
      <c r="J15" s="2"/>
      <c r="K15" s="233">
        <f t="shared" si="6"/>
        <v>203.29999999999998</v>
      </c>
      <c r="L15" s="277">
        <f t="shared" si="8"/>
        <v>140480.29999999999</v>
      </c>
      <c r="M15" s="276">
        <f t="shared" si="7"/>
        <v>285.95</v>
      </c>
      <c r="N15" s="278">
        <f t="shared" si="9"/>
        <v>197591.44999999998</v>
      </c>
      <c r="O15" s="279">
        <f t="shared" si="10"/>
        <v>338071.75</v>
      </c>
    </row>
    <row r="16" spans="1:15">
      <c r="C16" s="2"/>
      <c r="D16" s="2"/>
      <c r="E16" s="67"/>
      <c r="J16" s="2"/>
      <c r="K16" s="233">
        <f t="shared" si="6"/>
        <v>203.29999999999998</v>
      </c>
      <c r="L16" s="277">
        <f t="shared" si="8"/>
        <v>34764.299999999996</v>
      </c>
      <c r="M16" s="276">
        <f t="shared" si="7"/>
        <v>285.95</v>
      </c>
      <c r="N16" s="278">
        <f t="shared" si="9"/>
        <v>48897.45</v>
      </c>
      <c r="O16" s="279">
        <f t="shared" si="10"/>
        <v>83661.75</v>
      </c>
    </row>
    <row r="17" spans="1:15" ht="15" thickBot="1">
      <c r="A17" s="61"/>
      <c r="B17" s="66" t="s">
        <v>81</v>
      </c>
      <c r="C17" s="2"/>
      <c r="G17" s="2"/>
      <c r="H17" s="2"/>
      <c r="I17" s="2"/>
      <c r="J17" s="2"/>
      <c r="K17" s="233">
        <f t="shared" si="6"/>
        <v>203.29999999999998</v>
      </c>
      <c r="L17" s="277">
        <f t="shared" si="8"/>
        <v>157354.19999999998</v>
      </c>
      <c r="M17" s="276">
        <f t="shared" si="7"/>
        <v>285.95</v>
      </c>
      <c r="N17" s="278">
        <f t="shared" si="9"/>
        <v>221325.3</v>
      </c>
      <c r="O17" s="279">
        <f t="shared" si="10"/>
        <v>378679.5</v>
      </c>
    </row>
    <row r="18" spans="1:15" ht="73" thickBot="1">
      <c r="A18" s="68" t="s">
        <v>82</v>
      </c>
      <c r="B18" s="74">
        <v>27.4</v>
      </c>
      <c r="C18" s="57" t="s">
        <v>8</v>
      </c>
      <c r="D18" s="132" t="s">
        <v>83</v>
      </c>
      <c r="E18" s="338" t="s">
        <v>84</v>
      </c>
      <c r="F18" s="198" t="s">
        <v>226</v>
      </c>
      <c r="G18" s="2"/>
      <c r="H18" s="2"/>
      <c r="I18" s="2"/>
      <c r="J18" s="2"/>
      <c r="K18" s="282"/>
      <c r="L18" s="283">
        <f>SUM(L12:L17)</f>
        <v>634905.89999999991</v>
      </c>
      <c r="M18" s="284"/>
      <c r="N18" s="285">
        <f t="shared" ref="N18" si="11">SUM(N12:N17)</f>
        <v>893021.84999999986</v>
      </c>
      <c r="O18" s="286">
        <f t="shared" ref="O18" si="12">SUM(O12:O17)</f>
        <v>1527927.75</v>
      </c>
    </row>
    <row r="19" spans="1:15">
      <c r="A19" s="75" t="s">
        <v>86</v>
      </c>
      <c r="B19" s="76">
        <f>B14-B12+1</f>
        <v>214</v>
      </c>
      <c r="C19" s="248">
        <f>'Maintenance '!BI68/($B19*COUNTA(B2:B6))</f>
        <v>0</v>
      </c>
      <c r="D19" s="196">
        <v>0.95</v>
      </c>
      <c r="E19" s="235">
        <f>F19*D19</f>
        <v>203.29999999999998</v>
      </c>
      <c r="F19" s="57">
        <f>B19</f>
        <v>214</v>
      </c>
      <c r="G19" s="2"/>
      <c r="H19" s="2"/>
      <c r="I19" s="2"/>
      <c r="J19" s="2"/>
      <c r="K19" s="2"/>
      <c r="L19" s="2"/>
      <c r="M19" s="2"/>
      <c r="N19" s="2"/>
      <c r="O19" s="2"/>
    </row>
    <row r="20" spans="1:15" ht="15" thickBot="1">
      <c r="A20" s="78" t="s">
        <v>87</v>
      </c>
      <c r="B20" s="79">
        <f>B13-B14</f>
        <v>301</v>
      </c>
      <c r="C20" s="248">
        <f>'Maintenance '!BJ68/($B20*COUNTA(B2:B6))</f>
        <v>0</v>
      </c>
      <c r="D20" s="196">
        <v>0.95</v>
      </c>
      <c r="E20" s="235">
        <f>F20*D20</f>
        <v>285.95</v>
      </c>
      <c r="F20" s="57">
        <f>B20</f>
        <v>301</v>
      </c>
    </row>
    <row r="21" spans="1:15" ht="15" thickBot="1">
      <c r="A21" s="63" t="s">
        <v>88</v>
      </c>
      <c r="B21" s="80">
        <v>365</v>
      </c>
      <c r="C21" s="248"/>
      <c r="D21" s="57"/>
      <c r="E21" s="57"/>
      <c r="F21" s="57"/>
    </row>
    <row r="23" spans="1:15">
      <c r="A23" s="94" t="s">
        <v>350</v>
      </c>
      <c r="B23" s="226">
        <v>2190</v>
      </c>
      <c r="C23" s="225">
        <f>'Maintenance '!BL68/B23</f>
        <v>0</v>
      </c>
    </row>
  </sheetData>
  <mergeCells count="7">
    <mergeCell ref="I12:I13"/>
    <mergeCell ref="A2:A7"/>
    <mergeCell ref="D12:D13"/>
    <mergeCell ref="E12:E13"/>
    <mergeCell ref="F12:F13"/>
    <mergeCell ref="G12:G13"/>
    <mergeCell ref="H12:H1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12D28-F929-426B-B1AF-A4CBA3B8005F}">
  <dimension ref="A1:P39"/>
  <sheetViews>
    <sheetView workbookViewId="0">
      <selection activeCell="M18" sqref="M18"/>
    </sheetView>
  </sheetViews>
  <sheetFormatPr defaultRowHeight="14.5"/>
  <cols>
    <col min="1" max="1" width="77.1796875" bestFit="1" customWidth="1"/>
    <col min="2" max="2" width="15.7265625" bestFit="1" customWidth="1"/>
    <col min="4" max="4" width="11.81640625" customWidth="1"/>
    <col min="5" max="5" width="39.54296875" bestFit="1" customWidth="1"/>
    <col min="7" max="7" width="77.1796875" bestFit="1" customWidth="1"/>
    <col min="8" max="8" width="15.7265625" bestFit="1" customWidth="1"/>
    <col min="9" max="9" width="10" bestFit="1" customWidth="1"/>
    <col min="13" max="13" width="77.1796875" bestFit="1" customWidth="1"/>
    <col min="14" max="14" width="15.7265625" bestFit="1" customWidth="1"/>
  </cols>
  <sheetData>
    <row r="1" spans="1:16" ht="14.5" customHeight="1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2"/>
      <c r="M1" s="535" t="s">
        <v>46</v>
      </c>
      <c r="N1" s="535"/>
      <c r="O1" s="535"/>
      <c r="P1" s="535"/>
    </row>
    <row r="2" spans="1:1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3" customHeight="1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2"/>
      <c r="M3" s="533" t="s">
        <v>91</v>
      </c>
      <c r="N3" s="519"/>
      <c r="O3" s="519"/>
      <c r="P3" s="519"/>
    </row>
    <row r="4" spans="1:16" ht="26.5" customHeight="1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2"/>
      <c r="M4" s="9" t="s">
        <v>93</v>
      </c>
      <c r="N4" s="9" t="s">
        <v>94</v>
      </c>
      <c r="O4" s="9" t="s">
        <v>35</v>
      </c>
      <c r="P4" s="86">
        <v>0</v>
      </c>
    </row>
    <row r="5" spans="1:16" ht="21.65" customHeight="1">
      <c r="A5" s="9" t="s">
        <v>96</v>
      </c>
      <c r="B5" s="9" t="s">
        <v>97</v>
      </c>
      <c r="C5" s="9"/>
      <c r="D5" s="87">
        <f>'GS7330 PTDs'!O8</f>
        <v>886031.75</v>
      </c>
      <c r="E5" s="85" t="s">
        <v>98</v>
      </c>
      <c r="F5" s="2"/>
      <c r="G5" s="9" t="s">
        <v>96</v>
      </c>
      <c r="H5" s="9" t="s">
        <v>97</v>
      </c>
      <c r="I5" s="9"/>
      <c r="J5" s="87">
        <f>'GS7330 PTDs'!L8</f>
        <v>368176.29999999993</v>
      </c>
      <c r="K5" s="2"/>
      <c r="L5" s="2"/>
      <c r="M5" s="9" t="s">
        <v>96</v>
      </c>
      <c r="N5" s="9" t="s">
        <v>97</v>
      </c>
      <c r="O5" s="9"/>
      <c r="P5" s="87">
        <f>'GS7330 PTDs'!N8</f>
        <v>517855.45</v>
      </c>
    </row>
    <row r="6" spans="1:16" ht="18" customHeight="1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2"/>
      <c r="M6" s="9" t="s">
        <v>99</v>
      </c>
      <c r="N6" s="9" t="s">
        <v>100</v>
      </c>
      <c r="O6" s="9" t="s">
        <v>101</v>
      </c>
      <c r="P6" s="86">
        <v>4.0000000000000002E-4</v>
      </c>
    </row>
    <row r="7" spans="1:16" ht="20.5" customHeight="1">
      <c r="A7" s="88" t="s">
        <v>103</v>
      </c>
      <c r="B7" s="9" t="s">
        <v>104</v>
      </c>
      <c r="C7" s="9" t="s">
        <v>105</v>
      </c>
      <c r="D7" s="86">
        <v>7.5</v>
      </c>
      <c r="E7" s="85" t="s">
        <v>162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2"/>
      <c r="M7" s="88" t="s">
        <v>103</v>
      </c>
      <c r="N7" s="9" t="s">
        <v>104</v>
      </c>
      <c r="O7" s="9" t="s">
        <v>105</v>
      </c>
      <c r="P7" s="86">
        <v>7.5</v>
      </c>
    </row>
    <row r="8" spans="1:16" ht="20.149999999999999" customHeight="1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2"/>
      <c r="M8" s="88" t="s">
        <v>107</v>
      </c>
      <c r="N8" s="9" t="s">
        <v>108</v>
      </c>
      <c r="O8" s="9" t="s">
        <v>105</v>
      </c>
      <c r="P8" s="86">
        <v>0</v>
      </c>
    </row>
    <row r="9" spans="1:16">
      <c r="A9" s="9" t="s">
        <v>110</v>
      </c>
      <c r="B9" s="9" t="s">
        <v>111</v>
      </c>
      <c r="C9" s="9" t="s">
        <v>112</v>
      </c>
      <c r="D9" s="86">
        <f>ROUNDDOWN((1-D4)*D5*D6*(D7+D8),0)</f>
        <v>2658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1104</v>
      </c>
      <c r="K9" s="2"/>
      <c r="L9" s="2"/>
      <c r="M9" s="9" t="s">
        <v>110</v>
      </c>
      <c r="N9" s="9" t="s">
        <v>111</v>
      </c>
      <c r="O9" s="9" t="s">
        <v>112</v>
      </c>
      <c r="P9" s="86">
        <f>ROUNDDOWN((1-P4)*P5*P6*(P7+P8),0)</f>
        <v>1553</v>
      </c>
    </row>
    <row r="10" spans="1:16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2"/>
      <c r="M11" s="533" t="s">
        <v>113</v>
      </c>
      <c r="N11" s="519"/>
      <c r="O11" s="519"/>
      <c r="P11" s="519"/>
    </row>
    <row r="12" spans="1:16" ht="19" customHeight="1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2"/>
      <c r="M12" s="9" t="s">
        <v>114</v>
      </c>
      <c r="N12" s="9" t="s">
        <v>94</v>
      </c>
      <c r="O12" s="9" t="s">
        <v>35</v>
      </c>
      <c r="P12" s="86">
        <v>0</v>
      </c>
    </row>
    <row r="13" spans="1:16" ht="18.649999999999999" customHeight="1">
      <c r="A13" s="9" t="s">
        <v>96</v>
      </c>
      <c r="B13" s="9" t="s">
        <v>97</v>
      </c>
      <c r="C13" s="9"/>
      <c r="D13" s="87">
        <f>D5</f>
        <v>886031.75</v>
      </c>
      <c r="E13" s="85" t="s">
        <v>115</v>
      </c>
      <c r="F13" s="2"/>
      <c r="G13" s="9" t="s">
        <v>96</v>
      </c>
      <c r="H13" s="9" t="s">
        <v>97</v>
      </c>
      <c r="I13" s="9"/>
      <c r="J13" s="87">
        <f>J5</f>
        <v>368176.29999999993</v>
      </c>
      <c r="K13" s="2"/>
      <c r="L13" s="2"/>
      <c r="M13" s="9" t="s">
        <v>96</v>
      </c>
      <c r="N13" s="9" t="s">
        <v>97</v>
      </c>
      <c r="O13" s="9"/>
      <c r="P13" s="87">
        <f>P5</f>
        <v>517855.45</v>
      </c>
    </row>
    <row r="14" spans="1:16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2"/>
      <c r="M14" s="9" t="s">
        <v>116</v>
      </c>
      <c r="N14" s="9" t="s">
        <v>117</v>
      </c>
      <c r="O14" s="9" t="s">
        <v>101</v>
      </c>
      <c r="P14" s="86">
        <v>4.0000000000000002E-4</v>
      </c>
    </row>
    <row r="15" spans="1:16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2"/>
      <c r="M15" s="9" t="s">
        <v>118</v>
      </c>
      <c r="N15" s="9" t="s">
        <v>108</v>
      </c>
      <c r="O15" s="9" t="s">
        <v>105</v>
      </c>
      <c r="P15" s="86">
        <v>0</v>
      </c>
    </row>
    <row r="16" spans="1:16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2"/>
      <c r="M16" s="9" t="s">
        <v>119</v>
      </c>
      <c r="N16" s="9" t="s">
        <v>120</v>
      </c>
      <c r="O16" s="9" t="s">
        <v>105</v>
      </c>
      <c r="P16" s="86">
        <v>0</v>
      </c>
    </row>
    <row r="17" spans="1:16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2"/>
      <c r="M17" s="9" t="s">
        <v>121</v>
      </c>
      <c r="N17" s="9" t="s">
        <v>122</v>
      </c>
      <c r="O17" s="9" t="s">
        <v>112</v>
      </c>
      <c r="P17" s="86">
        <f>ROUNDDOWN((1+P12)*P13*P14*(P16+P16),0)</f>
        <v>0</v>
      </c>
    </row>
    <row r="18" spans="1:16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2"/>
      <c r="M19" s="533" t="s">
        <v>123</v>
      </c>
      <c r="N19" s="519"/>
      <c r="O19" s="519"/>
      <c r="P19" s="519"/>
    </row>
    <row r="20" spans="1:16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2"/>
      <c r="M20" s="88" t="s">
        <v>124</v>
      </c>
      <c r="N20" s="9" t="s">
        <v>124</v>
      </c>
      <c r="O20" s="9" t="s">
        <v>125</v>
      </c>
      <c r="P20" s="86">
        <v>0.97</v>
      </c>
    </row>
    <row r="21" spans="1:16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2"/>
      <c r="M21" s="9" t="s">
        <v>127</v>
      </c>
      <c r="N21" s="9" t="s">
        <v>130</v>
      </c>
      <c r="O21" s="9" t="s">
        <v>129</v>
      </c>
      <c r="P21" s="86">
        <v>112</v>
      </c>
    </row>
    <row r="22" spans="1:16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2"/>
      <c r="M22" s="9" t="s">
        <v>131</v>
      </c>
      <c r="N22" s="9" t="s">
        <v>134</v>
      </c>
      <c r="O22" s="9" t="s">
        <v>129</v>
      </c>
      <c r="P22" s="86">
        <f>D22</f>
        <v>9.4600000000000009</v>
      </c>
    </row>
    <row r="23" spans="1:16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2"/>
      <c r="M23" s="9" t="s">
        <v>135</v>
      </c>
      <c r="N23" s="9" t="s">
        <v>136</v>
      </c>
      <c r="O23" s="9" t="s">
        <v>137</v>
      </c>
      <c r="P23" s="86">
        <v>1.5599999999999999E-2</v>
      </c>
    </row>
    <row r="24" spans="1:16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2"/>
      <c r="M25" s="533" t="s">
        <v>19</v>
      </c>
      <c r="N25" s="519"/>
      <c r="O25" s="519"/>
      <c r="P25" s="519"/>
    </row>
    <row r="26" spans="1:16">
      <c r="A26" s="9" t="s">
        <v>28</v>
      </c>
      <c r="B26" s="9" t="s">
        <v>29</v>
      </c>
      <c r="C26" s="9" t="s">
        <v>30</v>
      </c>
      <c r="D26" s="87">
        <f>ROUNDDOWN(D9*((D20*D21)+D22)*D23,0)</f>
        <v>4896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2033</v>
      </c>
      <c r="K26" s="2"/>
      <c r="L26" s="2"/>
      <c r="M26" s="9" t="s">
        <v>28</v>
      </c>
      <c r="N26" s="9" t="s">
        <v>29</v>
      </c>
      <c r="O26" s="9" t="s">
        <v>30</v>
      </c>
      <c r="P26" s="87">
        <f>ROUNDDOWN(P9*((P20*P21)+P22)*P23,0)</f>
        <v>2861</v>
      </c>
    </row>
    <row r="27" spans="1:16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2"/>
      <c r="M27" s="9" t="s">
        <v>31</v>
      </c>
      <c r="N27" s="9" t="s">
        <v>32</v>
      </c>
      <c r="O27" s="9" t="s">
        <v>30</v>
      </c>
      <c r="P27" s="86">
        <f>P17*((P20*P21)+P22)*P230</f>
        <v>0</v>
      </c>
    </row>
    <row r="28" spans="1:16" ht="19" customHeight="1">
      <c r="A28" s="9" t="s">
        <v>33</v>
      </c>
      <c r="B28" s="9" t="s">
        <v>34</v>
      </c>
      <c r="C28" s="9" t="s">
        <v>35</v>
      </c>
      <c r="D28" s="86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6">
        <f>D28</f>
        <v>0.95</v>
      </c>
      <c r="K28" s="2"/>
      <c r="L28" s="2"/>
      <c r="M28" s="9" t="s">
        <v>33</v>
      </c>
      <c r="N28" s="9" t="s">
        <v>34</v>
      </c>
      <c r="O28" s="9" t="s">
        <v>30</v>
      </c>
      <c r="P28" s="86">
        <f>D28</f>
        <v>0.95</v>
      </c>
    </row>
    <row r="29" spans="1:16" ht="17.5" customHeight="1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2"/>
      <c r="M29" s="9" t="s">
        <v>36</v>
      </c>
      <c r="N29" s="9" t="s">
        <v>37</v>
      </c>
      <c r="O29" s="9" t="s">
        <v>30</v>
      </c>
      <c r="P29" s="86">
        <v>0</v>
      </c>
    </row>
    <row r="30" spans="1:16">
      <c r="A30" s="9" t="s">
        <v>90</v>
      </c>
      <c r="B30" s="9" t="s">
        <v>39</v>
      </c>
      <c r="C30" s="9" t="s">
        <v>30</v>
      </c>
      <c r="D30" s="86">
        <f>ROUNDDOWN(((D26-D27)*D28)-D29,0)</f>
        <v>4651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1931</v>
      </c>
      <c r="K30" s="2"/>
      <c r="L30" s="2"/>
      <c r="M30" s="9" t="s">
        <v>90</v>
      </c>
      <c r="N30" s="9" t="s">
        <v>39</v>
      </c>
      <c r="O30" s="9" t="s">
        <v>30</v>
      </c>
      <c r="P30" s="86">
        <f>ROUNDDOWN(((P26-P27)*P28)-P29,0)</f>
        <v>2717</v>
      </c>
    </row>
    <row r="31" spans="1:16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2"/>
      <c r="M32" s="533" t="s">
        <v>40</v>
      </c>
      <c r="N32" s="519"/>
      <c r="O32" s="519"/>
      <c r="P32" s="519"/>
    </row>
    <row r="33" spans="1:16" ht="16.5" customHeight="1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2"/>
      <c r="M33" s="90" t="s">
        <v>41</v>
      </c>
      <c r="N33" s="9"/>
      <c r="O33" s="16"/>
      <c r="P33" s="91">
        <v>1</v>
      </c>
    </row>
    <row r="34" spans="1:16" ht="18" customHeight="1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2"/>
      <c r="M34" s="90" t="s">
        <v>43</v>
      </c>
      <c r="N34" s="9" t="s">
        <v>42</v>
      </c>
      <c r="O34" s="16" t="s">
        <v>44</v>
      </c>
      <c r="P34" s="91">
        <v>0</v>
      </c>
    </row>
    <row r="35" spans="1:16">
      <c r="A35" s="93" t="s">
        <v>140</v>
      </c>
      <c r="B35" s="94" t="s">
        <v>39</v>
      </c>
      <c r="C35" s="95" t="s">
        <v>30</v>
      </c>
      <c r="D35" s="246">
        <f>ROUNDDOWN(D30*(1-D34),0)</f>
        <v>4651</v>
      </c>
      <c r="E35" s="2"/>
      <c r="F35" s="2"/>
      <c r="G35" s="93" t="s">
        <v>140</v>
      </c>
      <c r="H35" s="94" t="s">
        <v>39</v>
      </c>
      <c r="I35" s="95" t="s">
        <v>30</v>
      </c>
      <c r="J35" s="246">
        <f>ROUNDDOWN(J30*(1-J34),0)</f>
        <v>1931</v>
      </c>
      <c r="K35" s="2"/>
      <c r="L35" s="2"/>
      <c r="M35" s="93" t="s">
        <v>140</v>
      </c>
      <c r="N35" s="94" t="s">
        <v>39</v>
      </c>
      <c r="O35" s="95" t="s">
        <v>30</v>
      </c>
      <c r="P35" s="246">
        <f>ROUNDDOWN(P30*(1-P34),0)</f>
        <v>2717</v>
      </c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93" t="s">
        <v>141</v>
      </c>
      <c r="B37" s="94"/>
      <c r="C37" s="95" t="s">
        <v>30</v>
      </c>
      <c r="D37" s="96">
        <f>J37+P37</f>
        <v>4648</v>
      </c>
      <c r="E37" s="2"/>
      <c r="F37" s="2"/>
      <c r="G37" s="93" t="s">
        <v>141</v>
      </c>
      <c r="H37" s="94"/>
      <c r="I37" s="95" t="s">
        <v>30</v>
      </c>
      <c r="J37" s="96">
        <f>IF(J35&gt;'GS7330 PTDs'!B18*'GS7330 PTDs'!B19,'GS7330 PTDs'!B18*'GS7330 PTDs'!B19,'GS7330 ER Calcs'!J35)</f>
        <v>1931</v>
      </c>
      <c r="K37" s="2"/>
      <c r="L37" s="2"/>
      <c r="M37" s="93" t="s">
        <v>141</v>
      </c>
      <c r="N37" s="94"/>
      <c r="O37" s="95" t="s">
        <v>30</v>
      </c>
      <c r="P37" s="96">
        <f>IF(P35&gt;'GS7330 PTDs'!B18*'GS7330 PTDs'!B20,'GS7330 PTDs'!B18*'GS7330 PTDs'!B20,'GS7330 ER Calcs'!P35)</f>
        <v>2717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1" t="s">
        <v>142</v>
      </c>
      <c r="B39" s="2"/>
      <c r="C39" s="2"/>
      <c r="D39" s="2"/>
      <c r="E39" s="2"/>
      <c r="F39" s="2"/>
      <c r="G39" s="1" t="s">
        <v>142</v>
      </c>
      <c r="H39" s="2"/>
      <c r="I39" s="2"/>
      <c r="J39" s="2"/>
      <c r="K39" s="2"/>
      <c r="L39" s="2"/>
      <c r="M39" s="1" t="s">
        <v>142</v>
      </c>
      <c r="N39" s="2"/>
      <c r="O39" s="2"/>
      <c r="P39" s="2"/>
    </row>
  </sheetData>
  <mergeCells count="18">
    <mergeCell ref="A1:D1"/>
    <mergeCell ref="G1:J1"/>
    <mergeCell ref="M1:P1"/>
    <mergeCell ref="A3:D3"/>
    <mergeCell ref="G3:J3"/>
    <mergeCell ref="M3:P3"/>
    <mergeCell ref="A11:D11"/>
    <mergeCell ref="G11:J11"/>
    <mergeCell ref="M11:P11"/>
    <mergeCell ref="A19:D19"/>
    <mergeCell ref="G19:J19"/>
    <mergeCell ref="M19:P19"/>
    <mergeCell ref="A25:D25"/>
    <mergeCell ref="G25:J25"/>
    <mergeCell ref="M25:P25"/>
    <mergeCell ref="A32:D32"/>
    <mergeCell ref="G32:J32"/>
    <mergeCell ref="M32:P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F85A-6094-4895-86F6-989FE5C36ECA}">
  <dimension ref="A1:Q40"/>
  <sheetViews>
    <sheetView zoomScale="90" zoomScaleNormal="90" workbookViewId="0">
      <selection activeCell="C35" sqref="C35:D35"/>
    </sheetView>
  </sheetViews>
  <sheetFormatPr defaultRowHeight="14.5"/>
  <cols>
    <col min="2" max="2" width="50.453125" customWidth="1"/>
    <col min="3" max="3" width="9.54296875" customWidth="1"/>
    <col min="4" max="4" width="10" bestFit="1" customWidth="1"/>
    <col min="5" max="5" width="10.81640625" bestFit="1" customWidth="1"/>
    <col min="6" max="6" width="46.81640625" bestFit="1" customWidth="1"/>
    <col min="8" max="8" width="77.1796875" bestFit="1" customWidth="1"/>
    <col min="9" max="9" width="15.7265625" bestFit="1" customWidth="1"/>
    <col min="10" max="10" width="10" bestFit="1" customWidth="1"/>
    <col min="11" max="11" width="8.54296875" bestFit="1" customWidth="1"/>
    <col min="13" max="13" width="77.1796875" bestFit="1" customWidth="1"/>
    <col min="14" max="14" width="15.7265625" bestFit="1" customWidth="1"/>
    <col min="15" max="15" width="10" bestFit="1" customWidth="1"/>
    <col min="16" max="16" width="12.453125" customWidth="1"/>
  </cols>
  <sheetData>
    <row r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4.5" customHeight="1">
      <c r="A2" s="2"/>
      <c r="B2" s="535" t="s">
        <v>90</v>
      </c>
      <c r="C2" s="535"/>
      <c r="D2" s="535"/>
      <c r="E2" s="535"/>
      <c r="F2" s="2"/>
      <c r="G2" s="2"/>
      <c r="H2" s="535" t="s">
        <v>17</v>
      </c>
      <c r="I2" s="535"/>
      <c r="J2" s="535"/>
      <c r="K2" s="535"/>
      <c r="L2" s="2"/>
      <c r="M2" s="535" t="s">
        <v>46</v>
      </c>
      <c r="N2" s="535"/>
      <c r="O2" s="535"/>
      <c r="P2" s="535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2"/>
      <c r="B4" s="533" t="s">
        <v>91</v>
      </c>
      <c r="C4" s="519"/>
      <c r="D4" s="519"/>
      <c r="E4" s="534"/>
      <c r="F4" s="83" t="s">
        <v>92</v>
      </c>
      <c r="G4" s="2"/>
      <c r="H4" s="533" t="s">
        <v>91</v>
      </c>
      <c r="I4" s="519"/>
      <c r="J4" s="519"/>
      <c r="K4" s="519"/>
      <c r="L4" s="2"/>
      <c r="M4" s="533" t="s">
        <v>91</v>
      </c>
      <c r="N4" s="519"/>
      <c r="O4" s="519"/>
      <c r="P4" s="519"/>
      <c r="Q4" s="2"/>
    </row>
    <row r="5" spans="1:17" ht="23.15" customHeight="1">
      <c r="A5" s="2"/>
      <c r="B5" s="9" t="s">
        <v>93</v>
      </c>
      <c r="C5" s="9" t="s">
        <v>94</v>
      </c>
      <c r="D5" s="9" t="s">
        <v>35</v>
      </c>
      <c r="E5" s="84">
        <v>0</v>
      </c>
      <c r="F5" s="85" t="s">
        <v>95</v>
      </c>
      <c r="G5" s="2"/>
      <c r="H5" s="9" t="s">
        <v>93</v>
      </c>
      <c r="I5" s="9" t="s">
        <v>94</v>
      </c>
      <c r="J5" s="9" t="s">
        <v>35</v>
      </c>
      <c r="K5" s="86">
        <f>E5</f>
        <v>0</v>
      </c>
      <c r="L5" s="2"/>
      <c r="M5" s="9" t="s">
        <v>93</v>
      </c>
      <c r="N5" s="9" t="s">
        <v>94</v>
      </c>
      <c r="O5" s="9" t="s">
        <v>35</v>
      </c>
      <c r="P5" s="86">
        <f>E5</f>
        <v>0</v>
      </c>
      <c r="Q5" s="2"/>
    </row>
    <row r="6" spans="1:17" ht="19.5" customHeight="1">
      <c r="A6" s="2"/>
      <c r="B6" s="9" t="s">
        <v>96</v>
      </c>
      <c r="C6" s="9" t="s">
        <v>97</v>
      </c>
      <c r="D6" s="9"/>
      <c r="E6" s="87">
        <f>'GS5038 PTDS'!O15</f>
        <v>1129469.25</v>
      </c>
      <c r="F6" s="85" t="s">
        <v>143</v>
      </c>
      <c r="G6" s="2"/>
      <c r="H6" s="9" t="s">
        <v>96</v>
      </c>
      <c r="I6" s="9" t="s">
        <v>97</v>
      </c>
      <c r="J6" s="9"/>
      <c r="K6" s="87">
        <f>'GS5038 PTDS'!L15</f>
        <v>476738.49999999988</v>
      </c>
      <c r="L6" s="2"/>
      <c r="M6" s="9" t="s">
        <v>96</v>
      </c>
      <c r="N6" s="9" t="s">
        <v>97</v>
      </c>
      <c r="O6" s="9"/>
      <c r="P6" s="87">
        <f>'GS5038 PTDS'!N15</f>
        <v>652730.74999999988</v>
      </c>
      <c r="Q6" s="2"/>
    </row>
    <row r="7" spans="1:17">
      <c r="A7" s="2"/>
      <c r="B7" s="9" t="s">
        <v>99</v>
      </c>
      <c r="C7" s="9" t="s">
        <v>100</v>
      </c>
      <c r="D7" s="9" t="s">
        <v>101</v>
      </c>
      <c r="E7" s="86">
        <v>4.0000000000000002E-4</v>
      </c>
      <c r="F7" s="85" t="s">
        <v>102</v>
      </c>
      <c r="G7" s="2"/>
      <c r="H7" s="9" t="s">
        <v>99</v>
      </c>
      <c r="I7" s="9" t="s">
        <v>100</v>
      </c>
      <c r="J7" s="9" t="s">
        <v>101</v>
      </c>
      <c r="K7" s="86">
        <f>E7</f>
        <v>4.0000000000000002E-4</v>
      </c>
      <c r="L7" s="2"/>
      <c r="M7" s="9" t="s">
        <v>99</v>
      </c>
      <c r="N7" s="9" t="s">
        <v>100</v>
      </c>
      <c r="O7" s="9" t="s">
        <v>101</v>
      </c>
      <c r="P7" s="86">
        <v>4.0000000000000002E-4</v>
      </c>
      <c r="Q7" s="2"/>
    </row>
    <row r="8" spans="1:17" ht="27.65" customHeight="1">
      <c r="A8" s="2"/>
      <c r="B8" s="88" t="s">
        <v>103</v>
      </c>
      <c r="C8" s="9" t="s">
        <v>104</v>
      </c>
      <c r="D8" s="9" t="s">
        <v>105</v>
      </c>
      <c r="E8" s="84">
        <v>7.5</v>
      </c>
      <c r="F8" s="85" t="s">
        <v>106</v>
      </c>
      <c r="G8" s="2"/>
      <c r="H8" s="88" t="s">
        <v>103</v>
      </c>
      <c r="I8" s="9" t="s">
        <v>104</v>
      </c>
      <c r="J8" s="9" t="s">
        <v>105</v>
      </c>
      <c r="K8" s="84">
        <f>E8</f>
        <v>7.5</v>
      </c>
      <c r="L8" s="2"/>
      <c r="M8" s="88" t="s">
        <v>103</v>
      </c>
      <c r="N8" s="9" t="s">
        <v>104</v>
      </c>
      <c r="O8" s="9" t="s">
        <v>105</v>
      </c>
      <c r="P8" s="86">
        <f>E8</f>
        <v>7.5</v>
      </c>
      <c r="Q8" s="2"/>
    </row>
    <row r="9" spans="1:17" ht="34.5" customHeight="1">
      <c r="A9" s="2"/>
      <c r="B9" s="88" t="s">
        <v>107</v>
      </c>
      <c r="C9" s="9" t="s">
        <v>108</v>
      </c>
      <c r="D9" s="9" t="s">
        <v>105</v>
      </c>
      <c r="E9" s="86">
        <v>0</v>
      </c>
      <c r="F9" s="85" t="s">
        <v>109</v>
      </c>
      <c r="G9" s="2"/>
      <c r="H9" s="88" t="s">
        <v>107</v>
      </c>
      <c r="I9" s="9" t="s">
        <v>108</v>
      </c>
      <c r="J9" s="9" t="s">
        <v>105</v>
      </c>
      <c r="K9" s="86">
        <v>0</v>
      </c>
      <c r="L9" s="2"/>
      <c r="M9" s="88" t="s">
        <v>107</v>
      </c>
      <c r="N9" s="9" t="s">
        <v>108</v>
      </c>
      <c r="O9" s="9" t="s">
        <v>105</v>
      </c>
      <c r="P9" s="86">
        <f>E9</f>
        <v>0</v>
      </c>
      <c r="Q9" s="2"/>
    </row>
    <row r="10" spans="1:17">
      <c r="A10" s="2"/>
      <c r="B10" s="9" t="s">
        <v>110</v>
      </c>
      <c r="C10" s="9" t="s">
        <v>111</v>
      </c>
      <c r="D10" s="9" t="s">
        <v>112</v>
      </c>
      <c r="E10" s="86">
        <f>ROUNDDOWN((1-E5)*E6*E7*(E8+E9),0)</f>
        <v>3388</v>
      </c>
      <c r="F10" s="85"/>
      <c r="G10" s="2"/>
      <c r="H10" s="9" t="s">
        <v>110</v>
      </c>
      <c r="I10" s="9" t="s">
        <v>111</v>
      </c>
      <c r="J10" s="9" t="s">
        <v>112</v>
      </c>
      <c r="K10" s="86">
        <f>ROUNDDOWN((1-K5)*K6*K7*(K8+K9),0)</f>
        <v>1430</v>
      </c>
      <c r="L10" s="2"/>
      <c r="M10" s="9" t="s">
        <v>110</v>
      </c>
      <c r="N10" s="9" t="s">
        <v>111</v>
      </c>
      <c r="O10" s="9" t="s">
        <v>112</v>
      </c>
      <c r="P10" s="86">
        <f>ROUNDDOWN((1-P5)*P6*P7*(P8+P9),0)</f>
        <v>1958</v>
      </c>
      <c r="Q10" s="2"/>
    </row>
    <row r="11" spans="1:17">
      <c r="A11" s="2"/>
      <c r="B11" s="2"/>
      <c r="C11" s="2"/>
      <c r="D11" s="2"/>
      <c r="E11" s="2"/>
      <c r="F11" s="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2"/>
      <c r="B12" s="533" t="s">
        <v>113</v>
      </c>
      <c r="C12" s="519"/>
      <c r="D12" s="519"/>
      <c r="E12" s="534"/>
      <c r="F12" s="4"/>
      <c r="G12" s="2"/>
      <c r="H12" s="533" t="s">
        <v>113</v>
      </c>
      <c r="I12" s="519"/>
      <c r="J12" s="519"/>
      <c r="K12" s="519"/>
      <c r="L12" s="2"/>
      <c r="M12" s="533" t="s">
        <v>113</v>
      </c>
      <c r="N12" s="519"/>
      <c r="O12" s="519"/>
      <c r="P12" s="519"/>
      <c r="Q12" s="2"/>
    </row>
    <row r="13" spans="1:17">
      <c r="A13" s="2"/>
      <c r="B13" s="9" t="s">
        <v>114</v>
      </c>
      <c r="C13" s="9" t="s">
        <v>94</v>
      </c>
      <c r="D13" s="9" t="s">
        <v>35</v>
      </c>
      <c r="E13" s="86">
        <f>E5</f>
        <v>0</v>
      </c>
      <c r="F13" s="85" t="s">
        <v>95</v>
      </c>
      <c r="G13" s="2"/>
      <c r="H13" s="9" t="s">
        <v>114</v>
      </c>
      <c r="I13" s="9" t="s">
        <v>94</v>
      </c>
      <c r="J13" s="9" t="s">
        <v>35</v>
      </c>
      <c r="K13" s="86">
        <f>K5</f>
        <v>0</v>
      </c>
      <c r="L13" s="2"/>
      <c r="M13" s="9" t="s">
        <v>114</v>
      </c>
      <c r="N13" s="9" t="s">
        <v>94</v>
      </c>
      <c r="O13" s="9" t="s">
        <v>35</v>
      </c>
      <c r="P13" s="86">
        <f>P5</f>
        <v>0</v>
      </c>
      <c r="Q13" s="2"/>
    </row>
    <row r="14" spans="1:17" ht="18" customHeight="1">
      <c r="A14" s="2"/>
      <c r="B14" s="9" t="s">
        <v>96</v>
      </c>
      <c r="C14" s="9" t="s">
        <v>97</v>
      </c>
      <c r="D14" s="9"/>
      <c r="E14" s="87">
        <f>E6</f>
        <v>1129469.25</v>
      </c>
      <c r="F14" s="85" t="s">
        <v>144</v>
      </c>
      <c r="G14" s="2"/>
      <c r="H14" s="9" t="s">
        <v>96</v>
      </c>
      <c r="I14" s="9" t="s">
        <v>97</v>
      </c>
      <c r="J14" s="9"/>
      <c r="K14" s="87">
        <f>K6</f>
        <v>476738.49999999988</v>
      </c>
      <c r="L14" s="2"/>
      <c r="M14" s="9" t="s">
        <v>96</v>
      </c>
      <c r="N14" s="9" t="s">
        <v>97</v>
      </c>
      <c r="O14" s="9"/>
      <c r="P14" s="87">
        <f>P6</f>
        <v>652730.74999999988</v>
      </c>
      <c r="Q14" s="2"/>
    </row>
    <row r="15" spans="1:17">
      <c r="A15" s="2"/>
      <c r="B15" s="9" t="s">
        <v>116</v>
      </c>
      <c r="C15" s="9" t="s">
        <v>117</v>
      </c>
      <c r="D15" s="9" t="s">
        <v>101</v>
      </c>
      <c r="E15" s="86">
        <f>E7</f>
        <v>4.0000000000000002E-4</v>
      </c>
      <c r="F15" s="85"/>
      <c r="G15" s="2"/>
      <c r="H15" s="9" t="s">
        <v>116</v>
      </c>
      <c r="I15" s="9" t="s">
        <v>117</v>
      </c>
      <c r="J15" s="9" t="s">
        <v>101</v>
      </c>
      <c r="K15" s="86">
        <f>K7</f>
        <v>4.0000000000000002E-4</v>
      </c>
      <c r="L15" s="2"/>
      <c r="M15" s="9" t="s">
        <v>116</v>
      </c>
      <c r="N15" s="9" t="s">
        <v>117</v>
      </c>
      <c r="O15" s="9" t="s">
        <v>101</v>
      </c>
      <c r="P15" s="86">
        <f>E15</f>
        <v>4.0000000000000002E-4</v>
      </c>
      <c r="Q15" s="2"/>
    </row>
    <row r="16" spans="1:17">
      <c r="A16" s="2"/>
      <c r="B16" s="9" t="s">
        <v>118</v>
      </c>
      <c r="C16" s="9" t="s">
        <v>108</v>
      </c>
      <c r="D16" s="9" t="s">
        <v>105</v>
      </c>
      <c r="E16" s="86">
        <v>0</v>
      </c>
      <c r="F16" s="85" t="s">
        <v>109</v>
      </c>
      <c r="G16" s="2"/>
      <c r="H16" s="9" t="s">
        <v>118</v>
      </c>
      <c r="I16" s="9" t="s">
        <v>108</v>
      </c>
      <c r="J16" s="9" t="s">
        <v>105</v>
      </c>
      <c r="K16" s="86">
        <f>E16</f>
        <v>0</v>
      </c>
      <c r="L16" s="2"/>
      <c r="M16" s="9" t="s">
        <v>118</v>
      </c>
      <c r="N16" s="9" t="s">
        <v>108</v>
      </c>
      <c r="O16" s="9" t="s">
        <v>105</v>
      </c>
      <c r="P16" s="86">
        <f>E16</f>
        <v>0</v>
      </c>
      <c r="Q16" s="2"/>
    </row>
    <row r="17" spans="1:17">
      <c r="A17" s="2"/>
      <c r="B17" s="9" t="s">
        <v>119</v>
      </c>
      <c r="C17" s="9" t="s">
        <v>120</v>
      </c>
      <c r="D17" s="9" t="s">
        <v>105</v>
      </c>
      <c r="E17" s="86">
        <v>0</v>
      </c>
      <c r="F17" s="85" t="s">
        <v>109</v>
      </c>
      <c r="G17" s="2"/>
      <c r="H17" s="9" t="s">
        <v>119</v>
      </c>
      <c r="I17" s="9" t="s">
        <v>120</v>
      </c>
      <c r="J17" s="9" t="s">
        <v>105</v>
      </c>
      <c r="K17" s="86">
        <f>E17</f>
        <v>0</v>
      </c>
      <c r="L17" s="2"/>
      <c r="M17" s="9" t="s">
        <v>119</v>
      </c>
      <c r="N17" s="9" t="s">
        <v>120</v>
      </c>
      <c r="O17" s="9" t="s">
        <v>105</v>
      </c>
      <c r="P17" s="86">
        <f>E17</f>
        <v>0</v>
      </c>
      <c r="Q17" s="2"/>
    </row>
    <row r="18" spans="1:17">
      <c r="A18" s="2"/>
      <c r="B18" s="9" t="s">
        <v>121</v>
      </c>
      <c r="C18" s="9" t="s">
        <v>122</v>
      </c>
      <c r="D18" s="9" t="s">
        <v>112</v>
      </c>
      <c r="E18" s="242">
        <f>ROUNDDOWN((1-E13)*E14*E15*(E16+E17),0)</f>
        <v>0</v>
      </c>
      <c r="F18" s="85"/>
      <c r="G18" s="2"/>
      <c r="H18" s="9" t="s">
        <v>121</v>
      </c>
      <c r="I18" s="9" t="s">
        <v>122</v>
      </c>
      <c r="J18" s="9" t="s">
        <v>112</v>
      </c>
      <c r="K18" s="86">
        <f>ROUNDDOWN((1-K13)*K14*K15*(K16+K17),0)</f>
        <v>0</v>
      </c>
      <c r="L18" s="2"/>
      <c r="M18" s="9" t="s">
        <v>121</v>
      </c>
      <c r="N18" s="9" t="s">
        <v>122</v>
      </c>
      <c r="O18" s="9" t="s">
        <v>112</v>
      </c>
      <c r="P18" s="86">
        <f>ROUNDDOWN((1-P13)*P14*P15*(P16+P17),0)</f>
        <v>0</v>
      </c>
      <c r="Q18" s="2"/>
    </row>
    <row r="19" spans="1:17">
      <c r="A19" s="2"/>
      <c r="B19" s="2"/>
      <c r="C19" s="2"/>
      <c r="D19" s="2"/>
      <c r="E19" s="2"/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>
      <c r="A20" s="2"/>
      <c r="B20" s="533" t="s">
        <v>123</v>
      </c>
      <c r="C20" s="519"/>
      <c r="D20" s="519"/>
      <c r="E20" s="519"/>
      <c r="F20" s="4"/>
      <c r="G20" s="2"/>
      <c r="H20" s="533" t="s">
        <v>123</v>
      </c>
      <c r="I20" s="519"/>
      <c r="J20" s="519"/>
      <c r="K20" s="519"/>
      <c r="L20" s="2"/>
      <c r="M20" s="533" t="s">
        <v>123</v>
      </c>
      <c r="N20" s="519"/>
      <c r="O20" s="519"/>
      <c r="P20" s="519"/>
      <c r="Q20" s="2"/>
    </row>
    <row r="21" spans="1:17">
      <c r="A21" s="2"/>
      <c r="B21" s="88" t="s">
        <v>124</v>
      </c>
      <c r="C21" s="9" t="s">
        <v>124</v>
      </c>
      <c r="D21" s="9" t="s">
        <v>125</v>
      </c>
      <c r="E21" s="86">
        <v>0.97</v>
      </c>
      <c r="F21" s="85" t="s">
        <v>126</v>
      </c>
      <c r="G21" s="2"/>
      <c r="H21" s="88" t="s">
        <v>124</v>
      </c>
      <c r="I21" s="9" t="s">
        <v>124</v>
      </c>
      <c r="J21" s="9" t="s">
        <v>125</v>
      </c>
      <c r="K21" s="86">
        <f>E21</f>
        <v>0.97</v>
      </c>
      <c r="L21" s="2"/>
      <c r="M21" s="88" t="s">
        <v>124</v>
      </c>
      <c r="N21" s="9" t="s">
        <v>124</v>
      </c>
      <c r="O21" s="9" t="s">
        <v>125</v>
      </c>
      <c r="P21" s="86">
        <f>E21</f>
        <v>0.97</v>
      </c>
      <c r="Q21" s="2"/>
    </row>
    <row r="22" spans="1:17">
      <c r="A22" s="2"/>
      <c r="B22" s="9" t="s">
        <v>127</v>
      </c>
      <c r="C22" s="9" t="s">
        <v>128</v>
      </c>
      <c r="D22" s="9" t="s">
        <v>129</v>
      </c>
      <c r="E22" s="86">
        <v>112</v>
      </c>
      <c r="F22" s="85" t="s">
        <v>126</v>
      </c>
      <c r="G22" s="2"/>
      <c r="H22" s="9" t="s">
        <v>127</v>
      </c>
      <c r="I22" s="9" t="s">
        <v>128</v>
      </c>
      <c r="J22" s="9" t="s">
        <v>129</v>
      </c>
      <c r="K22" s="86">
        <f>E22</f>
        <v>112</v>
      </c>
      <c r="L22" s="2"/>
      <c r="M22" s="9" t="s">
        <v>127</v>
      </c>
      <c r="N22" s="9" t="s">
        <v>130</v>
      </c>
      <c r="O22" s="9" t="s">
        <v>129</v>
      </c>
      <c r="P22" s="86">
        <f>E22</f>
        <v>112</v>
      </c>
      <c r="Q22" s="2"/>
    </row>
    <row r="23" spans="1:17">
      <c r="A23" s="2"/>
      <c r="B23" s="9" t="s">
        <v>131</v>
      </c>
      <c r="C23" s="9" t="s">
        <v>132</v>
      </c>
      <c r="D23" s="9" t="s">
        <v>133</v>
      </c>
      <c r="E23" s="86">
        <v>9.4600000000000009</v>
      </c>
      <c r="F23" s="85" t="s">
        <v>126</v>
      </c>
      <c r="G23" s="2"/>
      <c r="H23" s="9" t="s">
        <v>131</v>
      </c>
      <c r="I23" s="9" t="s">
        <v>132</v>
      </c>
      <c r="J23" s="9" t="s">
        <v>133</v>
      </c>
      <c r="K23" s="241">
        <f>E23</f>
        <v>9.4600000000000009</v>
      </c>
      <c r="L23" s="2"/>
      <c r="M23" s="9" t="s">
        <v>131</v>
      </c>
      <c r="N23" s="9" t="s">
        <v>134</v>
      </c>
      <c r="O23" s="9" t="s">
        <v>133</v>
      </c>
      <c r="P23" s="86">
        <f>E23</f>
        <v>9.4600000000000009</v>
      </c>
      <c r="Q23" s="2"/>
    </row>
    <row r="24" spans="1:17">
      <c r="A24" s="2"/>
      <c r="B24" s="9" t="s">
        <v>135</v>
      </c>
      <c r="C24" s="9" t="s">
        <v>136</v>
      </c>
      <c r="D24" s="9" t="s">
        <v>137</v>
      </c>
      <c r="E24" s="86">
        <v>1.5599999999999999E-2</v>
      </c>
      <c r="F24" s="85" t="s">
        <v>126</v>
      </c>
      <c r="G24" s="2"/>
      <c r="H24" s="9" t="s">
        <v>135</v>
      </c>
      <c r="I24" s="9" t="s">
        <v>136</v>
      </c>
      <c r="J24" s="9" t="s">
        <v>137</v>
      </c>
      <c r="K24" s="86">
        <f>E24</f>
        <v>1.5599999999999999E-2</v>
      </c>
      <c r="L24" s="2"/>
      <c r="M24" s="9" t="s">
        <v>135</v>
      </c>
      <c r="N24" s="9" t="s">
        <v>136</v>
      </c>
      <c r="O24" s="9" t="s">
        <v>137</v>
      </c>
      <c r="P24" s="86">
        <f>E24</f>
        <v>1.5599999999999999E-2</v>
      </c>
      <c r="Q24" s="2"/>
    </row>
    <row r="25" spans="1:17">
      <c r="A25" s="2"/>
      <c r="B25" s="2"/>
      <c r="C25" s="2"/>
      <c r="D25" s="2"/>
      <c r="E25" s="2"/>
      <c r="F25" s="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>
      <c r="A26" s="2"/>
      <c r="B26" s="533" t="s">
        <v>19</v>
      </c>
      <c r="C26" s="519"/>
      <c r="D26" s="519"/>
      <c r="E26" s="519"/>
      <c r="F26" s="4"/>
      <c r="G26" s="2"/>
      <c r="H26" s="533" t="s">
        <v>19</v>
      </c>
      <c r="I26" s="519"/>
      <c r="J26" s="519"/>
      <c r="K26" s="519"/>
      <c r="L26" s="2"/>
      <c r="M26" s="533" t="s">
        <v>19</v>
      </c>
      <c r="N26" s="519"/>
      <c r="O26" s="519"/>
      <c r="P26" s="519"/>
      <c r="Q26" s="2"/>
    </row>
    <row r="27" spans="1:17">
      <c r="A27" s="2"/>
      <c r="B27" s="9" t="s">
        <v>28</v>
      </c>
      <c r="C27" s="9" t="s">
        <v>29</v>
      </c>
      <c r="D27" s="9" t="s">
        <v>30</v>
      </c>
      <c r="E27" s="87">
        <f>ROUNDDOWN(E10*((E22*E21)+E23)*E24,0)</f>
        <v>6241</v>
      </c>
      <c r="F27" s="85"/>
      <c r="G27" s="2"/>
      <c r="H27" s="9" t="s">
        <v>28</v>
      </c>
      <c r="I27" s="9" t="s">
        <v>29</v>
      </c>
      <c r="J27" s="9" t="s">
        <v>30</v>
      </c>
      <c r="K27" s="87">
        <f>ROUNDDOWN(K10*((K22*K21)+K23)*K24,0)</f>
        <v>2634</v>
      </c>
      <c r="L27" s="2"/>
      <c r="M27" s="9" t="s">
        <v>28</v>
      </c>
      <c r="N27" s="9" t="s">
        <v>29</v>
      </c>
      <c r="O27" s="9" t="s">
        <v>30</v>
      </c>
      <c r="P27" s="87">
        <f>ROUNDDOWN(P10*((P22*P21)+P23)*P24,0)</f>
        <v>3607</v>
      </c>
      <c r="Q27" s="2"/>
    </row>
    <row r="28" spans="1:17">
      <c r="A28" s="2"/>
      <c r="B28" s="9" t="s">
        <v>31</v>
      </c>
      <c r="C28" s="9" t="s">
        <v>32</v>
      </c>
      <c r="D28" s="9" t="s">
        <v>30</v>
      </c>
      <c r="E28" s="86">
        <f>E18*((E21*E22)+E23)*E231</f>
        <v>0</v>
      </c>
      <c r="F28" s="85"/>
      <c r="G28" s="2"/>
      <c r="H28" s="9" t="s">
        <v>31</v>
      </c>
      <c r="I28" s="9" t="s">
        <v>32</v>
      </c>
      <c r="J28" s="9" t="str">
        <f>D28</f>
        <v>tCO2/y</v>
      </c>
      <c r="K28" s="86">
        <f>K18*((K22*K21)+K23)*K24</f>
        <v>0</v>
      </c>
      <c r="L28" s="2"/>
      <c r="M28" s="9" t="s">
        <v>31</v>
      </c>
      <c r="N28" s="9" t="s">
        <v>32</v>
      </c>
      <c r="O28" s="9" t="str">
        <f>D28</f>
        <v>tCO2/y</v>
      </c>
      <c r="P28" s="86">
        <f>P18*((P22*P21)+P23)*P24</f>
        <v>0</v>
      </c>
      <c r="Q28" s="2"/>
    </row>
    <row r="29" spans="1:17" ht="22" customHeight="1">
      <c r="A29" s="2"/>
      <c r="B29" s="9" t="s">
        <v>33</v>
      </c>
      <c r="C29" s="9" t="s">
        <v>34</v>
      </c>
      <c r="D29" s="9" t="s">
        <v>35</v>
      </c>
      <c r="E29" s="89">
        <v>0.95</v>
      </c>
      <c r="F29" s="85" t="s">
        <v>138</v>
      </c>
      <c r="G29" s="2"/>
      <c r="H29" s="9" t="s">
        <v>33</v>
      </c>
      <c r="I29" s="9" t="s">
        <v>34</v>
      </c>
      <c r="J29" s="9" t="s">
        <v>35</v>
      </c>
      <c r="K29" s="89">
        <f>E29</f>
        <v>0.95</v>
      </c>
      <c r="L29" s="2"/>
      <c r="M29" s="9" t="s">
        <v>33</v>
      </c>
      <c r="N29" s="9" t="s">
        <v>34</v>
      </c>
      <c r="O29" s="9" t="s">
        <v>35</v>
      </c>
      <c r="P29" s="89">
        <f>E29</f>
        <v>0.95</v>
      </c>
      <c r="Q29" s="2"/>
    </row>
    <row r="30" spans="1:17" ht="22" customHeight="1">
      <c r="A30" s="2"/>
      <c r="B30" s="9" t="s">
        <v>36</v>
      </c>
      <c r="C30" s="9" t="s">
        <v>37</v>
      </c>
      <c r="D30" s="9" t="s">
        <v>30</v>
      </c>
      <c r="E30" s="86">
        <v>0</v>
      </c>
      <c r="F30" s="85" t="s">
        <v>139</v>
      </c>
      <c r="G30" s="2"/>
      <c r="H30" s="9" t="s">
        <v>36</v>
      </c>
      <c r="I30" s="9" t="s">
        <v>37</v>
      </c>
      <c r="J30" s="9" t="s">
        <v>30</v>
      </c>
      <c r="K30" s="86">
        <f>E30</f>
        <v>0</v>
      </c>
      <c r="L30" s="2"/>
      <c r="M30" s="9" t="s">
        <v>36</v>
      </c>
      <c r="N30" s="9" t="s">
        <v>37</v>
      </c>
      <c r="O30" s="9" t="s">
        <v>30</v>
      </c>
      <c r="P30" s="86">
        <v>0</v>
      </c>
      <c r="Q30" s="2"/>
    </row>
    <row r="31" spans="1:17">
      <c r="A31" s="2"/>
      <c r="B31" s="9" t="s">
        <v>90</v>
      </c>
      <c r="C31" s="9" t="s">
        <v>39</v>
      </c>
      <c r="D31" s="9" t="s">
        <v>30</v>
      </c>
      <c r="E31" s="86">
        <f>ROUNDDOWN(((E27-E28)*E29)-E30,0)</f>
        <v>5928</v>
      </c>
      <c r="F31" s="85"/>
      <c r="G31" s="2"/>
      <c r="H31" s="9" t="s">
        <v>90</v>
      </c>
      <c r="I31" s="9" t="s">
        <v>39</v>
      </c>
      <c r="J31" s="9" t="s">
        <v>30</v>
      </c>
      <c r="K31" s="244">
        <f>((K27-K28)*K29)-K30</f>
        <v>2502.2999999999997</v>
      </c>
      <c r="L31" s="2"/>
      <c r="M31" s="9" t="s">
        <v>90</v>
      </c>
      <c r="N31" s="9" t="s">
        <v>39</v>
      </c>
      <c r="O31" s="9" t="s">
        <v>30</v>
      </c>
      <c r="P31" s="244">
        <f>ROUNDDOWN(((P27-P28)*P29)-P30,0)</f>
        <v>3426</v>
      </c>
      <c r="Q31" s="2"/>
    </row>
    <row r="32" spans="1:17">
      <c r="A32" s="2"/>
      <c r="B32" s="2"/>
      <c r="C32" s="2"/>
      <c r="D32" s="2"/>
      <c r="E32" s="2"/>
      <c r="F32" s="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>
      <c r="A33" s="2"/>
      <c r="B33" s="533" t="s">
        <v>40</v>
      </c>
      <c r="C33" s="519"/>
      <c r="D33" s="519"/>
      <c r="E33" s="519"/>
      <c r="F33" s="4"/>
      <c r="G33" s="2"/>
      <c r="H33" s="533" t="s">
        <v>40</v>
      </c>
      <c r="I33" s="519"/>
      <c r="J33" s="519"/>
      <c r="K33" s="519"/>
      <c r="L33" s="2"/>
      <c r="M33" s="533" t="s">
        <v>40</v>
      </c>
      <c r="N33" s="519"/>
      <c r="O33" s="519"/>
      <c r="P33" s="519"/>
      <c r="Q33" s="2"/>
    </row>
    <row r="34" spans="1:17">
      <c r="A34" s="2"/>
      <c r="B34" s="90" t="s">
        <v>41</v>
      </c>
      <c r="C34" s="2"/>
      <c r="D34" s="16"/>
      <c r="E34" s="91">
        <v>1</v>
      </c>
      <c r="F34" s="85" t="s">
        <v>95</v>
      </c>
      <c r="G34" s="2"/>
      <c r="H34" s="90" t="s">
        <v>41</v>
      </c>
      <c r="I34" s="9"/>
      <c r="J34" s="16"/>
      <c r="K34" s="91">
        <f>E34</f>
        <v>1</v>
      </c>
      <c r="L34" s="2"/>
      <c r="M34" s="90" t="s">
        <v>41</v>
      </c>
      <c r="N34" s="9"/>
      <c r="O34" s="16"/>
      <c r="P34" s="91">
        <f>E34</f>
        <v>1</v>
      </c>
      <c r="Q34" s="2"/>
    </row>
    <row r="35" spans="1:17">
      <c r="A35" s="2"/>
      <c r="B35" s="90" t="s">
        <v>43</v>
      </c>
      <c r="C35" s="9" t="s">
        <v>42</v>
      </c>
      <c r="D35" s="16" t="s">
        <v>44</v>
      </c>
      <c r="E35" s="92">
        <v>0</v>
      </c>
      <c r="F35" s="85" t="s">
        <v>95</v>
      </c>
      <c r="G35" s="2"/>
      <c r="H35" s="90" t="s">
        <v>43</v>
      </c>
      <c r="I35" s="9" t="s">
        <v>42</v>
      </c>
      <c r="J35" s="16" t="s">
        <v>44</v>
      </c>
      <c r="K35" s="91">
        <f>E35</f>
        <v>0</v>
      </c>
      <c r="L35" s="2"/>
      <c r="M35" s="90" t="s">
        <v>43</v>
      </c>
      <c r="N35" s="9" t="s">
        <v>42</v>
      </c>
      <c r="O35" s="16" t="s">
        <v>44</v>
      </c>
      <c r="P35" s="91">
        <f>E35</f>
        <v>0</v>
      </c>
      <c r="Q35" s="2"/>
    </row>
    <row r="36" spans="1:17">
      <c r="A36" s="2"/>
      <c r="B36" s="93" t="s">
        <v>140</v>
      </c>
      <c r="C36" s="94" t="s">
        <v>39</v>
      </c>
      <c r="D36" s="95" t="s">
        <v>30</v>
      </c>
      <c r="E36" s="96">
        <f>ROUNDDOWN(E31*(1-E35),0)</f>
        <v>5928</v>
      </c>
      <c r="F36" s="2"/>
      <c r="G36" s="2"/>
      <c r="H36" s="93" t="s">
        <v>140</v>
      </c>
      <c r="I36" s="94" t="s">
        <v>39</v>
      </c>
      <c r="J36" s="95" t="s">
        <v>30</v>
      </c>
      <c r="K36" s="96">
        <f>ROUNDDOWN(K31*(1-K35),0)</f>
        <v>2502</v>
      </c>
      <c r="L36" s="2"/>
      <c r="M36" s="93" t="s">
        <v>140</v>
      </c>
      <c r="N36" s="94" t="s">
        <v>39</v>
      </c>
      <c r="O36" s="95" t="s">
        <v>30</v>
      </c>
      <c r="P36" s="96">
        <f>ROUNDDOWN(P31*(1-P35),0)</f>
        <v>3426</v>
      </c>
      <c r="Q36" s="2"/>
    </row>
    <row r="37" spans="1:1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>
      <c r="A38" s="2"/>
      <c r="B38" s="93" t="s">
        <v>141</v>
      </c>
      <c r="C38" s="94"/>
      <c r="D38" s="95" t="s">
        <v>30</v>
      </c>
      <c r="E38" s="96">
        <f>K36+P36</f>
        <v>5928</v>
      </c>
      <c r="F38" s="2"/>
      <c r="G38" s="2"/>
      <c r="H38" s="93" t="s">
        <v>141</v>
      </c>
      <c r="I38" s="94"/>
      <c r="J38" s="95" t="s">
        <v>30</v>
      </c>
      <c r="K38" s="96">
        <f>K36</f>
        <v>2502</v>
      </c>
      <c r="L38" s="2"/>
      <c r="M38" s="93" t="s">
        <v>141</v>
      </c>
      <c r="N38" s="94"/>
      <c r="O38" s="95" t="s">
        <v>30</v>
      </c>
      <c r="P38" s="96">
        <f>P36</f>
        <v>3426</v>
      </c>
      <c r="Q38" s="2"/>
    </row>
    <row r="39" spans="1:17">
      <c r="A39" s="2"/>
      <c r="B39" s="1"/>
      <c r="C39" s="2"/>
      <c r="D39" s="2"/>
      <c r="E39" s="2"/>
      <c r="F39" s="2"/>
      <c r="G39" s="2"/>
      <c r="H39" s="1"/>
      <c r="I39" s="2"/>
      <c r="J39" s="2"/>
      <c r="K39" s="2"/>
      <c r="L39" s="2"/>
      <c r="M39" s="1"/>
      <c r="N39" s="2"/>
      <c r="O39" s="2"/>
      <c r="P39" s="2"/>
      <c r="Q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</sheetData>
  <mergeCells count="18">
    <mergeCell ref="B2:E2"/>
    <mergeCell ref="H2:K2"/>
    <mergeCell ref="M2:P2"/>
    <mergeCell ref="B4:E4"/>
    <mergeCell ref="H4:K4"/>
    <mergeCell ref="M4:P4"/>
    <mergeCell ref="B12:E12"/>
    <mergeCell ref="H12:K12"/>
    <mergeCell ref="M12:P12"/>
    <mergeCell ref="B20:E20"/>
    <mergeCell ref="H20:K20"/>
    <mergeCell ref="M20:P20"/>
    <mergeCell ref="B26:E26"/>
    <mergeCell ref="H26:K26"/>
    <mergeCell ref="M26:P26"/>
    <mergeCell ref="B33:E33"/>
    <mergeCell ref="H33:K33"/>
    <mergeCell ref="M33:P3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71F7-8F8A-4299-872A-25FDA28B80BD}">
  <dimension ref="A1:P39"/>
  <sheetViews>
    <sheetView zoomScale="78" zoomScaleNormal="78" workbookViewId="0">
      <selection activeCell="M39" sqref="M39"/>
    </sheetView>
  </sheetViews>
  <sheetFormatPr defaultColWidth="19.54296875" defaultRowHeight="14.5"/>
  <cols>
    <col min="1" max="1" width="77.1796875" bestFit="1" customWidth="1"/>
    <col min="2" max="2" width="15.7265625" bestFit="1" customWidth="1"/>
    <col min="3" max="3" width="10" bestFit="1" customWidth="1"/>
    <col min="4" max="4" width="11.81640625" bestFit="1" customWidth="1"/>
    <col min="5" max="5" width="19.453125" bestFit="1" customWidth="1"/>
    <col min="7" max="7" width="77.1796875" bestFit="1" customWidth="1"/>
    <col min="8" max="8" width="15.7265625" bestFit="1" customWidth="1"/>
    <col min="9" max="9" width="10" bestFit="1" customWidth="1"/>
    <col min="10" max="10" width="11.81640625" bestFit="1" customWidth="1"/>
    <col min="13" max="13" width="77.1796875" bestFit="1" customWidth="1"/>
    <col min="14" max="14" width="15.7265625" bestFit="1" customWidth="1"/>
    <col min="15" max="15" width="10" bestFit="1" customWidth="1"/>
    <col min="16" max="16" width="11.81640625" bestFit="1" customWidth="1"/>
  </cols>
  <sheetData>
    <row r="1" spans="1:16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2"/>
      <c r="M1" s="535" t="s">
        <v>46</v>
      </c>
      <c r="N1" s="535"/>
      <c r="O1" s="535"/>
      <c r="P1" s="535"/>
    </row>
    <row r="2" spans="1:1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2"/>
      <c r="M3" s="533" t="s">
        <v>91</v>
      </c>
      <c r="N3" s="519"/>
      <c r="O3" s="519"/>
      <c r="P3" s="519"/>
    </row>
    <row r="4" spans="1:16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2"/>
      <c r="M4" s="9" t="s">
        <v>93</v>
      </c>
      <c r="N4" s="9" t="s">
        <v>94</v>
      </c>
      <c r="O4" s="9" t="s">
        <v>35</v>
      </c>
      <c r="P4" s="86">
        <v>0</v>
      </c>
    </row>
    <row r="5" spans="1:16" ht="29">
      <c r="A5" s="9" t="s">
        <v>96</v>
      </c>
      <c r="B5" s="9" t="s">
        <v>97</v>
      </c>
      <c r="C5" s="9"/>
      <c r="D5" s="87">
        <f>'GS7330 PTDs'!O18</f>
        <v>1527927.75</v>
      </c>
      <c r="E5" s="85" t="s">
        <v>207</v>
      </c>
      <c r="F5" s="2"/>
      <c r="G5" s="9" t="s">
        <v>96</v>
      </c>
      <c r="H5" s="9" t="s">
        <v>97</v>
      </c>
      <c r="I5" s="9"/>
      <c r="J5" s="87">
        <f>'GS7330 PTDs'!L18</f>
        <v>634905.89999999991</v>
      </c>
      <c r="K5" s="2"/>
      <c r="L5" s="2"/>
      <c r="M5" s="9" t="s">
        <v>96</v>
      </c>
      <c r="N5" s="9" t="s">
        <v>97</v>
      </c>
      <c r="O5" s="9"/>
      <c r="P5" s="87">
        <f>'GS7330 PTDs'!N18</f>
        <v>893021.84999999986</v>
      </c>
    </row>
    <row r="6" spans="1:16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2"/>
      <c r="M6" s="9" t="s">
        <v>99</v>
      </c>
      <c r="N6" s="9" t="s">
        <v>100</v>
      </c>
      <c r="O6" s="9" t="s">
        <v>101</v>
      </c>
      <c r="P6" s="86">
        <v>4.0000000000000002E-4</v>
      </c>
    </row>
    <row r="7" spans="1:16" ht="43.5">
      <c r="A7" s="88" t="s">
        <v>103</v>
      </c>
      <c r="B7" s="9" t="s">
        <v>104</v>
      </c>
      <c r="C7" s="9" t="s">
        <v>105</v>
      </c>
      <c r="D7" s="86">
        <v>7.5</v>
      </c>
      <c r="E7" s="85" t="s">
        <v>162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2"/>
      <c r="M7" s="88" t="s">
        <v>103</v>
      </c>
      <c r="N7" s="9" t="s">
        <v>104</v>
      </c>
      <c r="O7" s="9" t="s">
        <v>105</v>
      </c>
      <c r="P7" s="86">
        <v>7.5</v>
      </c>
    </row>
    <row r="8" spans="1:16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2"/>
      <c r="M8" s="88" t="s">
        <v>107</v>
      </c>
      <c r="N8" s="9" t="s">
        <v>108</v>
      </c>
      <c r="O8" s="9" t="s">
        <v>105</v>
      </c>
      <c r="P8" s="86">
        <v>0</v>
      </c>
    </row>
    <row r="9" spans="1:16">
      <c r="A9" s="9" t="s">
        <v>110</v>
      </c>
      <c r="B9" s="9" t="s">
        <v>111</v>
      </c>
      <c r="C9" s="9" t="s">
        <v>112</v>
      </c>
      <c r="D9" s="86">
        <f>ROUNDDOWN((1-D4)*D5*D6*(D7+D8),0)</f>
        <v>4583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1904</v>
      </c>
      <c r="K9" s="2"/>
      <c r="L9" s="2"/>
      <c r="M9" s="9" t="s">
        <v>110</v>
      </c>
      <c r="N9" s="9" t="s">
        <v>111</v>
      </c>
      <c r="O9" s="9" t="s">
        <v>112</v>
      </c>
      <c r="P9" s="86">
        <f>ROUNDDOWN((1-P4)*P5*P6*(P7+P8),0)</f>
        <v>2679</v>
      </c>
    </row>
    <row r="10" spans="1:16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2"/>
      <c r="M11" s="533" t="s">
        <v>113</v>
      </c>
      <c r="N11" s="519"/>
      <c r="O11" s="519"/>
      <c r="P11" s="519"/>
    </row>
    <row r="12" spans="1:16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2"/>
      <c r="M12" s="9" t="s">
        <v>114</v>
      </c>
      <c r="N12" s="9" t="s">
        <v>94</v>
      </c>
      <c r="O12" s="9" t="s">
        <v>35</v>
      </c>
      <c r="P12" s="86">
        <v>0</v>
      </c>
    </row>
    <row r="13" spans="1:16" ht="29">
      <c r="A13" s="9" t="s">
        <v>96</v>
      </c>
      <c r="B13" s="9" t="s">
        <v>97</v>
      </c>
      <c r="C13" s="9"/>
      <c r="D13" s="87">
        <f>D5</f>
        <v>1527927.75</v>
      </c>
      <c r="E13" s="85" t="s">
        <v>208</v>
      </c>
      <c r="F13" s="2"/>
      <c r="G13" s="9" t="s">
        <v>96</v>
      </c>
      <c r="H13" s="9" t="s">
        <v>97</v>
      </c>
      <c r="I13" s="9"/>
      <c r="J13" s="87">
        <f>J5</f>
        <v>634905.89999999991</v>
      </c>
      <c r="K13" s="2"/>
      <c r="L13" s="2"/>
      <c r="M13" s="9" t="s">
        <v>96</v>
      </c>
      <c r="N13" s="9" t="s">
        <v>97</v>
      </c>
      <c r="O13" s="9"/>
      <c r="P13" s="87">
        <f>P5</f>
        <v>893021.84999999986</v>
      </c>
    </row>
    <row r="14" spans="1:16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2"/>
      <c r="M14" s="9" t="s">
        <v>116</v>
      </c>
      <c r="N14" s="9" t="s">
        <v>117</v>
      </c>
      <c r="O14" s="9" t="s">
        <v>101</v>
      </c>
      <c r="P14" s="86">
        <v>4.0000000000000002E-4</v>
      </c>
    </row>
    <row r="15" spans="1:16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2"/>
      <c r="M15" s="9" t="s">
        <v>118</v>
      </c>
      <c r="N15" s="9" t="s">
        <v>108</v>
      </c>
      <c r="O15" s="9" t="s">
        <v>105</v>
      </c>
      <c r="P15" s="86">
        <v>0</v>
      </c>
    </row>
    <row r="16" spans="1:16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2"/>
      <c r="M16" s="9" t="s">
        <v>119</v>
      </c>
      <c r="N16" s="9" t="s">
        <v>120</v>
      </c>
      <c r="O16" s="9" t="s">
        <v>105</v>
      </c>
      <c r="P16" s="86">
        <v>0</v>
      </c>
    </row>
    <row r="17" spans="1:16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2"/>
      <c r="M17" s="9" t="s">
        <v>121</v>
      </c>
      <c r="N17" s="9" t="s">
        <v>122</v>
      </c>
      <c r="O17" s="9" t="s">
        <v>112</v>
      </c>
      <c r="P17" s="86">
        <f>ROUNDDOWN((1+P12)*P13*P14*(P16+P16),0)</f>
        <v>0</v>
      </c>
    </row>
    <row r="18" spans="1:16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2"/>
      <c r="M19" s="533" t="s">
        <v>123</v>
      </c>
      <c r="N19" s="519"/>
      <c r="O19" s="519"/>
      <c r="P19" s="519"/>
    </row>
    <row r="20" spans="1:16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2"/>
      <c r="M20" s="88" t="s">
        <v>124</v>
      </c>
      <c r="N20" s="9" t="s">
        <v>124</v>
      </c>
      <c r="O20" s="9" t="s">
        <v>125</v>
      </c>
      <c r="P20" s="86">
        <v>0.97</v>
      </c>
    </row>
    <row r="21" spans="1:16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2"/>
      <c r="M21" s="9" t="s">
        <v>127</v>
      </c>
      <c r="N21" s="9" t="s">
        <v>130</v>
      </c>
      <c r="O21" s="9" t="s">
        <v>129</v>
      </c>
      <c r="P21" s="86">
        <v>112</v>
      </c>
    </row>
    <row r="22" spans="1:16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2"/>
      <c r="M22" s="9" t="s">
        <v>131</v>
      </c>
      <c r="N22" s="9" t="s">
        <v>134</v>
      </c>
      <c r="O22" s="9" t="s">
        <v>129</v>
      </c>
      <c r="P22" s="86">
        <f>D22</f>
        <v>9.4600000000000009</v>
      </c>
    </row>
    <row r="23" spans="1:16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2"/>
      <c r="M23" s="9" t="s">
        <v>135</v>
      </c>
      <c r="N23" s="9" t="s">
        <v>136</v>
      </c>
      <c r="O23" s="9" t="s">
        <v>137</v>
      </c>
      <c r="P23" s="86">
        <v>1.5599999999999999E-2</v>
      </c>
    </row>
    <row r="24" spans="1:16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2"/>
      <c r="M25" s="533" t="s">
        <v>19</v>
      </c>
      <c r="N25" s="519"/>
      <c r="O25" s="519"/>
      <c r="P25" s="519"/>
    </row>
    <row r="26" spans="1:16">
      <c r="A26" s="9" t="s">
        <v>28</v>
      </c>
      <c r="B26" s="9" t="s">
        <v>29</v>
      </c>
      <c r="C26" s="9" t="s">
        <v>30</v>
      </c>
      <c r="D26" s="87">
        <f>ROUNDDOWN(D9*((D20*D21)+D22)*D23,0)</f>
        <v>8443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3507</v>
      </c>
      <c r="K26" s="2"/>
      <c r="L26" s="2"/>
      <c r="M26" s="9" t="s">
        <v>28</v>
      </c>
      <c r="N26" s="9" t="s">
        <v>29</v>
      </c>
      <c r="O26" s="9" t="s">
        <v>30</v>
      </c>
      <c r="P26" s="87">
        <f>ROUNDDOWN(P9*((P20*P21)+P22)*P23,0)</f>
        <v>4935</v>
      </c>
    </row>
    <row r="27" spans="1:16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2"/>
      <c r="M27" s="9" t="s">
        <v>31</v>
      </c>
      <c r="N27" s="9" t="s">
        <v>32</v>
      </c>
      <c r="O27" s="9" t="s">
        <v>30</v>
      </c>
      <c r="P27" s="86">
        <f>P17*((P20*P21)+P22)*P230</f>
        <v>0</v>
      </c>
    </row>
    <row r="28" spans="1:16" ht="29">
      <c r="A28" s="9" t="s">
        <v>33</v>
      </c>
      <c r="B28" s="9" t="s">
        <v>34</v>
      </c>
      <c r="C28" s="9" t="s">
        <v>35</v>
      </c>
      <c r="D28" s="86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6">
        <f>D28</f>
        <v>0.95</v>
      </c>
      <c r="K28" s="2"/>
      <c r="L28" s="2"/>
      <c r="M28" s="9" t="s">
        <v>33</v>
      </c>
      <c r="N28" s="9" t="s">
        <v>34</v>
      </c>
      <c r="O28" s="9" t="s">
        <v>30</v>
      </c>
      <c r="P28" s="86">
        <f>D28</f>
        <v>0.95</v>
      </c>
    </row>
    <row r="29" spans="1:16" ht="29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2"/>
      <c r="M29" s="9" t="s">
        <v>36</v>
      </c>
      <c r="N29" s="9" t="s">
        <v>37</v>
      </c>
      <c r="O29" s="9" t="s">
        <v>30</v>
      </c>
      <c r="P29" s="86">
        <v>0</v>
      </c>
    </row>
    <row r="30" spans="1:16">
      <c r="A30" s="9" t="s">
        <v>90</v>
      </c>
      <c r="B30" s="9" t="s">
        <v>39</v>
      </c>
      <c r="C30" s="9" t="s">
        <v>30</v>
      </c>
      <c r="D30" s="86">
        <f>ROUNDDOWN(((D26-D27)*D28)-D29,0)</f>
        <v>8020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3331</v>
      </c>
      <c r="K30" s="2"/>
      <c r="L30" s="2"/>
      <c r="M30" s="9" t="s">
        <v>90</v>
      </c>
      <c r="N30" s="9" t="s">
        <v>39</v>
      </c>
      <c r="O30" s="9" t="s">
        <v>30</v>
      </c>
      <c r="P30" s="86">
        <f>ROUNDDOWN(((P26-P27)*P28)-P29,0)</f>
        <v>4688</v>
      </c>
    </row>
    <row r="31" spans="1:16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2"/>
      <c r="M32" s="533" t="s">
        <v>40</v>
      </c>
      <c r="N32" s="519"/>
      <c r="O32" s="519"/>
      <c r="P32" s="519"/>
    </row>
    <row r="33" spans="1:16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2"/>
      <c r="M33" s="90" t="s">
        <v>41</v>
      </c>
      <c r="N33" s="9"/>
      <c r="O33" s="16"/>
      <c r="P33" s="91">
        <v>1</v>
      </c>
    </row>
    <row r="34" spans="1:16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2"/>
      <c r="M34" s="90" t="s">
        <v>43</v>
      </c>
      <c r="N34" s="9" t="s">
        <v>42</v>
      </c>
      <c r="O34" s="16" t="s">
        <v>44</v>
      </c>
      <c r="P34" s="91">
        <v>0</v>
      </c>
    </row>
    <row r="35" spans="1:16">
      <c r="A35" s="93" t="s">
        <v>140</v>
      </c>
      <c r="B35" s="94" t="s">
        <v>39</v>
      </c>
      <c r="C35" s="95" t="s">
        <v>30</v>
      </c>
      <c r="D35" s="246">
        <f>ROUNDDOWN(D30*(1-D34),0)</f>
        <v>8020</v>
      </c>
      <c r="E35" s="2"/>
      <c r="F35" s="2"/>
      <c r="G35" s="93" t="s">
        <v>140</v>
      </c>
      <c r="H35" s="94" t="s">
        <v>39</v>
      </c>
      <c r="I35" s="95" t="s">
        <v>30</v>
      </c>
      <c r="J35" s="246">
        <f>ROUNDDOWN(J30*(1-J34),0)</f>
        <v>3331</v>
      </c>
      <c r="K35" s="2"/>
      <c r="L35" s="2"/>
      <c r="M35" s="93" t="s">
        <v>140</v>
      </c>
      <c r="N35" s="94" t="s">
        <v>39</v>
      </c>
      <c r="O35" s="95" t="s">
        <v>30</v>
      </c>
      <c r="P35" s="246">
        <f>ROUNDDOWN(P30*(1-P34),0)</f>
        <v>4688</v>
      </c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93" t="s">
        <v>141</v>
      </c>
      <c r="B37" s="94"/>
      <c r="C37" s="95" t="s">
        <v>30</v>
      </c>
      <c r="D37" s="96">
        <f>J37+P37</f>
        <v>8019</v>
      </c>
      <c r="E37" s="2"/>
      <c r="F37" s="2"/>
      <c r="G37" s="93" t="s">
        <v>141</v>
      </c>
      <c r="H37" s="94"/>
      <c r="I37" s="95" t="s">
        <v>30</v>
      </c>
      <c r="J37" s="96">
        <f>J35</f>
        <v>3331</v>
      </c>
      <c r="K37" s="2"/>
      <c r="L37" s="2"/>
      <c r="M37" s="93" t="s">
        <v>141</v>
      </c>
      <c r="N37" s="94"/>
      <c r="O37" s="95" t="s">
        <v>30</v>
      </c>
      <c r="P37" s="96">
        <f>P35</f>
        <v>4688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1"/>
      <c r="B39" s="2"/>
      <c r="C39" s="2"/>
      <c r="D39" s="2"/>
      <c r="E39" s="2"/>
      <c r="F39" s="2"/>
      <c r="G39" s="1"/>
      <c r="H39" s="2"/>
      <c r="I39" s="2"/>
      <c r="J39" s="2"/>
      <c r="K39" s="2"/>
      <c r="L39" s="2"/>
      <c r="M39" s="1"/>
      <c r="N39" s="2"/>
      <c r="O39" s="2"/>
      <c r="P39" s="2"/>
    </row>
  </sheetData>
  <mergeCells count="18">
    <mergeCell ref="A25:D25"/>
    <mergeCell ref="G25:J25"/>
    <mergeCell ref="M25:P25"/>
    <mergeCell ref="A32:D32"/>
    <mergeCell ref="G32:J32"/>
    <mergeCell ref="M32:P32"/>
    <mergeCell ref="A11:D11"/>
    <mergeCell ref="G11:J11"/>
    <mergeCell ref="M11:P11"/>
    <mergeCell ref="A19:D19"/>
    <mergeCell ref="G19:J19"/>
    <mergeCell ref="M19:P19"/>
    <mergeCell ref="A1:D1"/>
    <mergeCell ref="G1:J1"/>
    <mergeCell ref="M1:P1"/>
    <mergeCell ref="A3:D3"/>
    <mergeCell ref="G3:J3"/>
    <mergeCell ref="M3:P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22D2-AE2A-4F7E-9998-20E021B470E1}">
  <dimension ref="A1:E22"/>
  <sheetViews>
    <sheetView topLeftCell="B11" workbookViewId="0">
      <selection activeCell="C17" sqref="C17"/>
    </sheetView>
  </sheetViews>
  <sheetFormatPr defaultRowHeight="14.5"/>
  <cols>
    <col min="1" max="1" width="20.1796875" bestFit="1" customWidth="1"/>
    <col min="2" max="2" width="112.1796875" customWidth="1"/>
    <col min="3" max="3" width="30.54296875" customWidth="1"/>
    <col min="5" max="5" width="20.1796875" bestFit="1" customWidth="1"/>
  </cols>
  <sheetData>
    <row r="1" spans="1:5" s="32" customFormat="1" ht="33.65" customHeight="1">
      <c r="A1" s="128" t="s">
        <v>145</v>
      </c>
      <c r="B1" s="137" t="s">
        <v>146</v>
      </c>
      <c r="C1" s="137" t="s">
        <v>147</v>
      </c>
      <c r="D1" s="137" t="s">
        <v>148</v>
      </c>
      <c r="E1" s="184" t="s">
        <v>92</v>
      </c>
    </row>
    <row r="2" spans="1:5" ht="25" customHeight="1">
      <c r="A2" s="100" t="s">
        <v>149</v>
      </c>
      <c r="B2" s="88" t="s">
        <v>150</v>
      </c>
      <c r="C2" s="129">
        <f>((C3-C4)/C3)*C8</f>
        <v>0.95</v>
      </c>
      <c r="D2" s="9" t="s">
        <v>151</v>
      </c>
      <c r="E2" s="88"/>
    </row>
    <row r="3" spans="1:5" ht="28.5" customHeight="1">
      <c r="A3" s="9" t="s">
        <v>152</v>
      </c>
      <c r="B3" s="88" t="s">
        <v>153</v>
      </c>
      <c r="C3" s="54">
        <f>C5*C6</f>
        <v>3.0000000000000001E-3</v>
      </c>
      <c r="D3" s="9" t="s">
        <v>154</v>
      </c>
      <c r="E3" s="88"/>
    </row>
    <row r="4" spans="1:5" ht="35.15" customHeight="1">
      <c r="A4" s="101" t="s">
        <v>155</v>
      </c>
      <c r="B4" s="88" t="s">
        <v>156</v>
      </c>
      <c r="C4" s="54">
        <f>C5*C7</f>
        <v>0</v>
      </c>
      <c r="D4" s="9" t="s">
        <v>154</v>
      </c>
      <c r="E4" s="88"/>
    </row>
    <row r="5" spans="1:5" ht="37" customHeight="1">
      <c r="A5" s="9" t="s">
        <v>100</v>
      </c>
      <c r="B5" s="88" t="s">
        <v>158</v>
      </c>
      <c r="C5" s="54">
        <f>'GS7330 ER Calcs'!D6</f>
        <v>4.0000000000000002E-4</v>
      </c>
      <c r="D5" s="9" t="s">
        <v>159</v>
      </c>
      <c r="E5" s="85" t="s">
        <v>102</v>
      </c>
    </row>
    <row r="6" spans="1:5" ht="36.65" customHeight="1">
      <c r="A6" s="9" t="s">
        <v>104</v>
      </c>
      <c r="B6" s="88" t="s">
        <v>160</v>
      </c>
      <c r="C6" s="54">
        <v>7.5</v>
      </c>
      <c r="D6" s="9" t="s">
        <v>161</v>
      </c>
      <c r="E6" s="85" t="s">
        <v>162</v>
      </c>
    </row>
    <row r="7" spans="1:5" ht="22.5" customHeight="1">
      <c r="A7" s="9" t="s">
        <v>163</v>
      </c>
      <c r="B7" s="88" t="s">
        <v>164</v>
      </c>
      <c r="C7" s="54">
        <v>0</v>
      </c>
      <c r="D7" s="9" t="s">
        <v>161</v>
      </c>
      <c r="E7" s="85" t="s">
        <v>109</v>
      </c>
    </row>
    <row r="8" spans="1:5" ht="31" customHeight="1">
      <c r="A8" s="9" t="s">
        <v>209</v>
      </c>
      <c r="B8" s="88" t="s">
        <v>166</v>
      </c>
      <c r="C8" s="172">
        <f>'GS7330 ER Calcs'!D28</f>
        <v>0.95</v>
      </c>
      <c r="D8" s="9" t="s">
        <v>151</v>
      </c>
      <c r="E8" s="85" t="s">
        <v>138</v>
      </c>
    </row>
    <row r="9" spans="1:5">
      <c r="A9" s="1"/>
      <c r="B9" s="1"/>
      <c r="C9" s="1"/>
      <c r="D9" s="1"/>
      <c r="E9" s="88"/>
    </row>
    <row r="10" spans="1:5" s="32" customFormat="1">
      <c r="A10" s="137" t="s">
        <v>167</v>
      </c>
      <c r="B10" s="137" t="s">
        <v>146</v>
      </c>
      <c r="C10" s="137" t="s">
        <v>168</v>
      </c>
      <c r="D10" s="137" t="s">
        <v>148</v>
      </c>
      <c r="E10" s="139"/>
    </row>
    <row r="11" spans="1:5" ht="23.5" customHeight="1">
      <c r="A11" s="88" t="s">
        <v>169</v>
      </c>
      <c r="B11" s="9" t="s">
        <v>170</v>
      </c>
      <c r="C11" s="105">
        <f>C13-C12</f>
        <v>0.72</v>
      </c>
      <c r="D11" s="9" t="s">
        <v>171</v>
      </c>
      <c r="E11" s="88" t="s">
        <v>174</v>
      </c>
    </row>
    <row r="12" spans="1:5" ht="18.649999999999999" customHeight="1">
      <c r="A12" s="88" t="s">
        <v>211</v>
      </c>
      <c r="B12" s="9" t="s">
        <v>173</v>
      </c>
      <c r="C12" s="9">
        <v>0</v>
      </c>
      <c r="D12" s="9" t="s">
        <v>171</v>
      </c>
      <c r="E12" s="88" t="s">
        <v>213</v>
      </c>
    </row>
    <row r="13" spans="1:5">
      <c r="A13" s="88" t="s">
        <v>212</v>
      </c>
      <c r="B13" s="9" t="s">
        <v>176</v>
      </c>
      <c r="C13" s="478">
        <v>0.72</v>
      </c>
      <c r="D13" s="9" t="s">
        <v>171</v>
      </c>
      <c r="E13" s="88"/>
    </row>
    <row r="14" spans="1:5">
      <c r="A14" s="1"/>
      <c r="B14" s="1"/>
      <c r="C14" s="1"/>
      <c r="D14" s="1"/>
      <c r="E14" s="88"/>
    </row>
    <row r="15" spans="1:5" s="32" customFormat="1" ht="33.65" customHeight="1">
      <c r="A15" s="128" t="s">
        <v>178</v>
      </c>
      <c r="B15" s="137" t="s">
        <v>146</v>
      </c>
      <c r="C15" s="137" t="s">
        <v>179</v>
      </c>
      <c r="D15" s="137" t="s">
        <v>148</v>
      </c>
      <c r="E15" s="139"/>
    </row>
    <row r="16" spans="1:5">
      <c r="A16" s="88" t="s">
        <v>180</v>
      </c>
      <c r="B16" s="9" t="s">
        <v>181</v>
      </c>
      <c r="C16" s="247">
        <f>ROUNDDOWN(C17*(1-C18)*C19,0)</f>
        <v>2966</v>
      </c>
      <c r="D16" s="9" t="s">
        <v>182</v>
      </c>
      <c r="E16" s="1"/>
    </row>
    <row r="17" spans="1:5">
      <c r="A17" s="88" t="s">
        <v>183</v>
      </c>
      <c r="B17" s="9" t="s">
        <v>184</v>
      </c>
      <c r="C17" s="9">
        <f>'GS7330 PTDs'!H8</f>
        <v>3123</v>
      </c>
      <c r="D17" s="9" t="s">
        <v>182</v>
      </c>
      <c r="E17" s="88" t="s">
        <v>228</v>
      </c>
    </row>
    <row r="18" spans="1:5" ht="20.149999999999999" customHeight="1">
      <c r="A18" s="88" t="s">
        <v>94</v>
      </c>
      <c r="B18" s="9" t="s">
        <v>186</v>
      </c>
      <c r="C18" s="106">
        <f>'GS7330 ER Calcs'!D4</f>
        <v>0</v>
      </c>
      <c r="D18" s="9" t="s">
        <v>151</v>
      </c>
      <c r="E18" s="88" t="s">
        <v>174</v>
      </c>
    </row>
    <row r="19" spans="1:5" ht="22" customHeight="1">
      <c r="A19" s="88" t="s">
        <v>209</v>
      </c>
      <c r="B19" s="9" t="s">
        <v>166</v>
      </c>
      <c r="C19" s="173">
        <f>'GS7330 ER Calcs'!D28</f>
        <v>0.95</v>
      </c>
      <c r="D19" s="9" t="s">
        <v>151</v>
      </c>
      <c r="E19" s="85" t="s">
        <v>138</v>
      </c>
    </row>
    <row r="20" spans="1:5">
      <c r="A20" s="1"/>
      <c r="B20" s="1"/>
      <c r="C20" s="1"/>
      <c r="D20" s="1"/>
      <c r="E20" s="88"/>
    </row>
    <row r="21" spans="1:5" s="32" customFormat="1">
      <c r="A21" s="128" t="s">
        <v>187</v>
      </c>
      <c r="B21" s="137" t="s">
        <v>146</v>
      </c>
      <c r="C21" s="137"/>
      <c r="D21" s="137" t="s">
        <v>148</v>
      </c>
      <c r="E21" s="139"/>
    </row>
    <row r="22" spans="1:5">
      <c r="A22" s="88" t="s">
        <v>188</v>
      </c>
      <c r="B22" s="9" t="s">
        <v>189</v>
      </c>
      <c r="C22" s="108">
        <f>'GS7330 ER Calcs'!D37</f>
        <v>4648</v>
      </c>
      <c r="D22" s="9" t="s">
        <v>190</v>
      </c>
      <c r="E22" s="88" t="s">
        <v>191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7161A-A6BB-47C7-B84E-056745B2E0B8}">
  <dimension ref="A1:P50"/>
  <sheetViews>
    <sheetView topLeftCell="A25" workbookViewId="0">
      <selection activeCell="H3" sqref="H3:N3"/>
    </sheetView>
  </sheetViews>
  <sheetFormatPr defaultRowHeight="14.5"/>
  <cols>
    <col min="1" max="1" width="39" bestFit="1" customWidth="1"/>
    <col min="3" max="3" width="10" bestFit="1" customWidth="1"/>
    <col min="4" max="4" width="11.453125" customWidth="1"/>
  </cols>
  <sheetData>
    <row r="1" spans="1:16" ht="37" customHeight="1" thickBot="1">
      <c r="A1" s="521" t="s">
        <v>351</v>
      </c>
      <c r="B1" s="522"/>
      <c r="C1" s="522"/>
      <c r="D1" s="522"/>
      <c r="E1" s="4"/>
      <c r="F1" s="4"/>
      <c r="G1" s="4"/>
      <c r="H1" s="521" t="s">
        <v>16</v>
      </c>
      <c r="I1" s="522"/>
      <c r="J1" s="522"/>
      <c r="K1" s="522"/>
      <c r="L1" s="522"/>
      <c r="M1" s="522"/>
      <c r="N1" s="522"/>
      <c r="O1" s="304"/>
      <c r="P1" s="2"/>
    </row>
    <row r="2" spans="1:16" ht="1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  <c r="O2" s="2"/>
      <c r="P2" s="2"/>
    </row>
    <row r="3" spans="1:16" ht="14.5" customHeight="1">
      <c r="A3" s="523" t="s">
        <v>17</v>
      </c>
      <c r="B3" s="524"/>
      <c r="C3" s="524"/>
      <c r="D3" s="524"/>
      <c r="E3" s="2"/>
      <c r="F3" s="4"/>
      <c r="G3" s="4"/>
      <c r="H3" s="528" t="s">
        <v>18</v>
      </c>
      <c r="I3" s="529"/>
      <c r="J3" s="529"/>
      <c r="K3" s="529"/>
      <c r="L3" s="529"/>
      <c r="M3" s="529"/>
      <c r="N3" s="529"/>
      <c r="O3" s="5"/>
      <c r="P3" s="2"/>
    </row>
    <row r="4" spans="1:16" ht="29">
      <c r="A4" s="518" t="s">
        <v>19</v>
      </c>
      <c r="B4" s="519"/>
      <c r="C4" s="519"/>
      <c r="D4" s="519"/>
      <c r="E4" s="2"/>
      <c r="F4" s="4"/>
      <c r="G4" s="4"/>
      <c r="H4" s="6" t="s">
        <v>20</v>
      </c>
      <c r="I4" s="7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6" t="s">
        <v>26</v>
      </c>
      <c r="O4" s="6" t="s">
        <v>27</v>
      </c>
      <c r="P4" s="2"/>
    </row>
    <row r="5" spans="1:16">
      <c r="A5" s="8" t="s">
        <v>28</v>
      </c>
      <c r="B5" s="9" t="s">
        <v>29</v>
      </c>
      <c r="C5" s="9" t="s">
        <v>30</v>
      </c>
      <c r="D5" s="10">
        <f>'GS7331 ER Calcs'!J26</f>
        <v>1772</v>
      </c>
      <c r="E5" s="2"/>
      <c r="F5" s="4"/>
      <c r="G5" s="4"/>
      <c r="H5" s="109">
        <v>2017</v>
      </c>
      <c r="I5" s="390" t="s">
        <v>352</v>
      </c>
      <c r="J5" s="390">
        <v>1863</v>
      </c>
      <c r="K5" s="390"/>
      <c r="L5" s="390"/>
      <c r="M5" s="390"/>
      <c r="N5" s="382"/>
      <c r="O5" s="392">
        <f>SUM(I5:M5)</f>
        <v>1863</v>
      </c>
      <c r="P5" s="2" t="s">
        <v>334</v>
      </c>
    </row>
    <row r="6" spans="1:16">
      <c r="A6" s="8" t="s">
        <v>31</v>
      </c>
      <c r="B6" s="9" t="s">
        <v>32</v>
      </c>
      <c r="C6" s="9" t="s">
        <v>30</v>
      </c>
      <c r="D6" s="14">
        <f>'GS7331 ER Calcs'!J27</f>
        <v>0</v>
      </c>
      <c r="E6" s="2"/>
      <c r="F6" s="4"/>
      <c r="G6" s="4"/>
      <c r="H6" s="109">
        <v>2018</v>
      </c>
      <c r="I6" s="390" t="s">
        <v>352</v>
      </c>
      <c r="J6" s="390">
        <v>10000</v>
      </c>
      <c r="K6" s="390"/>
      <c r="L6" s="390"/>
      <c r="M6" s="390"/>
      <c r="N6" s="382"/>
      <c r="O6" s="392">
        <f>SUM(I6:M6)</f>
        <v>10000</v>
      </c>
      <c r="P6" s="2"/>
    </row>
    <row r="7" spans="1:16">
      <c r="A7" s="8" t="s">
        <v>33</v>
      </c>
      <c r="B7" s="9" t="s">
        <v>34</v>
      </c>
      <c r="C7" s="9" t="s">
        <v>35</v>
      </c>
      <c r="D7" s="14">
        <f>'GS7331 ER Calcs'!J28</f>
        <v>0.95</v>
      </c>
      <c r="E7" s="2"/>
      <c r="F7" s="4"/>
      <c r="G7" s="4"/>
      <c r="H7" s="109">
        <v>2019</v>
      </c>
      <c r="I7" s="390" t="s">
        <v>352</v>
      </c>
      <c r="J7" s="390">
        <v>4137</v>
      </c>
      <c r="K7" s="390">
        <v>1590</v>
      </c>
      <c r="L7" s="390"/>
      <c r="M7" s="390"/>
      <c r="N7" s="382"/>
      <c r="O7" s="392">
        <f>SUM(I7:M7)</f>
        <v>5727</v>
      </c>
      <c r="P7" s="2"/>
    </row>
    <row r="8" spans="1:16">
      <c r="A8" s="8" t="s">
        <v>36</v>
      </c>
      <c r="B8" s="9" t="s">
        <v>37</v>
      </c>
      <c r="C8" s="9" t="s">
        <v>30</v>
      </c>
      <c r="D8" s="14">
        <f>'GS7331 ER Calcs'!J29</f>
        <v>0</v>
      </c>
      <c r="E8" s="2"/>
      <c r="F8" s="4"/>
      <c r="G8" s="4"/>
      <c r="H8" s="109">
        <v>2020</v>
      </c>
      <c r="I8" s="390" t="s">
        <v>352</v>
      </c>
      <c r="J8" s="390" t="s">
        <v>352</v>
      </c>
      <c r="K8" s="390">
        <v>1128</v>
      </c>
      <c r="L8" s="391">
        <v>1401</v>
      </c>
      <c r="M8" s="391"/>
      <c r="N8" s="382"/>
      <c r="O8" s="392">
        <f>SUM(I8:M8)</f>
        <v>2529</v>
      </c>
      <c r="P8" s="2"/>
    </row>
    <row r="9" spans="1:16">
      <c r="A9" s="8"/>
      <c r="B9" s="9"/>
      <c r="C9" s="9"/>
      <c r="D9" s="14"/>
      <c r="E9" s="2"/>
      <c r="F9" s="4"/>
      <c r="G9" s="4"/>
      <c r="H9" s="109">
        <v>2021</v>
      </c>
      <c r="I9" s="390"/>
      <c r="J9" s="390"/>
      <c r="K9" s="390"/>
      <c r="L9" s="391">
        <v>994</v>
      </c>
      <c r="M9" s="391">
        <v>1488</v>
      </c>
      <c r="N9" s="382"/>
      <c r="O9" s="392">
        <f>SUM(I9:N9)</f>
        <v>2482</v>
      </c>
      <c r="P9" s="2"/>
    </row>
    <row r="10" spans="1:16">
      <c r="A10" s="8"/>
      <c r="B10" s="9"/>
      <c r="C10" s="9"/>
      <c r="D10" s="14"/>
      <c r="E10" s="2"/>
      <c r="F10" s="4"/>
      <c r="G10" s="4"/>
      <c r="H10" s="109">
        <v>2022</v>
      </c>
      <c r="I10" s="390"/>
      <c r="J10" s="390"/>
      <c r="K10" s="390"/>
      <c r="L10" s="391"/>
      <c r="M10" s="391">
        <v>1049</v>
      </c>
      <c r="N10" s="383">
        <f>D46</f>
        <v>1683</v>
      </c>
      <c r="O10" s="392">
        <f t="shared" ref="O10:O12" si="0">SUM(I10:N10)</f>
        <v>2732</v>
      </c>
      <c r="P10" s="2"/>
    </row>
    <row r="11" spans="1:16">
      <c r="A11" s="8" t="s">
        <v>38</v>
      </c>
      <c r="B11" s="9" t="s">
        <v>39</v>
      </c>
      <c r="C11" s="9" t="s">
        <v>30</v>
      </c>
      <c r="D11" s="10">
        <f>'GS7331 ER Calcs'!J30</f>
        <v>1683</v>
      </c>
      <c r="E11" s="2"/>
      <c r="F11" s="4"/>
      <c r="G11" s="4"/>
      <c r="H11" s="109">
        <v>2023</v>
      </c>
      <c r="I11" s="382"/>
      <c r="J11" s="382"/>
      <c r="K11" s="382"/>
      <c r="L11" s="382"/>
      <c r="M11" s="382"/>
      <c r="N11" s="383">
        <f t="shared" ref="N11" si="1">D47</f>
        <v>2871</v>
      </c>
      <c r="O11" s="392">
        <f t="shared" si="0"/>
        <v>2871</v>
      </c>
      <c r="P11" s="2"/>
    </row>
    <row r="12" spans="1:16">
      <c r="A12" s="518" t="s">
        <v>40</v>
      </c>
      <c r="B12" s="519"/>
      <c r="C12" s="519"/>
      <c r="D12" s="519"/>
      <c r="E12" s="2"/>
      <c r="F12" s="4"/>
      <c r="G12" s="4"/>
      <c r="H12" s="109">
        <v>2024</v>
      </c>
      <c r="I12" s="382"/>
      <c r="J12" s="382"/>
      <c r="K12" s="382"/>
      <c r="L12" s="382"/>
      <c r="M12" s="382"/>
      <c r="N12" s="383">
        <v>19</v>
      </c>
      <c r="O12" s="392">
        <f t="shared" si="0"/>
        <v>19</v>
      </c>
      <c r="P12" s="2"/>
    </row>
    <row r="13" spans="1:16">
      <c r="A13" s="15" t="s">
        <v>41</v>
      </c>
      <c r="B13" s="9"/>
      <c r="C13" s="16"/>
      <c r="D13" s="17">
        <f>'GS7331 ER Calcs'!J33</f>
        <v>1</v>
      </c>
      <c r="E13" s="2"/>
      <c r="F13" s="4"/>
      <c r="G13" s="4"/>
      <c r="H13" s="18" t="s">
        <v>13</v>
      </c>
      <c r="I13" s="131">
        <v>0</v>
      </c>
      <c r="J13" s="400">
        <f>SUM(J5:J9)</f>
        <v>16000</v>
      </c>
      <c r="K13" s="400">
        <f>SUM(K5:K9)</f>
        <v>2718</v>
      </c>
      <c r="L13" s="400">
        <f>SUM(L5:L10)</f>
        <v>2395</v>
      </c>
      <c r="M13" s="400">
        <f>SUM(M5:M12)</f>
        <v>2537</v>
      </c>
      <c r="N13" s="400">
        <f>SUM(N5:N12)</f>
        <v>4573</v>
      </c>
      <c r="O13" s="18">
        <f>SUM(I13:N13)</f>
        <v>28223</v>
      </c>
      <c r="P13" s="2"/>
    </row>
    <row r="14" spans="1:16">
      <c r="A14" s="15" t="s">
        <v>43</v>
      </c>
      <c r="B14" s="9" t="s">
        <v>42</v>
      </c>
      <c r="C14" s="16" t="s">
        <v>44</v>
      </c>
      <c r="D14" s="17">
        <f>'GS7331 ER Calcs'!J34</f>
        <v>0</v>
      </c>
      <c r="E14" s="2"/>
      <c r="F14" s="4"/>
      <c r="G14" s="4"/>
      <c r="H14" s="2"/>
      <c r="I14" s="18">
        <v>1</v>
      </c>
      <c r="J14" s="2"/>
      <c r="K14" s="2"/>
      <c r="L14" s="2"/>
      <c r="M14" s="2"/>
      <c r="N14" s="2"/>
      <c r="O14" s="305"/>
      <c r="P14" s="2"/>
    </row>
    <row r="15" spans="1:16" ht="15" thickBot="1">
      <c r="A15" s="21" t="s">
        <v>38</v>
      </c>
      <c r="B15" s="22" t="s">
        <v>39</v>
      </c>
      <c r="C15" s="22" t="s">
        <v>30</v>
      </c>
      <c r="D15" s="23">
        <f>'GS7331 ER Calcs'!J35</f>
        <v>1683</v>
      </c>
      <c r="E15" s="2"/>
      <c r="F15" s="4"/>
      <c r="G15" s="4"/>
      <c r="H15" s="4"/>
      <c r="I15" s="4"/>
      <c r="J15" s="4"/>
      <c r="K15" s="4"/>
      <c r="L15" s="4"/>
      <c r="M15" s="4"/>
      <c r="N15" s="2"/>
      <c r="O15" s="2"/>
      <c r="P15" s="2"/>
    </row>
    <row r="16" spans="1:16" ht="15" thickBot="1">
      <c r="A16" s="21" t="s">
        <v>45</v>
      </c>
      <c r="B16" s="22" t="s">
        <v>39</v>
      </c>
      <c r="C16" s="22" t="s">
        <v>30</v>
      </c>
      <c r="D16" s="23">
        <f>'GS7331 ER Calcs'!J37</f>
        <v>1683</v>
      </c>
      <c r="E16" s="2"/>
      <c r="F16" s="4"/>
      <c r="G16" s="4"/>
      <c r="H16" s="4"/>
      <c r="I16" s="4"/>
      <c r="J16" s="4"/>
      <c r="K16" s="4"/>
      <c r="L16" s="4"/>
      <c r="M16" s="4"/>
      <c r="N16" s="2"/>
      <c r="O16" s="2"/>
      <c r="P16" s="2"/>
    </row>
    <row r="17" spans="1:16" ht="15" thickBot="1">
      <c r="A17" s="4"/>
      <c r="B17" s="4"/>
      <c r="C17" s="4"/>
      <c r="D17" s="4"/>
      <c r="E17" s="2"/>
      <c r="F17" s="4"/>
      <c r="G17" s="4"/>
      <c r="H17" s="4"/>
      <c r="I17" s="4"/>
      <c r="J17" s="4"/>
      <c r="K17" s="4"/>
      <c r="L17" s="4"/>
      <c r="M17" s="4"/>
      <c r="N17" s="2"/>
      <c r="O17" s="2"/>
      <c r="P17" s="2"/>
    </row>
    <row r="18" spans="1:16" ht="14.5" customHeight="1">
      <c r="A18" s="523" t="s">
        <v>46</v>
      </c>
      <c r="B18" s="524"/>
      <c r="C18" s="524"/>
      <c r="D18" s="524"/>
      <c r="E18" s="4"/>
      <c r="F18" s="4"/>
      <c r="G18" s="4"/>
      <c r="H18" s="4"/>
      <c r="I18" s="4"/>
      <c r="J18" s="4"/>
      <c r="K18" s="4"/>
      <c r="L18" s="4"/>
      <c r="M18" s="4"/>
      <c r="N18" s="2"/>
      <c r="O18" s="2"/>
      <c r="P18" s="2"/>
    </row>
    <row r="19" spans="1:16">
      <c r="A19" s="518" t="s">
        <v>19</v>
      </c>
      <c r="B19" s="519"/>
      <c r="C19" s="519"/>
      <c r="D19" s="519"/>
      <c r="E19" s="4"/>
      <c r="F19" s="4"/>
      <c r="G19" s="4"/>
      <c r="H19" s="4"/>
      <c r="I19" s="4"/>
      <c r="J19" s="4"/>
      <c r="K19" s="4"/>
      <c r="L19" s="4"/>
      <c r="M19" s="4"/>
      <c r="N19" s="2"/>
      <c r="O19" s="2"/>
      <c r="P19" s="2"/>
    </row>
    <row r="20" spans="1:16">
      <c r="A20" s="8" t="s">
        <v>28</v>
      </c>
      <c r="B20" s="9" t="s">
        <v>29</v>
      </c>
      <c r="C20" s="9" t="s">
        <v>30</v>
      </c>
      <c r="D20" s="10">
        <f>'GS7331 ER Calcs'!O26</f>
        <v>3023</v>
      </c>
      <c r="E20" s="4"/>
      <c r="F20" s="4"/>
      <c r="G20" s="4"/>
      <c r="H20" s="4"/>
      <c r="I20" s="4"/>
      <c r="J20" s="4"/>
      <c r="K20" s="4"/>
      <c r="L20" s="4"/>
      <c r="M20" s="4"/>
      <c r="N20" s="2"/>
      <c r="O20" s="2"/>
      <c r="P20" s="2"/>
    </row>
    <row r="21" spans="1:16">
      <c r="A21" s="8" t="s">
        <v>31</v>
      </c>
      <c r="B21" s="9" t="s">
        <v>32</v>
      </c>
      <c r="C21" s="9" t="s">
        <v>30</v>
      </c>
      <c r="D21" s="14">
        <f>'GS7331 ER Calcs'!O27</f>
        <v>0</v>
      </c>
      <c r="E21" s="4"/>
      <c r="F21" s="4"/>
      <c r="G21" s="4"/>
      <c r="H21" s="4"/>
      <c r="I21" s="4"/>
      <c r="J21" s="4"/>
      <c r="K21" s="4"/>
      <c r="L21" s="4"/>
      <c r="M21" s="4"/>
      <c r="N21" s="2"/>
      <c r="O21" s="2"/>
      <c r="P21" s="2"/>
    </row>
    <row r="22" spans="1:16">
      <c r="A22" s="8" t="s">
        <v>33</v>
      </c>
      <c r="B22" s="9" t="s">
        <v>34</v>
      </c>
      <c r="C22" s="9" t="s">
        <v>35</v>
      </c>
      <c r="D22" s="14">
        <f>'GS7331 ER Calcs'!O28</f>
        <v>0.95</v>
      </c>
      <c r="E22" s="4"/>
      <c r="F22" s="4"/>
      <c r="G22" s="4"/>
      <c r="H22" s="4"/>
      <c r="I22" s="4"/>
      <c r="J22" s="4"/>
      <c r="K22" s="4"/>
      <c r="L22" s="4"/>
      <c r="M22" s="4"/>
      <c r="N22" s="2"/>
      <c r="O22" s="2"/>
      <c r="P22" s="2"/>
    </row>
    <row r="23" spans="1:16">
      <c r="A23" s="8" t="s">
        <v>36</v>
      </c>
      <c r="B23" s="9" t="s">
        <v>37</v>
      </c>
      <c r="C23" s="9" t="s">
        <v>30</v>
      </c>
      <c r="D23" s="14">
        <f>'GS7331 ER Calcs'!O29</f>
        <v>0</v>
      </c>
      <c r="E23" s="4"/>
      <c r="F23" s="4"/>
      <c r="G23" s="4"/>
      <c r="H23" s="4"/>
      <c r="I23" s="4"/>
      <c r="J23" s="4"/>
      <c r="K23" s="4"/>
      <c r="L23" s="4"/>
      <c r="M23" s="4"/>
      <c r="N23" s="2"/>
      <c r="O23" s="2"/>
      <c r="P23" s="2"/>
    </row>
    <row r="24" spans="1:16">
      <c r="A24" s="8" t="s">
        <v>38</v>
      </c>
      <c r="B24" s="9" t="s">
        <v>39</v>
      </c>
      <c r="C24" s="9" t="s">
        <v>30</v>
      </c>
      <c r="D24" s="10">
        <f>'GS7331 ER Calcs'!O30</f>
        <v>2871</v>
      </c>
      <c r="E24" s="4"/>
      <c r="F24" s="4"/>
      <c r="G24" s="4"/>
      <c r="H24" s="4"/>
      <c r="I24" s="4"/>
      <c r="J24" s="4"/>
      <c r="K24" s="4"/>
      <c r="L24" s="4"/>
      <c r="M24" s="4"/>
      <c r="N24" s="2"/>
      <c r="O24" s="2"/>
      <c r="P24" s="2"/>
    </row>
    <row r="25" spans="1:16">
      <c r="A25" s="518" t="s">
        <v>40</v>
      </c>
      <c r="B25" s="519"/>
      <c r="C25" s="519"/>
      <c r="D25" s="519"/>
      <c r="E25" s="4"/>
      <c r="F25" s="4"/>
      <c r="G25" s="4"/>
      <c r="H25" s="4"/>
      <c r="I25" s="4"/>
      <c r="J25" s="4"/>
      <c r="K25" s="4"/>
      <c r="L25" s="4"/>
      <c r="M25" s="4"/>
      <c r="N25" s="2"/>
      <c r="O25" s="2"/>
      <c r="P25" s="2"/>
    </row>
    <row r="26" spans="1:16">
      <c r="A26" s="15" t="s">
        <v>41</v>
      </c>
      <c r="B26" s="9"/>
      <c r="C26" s="16"/>
      <c r="D26" s="17">
        <f>'GS7331 ER Calcs'!O33</f>
        <v>1</v>
      </c>
      <c r="E26" s="4"/>
      <c r="F26" s="4"/>
      <c r="G26" s="4"/>
      <c r="H26" s="4"/>
      <c r="I26" s="4"/>
      <c r="J26" s="4"/>
      <c r="K26" s="4"/>
      <c r="L26" s="4"/>
      <c r="M26" s="4"/>
      <c r="N26" s="2"/>
      <c r="O26" s="2"/>
      <c r="P26" s="2"/>
    </row>
    <row r="27" spans="1:16">
      <c r="A27" s="15" t="s">
        <v>43</v>
      </c>
      <c r="B27" s="9" t="s">
        <v>42</v>
      </c>
      <c r="C27" s="16" t="s">
        <v>44</v>
      </c>
      <c r="D27" s="17">
        <f>'GS7331 ER Calcs'!O34</f>
        <v>0</v>
      </c>
      <c r="E27" s="4"/>
      <c r="F27" s="4"/>
      <c r="G27" s="4"/>
      <c r="H27" s="4"/>
      <c r="I27" s="4"/>
      <c r="J27" s="4"/>
      <c r="K27" s="4"/>
      <c r="L27" s="4"/>
      <c r="M27" s="4"/>
      <c r="N27" s="2"/>
      <c r="O27" s="2"/>
      <c r="P27" s="2"/>
    </row>
    <row r="28" spans="1:16" ht="15" thickBot="1">
      <c r="A28" s="21" t="s">
        <v>38</v>
      </c>
      <c r="B28" s="22" t="s">
        <v>39</v>
      </c>
      <c r="C28" s="22" t="s">
        <v>30</v>
      </c>
      <c r="D28" s="23">
        <f>'GS7331 ER Calcs'!O35</f>
        <v>2871</v>
      </c>
      <c r="E28" s="4"/>
      <c r="F28" s="4"/>
      <c r="G28" s="4"/>
      <c r="H28" s="4"/>
      <c r="I28" s="4"/>
      <c r="J28" s="4"/>
      <c r="K28" s="4"/>
      <c r="L28" s="4"/>
      <c r="M28" s="4"/>
      <c r="N28" s="2"/>
      <c r="O28" s="2"/>
      <c r="P28" s="2"/>
    </row>
    <row r="29" spans="1:16" ht="15" thickBot="1">
      <c r="A29" s="21" t="s">
        <v>45</v>
      </c>
      <c r="B29" s="22" t="s">
        <v>39</v>
      </c>
      <c r="C29" s="22" t="s">
        <v>30</v>
      </c>
      <c r="D29" s="23">
        <f>'GS7331 ER Calcs'!O37</f>
        <v>2871</v>
      </c>
      <c r="E29" s="4"/>
      <c r="F29" s="4"/>
      <c r="G29" s="4"/>
      <c r="H29" s="4"/>
      <c r="I29" s="4"/>
      <c r="J29" s="4"/>
      <c r="K29" s="4"/>
      <c r="L29" s="4"/>
      <c r="M29" s="4"/>
      <c r="N29" s="2"/>
      <c r="O29" s="2"/>
      <c r="P29" s="2"/>
    </row>
    <row r="30" spans="1:16" ht="15" thickBot="1">
      <c r="A30" s="28"/>
      <c r="B30" s="376"/>
      <c r="C30" s="376"/>
      <c r="D30" s="368"/>
      <c r="E30" s="4"/>
      <c r="F30" s="4"/>
      <c r="G30" s="4"/>
      <c r="H30" s="4"/>
      <c r="I30" s="4"/>
      <c r="J30" s="4"/>
      <c r="K30" s="4"/>
      <c r="L30" s="4"/>
      <c r="M30" s="4"/>
      <c r="N30" s="2"/>
      <c r="O30" s="2"/>
      <c r="P30" s="2"/>
    </row>
    <row r="31" spans="1:16">
      <c r="A31" s="523" t="s">
        <v>276</v>
      </c>
      <c r="B31" s="524"/>
      <c r="C31" s="524"/>
      <c r="D31" s="524"/>
      <c r="E31" s="4"/>
      <c r="F31" s="4"/>
      <c r="G31" s="4"/>
      <c r="H31" s="4"/>
      <c r="I31" s="4"/>
      <c r="J31" s="4"/>
      <c r="K31" s="4"/>
      <c r="L31" s="4"/>
      <c r="M31" s="4"/>
      <c r="N31" s="2"/>
      <c r="O31" s="2"/>
      <c r="P31" s="2"/>
    </row>
    <row r="32" spans="1:16">
      <c r="A32" s="518" t="s">
        <v>19</v>
      </c>
      <c r="B32" s="519"/>
      <c r="C32" s="519"/>
      <c r="D32" s="519"/>
      <c r="E32" s="4"/>
      <c r="F32" s="4"/>
      <c r="G32" s="4"/>
      <c r="H32" s="4"/>
      <c r="I32" s="4"/>
      <c r="J32" s="4"/>
      <c r="K32" s="4"/>
      <c r="L32" s="4"/>
      <c r="M32" s="4"/>
      <c r="N32" s="2"/>
      <c r="O32" s="2"/>
      <c r="P32" s="2"/>
    </row>
    <row r="33" spans="1:16">
      <c r="A33" s="8" t="s">
        <v>28</v>
      </c>
      <c r="B33" s="9" t="s">
        <v>29</v>
      </c>
      <c r="C33" s="9" t="s">
        <v>30</v>
      </c>
      <c r="D33" s="10">
        <f>'GS7331 ER Calcs'!T26</f>
        <v>23</v>
      </c>
      <c r="E33" s="4"/>
      <c r="F33" s="4"/>
      <c r="G33" s="4"/>
      <c r="H33" s="4"/>
      <c r="I33" s="4"/>
      <c r="J33" s="4"/>
      <c r="K33" s="4"/>
      <c r="L33" s="4"/>
      <c r="M33" s="4"/>
      <c r="N33" s="2"/>
      <c r="O33" s="2"/>
      <c r="P33" s="2"/>
    </row>
    <row r="34" spans="1:16">
      <c r="A34" s="8" t="s">
        <v>31</v>
      </c>
      <c r="B34" s="9" t="s">
        <v>32</v>
      </c>
      <c r="C34" s="9" t="s">
        <v>30</v>
      </c>
      <c r="D34" s="10">
        <f>'GS7331 ER Calcs'!T27</f>
        <v>0</v>
      </c>
      <c r="E34" s="4"/>
      <c r="F34" s="4"/>
      <c r="G34" s="4"/>
      <c r="H34" s="4"/>
      <c r="I34" s="4"/>
      <c r="J34" s="4"/>
      <c r="K34" s="4"/>
      <c r="L34" s="4"/>
      <c r="M34" s="4"/>
      <c r="N34" s="2"/>
      <c r="O34" s="2"/>
      <c r="P34" s="2"/>
    </row>
    <row r="35" spans="1:16">
      <c r="A35" s="8" t="s">
        <v>33</v>
      </c>
      <c r="B35" s="9" t="s">
        <v>34</v>
      </c>
      <c r="C35" s="9" t="s">
        <v>35</v>
      </c>
      <c r="D35" s="10">
        <f>'GS7331 ER Calcs'!T28</f>
        <v>0.95</v>
      </c>
      <c r="E35" s="4"/>
      <c r="F35" s="4"/>
      <c r="G35" s="4"/>
      <c r="H35" s="4"/>
      <c r="I35" s="4"/>
      <c r="J35" s="4"/>
      <c r="K35" s="4"/>
      <c r="L35" s="4"/>
      <c r="M35" s="4"/>
      <c r="N35" s="2"/>
      <c r="O35" s="2"/>
      <c r="P35" s="2"/>
    </row>
    <row r="36" spans="1:16">
      <c r="A36" s="8" t="s">
        <v>36</v>
      </c>
      <c r="B36" s="9" t="s">
        <v>37</v>
      </c>
      <c r="C36" s="9" t="s">
        <v>30</v>
      </c>
      <c r="D36" s="10">
        <f>'GS7331 ER Calcs'!T29</f>
        <v>0</v>
      </c>
      <c r="E36" s="4"/>
      <c r="F36" s="4"/>
      <c r="G36" s="4"/>
      <c r="H36" s="4"/>
      <c r="I36" s="4"/>
      <c r="J36" s="4"/>
      <c r="K36" s="4"/>
      <c r="L36" s="4"/>
      <c r="M36" s="4"/>
      <c r="N36" s="2"/>
      <c r="O36" s="2"/>
      <c r="P36" s="2"/>
    </row>
    <row r="37" spans="1:16">
      <c r="A37" s="8" t="s">
        <v>38</v>
      </c>
      <c r="B37" s="9" t="s">
        <v>39</v>
      </c>
      <c r="C37" s="9" t="s">
        <v>30</v>
      </c>
      <c r="D37" s="10">
        <f>'GS7331 ER Calcs'!T30</f>
        <v>21</v>
      </c>
      <c r="E37" s="4"/>
      <c r="F37" s="4"/>
      <c r="G37" s="4"/>
      <c r="H37" s="4"/>
      <c r="I37" s="4"/>
      <c r="J37" s="4"/>
      <c r="K37" s="4"/>
      <c r="L37" s="4"/>
      <c r="M37" s="4"/>
      <c r="N37" s="2"/>
      <c r="O37" s="2"/>
      <c r="P37" s="2"/>
    </row>
    <row r="38" spans="1:16">
      <c r="A38" s="518" t="s">
        <v>40</v>
      </c>
      <c r="B38" s="519"/>
      <c r="C38" s="519"/>
      <c r="D38" s="519"/>
      <c r="E38" s="4"/>
      <c r="F38" s="4"/>
      <c r="G38" s="4"/>
      <c r="H38" s="4"/>
      <c r="I38" s="4"/>
      <c r="J38" s="4"/>
      <c r="K38" s="4"/>
      <c r="L38" s="4"/>
      <c r="M38" s="4"/>
      <c r="N38" s="2"/>
      <c r="O38" s="2"/>
      <c r="P38" s="2"/>
    </row>
    <row r="39" spans="1:16">
      <c r="A39" s="15" t="s">
        <v>41</v>
      </c>
      <c r="B39" s="9"/>
      <c r="C39" s="16"/>
      <c r="D39" s="17">
        <f>'GS7331 ER Calcs'!T33</f>
        <v>1</v>
      </c>
      <c r="E39" s="4"/>
      <c r="F39" s="4"/>
      <c r="G39" s="4"/>
      <c r="H39" s="4"/>
      <c r="I39" s="4"/>
      <c r="J39" s="4"/>
      <c r="K39" s="4"/>
      <c r="L39" s="4"/>
      <c r="M39" s="4"/>
      <c r="N39" s="2"/>
      <c r="O39" s="2"/>
      <c r="P39" s="2"/>
    </row>
    <row r="40" spans="1:16">
      <c r="A40" s="15" t="s">
        <v>43</v>
      </c>
      <c r="B40" s="9" t="s">
        <v>42</v>
      </c>
      <c r="C40" s="16" t="s">
        <v>44</v>
      </c>
      <c r="D40" s="17">
        <f>'GS7331 ER Calcs'!T34</f>
        <v>0</v>
      </c>
      <c r="E40" s="4"/>
      <c r="F40" s="4"/>
      <c r="G40" s="4"/>
      <c r="H40" s="4"/>
      <c r="I40" s="4"/>
      <c r="J40" s="4"/>
      <c r="K40" s="4"/>
      <c r="L40" s="4"/>
      <c r="M40" s="4"/>
      <c r="N40" s="2"/>
      <c r="O40" s="2"/>
      <c r="P40" s="2"/>
    </row>
    <row r="41" spans="1:16" ht="15" thickBot="1">
      <c r="A41" s="21" t="s">
        <v>38</v>
      </c>
      <c r="B41" s="22" t="s">
        <v>39</v>
      </c>
      <c r="C41" s="22" t="s">
        <v>30</v>
      </c>
      <c r="D41" s="375">
        <f>'GS7331 ER Calcs'!T35</f>
        <v>21</v>
      </c>
      <c r="E41" s="4"/>
      <c r="F41" s="4"/>
      <c r="G41" s="4"/>
      <c r="H41" s="4"/>
      <c r="I41" s="4"/>
      <c r="J41" s="4"/>
      <c r="K41" s="4"/>
      <c r="L41" s="4"/>
      <c r="M41" s="4"/>
      <c r="N41" s="2"/>
      <c r="O41" s="2"/>
      <c r="P41" s="2"/>
    </row>
    <row r="42" spans="1:16" ht="15" thickBot="1">
      <c r="A42" s="21" t="s">
        <v>45</v>
      </c>
      <c r="B42" s="22" t="s">
        <v>39</v>
      </c>
      <c r="C42" s="22" t="s">
        <v>30</v>
      </c>
      <c r="D42" s="23">
        <f>'GS7331 ER Calcs'!T37</f>
        <v>21</v>
      </c>
      <c r="E42" s="4"/>
      <c r="F42" s="4"/>
      <c r="G42" s="4"/>
      <c r="H42" s="4"/>
      <c r="I42" s="4"/>
      <c r="J42" s="4"/>
      <c r="K42" s="4"/>
      <c r="L42" s="4"/>
      <c r="M42" s="4"/>
      <c r="N42" s="2"/>
      <c r="O42" s="2"/>
      <c r="P42" s="2"/>
    </row>
    <row r="43" spans="1:16" ht="15" thickBot="1">
      <c r="A43" s="2"/>
      <c r="B43" s="508"/>
      <c r="C43" s="508"/>
      <c r="D43" s="2"/>
      <c r="E43" s="4"/>
      <c r="F43" s="4"/>
      <c r="G43" s="4"/>
      <c r="H43" s="4"/>
      <c r="I43" s="4"/>
      <c r="J43" s="4"/>
      <c r="K43" s="4"/>
      <c r="L43" s="4"/>
      <c r="M43" s="4"/>
      <c r="N43" s="2"/>
      <c r="O43" s="2"/>
      <c r="P43" s="2"/>
    </row>
    <row r="44" spans="1:16" ht="15.65" customHeight="1">
      <c r="A44" s="509" t="s">
        <v>47</v>
      </c>
      <c r="B44" s="510"/>
      <c r="C44" s="510"/>
      <c r="D44" s="510"/>
      <c r="E44" s="2"/>
      <c r="F44" s="2"/>
      <c r="G44" s="507"/>
      <c r="H44" s="507"/>
      <c r="I44" s="2"/>
      <c r="J44" s="2"/>
      <c r="K44" s="2"/>
      <c r="L44" s="2"/>
      <c r="M44" s="2"/>
      <c r="N44" s="2"/>
      <c r="O44" s="2"/>
      <c r="P44" s="2"/>
    </row>
    <row r="45" spans="1:16">
      <c r="A45" s="511" t="s">
        <v>19</v>
      </c>
      <c r="B45" s="512"/>
      <c r="C45" s="512"/>
      <c r="D45" s="512"/>
      <c r="E45" s="2"/>
      <c r="F45" s="2"/>
      <c r="G45" s="507"/>
      <c r="H45" s="507"/>
      <c r="I45" s="2"/>
      <c r="J45" s="2"/>
      <c r="K45" s="2"/>
      <c r="L45" s="2"/>
      <c r="M45" s="2"/>
      <c r="N45" s="2"/>
      <c r="O45" s="2"/>
      <c r="P45" s="2"/>
    </row>
    <row r="46" spans="1:16" ht="14.5" customHeight="1">
      <c r="A46" s="513">
        <v>2022</v>
      </c>
      <c r="B46" s="514"/>
      <c r="C46" s="514"/>
      <c r="D46" s="25">
        <f>D16</f>
        <v>1683</v>
      </c>
      <c r="E46" s="2"/>
      <c r="F46" s="2"/>
      <c r="G46" s="507"/>
      <c r="H46" s="507"/>
      <c r="I46" s="2"/>
      <c r="J46" s="2"/>
      <c r="K46" s="2"/>
      <c r="L46" s="2"/>
      <c r="M46" s="2"/>
      <c r="N46" s="2"/>
      <c r="O46" s="2"/>
      <c r="P46" s="2"/>
    </row>
    <row r="47" spans="1:16">
      <c r="A47" s="513">
        <v>2023</v>
      </c>
      <c r="B47" s="514"/>
      <c r="C47" s="514"/>
      <c r="D47" s="26">
        <f>D29</f>
        <v>2871</v>
      </c>
      <c r="E47" s="2"/>
      <c r="F47" s="2"/>
      <c r="G47" s="507"/>
      <c r="H47" s="507"/>
      <c r="I47" s="2"/>
      <c r="J47" s="2"/>
      <c r="K47" s="2"/>
      <c r="L47" s="2"/>
      <c r="M47" s="2"/>
      <c r="N47" s="2"/>
      <c r="O47" s="2"/>
      <c r="P47" s="2"/>
    </row>
    <row r="48" spans="1:16" ht="15" thickBot="1">
      <c r="A48" s="513">
        <v>2024</v>
      </c>
      <c r="B48" s="514"/>
      <c r="C48" s="514"/>
      <c r="D48" s="379">
        <f>D42</f>
        <v>21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9" customHeight="1" thickBot="1">
      <c r="A49" s="27" t="s">
        <v>48</v>
      </c>
      <c r="B49" s="29"/>
      <c r="C49" s="30"/>
      <c r="D49" s="31">
        <f>SUM(D46:D48)</f>
        <v>4575</v>
      </c>
      <c r="E49" s="2"/>
      <c r="F49" s="2"/>
      <c r="G49" s="507"/>
      <c r="H49" s="507"/>
      <c r="I49" s="2"/>
      <c r="J49" s="2"/>
      <c r="K49" s="2"/>
      <c r="L49" s="2"/>
      <c r="M49" s="2"/>
      <c r="N49" s="2"/>
      <c r="O49" s="2"/>
      <c r="P49" s="2"/>
    </row>
    <row r="50" spans="1:16">
      <c r="A50" s="2"/>
      <c r="B50" s="517"/>
      <c r="C50" s="517"/>
      <c r="D50" s="2"/>
      <c r="E50" s="2"/>
      <c r="F50" s="2"/>
      <c r="G50" s="507"/>
      <c r="H50" s="507"/>
      <c r="I50" s="2"/>
      <c r="J50" s="2"/>
      <c r="K50" s="2"/>
      <c r="L50" s="2"/>
      <c r="M50" s="2"/>
      <c r="N50" s="2"/>
      <c r="O50" s="2"/>
      <c r="P50" s="2"/>
    </row>
  </sheetData>
  <mergeCells count="25">
    <mergeCell ref="G44:H44"/>
    <mergeCell ref="A1:D1"/>
    <mergeCell ref="H1:N1"/>
    <mergeCell ref="A3:D3"/>
    <mergeCell ref="H3:N3"/>
    <mergeCell ref="A4:D4"/>
    <mergeCell ref="A12:D12"/>
    <mergeCell ref="A18:D18"/>
    <mergeCell ref="A19:D19"/>
    <mergeCell ref="A25:D25"/>
    <mergeCell ref="B43:C43"/>
    <mergeCell ref="A44:D44"/>
    <mergeCell ref="A31:D31"/>
    <mergeCell ref="A32:D32"/>
    <mergeCell ref="A38:D38"/>
    <mergeCell ref="G49:H49"/>
    <mergeCell ref="B50:C50"/>
    <mergeCell ref="G50:H50"/>
    <mergeCell ref="A45:D45"/>
    <mergeCell ref="G45:H45"/>
    <mergeCell ref="A46:C46"/>
    <mergeCell ref="G46:H46"/>
    <mergeCell ref="A47:C47"/>
    <mergeCell ref="G47:H47"/>
    <mergeCell ref="A48:C48"/>
  </mergeCells>
  <phoneticPr fontId="15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BAF9C-B313-4D24-AF90-A868C6BCDC39}">
  <dimension ref="A1:Q23"/>
  <sheetViews>
    <sheetView workbookViewId="0">
      <selection activeCell="K1" sqref="K1:Q1"/>
    </sheetView>
  </sheetViews>
  <sheetFormatPr defaultRowHeight="14.5"/>
  <cols>
    <col min="1" max="1" width="25.54296875" bestFit="1" customWidth="1"/>
    <col min="2" max="2" width="17.26953125" bestFit="1" customWidth="1"/>
    <col min="3" max="3" width="13.54296875" customWidth="1"/>
    <col min="4" max="4" width="15.1796875" customWidth="1"/>
    <col min="5" max="5" width="13.54296875" customWidth="1"/>
    <col min="6" max="6" width="17.1796875" bestFit="1" customWidth="1"/>
    <col min="7" max="7" width="15.1796875" bestFit="1" customWidth="1"/>
    <col min="9" max="9" width="12.54296875" customWidth="1"/>
    <col min="11" max="11" width="9.81640625" customWidth="1"/>
  </cols>
  <sheetData>
    <row r="1" spans="1:17" ht="58">
      <c r="A1" s="48" t="s">
        <v>0</v>
      </c>
      <c r="B1" s="49" t="s">
        <v>49</v>
      </c>
      <c r="C1" s="49" t="s">
        <v>50</v>
      </c>
      <c r="D1" s="49" t="s">
        <v>51</v>
      </c>
      <c r="E1" s="49" t="s">
        <v>52</v>
      </c>
      <c r="F1" s="49" t="s">
        <v>192</v>
      </c>
      <c r="G1" s="49" t="s">
        <v>53</v>
      </c>
      <c r="H1" s="380" t="s">
        <v>54</v>
      </c>
      <c r="I1" s="380" t="s">
        <v>11</v>
      </c>
      <c r="J1" s="2"/>
      <c r="K1" s="51" t="s">
        <v>55</v>
      </c>
      <c r="L1" s="52" t="s">
        <v>56</v>
      </c>
      <c r="M1" s="5" t="s">
        <v>57</v>
      </c>
      <c r="N1" s="53" t="s">
        <v>58</v>
      </c>
      <c r="O1" s="114" t="s">
        <v>279</v>
      </c>
      <c r="P1" s="49" t="s">
        <v>280</v>
      </c>
      <c r="Q1" s="50" t="s">
        <v>59</v>
      </c>
    </row>
    <row r="2" spans="1:17" ht="15.5">
      <c r="A2" s="530" t="s">
        <v>353</v>
      </c>
      <c r="B2" s="9" t="s">
        <v>354</v>
      </c>
      <c r="C2" s="54" t="s">
        <v>355</v>
      </c>
      <c r="D2" s="9">
        <v>14.511049999999999</v>
      </c>
      <c r="E2" s="9">
        <v>38.636510000000001</v>
      </c>
      <c r="F2" s="55">
        <v>42738</v>
      </c>
      <c r="G2" s="9">
        <v>224</v>
      </c>
      <c r="H2" s="9">
        <v>783</v>
      </c>
      <c r="I2" s="476">
        <f>IF(H2&lt;371,H2,371)</f>
        <v>371</v>
      </c>
      <c r="J2" s="133"/>
      <c r="K2" s="233">
        <f>$E$19</f>
        <v>203.29999999999998</v>
      </c>
      <c r="L2" s="277">
        <f>K2*I2</f>
        <v>75424.299999999988</v>
      </c>
      <c r="M2" s="287">
        <f>$E$20</f>
        <v>346.75</v>
      </c>
      <c r="N2" s="278">
        <f>I2*M2</f>
        <v>128644.25</v>
      </c>
      <c r="O2" s="233">
        <f>$E$21</f>
        <v>2.8499999999999996</v>
      </c>
      <c r="P2" s="277">
        <f>I2*O2</f>
        <v>1057.3499999999999</v>
      </c>
      <c r="Q2" s="117">
        <f>L2+N2+P2</f>
        <v>205125.9</v>
      </c>
    </row>
    <row r="3" spans="1:17" ht="15.5">
      <c r="A3" s="531"/>
      <c r="B3" s="9" t="s">
        <v>356</v>
      </c>
      <c r="C3" s="54" t="s">
        <v>357</v>
      </c>
      <c r="D3" s="9">
        <v>14.776439999999999</v>
      </c>
      <c r="E3" s="9">
        <v>39.156959999999998</v>
      </c>
      <c r="F3" s="55">
        <v>42753</v>
      </c>
      <c r="G3" s="9">
        <v>41</v>
      </c>
      <c r="H3" s="9">
        <v>142</v>
      </c>
      <c r="I3" s="476">
        <f>IF(H3&lt;371,H3,371)</f>
        <v>142</v>
      </c>
      <c r="J3" s="133"/>
      <c r="K3" s="233">
        <f>$E$19</f>
        <v>203.29999999999998</v>
      </c>
      <c r="L3" s="277">
        <f t="shared" ref="L3:L6" si="0">K3*I3</f>
        <v>28868.6</v>
      </c>
      <c r="M3" s="287">
        <f>$E$20</f>
        <v>346.75</v>
      </c>
      <c r="N3" s="278">
        <f t="shared" ref="N3:N6" si="1">I3*M3</f>
        <v>49238.5</v>
      </c>
      <c r="O3" s="233">
        <f t="shared" ref="O3:O6" si="2">$E$21</f>
        <v>2.8499999999999996</v>
      </c>
      <c r="P3" s="277">
        <f t="shared" ref="P3:P6" si="3">I3*O3</f>
        <v>404.69999999999993</v>
      </c>
      <c r="Q3" s="117">
        <f t="shared" ref="Q3:Q6" si="4">L3+N3+P3</f>
        <v>78511.8</v>
      </c>
    </row>
    <row r="4" spans="1:17" ht="15.5">
      <c r="A4" s="531"/>
      <c r="B4" s="9" t="s">
        <v>358</v>
      </c>
      <c r="C4" s="54" t="s">
        <v>359</v>
      </c>
      <c r="D4" s="9">
        <v>14.53787</v>
      </c>
      <c r="E4" s="9">
        <v>38.453530000000001</v>
      </c>
      <c r="F4" s="55">
        <v>42813</v>
      </c>
      <c r="G4" s="9">
        <v>218</v>
      </c>
      <c r="H4" s="9">
        <v>865</v>
      </c>
      <c r="I4" s="476">
        <f>IF(H4&lt;371,H4,371)</f>
        <v>371</v>
      </c>
      <c r="J4" s="133"/>
      <c r="K4" s="233">
        <f>$E$19</f>
        <v>203.29999999999998</v>
      </c>
      <c r="L4" s="277">
        <f t="shared" si="0"/>
        <v>75424.299999999988</v>
      </c>
      <c r="M4" s="287">
        <f>$E$20</f>
        <v>346.75</v>
      </c>
      <c r="N4" s="278">
        <f t="shared" si="1"/>
        <v>128644.25</v>
      </c>
      <c r="O4" s="233">
        <f t="shared" si="2"/>
        <v>2.8499999999999996</v>
      </c>
      <c r="P4" s="277">
        <f t="shared" si="3"/>
        <v>1057.3499999999999</v>
      </c>
      <c r="Q4" s="117">
        <f t="shared" si="4"/>
        <v>205125.9</v>
      </c>
    </row>
    <row r="5" spans="1:17" ht="15.5">
      <c r="A5" s="531"/>
      <c r="B5" s="9" t="s">
        <v>360</v>
      </c>
      <c r="C5" s="9" t="s">
        <v>361</v>
      </c>
      <c r="D5" s="9">
        <v>14.547230000000001</v>
      </c>
      <c r="E5" s="9">
        <v>38.514009999999999</v>
      </c>
      <c r="F5" s="55">
        <v>42814</v>
      </c>
      <c r="G5" s="9">
        <v>247</v>
      </c>
      <c r="H5" s="9">
        <v>323</v>
      </c>
      <c r="I5" s="476">
        <f>IF(H5&lt;371,H5,371)</f>
        <v>323</v>
      </c>
      <c r="J5" s="133"/>
      <c r="K5" s="233">
        <f>$E$19</f>
        <v>203.29999999999998</v>
      </c>
      <c r="L5" s="277">
        <f t="shared" si="0"/>
        <v>65665.899999999994</v>
      </c>
      <c r="M5" s="287">
        <f>$E$20</f>
        <v>346.75</v>
      </c>
      <c r="N5" s="278">
        <f t="shared" si="1"/>
        <v>112000.25</v>
      </c>
      <c r="O5" s="233">
        <f t="shared" si="2"/>
        <v>2.8499999999999996</v>
      </c>
      <c r="P5" s="277">
        <f t="shared" si="3"/>
        <v>920.54999999999984</v>
      </c>
      <c r="Q5" s="117">
        <f t="shared" si="4"/>
        <v>178586.69999999998</v>
      </c>
    </row>
    <row r="6" spans="1:17" ht="15.5">
      <c r="A6" s="532"/>
      <c r="B6" s="9" t="s">
        <v>362</v>
      </c>
      <c r="C6" s="9" t="s">
        <v>363</v>
      </c>
      <c r="D6" s="9">
        <v>14.527329999999999</v>
      </c>
      <c r="E6" s="9">
        <v>38.55903</v>
      </c>
      <c r="F6" s="55">
        <v>42819</v>
      </c>
      <c r="G6" s="9">
        <v>98</v>
      </c>
      <c r="H6" s="9">
        <v>699</v>
      </c>
      <c r="I6" s="476">
        <f>IF(H6&lt;371,H6,371)</f>
        <v>371</v>
      </c>
      <c r="J6" s="133"/>
      <c r="K6" s="233">
        <f>$E$19</f>
        <v>203.29999999999998</v>
      </c>
      <c r="L6" s="277">
        <f t="shared" si="0"/>
        <v>75424.299999999988</v>
      </c>
      <c r="M6" s="287">
        <f>$E$20</f>
        <v>346.75</v>
      </c>
      <c r="N6" s="278">
        <f t="shared" si="1"/>
        <v>128644.25</v>
      </c>
      <c r="O6" s="233">
        <f t="shared" si="2"/>
        <v>2.8499999999999996</v>
      </c>
      <c r="P6" s="277">
        <f t="shared" si="3"/>
        <v>1057.3499999999999</v>
      </c>
      <c r="Q6" s="117">
        <f t="shared" si="4"/>
        <v>205125.9</v>
      </c>
    </row>
    <row r="7" spans="1:17" ht="15" thickBot="1">
      <c r="A7" s="118"/>
      <c r="B7" s="1"/>
      <c r="C7" s="2"/>
      <c r="D7" s="2"/>
      <c r="E7" s="2"/>
      <c r="F7" s="62"/>
      <c r="G7" s="174" t="s">
        <v>13</v>
      </c>
      <c r="H7" s="175">
        <f>SUM(H2:H6)</f>
        <v>2812</v>
      </c>
      <c r="I7" s="175">
        <f>SUM(I2:I6)</f>
        <v>1578</v>
      </c>
      <c r="J7" s="2"/>
      <c r="K7" s="2"/>
      <c r="L7" s="176">
        <f>SUM(L2:L6)</f>
        <v>320807.39999999997</v>
      </c>
      <c r="M7" s="176"/>
      <c r="N7" s="176">
        <f t="shared" ref="N7" si="5">SUM(N2:N6)</f>
        <v>547171.5</v>
      </c>
      <c r="P7" s="176">
        <f>SUM(P2:P6)</f>
        <v>4497.2999999999993</v>
      </c>
      <c r="Q7" s="176">
        <f>SUM(Q2:Q6)</f>
        <v>872476.2</v>
      </c>
    </row>
    <row r="8" spans="1:17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7" ht="15" thickBo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7" ht="58">
      <c r="C10" s="67"/>
      <c r="D10" s="2"/>
      <c r="E10" s="2"/>
      <c r="F10" s="2"/>
      <c r="G10" s="2"/>
      <c r="H10" s="2"/>
      <c r="I10" s="2"/>
      <c r="J10" s="2"/>
      <c r="K10" s="51" t="s">
        <v>55</v>
      </c>
      <c r="L10" s="52" t="s">
        <v>56</v>
      </c>
      <c r="M10" s="5" t="s">
        <v>57</v>
      </c>
      <c r="N10" s="53" t="s">
        <v>58</v>
      </c>
      <c r="O10" s="114" t="s">
        <v>279</v>
      </c>
      <c r="P10" s="49" t="s">
        <v>280</v>
      </c>
      <c r="Q10" s="50" t="s">
        <v>59</v>
      </c>
    </row>
    <row r="11" spans="1:17" ht="15" thickBot="1">
      <c r="A11" s="2"/>
      <c r="B11" s="66" t="s">
        <v>76</v>
      </c>
      <c r="C11" s="2"/>
      <c r="D11" s="2"/>
      <c r="E11" s="2"/>
      <c r="F11" s="2"/>
      <c r="G11" s="2"/>
      <c r="H11" s="2"/>
      <c r="I11" s="2"/>
      <c r="J11" s="2"/>
      <c r="K11" s="233">
        <f>$E$19</f>
        <v>203.29999999999998</v>
      </c>
      <c r="L11" s="277">
        <f>K11*H2</f>
        <v>159183.9</v>
      </c>
      <c r="M11" s="287">
        <f>$E$20</f>
        <v>346.75</v>
      </c>
      <c r="N11" s="278">
        <f>M11*H2</f>
        <v>271505.25</v>
      </c>
      <c r="O11" s="233">
        <f>$E$21</f>
        <v>2.8499999999999996</v>
      </c>
      <c r="P11">
        <f>O11*H2</f>
        <v>2231.5499999999997</v>
      </c>
      <c r="Q11" s="279">
        <f>L11+N11</f>
        <v>430689.15</v>
      </c>
    </row>
    <row r="12" spans="1:17" ht="18.5">
      <c r="A12" s="68" t="s">
        <v>364</v>
      </c>
      <c r="B12" s="69">
        <v>44713</v>
      </c>
      <c r="C12" s="2"/>
      <c r="D12" s="73"/>
      <c r="E12" s="2"/>
      <c r="F12" s="2"/>
      <c r="G12" s="2"/>
      <c r="H12" s="2"/>
      <c r="I12" s="2"/>
      <c r="J12" s="2"/>
      <c r="K12" s="233">
        <f>$E$19</f>
        <v>203.29999999999998</v>
      </c>
      <c r="L12" s="277">
        <f t="shared" ref="L12:L15" si="6">K12*H3</f>
        <v>28868.6</v>
      </c>
      <c r="M12" s="287">
        <f>$E$20</f>
        <v>346.75</v>
      </c>
      <c r="N12" s="278">
        <f t="shared" ref="N12:N15" si="7">M12*H3</f>
        <v>49238.5</v>
      </c>
      <c r="O12" s="233">
        <f t="shared" ref="O12:O15" si="8">$E$21</f>
        <v>2.8499999999999996</v>
      </c>
      <c r="P12">
        <f t="shared" ref="P12:P15" si="9">O12*H3</f>
        <v>404.69999999999993</v>
      </c>
      <c r="Q12" s="279">
        <f>L12+N12</f>
        <v>78107.100000000006</v>
      </c>
    </row>
    <row r="13" spans="1:17" ht="20.5" customHeight="1" thickBot="1">
      <c r="A13" s="123" t="s">
        <v>365</v>
      </c>
      <c r="B13" s="310">
        <v>45294</v>
      </c>
      <c r="C13" s="2"/>
      <c r="D13" s="541"/>
      <c r="E13" s="542"/>
      <c r="F13" s="543"/>
      <c r="G13" s="543"/>
      <c r="H13" s="525"/>
      <c r="I13" s="525"/>
      <c r="J13" s="24"/>
      <c r="K13" s="233">
        <f>$E$19</f>
        <v>203.29999999999998</v>
      </c>
      <c r="L13" s="277">
        <f t="shared" si="6"/>
        <v>175854.49999999997</v>
      </c>
      <c r="M13" s="287">
        <f>$E$20</f>
        <v>346.75</v>
      </c>
      <c r="N13" s="278">
        <f t="shared" si="7"/>
        <v>299938.75</v>
      </c>
      <c r="O13" s="233">
        <f t="shared" si="8"/>
        <v>2.8499999999999996</v>
      </c>
      <c r="P13">
        <f t="shared" si="9"/>
        <v>2465.2499999999995</v>
      </c>
      <c r="Q13" s="279">
        <f>L13+N13</f>
        <v>475793.25</v>
      </c>
    </row>
    <row r="14" spans="1:17" ht="15" thickBot="1">
      <c r="A14" s="123" t="s">
        <v>79</v>
      </c>
      <c r="B14" s="310">
        <v>44926</v>
      </c>
      <c r="C14" s="2"/>
      <c r="D14" s="541"/>
      <c r="E14" s="542"/>
      <c r="F14" s="543"/>
      <c r="G14" s="543"/>
      <c r="H14" s="525"/>
      <c r="I14" s="525"/>
      <c r="J14" s="24"/>
      <c r="K14" s="233">
        <f>$E$19</f>
        <v>203.29999999999998</v>
      </c>
      <c r="L14" s="277">
        <f t="shared" si="6"/>
        <v>65665.899999999994</v>
      </c>
      <c r="M14" s="287">
        <f>$E$20</f>
        <v>346.75</v>
      </c>
      <c r="N14" s="278">
        <f t="shared" si="7"/>
        <v>112000.25</v>
      </c>
      <c r="O14" s="233">
        <f t="shared" si="8"/>
        <v>2.8499999999999996</v>
      </c>
      <c r="P14">
        <f t="shared" si="9"/>
        <v>920.54999999999984</v>
      </c>
      <c r="Q14" s="279">
        <f>L14+N14</f>
        <v>177666.15</v>
      </c>
    </row>
    <row r="15" spans="1:17" ht="15" thickBot="1">
      <c r="A15" s="123" t="s">
        <v>298</v>
      </c>
      <c r="B15" s="310">
        <v>45291</v>
      </c>
      <c r="C15" s="2"/>
      <c r="D15" s="72"/>
      <c r="E15" s="67"/>
      <c r="J15" s="2"/>
      <c r="K15" s="233">
        <f>$E$19</f>
        <v>203.29999999999998</v>
      </c>
      <c r="L15" s="277">
        <f t="shared" si="6"/>
        <v>142106.69999999998</v>
      </c>
      <c r="M15" s="287">
        <f>$E$20</f>
        <v>346.75</v>
      </c>
      <c r="N15" s="278">
        <f t="shared" si="7"/>
        <v>242378.25</v>
      </c>
      <c r="O15" s="233">
        <f t="shared" si="8"/>
        <v>2.8499999999999996</v>
      </c>
      <c r="P15">
        <f t="shared" si="9"/>
        <v>1992.1499999999999</v>
      </c>
      <c r="Q15" s="279">
        <f>L15+N15</f>
        <v>384484.94999999995</v>
      </c>
    </row>
    <row r="16" spans="1:17" ht="15" thickBot="1">
      <c r="C16" s="2"/>
      <c r="D16" s="72"/>
      <c r="E16" s="67"/>
      <c r="J16" s="2"/>
      <c r="K16" s="282"/>
      <c r="L16" s="283">
        <f>SUM(L11:L15)</f>
        <v>571679.6</v>
      </c>
      <c r="M16" s="284"/>
      <c r="N16" s="285">
        <f t="shared" ref="N16" si="10">SUM(N11:N15)</f>
        <v>975061</v>
      </c>
      <c r="P16" s="286">
        <f t="shared" ref="P16:Q16" si="11">SUM(P11:P15)</f>
        <v>8014.1999999999989</v>
      </c>
      <c r="Q16" s="286">
        <f t="shared" si="11"/>
        <v>1546740.5999999999</v>
      </c>
    </row>
    <row r="17" spans="1:15">
      <c r="A17" s="197"/>
      <c r="B17" s="194" t="s">
        <v>366</v>
      </c>
      <c r="C17" s="57"/>
      <c r="D17" s="57"/>
      <c r="E17" s="77"/>
      <c r="F17" s="188"/>
      <c r="J17" s="2"/>
      <c r="K17" s="2"/>
      <c r="L17" s="2"/>
      <c r="M17" s="2"/>
      <c r="N17" s="2"/>
      <c r="O17" s="2"/>
    </row>
    <row r="18" spans="1:15" ht="43.5">
      <c r="A18" s="195" t="s">
        <v>82</v>
      </c>
      <c r="B18" s="77">
        <v>27.4</v>
      </c>
      <c r="C18" s="57" t="s">
        <v>8</v>
      </c>
      <c r="D18" s="132" t="s">
        <v>83</v>
      </c>
      <c r="E18" s="56" t="s">
        <v>84</v>
      </c>
      <c r="F18" s="198" t="s">
        <v>226</v>
      </c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195" t="s">
        <v>86</v>
      </c>
      <c r="B19" s="77">
        <f>B14-B12+1</f>
        <v>214</v>
      </c>
      <c r="C19" s="248">
        <f>'Maintenance '!BI74/($B19*COUNTA($B$2:$B$8))</f>
        <v>0</v>
      </c>
      <c r="D19" s="196">
        <v>0.95</v>
      </c>
      <c r="E19" s="235">
        <f>F19*D19</f>
        <v>203.29999999999998</v>
      </c>
      <c r="F19" s="57">
        <f>B19</f>
        <v>214</v>
      </c>
      <c r="G19" s="2"/>
      <c r="H19" s="2"/>
      <c r="I19" s="2"/>
      <c r="J19" s="2"/>
      <c r="K19" s="2"/>
      <c r="L19" s="2"/>
      <c r="M19" s="2"/>
      <c r="N19" s="2"/>
      <c r="O19" s="2"/>
    </row>
    <row r="20" spans="1:15">
      <c r="A20" s="195" t="s">
        <v>87</v>
      </c>
      <c r="B20" s="77">
        <f>B15-B14</f>
        <v>365</v>
      </c>
      <c r="C20" s="248">
        <f>'Maintenance '!BJ74/($B20*COUNTA($B$2:$B$8))</f>
        <v>0</v>
      </c>
      <c r="D20" s="196">
        <v>0.95</v>
      </c>
      <c r="E20" s="235">
        <f>F20*D20</f>
        <v>346.75</v>
      </c>
      <c r="F20" s="57">
        <f>B20</f>
        <v>365</v>
      </c>
    </row>
    <row r="21" spans="1:15">
      <c r="A21" s="195" t="s">
        <v>302</v>
      </c>
      <c r="B21" s="144">
        <f>B13-B15</f>
        <v>3</v>
      </c>
      <c r="C21" s="248">
        <f>'Maintenance '!BK74/($B21*COUNTA($B$2:$B$8))</f>
        <v>0</v>
      </c>
      <c r="D21" s="57">
        <v>0.95</v>
      </c>
      <c r="E21" s="57">
        <f>F21*D21</f>
        <v>2.8499999999999996</v>
      </c>
      <c r="F21" s="57">
        <f>B21</f>
        <v>3</v>
      </c>
    </row>
    <row r="22" spans="1:15">
      <c r="A22" s="197" t="s">
        <v>88</v>
      </c>
    </row>
    <row r="23" spans="1:15">
      <c r="A23" s="81" t="s">
        <v>350</v>
      </c>
      <c r="B23" s="82">
        <f>B21*COUNTA(B2:B6)</f>
        <v>15</v>
      </c>
      <c r="C23" s="203">
        <f>'Maintenance '!BL74/B23</f>
        <v>0</v>
      </c>
    </row>
  </sheetData>
  <mergeCells count="7">
    <mergeCell ref="I13:I14"/>
    <mergeCell ref="A2:A6"/>
    <mergeCell ref="D13:D14"/>
    <mergeCell ref="E13:E14"/>
    <mergeCell ref="F13:F14"/>
    <mergeCell ref="G13:G14"/>
    <mergeCell ref="H13:H14"/>
  </mergeCells>
  <phoneticPr fontId="15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34561-ECBC-428C-853E-4EDA42C2B8C0}">
  <dimension ref="A1:T40"/>
  <sheetViews>
    <sheetView topLeftCell="G1" zoomScale="80" zoomScaleNormal="80" workbookViewId="0">
      <selection activeCell="D38" sqref="D38"/>
    </sheetView>
  </sheetViews>
  <sheetFormatPr defaultRowHeight="14.5"/>
  <cols>
    <col min="1" max="1" width="77.1796875" bestFit="1" customWidth="1"/>
    <col min="2" max="2" width="15.7265625" bestFit="1" customWidth="1"/>
    <col min="3" max="3" width="10" bestFit="1" customWidth="1"/>
    <col min="5" max="5" width="39.54296875" bestFit="1" customWidth="1"/>
    <col min="7" max="7" width="77.1796875" bestFit="1" customWidth="1"/>
    <col min="8" max="8" width="15.7265625" bestFit="1" customWidth="1"/>
    <col min="10" max="10" width="10.54296875" customWidth="1"/>
    <col min="12" max="12" width="77.1796875" bestFit="1" customWidth="1"/>
    <col min="13" max="13" width="15.7265625" bestFit="1" customWidth="1"/>
    <col min="17" max="17" width="71.54296875" customWidth="1"/>
    <col min="18" max="18" width="16.81640625" customWidth="1"/>
  </cols>
  <sheetData>
    <row r="1" spans="1:20" ht="14.5" customHeight="1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  <c r="Q1" s="535" t="s">
        <v>276</v>
      </c>
      <c r="R1" s="535"/>
      <c r="S1" s="535"/>
      <c r="T1" s="535"/>
    </row>
    <row r="2" spans="1:2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2"/>
      <c r="R2" s="2"/>
      <c r="S2" s="2"/>
      <c r="T2" s="2"/>
    </row>
    <row r="3" spans="1:20" ht="16.5" customHeight="1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  <c r="Q3" s="533" t="s">
        <v>91</v>
      </c>
      <c r="R3" s="519"/>
      <c r="S3" s="519"/>
      <c r="T3" s="519"/>
    </row>
    <row r="4" spans="1:20" ht="17.149999999999999" customHeight="1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  <c r="Q4" s="9" t="s">
        <v>93</v>
      </c>
      <c r="R4" s="9" t="s">
        <v>94</v>
      </c>
      <c r="S4" s="9" t="s">
        <v>35</v>
      </c>
      <c r="T4" s="86">
        <v>0</v>
      </c>
    </row>
    <row r="5" spans="1:20" ht="21" customHeight="1">
      <c r="A5" s="9" t="s">
        <v>96</v>
      </c>
      <c r="B5" s="9" t="s">
        <v>97</v>
      </c>
      <c r="C5" s="9"/>
      <c r="D5" s="87">
        <f>'GS7331 PTDs'!Q7</f>
        <v>872476.2</v>
      </c>
      <c r="E5" s="85" t="s">
        <v>98</v>
      </c>
      <c r="F5" s="2"/>
      <c r="G5" s="9" t="s">
        <v>96</v>
      </c>
      <c r="H5" s="9" t="s">
        <v>97</v>
      </c>
      <c r="I5" s="9"/>
      <c r="J5" s="87">
        <f>'GS7331 PTDs'!L7</f>
        <v>320807.39999999997</v>
      </c>
      <c r="K5" s="2"/>
      <c r="L5" s="9" t="s">
        <v>96</v>
      </c>
      <c r="M5" s="9" t="s">
        <v>97</v>
      </c>
      <c r="N5" s="9"/>
      <c r="O5" s="87">
        <f>'GS7331 PTDs'!N7</f>
        <v>547171.5</v>
      </c>
      <c r="Q5" s="9" t="s">
        <v>96</v>
      </c>
      <c r="R5" s="9" t="s">
        <v>97</v>
      </c>
      <c r="S5" s="9"/>
      <c r="T5" s="87">
        <f>'GS7331 PTDs'!P7</f>
        <v>4497.2999999999993</v>
      </c>
    </row>
    <row r="6" spans="1:20" ht="14.15" customHeight="1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  <c r="Q6" s="9" t="s">
        <v>99</v>
      </c>
      <c r="R6" s="9" t="s">
        <v>100</v>
      </c>
      <c r="S6" s="9" t="s">
        <v>101</v>
      </c>
      <c r="T6" s="86">
        <v>4.0000000000000002E-4</v>
      </c>
    </row>
    <row r="7" spans="1:20" ht="26.15" customHeight="1">
      <c r="A7" s="88" t="s">
        <v>103</v>
      </c>
      <c r="B7" s="9" t="s">
        <v>104</v>
      </c>
      <c r="C7" s="9" t="s">
        <v>105</v>
      </c>
      <c r="D7" s="86">
        <v>7.5</v>
      </c>
      <c r="E7" s="85" t="s">
        <v>162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  <c r="Q7" s="88" t="s">
        <v>103</v>
      </c>
      <c r="R7" s="9" t="s">
        <v>104</v>
      </c>
      <c r="S7" s="9" t="s">
        <v>105</v>
      </c>
      <c r="T7" s="86">
        <v>7.5</v>
      </c>
    </row>
    <row r="8" spans="1:20" ht="17.149999999999999" customHeight="1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  <c r="Q8" s="88" t="s">
        <v>107</v>
      </c>
      <c r="R8" s="9" t="s">
        <v>108</v>
      </c>
      <c r="S8" s="9" t="s">
        <v>105</v>
      </c>
      <c r="T8" s="86">
        <v>0</v>
      </c>
    </row>
    <row r="9" spans="1:20">
      <c r="A9" s="9" t="s">
        <v>110</v>
      </c>
      <c r="B9" s="9" t="s">
        <v>111</v>
      </c>
      <c r="C9" s="9" t="s">
        <v>112</v>
      </c>
      <c r="D9" s="86">
        <f>ROUNDDOWN((1-D4)*D5*D6*(D7+D8),0)</f>
        <v>2617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962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1641</v>
      </c>
      <c r="Q9" s="9" t="s">
        <v>110</v>
      </c>
      <c r="R9" s="9" t="s">
        <v>111</v>
      </c>
      <c r="S9" s="9" t="s">
        <v>112</v>
      </c>
      <c r="T9" s="86">
        <f>ROUNDDOWN((1-T4)*T5*T6*(T7+T8),0)</f>
        <v>13</v>
      </c>
    </row>
    <row r="10" spans="1:20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Q10" s="2"/>
      <c r="R10" s="2"/>
      <c r="S10" s="2"/>
      <c r="T10" s="2"/>
    </row>
    <row r="11" spans="1:20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  <c r="Q11" s="533" t="s">
        <v>113</v>
      </c>
      <c r="R11" s="519"/>
      <c r="S11" s="519"/>
      <c r="T11" s="519"/>
    </row>
    <row r="12" spans="1:20" ht="16" customHeight="1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  <c r="Q12" s="9" t="s">
        <v>114</v>
      </c>
      <c r="R12" s="9" t="s">
        <v>94</v>
      </c>
      <c r="S12" s="9" t="s">
        <v>35</v>
      </c>
      <c r="T12" s="86">
        <v>0</v>
      </c>
    </row>
    <row r="13" spans="1:20" ht="21.65" customHeight="1">
      <c r="A13" s="9" t="s">
        <v>96</v>
      </c>
      <c r="B13" s="9" t="s">
        <v>97</v>
      </c>
      <c r="C13" s="9"/>
      <c r="D13" s="87">
        <f>D5</f>
        <v>872476.2</v>
      </c>
      <c r="E13" s="85" t="s">
        <v>115</v>
      </c>
      <c r="F13" s="2"/>
      <c r="G13" s="9" t="s">
        <v>96</v>
      </c>
      <c r="H13" s="9" t="s">
        <v>97</v>
      </c>
      <c r="I13" s="9"/>
      <c r="J13" s="87">
        <f>J5</f>
        <v>320807.39999999997</v>
      </c>
      <c r="K13" s="2"/>
      <c r="L13" s="9" t="s">
        <v>96</v>
      </c>
      <c r="M13" s="9" t="s">
        <v>97</v>
      </c>
      <c r="N13" s="9"/>
      <c r="O13" s="87">
        <f>O5</f>
        <v>547171.5</v>
      </c>
      <c r="Q13" s="9" t="s">
        <v>96</v>
      </c>
      <c r="R13" s="9" t="s">
        <v>97</v>
      </c>
      <c r="S13" s="9"/>
      <c r="T13" s="87">
        <f>T5</f>
        <v>4497.2999999999993</v>
      </c>
    </row>
    <row r="14" spans="1:20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  <c r="Q14" s="9" t="s">
        <v>116</v>
      </c>
      <c r="R14" s="9" t="s">
        <v>117</v>
      </c>
      <c r="S14" s="9" t="s">
        <v>101</v>
      </c>
      <c r="T14" s="86">
        <v>4.0000000000000002E-4</v>
      </c>
    </row>
    <row r="15" spans="1:20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  <c r="Q15" s="9" t="s">
        <v>118</v>
      </c>
      <c r="R15" s="9" t="s">
        <v>108</v>
      </c>
      <c r="S15" s="9" t="s">
        <v>105</v>
      </c>
      <c r="T15" s="86">
        <v>0</v>
      </c>
    </row>
    <row r="16" spans="1:20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  <c r="Q16" s="9" t="s">
        <v>119</v>
      </c>
      <c r="R16" s="9" t="s">
        <v>120</v>
      </c>
      <c r="S16" s="9" t="s">
        <v>105</v>
      </c>
      <c r="T16" s="86">
        <v>0</v>
      </c>
    </row>
    <row r="17" spans="1:20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121</v>
      </c>
      <c r="M17" s="9" t="s">
        <v>122</v>
      </c>
      <c r="N17" s="9" t="s">
        <v>112</v>
      </c>
      <c r="O17" s="86">
        <f>ROUNDDOWN((1+O12)*O13*O14*(O16+O16),0)</f>
        <v>0</v>
      </c>
      <c r="Q17" s="9" t="s">
        <v>121</v>
      </c>
      <c r="R17" s="9" t="s">
        <v>122</v>
      </c>
      <c r="S17" s="9" t="s">
        <v>112</v>
      </c>
      <c r="T17" s="86">
        <f>ROUNDDOWN((1+T12)*T13*T14*(T16+T16),0)</f>
        <v>0</v>
      </c>
    </row>
    <row r="18" spans="1:20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  <c r="Q18" s="2"/>
      <c r="R18" s="2"/>
      <c r="S18" s="2"/>
      <c r="T18" s="2"/>
    </row>
    <row r="19" spans="1:20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  <c r="Q19" s="533" t="s">
        <v>123</v>
      </c>
      <c r="R19" s="519"/>
      <c r="S19" s="519"/>
      <c r="T19" s="519"/>
    </row>
    <row r="20" spans="1:20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  <c r="Q20" s="88" t="s">
        <v>124</v>
      </c>
      <c r="R20" s="9" t="s">
        <v>124</v>
      </c>
      <c r="S20" s="9" t="s">
        <v>125</v>
      </c>
      <c r="T20" s="86">
        <v>0.97</v>
      </c>
    </row>
    <row r="21" spans="1:20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  <c r="Q21" s="9" t="s">
        <v>127</v>
      </c>
      <c r="R21" s="9" t="s">
        <v>130</v>
      </c>
      <c r="S21" s="9" t="s">
        <v>129</v>
      </c>
      <c r="T21" s="86">
        <v>112</v>
      </c>
    </row>
    <row r="22" spans="1:20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v>9.4600000000000009</v>
      </c>
      <c r="P22">
        <f>D22</f>
        <v>9.4600000000000009</v>
      </c>
      <c r="Q22" s="9" t="s">
        <v>131</v>
      </c>
      <c r="R22" s="9" t="s">
        <v>134</v>
      </c>
      <c r="S22" s="9" t="s">
        <v>133</v>
      </c>
      <c r="T22" s="86">
        <v>9.4600000000000009</v>
      </c>
    </row>
    <row r="23" spans="1:20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  <c r="Q23" s="9" t="s">
        <v>135</v>
      </c>
      <c r="R23" s="9" t="s">
        <v>136</v>
      </c>
      <c r="S23" s="9" t="s">
        <v>137</v>
      </c>
      <c r="T23" s="86">
        <v>1.5599999999999999E-2</v>
      </c>
    </row>
    <row r="24" spans="1:20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  <c r="Q24" s="2"/>
      <c r="R24" s="2"/>
      <c r="S24" s="2"/>
      <c r="T24" s="2"/>
    </row>
    <row r="25" spans="1:20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  <c r="Q25" s="533" t="s">
        <v>19</v>
      </c>
      <c r="R25" s="519"/>
      <c r="S25" s="519"/>
      <c r="T25" s="519"/>
    </row>
    <row r="26" spans="1:20">
      <c r="A26" s="9" t="s">
        <v>28</v>
      </c>
      <c r="B26" s="9" t="s">
        <v>29</v>
      </c>
      <c r="C26" s="9" t="s">
        <v>30</v>
      </c>
      <c r="D26" s="87">
        <f>ROUNDDOWN(D9*((D20*D21)+D22)*D23,0)</f>
        <v>4821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1772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3023</v>
      </c>
      <c r="Q26" s="9" t="s">
        <v>28</v>
      </c>
      <c r="R26" s="9" t="s">
        <v>29</v>
      </c>
      <c r="S26" s="9" t="s">
        <v>30</v>
      </c>
      <c r="T26" s="87">
        <f>ROUNDDOWN(T9*((T20*T21)+T22)*T23,0)</f>
        <v>23</v>
      </c>
    </row>
    <row r="27" spans="1:20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O17*((O20*O21)+O22)*O230</f>
        <v>0</v>
      </c>
      <c r="Q27" s="9" t="s">
        <v>31</v>
      </c>
      <c r="R27" s="9" t="s">
        <v>32</v>
      </c>
      <c r="S27" s="9" t="s">
        <v>30</v>
      </c>
      <c r="T27" s="86">
        <f>T17*((T20*T21)+T22)*T230</f>
        <v>0</v>
      </c>
    </row>
    <row r="28" spans="1:20" ht="14.5" customHeight="1">
      <c r="A28" s="9" t="s">
        <v>33</v>
      </c>
      <c r="B28" s="9" t="s">
        <v>34</v>
      </c>
      <c r="C28" s="9" t="s">
        <v>35</v>
      </c>
      <c r="D28" s="86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6">
        <f>D28</f>
        <v>0.95</v>
      </c>
      <c r="K28" s="2"/>
      <c r="L28" s="9" t="s">
        <v>33</v>
      </c>
      <c r="M28" s="9" t="s">
        <v>34</v>
      </c>
      <c r="N28" s="9" t="s">
        <v>35</v>
      </c>
      <c r="O28" s="86">
        <f>D28</f>
        <v>0.95</v>
      </c>
      <c r="Q28" s="9" t="s">
        <v>33</v>
      </c>
      <c r="R28" s="9" t="s">
        <v>34</v>
      </c>
      <c r="S28" s="9" t="s">
        <v>35</v>
      </c>
      <c r="T28" s="86">
        <f>O28</f>
        <v>0.95</v>
      </c>
    </row>
    <row r="29" spans="1:20" ht="20.149999999999999" customHeight="1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  <c r="Q29" s="9" t="s">
        <v>36</v>
      </c>
      <c r="R29" s="9" t="s">
        <v>37</v>
      </c>
      <c r="S29" s="9" t="s">
        <v>30</v>
      </c>
      <c r="T29" s="86">
        <v>0</v>
      </c>
    </row>
    <row r="30" spans="1:20">
      <c r="A30" s="9" t="s">
        <v>90</v>
      </c>
      <c r="B30" s="9" t="s">
        <v>39</v>
      </c>
      <c r="C30" s="9" t="s">
        <v>30</v>
      </c>
      <c r="D30" s="86">
        <f>ROUNDDOWN(((D26-D27)*D28)-D29,0)</f>
        <v>4579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1683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2871</v>
      </c>
      <c r="Q30" s="9" t="s">
        <v>90</v>
      </c>
      <c r="R30" s="9" t="s">
        <v>39</v>
      </c>
      <c r="S30" s="9" t="s">
        <v>30</v>
      </c>
      <c r="T30" s="86">
        <f>ROUNDDOWN(((T26-T27)*T28)-T29,0)</f>
        <v>21</v>
      </c>
    </row>
    <row r="31" spans="1:20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  <c r="Q31" s="2"/>
      <c r="R31" s="2"/>
      <c r="S31" s="2"/>
      <c r="T31" s="2"/>
    </row>
    <row r="32" spans="1:20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  <c r="Q32" s="533" t="s">
        <v>40</v>
      </c>
      <c r="R32" s="519"/>
      <c r="S32" s="519"/>
      <c r="T32" s="519"/>
    </row>
    <row r="33" spans="1:20" ht="19" customHeight="1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M33" s="9"/>
      <c r="N33" s="16"/>
      <c r="O33" s="91">
        <v>1</v>
      </c>
      <c r="Q33" s="90" t="s">
        <v>41</v>
      </c>
      <c r="R33" s="9"/>
      <c r="S33" s="16"/>
      <c r="T33" s="91">
        <v>1</v>
      </c>
    </row>
    <row r="34" spans="1:20" ht="19" customHeight="1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  <c r="Q34" s="90" t="s">
        <v>43</v>
      </c>
      <c r="R34" s="9" t="s">
        <v>42</v>
      </c>
      <c r="S34" s="16" t="s">
        <v>44</v>
      </c>
      <c r="T34" s="91">
        <v>0</v>
      </c>
    </row>
    <row r="35" spans="1:20">
      <c r="A35" s="93" t="s">
        <v>140</v>
      </c>
      <c r="B35" s="94" t="s">
        <v>39</v>
      </c>
      <c r="C35" s="95" t="s">
        <v>30</v>
      </c>
      <c r="D35" s="246">
        <f>ROUNDDOWN(D30*(1-D34),0)</f>
        <v>4579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1683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2871</v>
      </c>
      <c r="Q35" s="93" t="s">
        <v>140</v>
      </c>
      <c r="R35" s="94" t="s">
        <v>39</v>
      </c>
      <c r="S35" s="95" t="s">
        <v>30</v>
      </c>
      <c r="T35" s="96">
        <f>ROUNDDOWN(T30*(1-T34),0)</f>
        <v>21</v>
      </c>
    </row>
    <row r="36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</row>
    <row r="37" spans="1:20">
      <c r="A37" s="93" t="s">
        <v>141</v>
      </c>
      <c r="B37" s="94"/>
      <c r="C37" s="95" t="s">
        <v>30</v>
      </c>
      <c r="D37" s="96">
        <f>J37+O37+T37</f>
        <v>4575</v>
      </c>
      <c r="E37" s="2"/>
      <c r="F37" s="2"/>
      <c r="G37" s="93" t="s">
        <v>141</v>
      </c>
      <c r="H37" s="94"/>
      <c r="I37" s="95" t="s">
        <v>30</v>
      </c>
      <c r="J37" s="96">
        <f>IF(J35&gt;'GS7331 PTDs'!B18*'GS7331 PTDs'!B19,'GS7331 PTDs'!B19*'GS7331 PTDs'!B19,'GS7331 ER Calcs'!J35)</f>
        <v>1683</v>
      </c>
      <c r="K37" s="2"/>
      <c r="L37" s="93" t="s">
        <v>141</v>
      </c>
      <c r="M37" s="94"/>
      <c r="N37" s="95" t="s">
        <v>30</v>
      </c>
      <c r="O37" s="96">
        <f>IF(O35&gt;'GS7331 PTDs'!B18*'GS7331 PTDs'!B20,'GS7331 PTDs'!B18*'GS7331 PTDs'!B20,'GS7331 ER Calcs'!O35)</f>
        <v>2871</v>
      </c>
      <c r="Q37" s="93" t="s">
        <v>141</v>
      </c>
      <c r="R37" s="94"/>
      <c r="S37" s="95" t="s">
        <v>30</v>
      </c>
      <c r="T37" s="96">
        <f>IF(T35&gt;'GS7331 PTDs'!B18*'GS7331 PTDs'!B21,'GS7331 PTDs'!B18*'GS7331 PTDs'!B21,'GS7331 ER Calcs'!T35)</f>
        <v>21</v>
      </c>
    </row>
    <row r="38" spans="1:2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</row>
    <row r="39" spans="1:20">
      <c r="A39" s="1" t="s">
        <v>142</v>
      </c>
      <c r="B39" s="2"/>
      <c r="C39" s="2"/>
      <c r="D39" s="2"/>
      <c r="E39" s="2"/>
      <c r="F39" s="2"/>
      <c r="G39" s="1" t="s">
        <v>142</v>
      </c>
      <c r="H39" s="2"/>
      <c r="I39" s="2"/>
      <c r="J39" s="2"/>
      <c r="K39" s="2"/>
      <c r="L39" s="1" t="s">
        <v>142</v>
      </c>
      <c r="M39" s="2"/>
      <c r="N39" s="2"/>
      <c r="O39" s="2"/>
      <c r="Q39" s="1"/>
      <c r="R39" s="2"/>
      <c r="S39" s="2"/>
      <c r="T39" s="2"/>
    </row>
    <row r="40" spans="1:2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</sheetData>
  <mergeCells count="24">
    <mergeCell ref="A1:D1"/>
    <mergeCell ref="G1:J1"/>
    <mergeCell ref="L1:O1"/>
    <mergeCell ref="A3:D3"/>
    <mergeCell ref="G3:J3"/>
    <mergeCell ref="L3:O3"/>
    <mergeCell ref="A11:D11"/>
    <mergeCell ref="G11:J11"/>
    <mergeCell ref="L11:O11"/>
    <mergeCell ref="A19:D19"/>
    <mergeCell ref="G19:J19"/>
    <mergeCell ref="L19:O19"/>
    <mergeCell ref="A25:D25"/>
    <mergeCell ref="G25:J25"/>
    <mergeCell ref="L25:O25"/>
    <mergeCell ref="A32:D32"/>
    <mergeCell ref="G32:J32"/>
    <mergeCell ref="L32:O32"/>
    <mergeCell ref="Q32:T32"/>
    <mergeCell ref="Q1:T1"/>
    <mergeCell ref="Q3:T3"/>
    <mergeCell ref="Q11:T11"/>
    <mergeCell ref="Q19:T19"/>
    <mergeCell ref="Q25:T25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1051-9356-4042-8889-95293BF1A978}">
  <dimension ref="A1:Y39"/>
  <sheetViews>
    <sheetView topLeftCell="A7" workbookViewId="0">
      <selection activeCell="D37" sqref="D37"/>
    </sheetView>
  </sheetViews>
  <sheetFormatPr defaultColWidth="20.1796875" defaultRowHeight="14.5"/>
  <cols>
    <col min="1" max="1" width="77.1796875" bestFit="1" customWidth="1"/>
    <col min="2" max="2" width="15.7265625" bestFit="1" customWidth="1"/>
    <col min="3" max="3" width="10" bestFit="1" customWidth="1"/>
    <col min="4" max="4" width="11.81640625" bestFit="1" customWidth="1"/>
    <col min="5" max="5" width="19.81640625" bestFit="1" customWidth="1"/>
    <col min="7" max="7" width="77.1796875" bestFit="1" customWidth="1"/>
    <col min="8" max="8" width="15.7265625" bestFit="1" customWidth="1"/>
    <col min="9" max="9" width="10" bestFit="1" customWidth="1"/>
    <col min="10" max="10" width="11.81640625" bestFit="1" customWidth="1"/>
    <col min="12" max="12" width="77.1796875" bestFit="1" customWidth="1"/>
    <col min="13" max="13" width="15.7265625" bestFit="1" customWidth="1"/>
    <col min="14" max="14" width="10" bestFit="1" customWidth="1"/>
    <col min="15" max="15" width="11.81640625" bestFit="1" customWidth="1"/>
    <col min="17" max="17" width="46.1796875" customWidth="1"/>
    <col min="22" max="22" width="47.7265625" customWidth="1"/>
  </cols>
  <sheetData>
    <row r="1" spans="1:25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  <c r="Q1" s="535" t="s">
        <v>276</v>
      </c>
      <c r="R1" s="535"/>
      <c r="S1" s="535"/>
      <c r="T1" s="535"/>
      <c r="V1" s="550"/>
      <c r="W1" s="550"/>
      <c r="X1" s="550"/>
      <c r="Y1" s="550"/>
    </row>
    <row r="2" spans="1: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2"/>
      <c r="R2" s="2"/>
      <c r="S2" s="2"/>
      <c r="T2" s="2"/>
      <c r="V2" s="1"/>
      <c r="W2" s="1"/>
      <c r="X2" s="1"/>
      <c r="Y2" s="1"/>
    </row>
    <row r="3" spans="1:25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  <c r="Q3" s="533" t="s">
        <v>91</v>
      </c>
      <c r="R3" s="519"/>
      <c r="S3" s="519"/>
      <c r="T3" s="519"/>
      <c r="V3" s="554"/>
      <c r="W3" s="554"/>
      <c r="X3" s="554"/>
      <c r="Y3" s="554"/>
    </row>
    <row r="4" spans="1:25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  <c r="Q4" s="9" t="s">
        <v>93</v>
      </c>
      <c r="R4" s="9" t="s">
        <v>94</v>
      </c>
      <c r="S4" s="9" t="s">
        <v>35</v>
      </c>
      <c r="T4" s="86">
        <v>0</v>
      </c>
      <c r="V4" s="1"/>
      <c r="W4" s="1"/>
      <c r="X4" s="1"/>
      <c r="Y4" s="1"/>
    </row>
    <row r="5" spans="1:25" ht="29">
      <c r="A5" s="9" t="s">
        <v>96</v>
      </c>
      <c r="B5" s="9" t="s">
        <v>97</v>
      </c>
      <c r="C5" s="9"/>
      <c r="D5" s="87">
        <f>'GS7331 PTDs'!Q16</f>
        <v>1546740.5999999999</v>
      </c>
      <c r="E5" s="85" t="s">
        <v>207</v>
      </c>
      <c r="F5" s="2"/>
      <c r="G5" s="9" t="s">
        <v>96</v>
      </c>
      <c r="H5" s="9" t="s">
        <v>97</v>
      </c>
      <c r="I5" s="9"/>
      <c r="J5" s="87">
        <f>'GS7331 PTDs'!L16</f>
        <v>571679.6</v>
      </c>
      <c r="K5" s="2"/>
      <c r="L5" s="9" t="s">
        <v>96</v>
      </c>
      <c r="M5" s="9" t="s">
        <v>97</v>
      </c>
      <c r="N5" s="9"/>
      <c r="O5" s="87">
        <f>'GS7331 PTDs'!N16</f>
        <v>975061</v>
      </c>
      <c r="Q5" s="9" t="s">
        <v>96</v>
      </c>
      <c r="R5" s="9" t="s">
        <v>97</v>
      </c>
      <c r="S5" s="9"/>
      <c r="T5" s="87">
        <f>'GS7331 PTDs'!$P$16</f>
        <v>8014.1999999999989</v>
      </c>
      <c r="V5" s="1"/>
      <c r="W5" s="1"/>
      <c r="X5" s="1"/>
      <c r="Y5" s="501"/>
    </row>
    <row r="6" spans="1:25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  <c r="Q6" s="9" t="s">
        <v>99</v>
      </c>
      <c r="R6" s="9" t="s">
        <v>100</v>
      </c>
      <c r="S6" s="9" t="s">
        <v>101</v>
      </c>
      <c r="T6" s="86">
        <v>4.0000000000000002E-4</v>
      </c>
      <c r="V6" s="1"/>
      <c r="W6" s="1"/>
      <c r="X6" s="1"/>
      <c r="Y6" s="1"/>
    </row>
    <row r="7" spans="1:25" ht="43.5">
      <c r="A7" s="88" t="s">
        <v>103</v>
      </c>
      <c r="B7" s="9" t="s">
        <v>104</v>
      </c>
      <c r="C7" s="9" t="s">
        <v>105</v>
      </c>
      <c r="D7" s="86">
        <v>7.5</v>
      </c>
      <c r="E7" s="85" t="s">
        <v>162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  <c r="Q7" s="88" t="s">
        <v>103</v>
      </c>
      <c r="R7" s="9" t="s">
        <v>104</v>
      </c>
      <c r="S7" s="9" t="s">
        <v>105</v>
      </c>
      <c r="T7" s="86">
        <v>7.5</v>
      </c>
      <c r="V7" s="180"/>
      <c r="W7" s="1"/>
      <c r="X7" s="1"/>
      <c r="Y7" s="1"/>
    </row>
    <row r="8" spans="1:25" ht="29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  <c r="Q8" s="88" t="s">
        <v>107</v>
      </c>
      <c r="R8" s="9" t="s">
        <v>108</v>
      </c>
      <c r="S8" s="9" t="s">
        <v>105</v>
      </c>
      <c r="T8" s="86">
        <v>0</v>
      </c>
      <c r="V8" s="180"/>
      <c r="W8" s="1"/>
      <c r="X8" s="1"/>
      <c r="Y8" s="1"/>
    </row>
    <row r="9" spans="1:25">
      <c r="A9" s="9" t="s">
        <v>110</v>
      </c>
      <c r="B9" s="9" t="s">
        <v>111</v>
      </c>
      <c r="C9" s="9" t="s">
        <v>112</v>
      </c>
      <c r="D9" s="86">
        <f>ROUNDDOWN((1-D4)*D5*D6*(D7+D8),0)</f>
        <v>4640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1715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2925</v>
      </c>
      <c r="Q9" s="9" t="s">
        <v>110</v>
      </c>
      <c r="R9" s="9" t="s">
        <v>111</v>
      </c>
      <c r="S9" s="9" t="s">
        <v>112</v>
      </c>
      <c r="T9" s="86">
        <f>ROUNDDOWN((1-T4)*T5*T6*(T7+T8),0)</f>
        <v>24</v>
      </c>
      <c r="V9" s="1"/>
      <c r="W9" s="1"/>
      <c r="X9" s="1"/>
      <c r="Y9" s="1"/>
    </row>
    <row r="10" spans="1:25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Q10" s="2"/>
      <c r="R10" s="2"/>
      <c r="S10" s="2"/>
      <c r="T10" s="2"/>
      <c r="V10" s="1"/>
      <c r="W10" s="1"/>
      <c r="X10" s="1"/>
      <c r="Y10" s="1"/>
    </row>
    <row r="11" spans="1:25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  <c r="Q11" s="533" t="s">
        <v>113</v>
      </c>
      <c r="R11" s="519"/>
      <c r="S11" s="519"/>
      <c r="T11" s="519"/>
      <c r="V11" s="554"/>
      <c r="W11" s="554"/>
      <c r="X11" s="554"/>
      <c r="Y11" s="554"/>
    </row>
    <row r="12" spans="1:25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  <c r="Q12" s="9" t="s">
        <v>114</v>
      </c>
      <c r="R12" s="9" t="s">
        <v>94</v>
      </c>
      <c r="S12" s="9" t="s">
        <v>35</v>
      </c>
      <c r="T12" s="86">
        <v>0</v>
      </c>
      <c r="V12" s="1"/>
      <c r="W12" s="1"/>
      <c r="X12" s="1"/>
      <c r="Y12" s="1"/>
    </row>
    <row r="13" spans="1:25" ht="29">
      <c r="A13" s="9" t="s">
        <v>96</v>
      </c>
      <c r="B13" s="9" t="s">
        <v>97</v>
      </c>
      <c r="C13" s="9"/>
      <c r="D13" s="87">
        <f>D5</f>
        <v>1546740.5999999999</v>
      </c>
      <c r="E13" s="85" t="s">
        <v>208</v>
      </c>
      <c r="F13" s="2"/>
      <c r="G13" s="9" t="s">
        <v>96</v>
      </c>
      <c r="H13" s="9" t="s">
        <v>97</v>
      </c>
      <c r="I13" s="9"/>
      <c r="J13" s="87">
        <f>J5</f>
        <v>571679.6</v>
      </c>
      <c r="K13" s="2"/>
      <c r="L13" s="9" t="s">
        <v>96</v>
      </c>
      <c r="M13" s="9" t="s">
        <v>97</v>
      </c>
      <c r="N13" s="9"/>
      <c r="O13" s="87">
        <f>O5</f>
        <v>975061</v>
      </c>
      <c r="Q13" s="9" t="s">
        <v>96</v>
      </c>
      <c r="R13" s="9" t="s">
        <v>97</v>
      </c>
      <c r="S13" s="9"/>
      <c r="T13" s="87">
        <f>T5</f>
        <v>8014.1999999999989</v>
      </c>
      <c r="V13" s="1"/>
      <c r="W13" s="1"/>
      <c r="X13" s="1"/>
      <c r="Y13" s="501"/>
    </row>
    <row r="14" spans="1:25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  <c r="Q14" s="9" t="s">
        <v>116</v>
      </c>
      <c r="R14" s="9" t="s">
        <v>117</v>
      </c>
      <c r="S14" s="9" t="s">
        <v>101</v>
      </c>
      <c r="T14" s="86">
        <v>4.0000000000000002E-4</v>
      </c>
      <c r="V14" s="1"/>
      <c r="W14" s="1"/>
      <c r="X14" s="1"/>
      <c r="Y14" s="1"/>
    </row>
    <row r="15" spans="1:25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  <c r="Q15" s="9" t="s">
        <v>118</v>
      </c>
      <c r="R15" s="9" t="s">
        <v>108</v>
      </c>
      <c r="S15" s="9" t="s">
        <v>105</v>
      </c>
      <c r="T15" s="86">
        <v>0</v>
      </c>
      <c r="V15" s="1"/>
      <c r="W15" s="1"/>
      <c r="X15" s="1"/>
      <c r="Y15" s="1"/>
    </row>
    <row r="16" spans="1:25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  <c r="Q16" s="9" t="s">
        <v>119</v>
      </c>
      <c r="R16" s="9" t="s">
        <v>120</v>
      </c>
      <c r="S16" s="9" t="s">
        <v>105</v>
      </c>
      <c r="T16" s="86">
        <v>0</v>
      </c>
      <c r="V16" s="1"/>
      <c r="W16" s="1"/>
      <c r="X16" s="1"/>
      <c r="Y16" s="1"/>
    </row>
    <row r="17" spans="1:25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121</v>
      </c>
      <c r="M17" s="9" t="s">
        <v>122</v>
      </c>
      <c r="N17" s="9" t="s">
        <v>112</v>
      </c>
      <c r="O17" s="86">
        <f>ROUNDDOWN((1+O12)*O13*O14*(O16+O16),0)</f>
        <v>0</v>
      </c>
      <c r="Q17" s="9" t="s">
        <v>121</v>
      </c>
      <c r="R17" s="9" t="s">
        <v>122</v>
      </c>
      <c r="S17" s="9" t="s">
        <v>112</v>
      </c>
      <c r="T17" s="86">
        <f>ROUNDDOWN((1+T12)*T13*T14*(T16+T16),0)</f>
        <v>0</v>
      </c>
      <c r="V17" s="1"/>
      <c r="W17" s="1"/>
      <c r="X17" s="1"/>
      <c r="Y17" s="1"/>
    </row>
    <row r="18" spans="1:25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  <c r="Q18" s="2"/>
      <c r="R18" s="2"/>
      <c r="S18" s="2"/>
      <c r="T18" s="2"/>
      <c r="V18" s="1"/>
      <c r="W18" s="1"/>
      <c r="X18" s="1"/>
      <c r="Y18" s="1"/>
    </row>
    <row r="19" spans="1:25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  <c r="Q19" s="533" t="s">
        <v>123</v>
      </c>
      <c r="R19" s="519"/>
      <c r="S19" s="519"/>
      <c r="T19" s="519"/>
      <c r="V19" s="554"/>
      <c r="W19" s="554"/>
      <c r="X19" s="554"/>
      <c r="Y19" s="554"/>
    </row>
    <row r="20" spans="1:25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  <c r="Q20" s="88" t="s">
        <v>124</v>
      </c>
      <c r="R20" s="9" t="s">
        <v>124</v>
      </c>
      <c r="S20" s="9" t="s">
        <v>125</v>
      </c>
      <c r="T20" s="86">
        <v>0.97</v>
      </c>
      <c r="V20" s="180"/>
      <c r="W20" s="1"/>
      <c r="X20" s="1"/>
      <c r="Y20" s="1"/>
    </row>
    <row r="21" spans="1:25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  <c r="Q21" s="9" t="s">
        <v>127</v>
      </c>
      <c r="R21" s="9" t="s">
        <v>130</v>
      </c>
      <c r="S21" s="9" t="s">
        <v>129</v>
      </c>
      <c r="T21" s="86">
        <v>112</v>
      </c>
      <c r="V21" s="1"/>
      <c r="W21" s="1"/>
      <c r="X21" s="1"/>
      <c r="Y21" s="1"/>
    </row>
    <row r="22" spans="1:25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v>9.4600000000000009</v>
      </c>
      <c r="Q22" s="9" t="s">
        <v>131</v>
      </c>
      <c r="R22" s="9" t="s">
        <v>134</v>
      </c>
      <c r="S22" s="9" t="s">
        <v>133</v>
      </c>
      <c r="T22" s="86">
        <v>9.4600000000000009</v>
      </c>
      <c r="V22" s="1"/>
      <c r="W22" s="1"/>
      <c r="X22" s="1"/>
      <c r="Y22" s="1"/>
    </row>
    <row r="23" spans="1:25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  <c r="Q23" s="9" t="s">
        <v>135</v>
      </c>
      <c r="R23" s="9" t="s">
        <v>136</v>
      </c>
      <c r="S23" s="9" t="s">
        <v>137</v>
      </c>
      <c r="T23" s="86">
        <v>1.5599999999999999E-2</v>
      </c>
      <c r="V23" s="1"/>
      <c r="W23" s="1"/>
      <c r="X23" s="1"/>
      <c r="Y23" s="1"/>
    </row>
    <row r="24" spans="1:25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  <c r="Q24" s="2"/>
      <c r="R24" s="2"/>
      <c r="S24" s="2"/>
      <c r="T24" s="2"/>
      <c r="V24" s="1"/>
      <c r="W24" s="1"/>
      <c r="X24" s="1"/>
      <c r="Y24" s="1"/>
    </row>
    <row r="25" spans="1:25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  <c r="Q25" s="533" t="s">
        <v>19</v>
      </c>
      <c r="R25" s="519"/>
      <c r="S25" s="519"/>
      <c r="T25" s="519"/>
      <c r="V25" s="554"/>
      <c r="W25" s="554"/>
      <c r="X25" s="554"/>
      <c r="Y25" s="554"/>
    </row>
    <row r="26" spans="1:25">
      <c r="A26" s="9" t="s">
        <v>28</v>
      </c>
      <c r="B26" s="9" t="s">
        <v>29</v>
      </c>
      <c r="C26" s="9" t="s">
        <v>30</v>
      </c>
      <c r="D26" s="87">
        <f>ROUNDDOWN(D9*((D20*D21)+D22)*D23,0)</f>
        <v>8548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3159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5388</v>
      </c>
      <c r="Q26" s="9" t="s">
        <v>28</v>
      </c>
      <c r="R26" s="9" t="s">
        <v>29</v>
      </c>
      <c r="S26" s="9" t="s">
        <v>30</v>
      </c>
      <c r="T26" s="87">
        <f>ROUNDDOWN(T9*((T20*T21)+T22)*T23,0)</f>
        <v>44</v>
      </c>
      <c r="V26" s="1"/>
      <c r="W26" s="1"/>
      <c r="X26" s="1"/>
      <c r="Y26" s="501"/>
    </row>
    <row r="27" spans="1:25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O17*((O20*O21)+O22)*O230</f>
        <v>0</v>
      </c>
      <c r="Q27" s="9" t="s">
        <v>31</v>
      </c>
      <c r="R27" s="9" t="s">
        <v>32</v>
      </c>
      <c r="S27" s="9" t="s">
        <v>30</v>
      </c>
      <c r="T27" s="86">
        <f>T17*((T20*T21)+T22)*T230</f>
        <v>0</v>
      </c>
      <c r="V27" s="1"/>
      <c r="W27" s="1"/>
      <c r="X27" s="1"/>
      <c r="Y27" s="1"/>
    </row>
    <row r="28" spans="1:25" ht="29">
      <c r="A28" s="9" t="s">
        <v>33</v>
      </c>
      <c r="B28" s="9" t="s">
        <v>34</v>
      </c>
      <c r="C28" s="9" t="s">
        <v>35</v>
      </c>
      <c r="D28" s="86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6">
        <f>D28</f>
        <v>0.95</v>
      </c>
      <c r="K28" s="2"/>
      <c r="L28" s="9" t="s">
        <v>33</v>
      </c>
      <c r="M28" s="9" t="s">
        <v>34</v>
      </c>
      <c r="N28" s="9" t="s">
        <v>35</v>
      </c>
      <c r="O28" s="86">
        <f>D28</f>
        <v>0.95</v>
      </c>
      <c r="Q28" s="9" t="s">
        <v>33</v>
      </c>
      <c r="R28" s="9" t="s">
        <v>34</v>
      </c>
      <c r="S28" s="9" t="s">
        <v>35</v>
      </c>
      <c r="T28" s="86">
        <f>D28</f>
        <v>0.95</v>
      </c>
      <c r="V28" s="1"/>
      <c r="W28" s="1"/>
      <c r="X28" s="1"/>
      <c r="Y28" s="1"/>
    </row>
    <row r="29" spans="1:25" ht="29">
      <c r="A29" s="9" t="s">
        <v>36</v>
      </c>
      <c r="B29" s="9" t="s">
        <v>37</v>
      </c>
      <c r="C29" s="9" t="s">
        <v>30</v>
      </c>
      <c r="D29" s="86">
        <v>0</v>
      </c>
      <c r="E29" s="302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  <c r="Q29" s="9" t="s">
        <v>36</v>
      </c>
      <c r="R29" s="9" t="s">
        <v>37</v>
      </c>
      <c r="S29" s="9" t="s">
        <v>30</v>
      </c>
      <c r="T29" s="86">
        <v>0</v>
      </c>
      <c r="V29" s="1"/>
      <c r="W29" s="1"/>
      <c r="X29" s="1"/>
      <c r="Y29" s="1"/>
    </row>
    <row r="30" spans="1:25">
      <c r="A30" s="9" t="s">
        <v>90</v>
      </c>
      <c r="B30" s="9" t="s">
        <v>39</v>
      </c>
      <c r="C30" s="9" t="s">
        <v>30</v>
      </c>
      <c r="D30" s="86">
        <f>ROUNDDOWN(((D26-D27)*D28)-D29,0)</f>
        <v>8120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3001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5118</v>
      </c>
      <c r="Q30" s="9" t="s">
        <v>90</v>
      </c>
      <c r="R30" s="9" t="s">
        <v>39</v>
      </c>
      <c r="S30" s="9" t="s">
        <v>30</v>
      </c>
      <c r="T30" s="86">
        <f>ROUNDDOWN(((T26-T27)*T28)-T29,0)</f>
        <v>41</v>
      </c>
      <c r="V30" s="1"/>
      <c r="W30" s="1"/>
      <c r="X30" s="1"/>
      <c r="Y30" s="1"/>
    </row>
    <row r="31" spans="1:25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  <c r="Q31" s="2"/>
      <c r="R31" s="2"/>
      <c r="S31" s="2"/>
      <c r="T31" s="2"/>
      <c r="V31" s="1"/>
      <c r="W31" s="1"/>
      <c r="X31" s="1"/>
      <c r="Y31" s="1"/>
    </row>
    <row r="32" spans="1:25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  <c r="Q32" s="533" t="s">
        <v>40</v>
      </c>
      <c r="R32" s="519"/>
      <c r="S32" s="519"/>
      <c r="T32" s="519"/>
      <c r="V32" s="554"/>
      <c r="W32" s="554"/>
      <c r="X32" s="554"/>
      <c r="Y32" s="554"/>
    </row>
    <row r="33" spans="1:25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M33" s="9"/>
      <c r="N33" s="16"/>
      <c r="O33" s="91">
        <v>1</v>
      </c>
      <c r="Q33" s="90" t="s">
        <v>41</v>
      </c>
      <c r="R33" s="9"/>
      <c r="S33" s="16"/>
      <c r="T33" s="91">
        <v>1</v>
      </c>
      <c r="V33" s="1"/>
      <c r="W33" s="1"/>
      <c r="X33" s="1"/>
      <c r="Y33" s="502"/>
    </row>
    <row r="34" spans="1:25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  <c r="Q34" s="90" t="s">
        <v>43</v>
      </c>
      <c r="R34" s="9" t="s">
        <v>42</v>
      </c>
      <c r="S34" s="16" t="s">
        <v>44</v>
      </c>
      <c r="T34" s="91">
        <v>0</v>
      </c>
      <c r="V34" s="1"/>
      <c r="W34" s="1"/>
      <c r="X34" s="1"/>
      <c r="Y34" s="502"/>
    </row>
    <row r="35" spans="1:25">
      <c r="A35" s="93" t="s">
        <v>140</v>
      </c>
      <c r="B35" s="94" t="s">
        <v>39</v>
      </c>
      <c r="C35" s="95" t="s">
        <v>30</v>
      </c>
      <c r="D35" s="246">
        <f>ROUNDDOWN(D30*(1-D34),0)</f>
        <v>8120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3001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5118</v>
      </c>
      <c r="Q35" s="93" t="s">
        <v>140</v>
      </c>
      <c r="R35" s="94" t="s">
        <v>39</v>
      </c>
      <c r="S35" s="95" t="s">
        <v>30</v>
      </c>
      <c r="T35" s="96">
        <f>ROUNDDOWN(T30*(1-T34),0)</f>
        <v>41</v>
      </c>
      <c r="V35" s="28"/>
      <c r="W35" s="28"/>
      <c r="X35" s="28"/>
      <c r="Y35" s="503"/>
    </row>
    <row r="36" spans="1: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  <c r="V36" s="1"/>
      <c r="W36" s="1"/>
      <c r="X36" s="1"/>
      <c r="Y36" s="1"/>
    </row>
    <row r="37" spans="1:25">
      <c r="A37" s="93" t="s">
        <v>141</v>
      </c>
      <c r="B37" s="94"/>
      <c r="C37" s="95" t="s">
        <v>30</v>
      </c>
      <c r="D37" s="96">
        <f>J37+O37+T37</f>
        <v>8160</v>
      </c>
      <c r="E37" s="2"/>
      <c r="F37" s="2"/>
      <c r="G37" s="93" t="s">
        <v>141</v>
      </c>
      <c r="H37" s="94"/>
      <c r="I37" s="95" t="s">
        <v>30</v>
      </c>
      <c r="J37" s="96">
        <f>J35</f>
        <v>3001</v>
      </c>
      <c r="K37" s="2"/>
      <c r="L37" s="93" t="s">
        <v>141</v>
      </c>
      <c r="M37" s="94"/>
      <c r="N37" s="95" t="s">
        <v>30</v>
      </c>
      <c r="O37" s="96">
        <f>O35</f>
        <v>5118</v>
      </c>
      <c r="Q37" s="93" t="s">
        <v>141</v>
      </c>
      <c r="R37" s="94"/>
      <c r="S37" s="95" t="s">
        <v>30</v>
      </c>
      <c r="T37" s="96">
        <f>T35</f>
        <v>41</v>
      </c>
      <c r="V37" s="28"/>
      <c r="W37" s="28"/>
      <c r="X37" s="28"/>
      <c r="Y37" s="503"/>
    </row>
    <row r="38" spans="1: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25">
      <c r="A39" s="1"/>
      <c r="B39" s="2"/>
      <c r="C39" s="2"/>
      <c r="D39" s="2"/>
      <c r="E39" s="2"/>
      <c r="F39" s="2"/>
      <c r="G39" s="1"/>
      <c r="H39" s="2"/>
      <c r="I39" s="2"/>
      <c r="J39" s="2"/>
      <c r="K39" s="2"/>
      <c r="L39" s="1"/>
      <c r="M39" s="2"/>
      <c r="N39" s="2"/>
      <c r="O39" s="2"/>
    </row>
  </sheetData>
  <mergeCells count="30">
    <mergeCell ref="A25:D25"/>
    <mergeCell ref="G25:J25"/>
    <mergeCell ref="L25:O25"/>
    <mergeCell ref="A32:D32"/>
    <mergeCell ref="G32:J32"/>
    <mergeCell ref="L32:O32"/>
    <mergeCell ref="A11:D11"/>
    <mergeCell ref="G11:J11"/>
    <mergeCell ref="L11:O11"/>
    <mergeCell ref="A19:D19"/>
    <mergeCell ref="G19:J19"/>
    <mergeCell ref="L19:O19"/>
    <mergeCell ref="A1:D1"/>
    <mergeCell ref="G1:J1"/>
    <mergeCell ref="L1:O1"/>
    <mergeCell ref="A3:D3"/>
    <mergeCell ref="G3:J3"/>
    <mergeCell ref="L3:O3"/>
    <mergeCell ref="Q32:T32"/>
    <mergeCell ref="V1:Y1"/>
    <mergeCell ref="V3:Y3"/>
    <mergeCell ref="V11:Y11"/>
    <mergeCell ref="V19:Y19"/>
    <mergeCell ref="V25:Y25"/>
    <mergeCell ref="V32:Y32"/>
    <mergeCell ref="Q1:T1"/>
    <mergeCell ref="Q3:T3"/>
    <mergeCell ref="Q11:T11"/>
    <mergeCell ref="Q19:T19"/>
    <mergeCell ref="Q25:T25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6BEEA-3111-4FEA-A139-84DE89E54DA6}">
  <dimension ref="A1:E22"/>
  <sheetViews>
    <sheetView topLeftCell="B8" workbookViewId="0">
      <selection activeCell="C17" sqref="C17"/>
    </sheetView>
  </sheetViews>
  <sheetFormatPr defaultRowHeight="14.5"/>
  <cols>
    <col min="1" max="1" width="20.1796875" bestFit="1" customWidth="1"/>
    <col min="2" max="2" width="124.54296875" customWidth="1"/>
    <col min="3" max="3" width="31.54296875" customWidth="1"/>
    <col min="4" max="4" width="6.54296875" bestFit="1" customWidth="1"/>
    <col min="5" max="5" width="32.7265625" bestFit="1" customWidth="1"/>
  </cols>
  <sheetData>
    <row r="1" spans="1:5" s="32" customFormat="1" ht="30.65" customHeight="1">
      <c r="A1" s="128" t="s">
        <v>145</v>
      </c>
      <c r="B1" s="137" t="s">
        <v>146</v>
      </c>
      <c r="C1" s="137" t="s">
        <v>147</v>
      </c>
      <c r="D1" s="137" t="s">
        <v>148</v>
      </c>
      <c r="E1" s="184" t="s">
        <v>92</v>
      </c>
    </row>
    <row r="2" spans="1:5" ht="27.65" customHeight="1">
      <c r="A2" s="100" t="s">
        <v>149</v>
      </c>
      <c r="B2" s="88" t="s">
        <v>150</v>
      </c>
      <c r="C2" s="129">
        <f>((C3-C4)/C3)*C8</f>
        <v>0.95</v>
      </c>
      <c r="D2" s="9" t="s">
        <v>151</v>
      </c>
      <c r="E2" s="88"/>
    </row>
    <row r="3" spans="1:5" ht="38.15" customHeight="1">
      <c r="A3" s="9" t="s">
        <v>152</v>
      </c>
      <c r="B3" s="88" t="s">
        <v>153</v>
      </c>
      <c r="C3" s="54">
        <f>C5*C6</f>
        <v>3.0000000000000001E-3</v>
      </c>
      <c r="D3" s="9" t="s">
        <v>154</v>
      </c>
      <c r="E3" s="88"/>
    </row>
    <row r="4" spans="1:5" ht="32.15" customHeight="1">
      <c r="A4" s="101" t="s">
        <v>155</v>
      </c>
      <c r="B4" s="88" t="s">
        <v>156</v>
      </c>
      <c r="C4" s="54">
        <f>C5*C7</f>
        <v>0</v>
      </c>
      <c r="D4" s="9" t="s">
        <v>154</v>
      </c>
      <c r="E4" s="88"/>
    </row>
    <row r="5" spans="1:5" ht="32.15" customHeight="1">
      <c r="A5" s="9" t="s">
        <v>100</v>
      </c>
      <c r="B5" s="88" t="s">
        <v>158</v>
      </c>
      <c r="C5" s="54">
        <f>'GS7331 ER Calcs'!D6</f>
        <v>4.0000000000000002E-4</v>
      </c>
      <c r="D5" s="9" t="s">
        <v>159</v>
      </c>
      <c r="E5" s="85" t="s">
        <v>102</v>
      </c>
    </row>
    <row r="6" spans="1:5" ht="33" customHeight="1">
      <c r="A6" s="9" t="s">
        <v>104</v>
      </c>
      <c r="B6" s="88" t="s">
        <v>160</v>
      </c>
      <c r="C6" s="54">
        <v>7.5</v>
      </c>
      <c r="D6" s="9" t="s">
        <v>161</v>
      </c>
      <c r="E6" s="85" t="s">
        <v>162</v>
      </c>
    </row>
    <row r="7" spans="1:5" ht="28" customHeight="1">
      <c r="A7" s="9" t="s">
        <v>163</v>
      </c>
      <c r="B7" s="88" t="s">
        <v>164</v>
      </c>
      <c r="C7" s="54">
        <v>0</v>
      </c>
      <c r="D7" s="9" t="s">
        <v>161</v>
      </c>
      <c r="E7" s="85" t="s">
        <v>109</v>
      </c>
    </row>
    <row r="8" spans="1:5" ht="22" customHeight="1">
      <c r="A8" s="9" t="s">
        <v>209</v>
      </c>
      <c r="B8" s="88" t="s">
        <v>166</v>
      </c>
      <c r="C8" s="172">
        <f>'GS7331 ER Calcs'!D28</f>
        <v>0.95</v>
      </c>
      <c r="D8" s="9" t="s">
        <v>151</v>
      </c>
      <c r="E8" s="85" t="s">
        <v>138</v>
      </c>
    </row>
    <row r="9" spans="1:5">
      <c r="A9" s="1"/>
      <c r="B9" s="1"/>
      <c r="C9" s="1"/>
      <c r="D9" s="1"/>
      <c r="E9" s="88"/>
    </row>
    <row r="10" spans="1:5" s="32" customFormat="1">
      <c r="A10" s="137" t="s">
        <v>167</v>
      </c>
      <c r="B10" s="137" t="s">
        <v>146</v>
      </c>
      <c r="C10" s="137" t="s">
        <v>168</v>
      </c>
      <c r="D10" s="137" t="s">
        <v>148</v>
      </c>
      <c r="E10" s="139"/>
    </row>
    <row r="11" spans="1:5">
      <c r="A11" s="88" t="s">
        <v>169</v>
      </c>
      <c r="B11" s="9" t="s">
        <v>170</v>
      </c>
      <c r="C11" s="105">
        <f>C13-C12</f>
        <v>0.72</v>
      </c>
      <c r="D11" s="9" t="s">
        <v>171</v>
      </c>
      <c r="E11" s="88" t="s">
        <v>174</v>
      </c>
    </row>
    <row r="12" spans="1:5">
      <c r="A12" s="88" t="s">
        <v>211</v>
      </c>
      <c r="B12" s="9" t="s">
        <v>173</v>
      </c>
      <c r="C12" s="9">
        <v>0</v>
      </c>
      <c r="D12" s="9" t="s">
        <v>171</v>
      </c>
      <c r="E12" s="88" t="s">
        <v>213</v>
      </c>
    </row>
    <row r="13" spans="1:5">
      <c r="A13" s="88" t="s">
        <v>212</v>
      </c>
      <c r="B13" s="9" t="s">
        <v>176</v>
      </c>
      <c r="C13" s="478">
        <v>0.72</v>
      </c>
      <c r="D13" s="9" t="s">
        <v>171</v>
      </c>
      <c r="E13" s="88"/>
    </row>
    <row r="14" spans="1:5">
      <c r="A14" s="1"/>
      <c r="B14" s="1"/>
      <c r="C14" s="1"/>
      <c r="D14" s="1"/>
      <c r="E14" s="88"/>
    </row>
    <row r="15" spans="1:5" s="32" customFormat="1" ht="34.5" customHeight="1">
      <c r="A15" s="128" t="s">
        <v>178</v>
      </c>
      <c r="B15" s="137" t="s">
        <v>146</v>
      </c>
      <c r="C15" s="137" t="s">
        <v>179</v>
      </c>
      <c r="D15" s="137" t="s">
        <v>148</v>
      </c>
      <c r="E15" s="139"/>
    </row>
    <row r="16" spans="1:5">
      <c r="A16" s="88" t="s">
        <v>180</v>
      </c>
      <c r="B16" s="9" t="s">
        <v>181</v>
      </c>
      <c r="C16" s="105">
        <f>ROUNDDOWN(C17*(1-C18)*C19,0)</f>
        <v>2671</v>
      </c>
      <c r="D16" s="9" t="s">
        <v>182</v>
      </c>
      <c r="E16" s="180"/>
    </row>
    <row r="17" spans="1:5">
      <c r="A17" s="88" t="s">
        <v>183</v>
      </c>
      <c r="B17" s="9" t="s">
        <v>184</v>
      </c>
      <c r="C17" s="9">
        <f>'GS7331 PTDs'!H7</f>
        <v>2812</v>
      </c>
      <c r="D17" s="9" t="s">
        <v>182</v>
      </c>
      <c r="E17" s="88" t="s">
        <v>228</v>
      </c>
    </row>
    <row r="18" spans="1:5" ht="22.5" customHeight="1">
      <c r="A18" s="88" t="s">
        <v>94</v>
      </c>
      <c r="B18" s="9" t="s">
        <v>186</v>
      </c>
      <c r="C18" s="106">
        <f>'GS7330 ER Calcs'!D4</f>
        <v>0</v>
      </c>
      <c r="D18" s="9" t="s">
        <v>151</v>
      </c>
      <c r="E18" s="88" t="s">
        <v>174</v>
      </c>
    </row>
    <row r="19" spans="1:5" ht="24.65" customHeight="1">
      <c r="A19" s="88" t="s">
        <v>209</v>
      </c>
      <c r="B19" s="9" t="s">
        <v>166</v>
      </c>
      <c r="C19" s="173">
        <f>'GS7331 ER Calcs'!D28</f>
        <v>0.95</v>
      </c>
      <c r="D19" s="9" t="s">
        <v>151</v>
      </c>
      <c r="E19" s="85" t="s">
        <v>138</v>
      </c>
    </row>
    <row r="20" spans="1:5">
      <c r="A20" s="1"/>
      <c r="B20" s="1"/>
      <c r="C20" s="1"/>
      <c r="D20" s="1"/>
      <c r="E20" s="88"/>
    </row>
    <row r="21" spans="1:5" s="32" customFormat="1">
      <c r="A21" s="128" t="s">
        <v>187</v>
      </c>
      <c r="B21" s="137" t="s">
        <v>146</v>
      </c>
      <c r="C21" s="137"/>
      <c r="D21" s="137" t="s">
        <v>148</v>
      </c>
      <c r="E21" s="139"/>
    </row>
    <row r="22" spans="1:5">
      <c r="A22" s="88" t="s">
        <v>188</v>
      </c>
      <c r="B22" s="9" t="s">
        <v>189</v>
      </c>
      <c r="C22" s="108">
        <f>'GS7331 ER Calcs'!D37</f>
        <v>4575</v>
      </c>
      <c r="D22" s="9" t="s">
        <v>190</v>
      </c>
      <c r="E22" s="88" t="s">
        <v>191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97DC0-0502-4A4E-85E5-68860B55F269}">
  <dimension ref="A1:P50"/>
  <sheetViews>
    <sheetView workbookViewId="0">
      <selection activeCell="D50" sqref="D50"/>
    </sheetView>
  </sheetViews>
  <sheetFormatPr defaultRowHeight="14.5"/>
  <cols>
    <col min="1" max="1" width="39" bestFit="1" customWidth="1"/>
    <col min="4" max="4" width="12.1796875" customWidth="1"/>
    <col min="14" max="15" width="9.54296875" customWidth="1"/>
  </cols>
  <sheetData>
    <row r="1" spans="1:16" ht="37" customHeight="1" thickBot="1">
      <c r="A1" s="521" t="s">
        <v>275</v>
      </c>
      <c r="B1" s="522"/>
      <c r="C1" s="522"/>
      <c r="D1" s="522"/>
      <c r="E1" s="4"/>
      <c r="F1" s="4"/>
      <c r="G1" s="4"/>
      <c r="H1" s="521" t="s">
        <v>16</v>
      </c>
      <c r="I1" s="522"/>
      <c r="J1" s="522"/>
      <c r="K1" s="522"/>
      <c r="L1" s="522"/>
      <c r="M1" s="522"/>
      <c r="N1" s="522"/>
      <c r="O1" s="304"/>
      <c r="P1" s="2"/>
    </row>
    <row r="2" spans="1:16" ht="1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  <c r="O2" s="2"/>
      <c r="P2" s="2"/>
    </row>
    <row r="3" spans="1:16" ht="14.5" customHeight="1">
      <c r="A3" s="523" t="s">
        <v>17</v>
      </c>
      <c r="B3" s="524"/>
      <c r="C3" s="524"/>
      <c r="D3" s="524"/>
      <c r="E3" s="2"/>
      <c r="F3" s="4"/>
      <c r="G3" s="4"/>
      <c r="H3" s="528" t="s">
        <v>18</v>
      </c>
      <c r="I3" s="529"/>
      <c r="J3" s="529"/>
      <c r="K3" s="529"/>
      <c r="L3" s="529"/>
      <c r="M3" s="529"/>
      <c r="N3" s="529"/>
      <c r="O3" s="529"/>
      <c r="P3" s="2"/>
    </row>
    <row r="4" spans="1:16" ht="29">
      <c r="A4" s="518" t="s">
        <v>19</v>
      </c>
      <c r="B4" s="519"/>
      <c r="C4" s="519"/>
      <c r="D4" s="519"/>
      <c r="E4" s="2"/>
      <c r="F4" s="4"/>
      <c r="G4" s="4"/>
      <c r="H4" s="6" t="s">
        <v>20</v>
      </c>
      <c r="I4" s="7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6" t="s">
        <v>26</v>
      </c>
      <c r="O4" s="6" t="s">
        <v>27</v>
      </c>
      <c r="P4" s="2"/>
    </row>
    <row r="5" spans="1:16">
      <c r="A5" s="8" t="s">
        <v>28</v>
      </c>
      <c r="B5" s="9" t="s">
        <v>29</v>
      </c>
      <c r="C5" s="9" t="s">
        <v>30</v>
      </c>
      <c r="D5" s="10">
        <f>'GS7332 ER Calcs'!J26</f>
        <v>2396</v>
      </c>
      <c r="E5" s="2"/>
      <c r="F5" s="4"/>
      <c r="G5" s="4"/>
      <c r="H5" s="11">
        <v>2017</v>
      </c>
      <c r="I5" s="12" t="s">
        <v>352</v>
      </c>
      <c r="J5" s="13">
        <v>1863</v>
      </c>
      <c r="K5" s="13"/>
      <c r="L5" s="13"/>
      <c r="M5" s="13"/>
      <c r="O5" s="11">
        <f>J5</f>
        <v>1863</v>
      </c>
      <c r="P5" s="2" t="s">
        <v>334</v>
      </c>
    </row>
    <row r="6" spans="1:16">
      <c r="A6" s="8" t="s">
        <v>31</v>
      </c>
      <c r="B6" s="9" t="s">
        <v>32</v>
      </c>
      <c r="C6" s="9" t="s">
        <v>30</v>
      </c>
      <c r="D6" s="14">
        <f>'GS7332 ER Calcs'!J27</f>
        <v>0</v>
      </c>
      <c r="E6" s="2"/>
      <c r="F6" s="4"/>
      <c r="G6" s="4"/>
      <c r="H6" s="11">
        <v>2018</v>
      </c>
      <c r="I6" s="12" t="s">
        <v>352</v>
      </c>
      <c r="J6" s="12">
        <v>10000</v>
      </c>
      <c r="K6" s="12"/>
      <c r="L6" s="12"/>
      <c r="M6" s="12"/>
      <c r="O6" s="11">
        <f>SUM(J6:L6)</f>
        <v>10000</v>
      </c>
      <c r="P6" s="2"/>
    </row>
    <row r="7" spans="1:16">
      <c r="A7" s="8" t="s">
        <v>33</v>
      </c>
      <c r="B7" s="9" t="s">
        <v>34</v>
      </c>
      <c r="C7" s="9" t="s">
        <v>35</v>
      </c>
      <c r="D7" s="14">
        <f>'GS7332 ER Calcs'!J28</f>
        <v>0.95</v>
      </c>
      <c r="E7" s="2"/>
      <c r="F7" s="4"/>
      <c r="G7" s="4"/>
      <c r="H7" s="11">
        <v>2019</v>
      </c>
      <c r="I7" s="12" t="s">
        <v>352</v>
      </c>
      <c r="J7" s="12">
        <v>4137</v>
      </c>
      <c r="K7" s="12">
        <v>1908</v>
      </c>
      <c r="L7" s="12"/>
      <c r="M7" s="12"/>
      <c r="O7" s="11">
        <f>SUM(J7:L7)</f>
        <v>6045</v>
      </c>
      <c r="P7" s="2"/>
    </row>
    <row r="8" spans="1:16">
      <c r="A8" s="8" t="s">
        <v>36</v>
      </c>
      <c r="B8" s="9" t="s">
        <v>37</v>
      </c>
      <c r="C8" s="9" t="s">
        <v>30</v>
      </c>
      <c r="D8" s="14">
        <f>'GS7332 ER Calcs'!J29</f>
        <v>0</v>
      </c>
      <c r="E8" s="2"/>
      <c r="F8" s="4"/>
      <c r="G8" s="4"/>
      <c r="H8" s="11">
        <v>2020</v>
      </c>
      <c r="I8" s="12" t="s">
        <v>352</v>
      </c>
      <c r="J8" s="12" t="s">
        <v>352</v>
      </c>
      <c r="K8" s="12">
        <v>1354</v>
      </c>
      <c r="L8" s="237">
        <v>1806</v>
      </c>
      <c r="M8" s="237"/>
      <c r="O8" s="11">
        <f>SUM(J8:L8)</f>
        <v>3160</v>
      </c>
      <c r="P8" s="2"/>
    </row>
    <row r="9" spans="1:16">
      <c r="A9" s="8"/>
      <c r="B9" s="9"/>
      <c r="C9" s="9"/>
      <c r="D9" s="14"/>
      <c r="E9" s="2"/>
      <c r="F9" s="4"/>
      <c r="G9" s="4"/>
      <c r="H9" s="11">
        <v>2021</v>
      </c>
      <c r="I9" s="12"/>
      <c r="J9" s="12"/>
      <c r="K9" s="12"/>
      <c r="L9" s="237">
        <v>1282</v>
      </c>
      <c r="M9" s="237">
        <v>1919</v>
      </c>
      <c r="O9" s="11">
        <f>SUM(J9:M9)</f>
        <v>3201</v>
      </c>
      <c r="P9" s="2"/>
    </row>
    <row r="10" spans="1:16">
      <c r="A10" s="8"/>
      <c r="B10" s="9"/>
      <c r="C10" s="9"/>
      <c r="D10" s="14"/>
      <c r="E10" s="2"/>
      <c r="F10" s="4"/>
      <c r="G10" s="4"/>
      <c r="H10" s="11">
        <v>2022</v>
      </c>
      <c r="I10" s="12"/>
      <c r="J10" s="12"/>
      <c r="K10" s="12"/>
      <c r="L10" s="237"/>
      <c r="M10" s="237">
        <v>1353</v>
      </c>
      <c r="N10" s="366">
        <f>D46</f>
        <v>2276</v>
      </c>
      <c r="O10" s="11">
        <f>SUM(J10:N10)</f>
        <v>3629</v>
      </c>
      <c r="P10" s="2"/>
    </row>
    <row r="11" spans="1:16">
      <c r="A11" s="8" t="s">
        <v>38</v>
      </c>
      <c r="B11" s="9" t="s">
        <v>39</v>
      </c>
      <c r="C11" s="9" t="s">
        <v>30</v>
      </c>
      <c r="D11" s="10">
        <f>'GS7332 ER Calcs'!J30</f>
        <v>2276</v>
      </c>
      <c r="E11" s="2"/>
      <c r="F11" s="4"/>
      <c r="G11" s="4"/>
      <c r="H11" s="11">
        <v>2023</v>
      </c>
      <c r="N11" s="366">
        <f t="shared" ref="N11:N12" si="0">D47</f>
        <v>3883</v>
      </c>
      <c r="O11" s="11">
        <f t="shared" ref="O11:O12" si="1">SUM(J11:N11)</f>
        <v>3883</v>
      </c>
      <c r="P11" s="2"/>
    </row>
    <row r="12" spans="1:16">
      <c r="A12" s="518" t="s">
        <v>40</v>
      </c>
      <c r="B12" s="519"/>
      <c r="C12" s="519"/>
      <c r="D12" s="519"/>
      <c r="E12" s="2"/>
      <c r="F12" s="4"/>
      <c r="G12" s="4"/>
      <c r="H12" s="11">
        <v>2024</v>
      </c>
      <c r="N12" s="366">
        <f t="shared" si="0"/>
        <v>179</v>
      </c>
      <c r="O12" s="11">
        <f t="shared" si="1"/>
        <v>179</v>
      </c>
      <c r="P12" s="2"/>
    </row>
    <row r="13" spans="1:16">
      <c r="A13" s="15" t="s">
        <v>41</v>
      </c>
      <c r="B13" s="9"/>
      <c r="C13" s="16"/>
      <c r="D13" s="17">
        <f>'GS7332 ER Calcs'!J33</f>
        <v>1</v>
      </c>
      <c r="E13" s="2"/>
      <c r="F13" s="4"/>
      <c r="G13" s="4"/>
      <c r="H13" s="18" t="s">
        <v>13</v>
      </c>
      <c r="I13" s="18">
        <v>0</v>
      </c>
      <c r="J13" s="18">
        <f>SUM(J5:J9)</f>
        <v>16000</v>
      </c>
      <c r="K13" s="18">
        <f>SUM(K5:K9)</f>
        <v>3262</v>
      </c>
      <c r="L13" s="18">
        <f>SUM(L5:L10)</f>
        <v>3088</v>
      </c>
      <c r="M13" s="18">
        <f>SUM(M5:M12)</f>
        <v>3272</v>
      </c>
      <c r="N13" s="18">
        <f>SUM(N5:N12)</f>
        <v>6338</v>
      </c>
      <c r="O13" s="18">
        <f>SUM(I13:N13)</f>
        <v>31960</v>
      </c>
      <c r="P13" s="2"/>
    </row>
    <row r="14" spans="1:16">
      <c r="A14" s="15" t="s">
        <v>43</v>
      </c>
      <c r="B14" s="9" t="s">
        <v>42</v>
      </c>
      <c r="C14" s="16" t="s">
        <v>44</v>
      </c>
      <c r="D14" s="17">
        <f>'GS7332 ER Calcs'!J34</f>
        <v>0</v>
      </c>
      <c r="E14" s="2"/>
      <c r="F14" s="4"/>
      <c r="G14" s="4"/>
      <c r="H14" s="2"/>
      <c r="I14" s="18">
        <v>1</v>
      </c>
      <c r="J14" s="2"/>
      <c r="K14" s="2"/>
      <c r="L14" s="2"/>
      <c r="M14" s="2"/>
      <c r="N14" s="2"/>
      <c r="O14" s="305"/>
      <c r="P14" s="2"/>
    </row>
    <row r="15" spans="1:16" ht="15" thickBot="1">
      <c r="A15" s="21" t="s">
        <v>38</v>
      </c>
      <c r="B15" s="22" t="s">
        <v>39</v>
      </c>
      <c r="C15" s="22" t="s">
        <v>30</v>
      </c>
      <c r="D15" s="23">
        <f>'GS7332 ER Calcs'!J35</f>
        <v>2276</v>
      </c>
      <c r="E15" s="2"/>
      <c r="F15" s="4"/>
      <c r="G15" s="4"/>
      <c r="H15" s="4"/>
      <c r="I15" s="4"/>
      <c r="J15" s="4"/>
      <c r="K15" s="4"/>
      <c r="L15" s="4"/>
      <c r="M15" s="4"/>
      <c r="N15" s="2"/>
      <c r="O15" s="2"/>
      <c r="P15" s="2"/>
    </row>
    <row r="16" spans="1:16" ht="15" thickBot="1">
      <c r="A16" s="21" t="s">
        <v>45</v>
      </c>
      <c r="B16" s="22" t="s">
        <v>39</v>
      </c>
      <c r="C16" s="22" t="s">
        <v>30</v>
      </c>
      <c r="D16" s="23">
        <f>'GS7332 ER Calcs'!J37</f>
        <v>2276</v>
      </c>
      <c r="E16" s="2"/>
      <c r="F16" s="4"/>
      <c r="G16" s="4"/>
      <c r="H16" s="4"/>
      <c r="I16" s="4"/>
      <c r="J16" s="4"/>
      <c r="K16" s="4"/>
      <c r="L16" s="4"/>
      <c r="M16" s="4"/>
      <c r="N16" s="2"/>
      <c r="O16" s="2"/>
      <c r="P16" s="2"/>
    </row>
    <row r="17" spans="1:16" ht="15" thickBot="1">
      <c r="A17" s="4"/>
      <c r="B17" s="4"/>
      <c r="C17" s="4"/>
      <c r="D17" s="4"/>
      <c r="E17" s="2"/>
      <c r="F17" s="4"/>
      <c r="G17" s="4"/>
      <c r="H17" s="4"/>
      <c r="I17" s="4"/>
      <c r="J17" s="4"/>
      <c r="K17" s="4"/>
      <c r="L17" s="4"/>
      <c r="M17" s="4"/>
      <c r="N17" s="2"/>
      <c r="O17" s="2"/>
      <c r="P17" s="2"/>
    </row>
    <row r="18" spans="1:16" ht="14.5" customHeight="1">
      <c r="A18" s="523" t="s">
        <v>46</v>
      </c>
      <c r="B18" s="524"/>
      <c r="C18" s="524"/>
      <c r="D18" s="524"/>
      <c r="E18" s="4"/>
      <c r="F18" s="4"/>
      <c r="G18" s="4"/>
      <c r="H18" s="4"/>
      <c r="I18" s="4"/>
      <c r="J18" s="4"/>
      <c r="K18" s="4"/>
      <c r="L18" s="4"/>
      <c r="M18" s="4"/>
      <c r="N18" s="2"/>
      <c r="O18" s="2"/>
      <c r="P18" s="2"/>
    </row>
    <row r="19" spans="1:16">
      <c r="A19" s="518" t="s">
        <v>19</v>
      </c>
      <c r="B19" s="519"/>
      <c r="C19" s="519"/>
      <c r="D19" s="519"/>
      <c r="E19" s="4"/>
      <c r="F19" s="4"/>
      <c r="G19" s="4"/>
      <c r="H19" s="4"/>
      <c r="I19" s="4"/>
      <c r="J19" s="4"/>
      <c r="K19" s="4"/>
      <c r="L19" s="4"/>
      <c r="M19" s="4"/>
      <c r="N19" s="2"/>
      <c r="O19" s="2"/>
      <c r="P19" s="2"/>
    </row>
    <row r="20" spans="1:16">
      <c r="A20" s="8" t="s">
        <v>28</v>
      </c>
      <c r="B20" s="9" t="s">
        <v>29</v>
      </c>
      <c r="C20" s="9" t="s">
        <v>30</v>
      </c>
      <c r="D20" s="10">
        <f>'GS7332 ER Calcs'!O26</f>
        <v>4088</v>
      </c>
      <c r="E20" s="4"/>
      <c r="F20" s="4"/>
      <c r="G20" s="4"/>
      <c r="H20" s="4"/>
      <c r="I20" s="4"/>
      <c r="J20" s="4"/>
      <c r="K20" s="4"/>
      <c r="L20" s="4"/>
      <c r="M20" s="4"/>
      <c r="N20" s="2"/>
      <c r="O20" s="2"/>
      <c r="P20" s="2"/>
    </row>
    <row r="21" spans="1:16">
      <c r="A21" s="8" t="s">
        <v>31</v>
      </c>
      <c r="B21" s="9" t="s">
        <v>32</v>
      </c>
      <c r="C21" s="9" t="s">
        <v>30</v>
      </c>
      <c r="D21" s="14">
        <f>'GS7332 ER Calcs'!O27</f>
        <v>0</v>
      </c>
      <c r="E21" s="4"/>
      <c r="F21" s="4"/>
      <c r="G21" s="4"/>
      <c r="H21" s="4"/>
      <c r="I21" s="4"/>
      <c r="J21" s="4"/>
      <c r="K21" s="4"/>
      <c r="L21" s="4"/>
      <c r="M21" s="4"/>
      <c r="N21" s="2"/>
      <c r="O21" s="2"/>
      <c r="P21" s="2"/>
    </row>
    <row r="22" spans="1:16">
      <c r="A22" s="8" t="s">
        <v>33</v>
      </c>
      <c r="B22" s="9" t="s">
        <v>34</v>
      </c>
      <c r="C22" s="9" t="s">
        <v>35</v>
      </c>
      <c r="D22" s="14">
        <f>'GS7332 ER Calcs'!O28</f>
        <v>0.95</v>
      </c>
      <c r="E22" s="4"/>
      <c r="F22" s="4"/>
      <c r="G22" s="4"/>
      <c r="H22" s="4"/>
      <c r="I22" s="4"/>
      <c r="J22" s="4"/>
      <c r="K22" s="4"/>
      <c r="L22" s="4"/>
      <c r="M22" s="4"/>
      <c r="N22" s="2"/>
      <c r="O22" s="2"/>
      <c r="P22" s="2"/>
    </row>
    <row r="23" spans="1:16">
      <c r="A23" s="8" t="s">
        <v>36</v>
      </c>
      <c r="B23" s="9" t="s">
        <v>37</v>
      </c>
      <c r="C23" s="9" t="s">
        <v>30</v>
      </c>
      <c r="D23" s="14">
        <f>'GS7332 ER Calcs'!O29</f>
        <v>0</v>
      </c>
      <c r="E23" s="4"/>
      <c r="F23" s="4"/>
      <c r="G23" s="4"/>
      <c r="H23" s="4"/>
      <c r="I23" s="4"/>
      <c r="J23" s="4"/>
      <c r="K23" s="4"/>
      <c r="L23" s="4"/>
      <c r="M23" s="4"/>
      <c r="N23" s="2"/>
      <c r="O23" s="2"/>
      <c r="P23" s="2"/>
    </row>
    <row r="24" spans="1:16">
      <c r="A24" s="8" t="s">
        <v>38</v>
      </c>
      <c r="B24" s="9" t="s">
        <v>39</v>
      </c>
      <c r="C24" s="9" t="s">
        <v>30</v>
      </c>
      <c r="D24" s="10">
        <f>'GS7332 ER Calcs'!O30</f>
        <v>3883</v>
      </c>
      <c r="E24" s="4"/>
      <c r="F24" s="4"/>
      <c r="G24" s="4"/>
      <c r="H24" s="4"/>
      <c r="I24" s="4"/>
      <c r="J24" s="4"/>
      <c r="K24" s="4"/>
      <c r="L24" s="4"/>
      <c r="M24" s="4"/>
      <c r="N24" s="2"/>
      <c r="O24" s="2"/>
      <c r="P24" s="2"/>
    </row>
    <row r="25" spans="1:16">
      <c r="A25" s="518" t="s">
        <v>40</v>
      </c>
      <c r="B25" s="519"/>
      <c r="C25" s="519"/>
      <c r="D25" s="519"/>
      <c r="E25" s="4"/>
      <c r="F25" s="4"/>
      <c r="G25" s="4"/>
      <c r="H25" s="4"/>
      <c r="I25" s="4"/>
      <c r="J25" s="4"/>
      <c r="K25" s="4"/>
      <c r="L25" s="4"/>
      <c r="M25" s="4"/>
      <c r="N25" s="2"/>
      <c r="O25" s="2"/>
      <c r="P25" s="2"/>
    </row>
    <row r="26" spans="1:16">
      <c r="A26" s="15" t="s">
        <v>41</v>
      </c>
      <c r="B26" s="9"/>
      <c r="C26" s="16"/>
      <c r="D26" s="17">
        <f>'GS7332 ER Calcs'!O33</f>
        <v>1</v>
      </c>
      <c r="E26" s="4"/>
      <c r="F26" s="4"/>
      <c r="G26" s="4"/>
      <c r="H26" s="4"/>
      <c r="I26" s="4"/>
      <c r="J26" s="4"/>
      <c r="K26" s="4"/>
      <c r="L26" s="4"/>
      <c r="M26" s="4"/>
      <c r="N26" s="2"/>
      <c r="O26" s="2"/>
      <c r="P26" s="2"/>
    </row>
    <row r="27" spans="1:16">
      <c r="A27" s="15" t="s">
        <v>43</v>
      </c>
      <c r="B27" s="9" t="s">
        <v>42</v>
      </c>
      <c r="C27" s="16" t="s">
        <v>44</v>
      </c>
      <c r="D27" s="17">
        <f>'GS7332 ER Calcs'!O34</f>
        <v>0</v>
      </c>
      <c r="E27" s="4"/>
      <c r="F27" s="4"/>
      <c r="G27" s="4"/>
      <c r="H27" s="4"/>
      <c r="I27" s="4"/>
      <c r="J27" s="4"/>
      <c r="K27" s="4"/>
      <c r="L27" s="4"/>
      <c r="M27" s="4"/>
      <c r="N27" s="2"/>
      <c r="O27" s="2"/>
      <c r="P27" s="2"/>
    </row>
    <row r="28" spans="1:16" ht="15" thickBot="1">
      <c r="A28" s="21" t="s">
        <v>38</v>
      </c>
      <c r="B28" s="22" t="s">
        <v>39</v>
      </c>
      <c r="C28" s="22" t="s">
        <v>30</v>
      </c>
      <c r="D28" s="23">
        <f>'GS7332 ER Calcs'!O35</f>
        <v>3883</v>
      </c>
      <c r="E28" s="4"/>
      <c r="F28" s="4"/>
      <c r="G28" s="4"/>
      <c r="H28" s="4"/>
      <c r="I28" s="4"/>
      <c r="J28" s="4"/>
      <c r="K28" s="4"/>
      <c r="L28" s="4"/>
      <c r="M28" s="4"/>
      <c r="N28" s="2"/>
      <c r="O28" s="2"/>
      <c r="P28" s="2"/>
    </row>
    <row r="29" spans="1:16" ht="15" thickBot="1">
      <c r="A29" s="21" t="s">
        <v>45</v>
      </c>
      <c r="B29" s="22" t="s">
        <v>39</v>
      </c>
      <c r="C29" s="22" t="s">
        <v>30</v>
      </c>
      <c r="D29" s="23">
        <f>'GS7332 ER Calcs'!O37</f>
        <v>3883</v>
      </c>
      <c r="E29" s="4"/>
      <c r="F29" s="4"/>
      <c r="G29" s="4"/>
      <c r="H29" s="4"/>
      <c r="I29" s="4"/>
      <c r="J29" s="4"/>
      <c r="K29" s="4"/>
      <c r="L29" s="4"/>
      <c r="M29" s="4"/>
      <c r="N29" s="2"/>
      <c r="O29" s="2"/>
      <c r="P29" s="2"/>
    </row>
    <row r="30" spans="1:16" ht="15" thickBot="1">
      <c r="A30" s="2"/>
      <c r="B30" s="508"/>
      <c r="C30" s="508"/>
      <c r="D30" s="2"/>
      <c r="E30" s="4"/>
      <c r="F30" s="4"/>
      <c r="G30" s="4"/>
      <c r="H30" s="4"/>
      <c r="I30" s="4"/>
      <c r="J30" s="4"/>
      <c r="K30" s="4"/>
      <c r="L30" s="4"/>
      <c r="M30" s="4"/>
      <c r="N30" s="2"/>
      <c r="O30" s="2"/>
      <c r="P30" s="2"/>
    </row>
    <row r="31" spans="1:16">
      <c r="A31" s="523" t="s">
        <v>276</v>
      </c>
      <c r="B31" s="524"/>
      <c r="C31" s="524"/>
      <c r="D31" s="524"/>
      <c r="E31" s="4"/>
      <c r="F31" s="4"/>
      <c r="G31" s="4"/>
      <c r="H31" s="4"/>
      <c r="I31" s="4"/>
      <c r="J31" s="4"/>
      <c r="K31" s="4"/>
      <c r="L31" s="4"/>
      <c r="M31" s="4"/>
      <c r="N31" s="2"/>
      <c r="O31" s="2"/>
      <c r="P31" s="2"/>
    </row>
    <row r="32" spans="1:16">
      <c r="A32" s="518" t="s">
        <v>19</v>
      </c>
      <c r="B32" s="519"/>
      <c r="C32" s="519"/>
      <c r="D32" s="519"/>
      <c r="E32" s="4"/>
      <c r="F32" s="4"/>
      <c r="G32" s="4"/>
      <c r="H32" s="4"/>
      <c r="I32" s="4"/>
      <c r="J32" s="4"/>
      <c r="K32" s="4"/>
      <c r="L32" s="4"/>
      <c r="M32" s="4"/>
      <c r="N32" s="2"/>
      <c r="O32" s="2"/>
      <c r="P32" s="2"/>
    </row>
    <row r="33" spans="1:16">
      <c r="A33" s="8" t="s">
        <v>28</v>
      </c>
      <c r="B33" s="9" t="s">
        <v>29</v>
      </c>
      <c r="C33" s="9" t="s">
        <v>30</v>
      </c>
      <c r="D33" s="10">
        <f>'GS7332 ER Calcs'!T26</f>
        <v>189</v>
      </c>
      <c r="E33" s="4"/>
      <c r="F33" s="4"/>
      <c r="G33" s="4"/>
      <c r="H33" s="4"/>
      <c r="I33" s="4"/>
      <c r="J33" s="4"/>
      <c r="K33" s="4"/>
      <c r="L33" s="4"/>
      <c r="M33" s="4"/>
      <c r="N33" s="2"/>
      <c r="O33" s="2"/>
      <c r="P33" s="2"/>
    </row>
    <row r="34" spans="1:16">
      <c r="A34" s="8" t="s">
        <v>31</v>
      </c>
      <c r="B34" s="9" t="s">
        <v>32</v>
      </c>
      <c r="C34" s="9" t="s">
        <v>30</v>
      </c>
      <c r="D34" s="10">
        <f>'GS7332 ER Calcs'!T27</f>
        <v>0</v>
      </c>
      <c r="E34" s="4"/>
      <c r="F34" s="4"/>
      <c r="G34" s="4"/>
      <c r="H34" s="4"/>
      <c r="I34" s="4"/>
      <c r="J34" s="4"/>
      <c r="K34" s="4"/>
      <c r="L34" s="4"/>
      <c r="M34" s="4"/>
      <c r="N34" s="2"/>
      <c r="O34" s="2"/>
      <c r="P34" s="2"/>
    </row>
    <row r="35" spans="1:16">
      <c r="A35" s="8" t="s">
        <v>33</v>
      </c>
      <c r="B35" s="9" t="s">
        <v>34</v>
      </c>
      <c r="C35" s="9" t="s">
        <v>35</v>
      </c>
      <c r="D35" s="10">
        <f>'GS7332 ER Calcs'!T28</f>
        <v>0.95</v>
      </c>
      <c r="E35" s="4"/>
      <c r="F35" s="4"/>
      <c r="G35" s="4"/>
      <c r="H35" s="4"/>
      <c r="I35" s="4"/>
      <c r="J35" s="4"/>
      <c r="K35" s="4"/>
      <c r="L35" s="4"/>
      <c r="M35" s="4"/>
      <c r="N35" s="2"/>
      <c r="O35" s="2"/>
      <c r="P35" s="2"/>
    </row>
    <row r="36" spans="1:16">
      <c r="A36" s="8" t="s">
        <v>36</v>
      </c>
      <c r="B36" s="9" t="s">
        <v>37</v>
      </c>
      <c r="C36" s="9" t="s">
        <v>30</v>
      </c>
      <c r="D36" s="10">
        <f>'GS7332 ER Calcs'!T29</f>
        <v>0</v>
      </c>
      <c r="E36" s="4"/>
      <c r="F36" s="4"/>
      <c r="G36" s="4"/>
      <c r="H36" s="4"/>
      <c r="I36" s="4"/>
      <c r="J36" s="4"/>
      <c r="K36" s="4"/>
      <c r="L36" s="4"/>
      <c r="M36" s="4"/>
      <c r="N36" s="2"/>
      <c r="O36" s="2"/>
      <c r="P36" s="2"/>
    </row>
    <row r="37" spans="1:16">
      <c r="A37" s="8" t="s">
        <v>38</v>
      </c>
      <c r="B37" s="9" t="s">
        <v>39</v>
      </c>
      <c r="C37" s="9" t="s">
        <v>30</v>
      </c>
      <c r="D37" s="10">
        <f>'GS7332 ER Calcs'!T30</f>
        <v>179</v>
      </c>
      <c r="E37" s="4"/>
      <c r="F37" s="4"/>
      <c r="G37" s="4"/>
      <c r="H37" s="4"/>
      <c r="I37" s="4"/>
      <c r="J37" s="4"/>
      <c r="K37" s="4"/>
      <c r="L37" s="4"/>
      <c r="M37" s="4"/>
      <c r="N37" s="2"/>
      <c r="O37" s="2"/>
      <c r="P37" s="2"/>
    </row>
    <row r="38" spans="1:16">
      <c r="A38" s="518"/>
      <c r="B38" s="519"/>
      <c r="C38" s="519"/>
      <c r="D38" s="519"/>
      <c r="E38" s="4"/>
      <c r="F38" s="4"/>
      <c r="G38" s="4"/>
      <c r="H38" s="4"/>
      <c r="I38" s="4"/>
      <c r="J38" s="4"/>
      <c r="K38" s="4"/>
      <c r="L38" s="4"/>
      <c r="M38" s="4"/>
      <c r="N38" s="2"/>
      <c r="O38" s="2"/>
      <c r="P38" s="2"/>
    </row>
    <row r="39" spans="1:16">
      <c r="A39" s="15" t="s">
        <v>41</v>
      </c>
      <c r="B39" s="9"/>
      <c r="C39" s="16"/>
      <c r="D39" s="17">
        <f>'GS7332 ER Calcs'!T33</f>
        <v>1</v>
      </c>
      <c r="E39" s="4"/>
      <c r="F39" s="4"/>
      <c r="G39" s="4"/>
      <c r="H39" s="4"/>
      <c r="I39" s="4"/>
      <c r="J39" s="4"/>
      <c r="K39" s="4"/>
      <c r="L39" s="4"/>
      <c r="M39" s="4"/>
      <c r="N39" s="2"/>
      <c r="O39" s="2"/>
      <c r="P39" s="2"/>
    </row>
    <row r="40" spans="1:16">
      <c r="A40" s="15" t="s">
        <v>43</v>
      </c>
      <c r="B40" s="9" t="s">
        <v>42</v>
      </c>
      <c r="C40" s="16" t="s">
        <v>44</v>
      </c>
      <c r="D40" s="17">
        <f>'GS7332 ER Calcs'!T34</f>
        <v>0</v>
      </c>
      <c r="E40" s="4"/>
      <c r="F40" s="4"/>
      <c r="G40" s="4"/>
      <c r="H40" s="4"/>
      <c r="I40" s="4"/>
      <c r="J40" s="4"/>
      <c r="K40" s="4"/>
      <c r="L40" s="4"/>
      <c r="M40" s="4"/>
      <c r="N40" s="2"/>
      <c r="O40" s="2"/>
      <c r="P40" s="2"/>
    </row>
    <row r="41" spans="1:16" ht="15" thickBot="1">
      <c r="A41" s="21" t="s">
        <v>38</v>
      </c>
      <c r="B41" s="22" t="s">
        <v>39</v>
      </c>
      <c r="C41" s="22" t="s">
        <v>30</v>
      </c>
      <c r="D41" s="375">
        <f>'GS7332 ER Calcs'!T35</f>
        <v>179</v>
      </c>
      <c r="E41" s="4"/>
      <c r="F41" s="4"/>
      <c r="G41" s="4"/>
      <c r="H41" s="4"/>
      <c r="I41" s="4"/>
      <c r="J41" s="4"/>
      <c r="K41" s="4"/>
      <c r="L41" s="4"/>
      <c r="M41" s="4"/>
      <c r="N41" s="2"/>
      <c r="O41" s="2"/>
      <c r="P41" s="2"/>
    </row>
    <row r="42" spans="1:16" ht="15" thickBot="1">
      <c r="A42" s="21" t="s">
        <v>45</v>
      </c>
      <c r="B42" s="22" t="s">
        <v>39</v>
      </c>
      <c r="C42" s="22" t="s">
        <v>30</v>
      </c>
      <c r="D42" s="23">
        <f>'GS7332 ER Calcs'!T37</f>
        <v>179</v>
      </c>
      <c r="E42" s="4"/>
      <c r="F42" s="4"/>
      <c r="G42" s="4"/>
      <c r="H42" s="4"/>
      <c r="I42" s="4"/>
      <c r="J42" s="4"/>
      <c r="K42" s="4"/>
      <c r="L42" s="4"/>
      <c r="M42" s="4"/>
      <c r="N42" s="2"/>
      <c r="O42" s="2"/>
      <c r="P42" s="2"/>
    </row>
    <row r="43" spans="1:16" ht="15" thickBot="1">
      <c r="A43" s="2"/>
      <c r="B43" s="365"/>
      <c r="C43" s="365"/>
      <c r="D43" s="2"/>
      <c r="E43" s="4"/>
      <c r="F43" s="4"/>
      <c r="G43" s="4"/>
      <c r="H43" s="4"/>
      <c r="I43" s="4"/>
      <c r="J43" s="4"/>
      <c r="K43" s="4"/>
      <c r="L43" s="4"/>
      <c r="M43" s="4"/>
      <c r="N43" s="2"/>
      <c r="O43" s="2"/>
      <c r="P43" s="2"/>
    </row>
    <row r="44" spans="1:16" ht="15.65" customHeight="1">
      <c r="A44" s="509" t="s">
        <v>47</v>
      </c>
      <c r="B44" s="510"/>
      <c r="C44" s="510"/>
      <c r="D44" s="510"/>
      <c r="E44" s="2"/>
      <c r="F44" s="2"/>
      <c r="G44" s="507"/>
      <c r="H44" s="507"/>
      <c r="I44" s="2"/>
      <c r="J44" s="2"/>
      <c r="K44" s="2"/>
      <c r="L44" s="2"/>
      <c r="M44" s="2"/>
      <c r="N44" s="2"/>
      <c r="O44" s="2"/>
      <c r="P44" s="2"/>
    </row>
    <row r="45" spans="1:16">
      <c r="A45" s="511" t="s">
        <v>19</v>
      </c>
      <c r="B45" s="512"/>
      <c r="C45" s="512"/>
      <c r="D45" s="512"/>
      <c r="E45" s="2"/>
      <c r="F45" s="2"/>
      <c r="G45" s="507"/>
      <c r="H45" s="507"/>
      <c r="I45" s="2"/>
      <c r="J45" s="2"/>
      <c r="K45" s="2"/>
      <c r="L45" s="2"/>
      <c r="M45" s="2"/>
      <c r="N45" s="2"/>
      <c r="O45" s="2"/>
      <c r="P45" s="2"/>
    </row>
    <row r="46" spans="1:16" ht="14.5" customHeight="1">
      <c r="A46" s="513">
        <v>2022</v>
      </c>
      <c r="B46" s="514"/>
      <c r="C46" s="514"/>
      <c r="D46" s="25">
        <f>D16</f>
        <v>2276</v>
      </c>
      <c r="E46" s="2"/>
      <c r="F46" s="2"/>
      <c r="G46" s="507"/>
      <c r="H46" s="507"/>
      <c r="I46" s="2"/>
      <c r="J46" s="2"/>
      <c r="K46" s="2"/>
      <c r="L46" s="2"/>
      <c r="M46" s="2"/>
      <c r="N46" s="2"/>
      <c r="O46" s="2"/>
      <c r="P46" s="2"/>
    </row>
    <row r="47" spans="1:16">
      <c r="A47" s="513">
        <v>2023</v>
      </c>
      <c r="B47" s="514"/>
      <c r="C47" s="514"/>
      <c r="D47" s="26">
        <f>D29</f>
        <v>3883</v>
      </c>
      <c r="E47" s="2"/>
      <c r="F47" s="2"/>
      <c r="G47" s="507"/>
      <c r="H47" s="507"/>
      <c r="I47" s="2"/>
      <c r="J47" s="2"/>
      <c r="K47" s="2"/>
      <c r="L47" s="2"/>
      <c r="M47" s="2"/>
      <c r="N47" s="2"/>
      <c r="O47" s="2"/>
      <c r="P47" s="2"/>
    </row>
    <row r="48" spans="1:16" ht="15" thickBot="1">
      <c r="A48" s="513">
        <v>2024</v>
      </c>
      <c r="B48" s="514"/>
      <c r="C48" s="514"/>
      <c r="D48" s="379">
        <f>D42</f>
        <v>179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5.65" customHeight="1" thickBot="1">
      <c r="A49" s="27" t="s">
        <v>48</v>
      </c>
      <c r="B49" s="29"/>
      <c r="C49" s="30"/>
      <c r="D49" s="31">
        <f>SUM(D46:D48)</f>
        <v>6338</v>
      </c>
      <c r="E49" s="2"/>
      <c r="F49" s="2"/>
      <c r="G49" s="507"/>
      <c r="H49" s="507"/>
      <c r="I49" s="2"/>
      <c r="J49" s="2"/>
      <c r="K49" s="2"/>
      <c r="L49" s="2"/>
      <c r="M49" s="2"/>
      <c r="N49" s="2"/>
      <c r="O49" s="2"/>
      <c r="P49" s="2"/>
    </row>
    <row r="50" spans="1:16">
      <c r="A50" s="2"/>
      <c r="B50" s="517"/>
      <c r="C50" s="517"/>
      <c r="D50" s="2"/>
      <c r="E50" s="2"/>
      <c r="F50" s="2"/>
      <c r="G50" s="507"/>
      <c r="H50" s="507"/>
      <c r="I50" s="2"/>
      <c r="J50" s="2"/>
      <c r="K50" s="2"/>
      <c r="L50" s="2"/>
      <c r="M50" s="2"/>
      <c r="N50" s="2"/>
      <c r="O50" s="2"/>
      <c r="P50" s="2"/>
    </row>
  </sheetData>
  <mergeCells count="25">
    <mergeCell ref="G49:H49"/>
    <mergeCell ref="B50:C50"/>
    <mergeCell ref="G50:H50"/>
    <mergeCell ref="A45:D45"/>
    <mergeCell ref="G45:H45"/>
    <mergeCell ref="A46:C46"/>
    <mergeCell ref="G46:H46"/>
    <mergeCell ref="A47:C47"/>
    <mergeCell ref="G47:H47"/>
    <mergeCell ref="A48:C48"/>
    <mergeCell ref="G44:H44"/>
    <mergeCell ref="A1:D1"/>
    <mergeCell ref="H1:N1"/>
    <mergeCell ref="A3:D3"/>
    <mergeCell ref="A4:D4"/>
    <mergeCell ref="A12:D12"/>
    <mergeCell ref="A18:D18"/>
    <mergeCell ref="A19:D19"/>
    <mergeCell ref="A25:D25"/>
    <mergeCell ref="B30:C30"/>
    <mergeCell ref="A44:D44"/>
    <mergeCell ref="A31:D31"/>
    <mergeCell ref="A32:D32"/>
    <mergeCell ref="A38:D38"/>
    <mergeCell ref="H3:O3"/>
  </mergeCells>
  <phoneticPr fontId="15" type="noConversion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D49BC-6320-4F8A-BE14-1D23F3EA3E23}">
  <dimension ref="A1:Q23"/>
  <sheetViews>
    <sheetView topLeftCell="E1" workbookViewId="0">
      <selection activeCell="K1" sqref="K1:N1"/>
    </sheetView>
  </sheetViews>
  <sheetFormatPr defaultRowHeight="14.5"/>
  <cols>
    <col min="1" max="1" width="25.54296875" bestFit="1" customWidth="1"/>
    <col min="2" max="2" width="14.81640625" customWidth="1"/>
    <col min="3" max="3" width="13.7265625" bestFit="1" customWidth="1"/>
    <col min="4" max="4" width="17.453125" customWidth="1"/>
    <col min="5" max="5" width="12.453125" bestFit="1" customWidth="1"/>
    <col min="6" max="6" width="17.1796875" bestFit="1" customWidth="1"/>
    <col min="7" max="7" width="15.1796875" bestFit="1" customWidth="1"/>
    <col min="8" max="8" width="12.7265625" customWidth="1"/>
    <col min="9" max="9" width="19.453125" customWidth="1"/>
    <col min="11" max="11" width="10.26953125" customWidth="1"/>
    <col min="12" max="12" width="12.54296875" customWidth="1"/>
    <col min="13" max="13" width="9.7265625" customWidth="1"/>
    <col min="14" max="14" width="11.1796875" customWidth="1"/>
    <col min="15" max="15" width="10.81640625" customWidth="1"/>
  </cols>
  <sheetData>
    <row r="1" spans="1:17" ht="43.5">
      <c r="A1" s="48" t="s">
        <v>0</v>
      </c>
      <c r="B1" s="49" t="s">
        <v>49</v>
      </c>
      <c r="C1" s="49" t="s">
        <v>50</v>
      </c>
      <c r="D1" s="49" t="s">
        <v>51</v>
      </c>
      <c r="E1" s="49" t="s">
        <v>52</v>
      </c>
      <c r="F1" s="49" t="s">
        <v>192</v>
      </c>
      <c r="G1" s="49" t="s">
        <v>53</v>
      </c>
      <c r="H1" s="50" t="s">
        <v>54</v>
      </c>
      <c r="I1" s="50" t="s">
        <v>11</v>
      </c>
      <c r="J1" s="2"/>
      <c r="K1" s="51" t="s">
        <v>55</v>
      </c>
      <c r="L1" s="52" t="s">
        <v>56</v>
      </c>
      <c r="M1" s="5" t="s">
        <v>57</v>
      </c>
      <c r="N1" s="53" t="s">
        <v>58</v>
      </c>
      <c r="O1" s="114" t="s">
        <v>279</v>
      </c>
      <c r="P1" s="49" t="s">
        <v>280</v>
      </c>
      <c r="Q1" s="50" t="s">
        <v>59</v>
      </c>
    </row>
    <row r="2" spans="1:17" ht="15.5">
      <c r="A2" s="530" t="s">
        <v>367</v>
      </c>
      <c r="B2" s="9" t="s">
        <v>368</v>
      </c>
      <c r="C2" s="54" t="s">
        <v>369</v>
      </c>
      <c r="D2" s="9">
        <v>14.791309999999999</v>
      </c>
      <c r="E2" s="9">
        <v>39.174639999999997</v>
      </c>
      <c r="F2" s="55">
        <v>42752</v>
      </c>
      <c r="G2" s="9">
        <v>118</v>
      </c>
      <c r="H2" s="9">
        <v>804</v>
      </c>
      <c r="I2" s="476">
        <f>IF(H2&lt;371,H2,371)</f>
        <v>371</v>
      </c>
      <c r="J2" s="133"/>
      <c r="K2" s="233">
        <f t="shared" ref="K2:K7" si="0">$E$19</f>
        <v>203.29999999999998</v>
      </c>
      <c r="L2" s="115">
        <f>K2*I2</f>
        <v>75424.299999999988</v>
      </c>
      <c r="M2" s="189">
        <f t="shared" ref="M2:M7" si="1">$E$20</f>
        <v>346.75</v>
      </c>
      <c r="N2" s="116">
        <f>I2*M2</f>
        <v>128644.25</v>
      </c>
      <c r="O2">
        <f>$E$21</f>
        <v>16.149999999999999</v>
      </c>
      <c r="P2">
        <f>I2*O2</f>
        <v>5991.65</v>
      </c>
      <c r="Q2" s="117">
        <f>L2+N2+P2</f>
        <v>210060.19999999998</v>
      </c>
    </row>
    <row r="3" spans="1:17" ht="15.5">
      <c r="A3" s="531"/>
      <c r="B3" s="9" t="s">
        <v>370</v>
      </c>
      <c r="C3" s="54" t="s">
        <v>371</v>
      </c>
      <c r="D3" s="9">
        <v>14.792439999999999</v>
      </c>
      <c r="E3" s="9">
        <v>39.173439999999999</v>
      </c>
      <c r="F3" s="55">
        <v>42752</v>
      </c>
      <c r="G3" s="9">
        <v>115</v>
      </c>
      <c r="H3" s="9">
        <v>367</v>
      </c>
      <c r="I3" s="476">
        <f>IF(H3&lt;371,H3,371)</f>
        <v>367</v>
      </c>
      <c r="J3" s="133"/>
      <c r="K3" s="233">
        <f t="shared" si="0"/>
        <v>203.29999999999998</v>
      </c>
      <c r="L3" s="115">
        <f t="shared" ref="L3:L7" si="2">K3*I3</f>
        <v>74611.099999999991</v>
      </c>
      <c r="M3" s="189">
        <f t="shared" si="1"/>
        <v>346.75</v>
      </c>
      <c r="N3" s="116">
        <f t="shared" ref="N3:N7" si="3">I3*M3</f>
        <v>127257.25</v>
      </c>
      <c r="O3">
        <f t="shared" ref="O3:O7" si="4">$E$21</f>
        <v>16.149999999999999</v>
      </c>
      <c r="P3">
        <f t="shared" ref="P3:P7" si="5">I3*O3</f>
        <v>5927.0499999999993</v>
      </c>
      <c r="Q3" s="117">
        <f t="shared" ref="Q3:Q7" si="6">L3+N3+P3</f>
        <v>207795.39999999997</v>
      </c>
    </row>
    <row r="4" spans="1:17" ht="15.5">
      <c r="A4" s="531"/>
      <c r="B4" s="9" t="s">
        <v>372</v>
      </c>
      <c r="C4" s="54" t="s">
        <v>373</v>
      </c>
      <c r="D4" s="9">
        <v>14.63725</v>
      </c>
      <c r="E4" s="9">
        <v>38.812139999999999</v>
      </c>
      <c r="F4" s="55">
        <v>42765</v>
      </c>
      <c r="G4" s="9">
        <v>194</v>
      </c>
      <c r="H4" s="9">
        <v>824</v>
      </c>
      <c r="I4" s="476">
        <f>IF(H4&lt;333,H4,333)</f>
        <v>333</v>
      </c>
      <c r="J4" s="133"/>
      <c r="K4" s="233">
        <f t="shared" si="0"/>
        <v>203.29999999999998</v>
      </c>
      <c r="L4" s="115">
        <f t="shared" si="2"/>
        <v>67698.899999999994</v>
      </c>
      <c r="M4" s="189">
        <f t="shared" si="1"/>
        <v>346.75</v>
      </c>
      <c r="N4" s="116">
        <f t="shared" si="3"/>
        <v>115467.75</v>
      </c>
      <c r="O4">
        <f t="shared" si="4"/>
        <v>16.149999999999999</v>
      </c>
      <c r="P4">
        <f t="shared" si="5"/>
        <v>5377.95</v>
      </c>
      <c r="Q4" s="117">
        <f t="shared" si="6"/>
        <v>188544.6</v>
      </c>
    </row>
    <row r="5" spans="1:17" ht="15.5">
      <c r="A5" s="531"/>
      <c r="B5" s="9" t="s">
        <v>374</v>
      </c>
      <c r="C5" s="54" t="s">
        <v>375</v>
      </c>
      <c r="D5" s="9">
        <v>14.75135</v>
      </c>
      <c r="E5" s="9">
        <v>39.185130000000001</v>
      </c>
      <c r="F5" s="55">
        <v>42790</v>
      </c>
      <c r="G5" s="9">
        <v>200</v>
      </c>
      <c r="H5" s="9">
        <v>682</v>
      </c>
      <c r="I5" s="476">
        <f>IF(H5&lt;371,H5,371)</f>
        <v>371</v>
      </c>
      <c r="J5" s="133"/>
      <c r="K5" s="233">
        <f t="shared" si="0"/>
        <v>203.29999999999998</v>
      </c>
      <c r="L5" s="115">
        <f t="shared" si="2"/>
        <v>75424.299999999988</v>
      </c>
      <c r="M5" s="189">
        <f t="shared" si="1"/>
        <v>346.75</v>
      </c>
      <c r="N5" s="116">
        <f t="shared" si="3"/>
        <v>128644.25</v>
      </c>
      <c r="O5">
        <f t="shared" si="4"/>
        <v>16.149999999999999</v>
      </c>
      <c r="P5">
        <f t="shared" si="5"/>
        <v>5991.65</v>
      </c>
      <c r="Q5" s="117">
        <f t="shared" si="6"/>
        <v>210060.19999999998</v>
      </c>
    </row>
    <row r="6" spans="1:17" ht="15.5">
      <c r="A6" s="531"/>
      <c r="B6" s="9" t="s">
        <v>376</v>
      </c>
      <c r="C6" s="9" t="s">
        <v>377</v>
      </c>
      <c r="D6" s="9">
        <v>14.544370000000001</v>
      </c>
      <c r="E6" s="9">
        <v>38.494619999999998</v>
      </c>
      <c r="F6" s="55">
        <v>42811</v>
      </c>
      <c r="G6" s="9">
        <v>105</v>
      </c>
      <c r="H6" s="9">
        <v>337</v>
      </c>
      <c r="I6" s="476">
        <f>IF(H6&lt;371,H6,371)</f>
        <v>337</v>
      </c>
      <c r="J6" s="133"/>
      <c r="K6" s="233">
        <f t="shared" si="0"/>
        <v>203.29999999999998</v>
      </c>
      <c r="L6" s="115">
        <f t="shared" si="2"/>
        <v>68512.099999999991</v>
      </c>
      <c r="M6" s="189">
        <f t="shared" si="1"/>
        <v>346.75</v>
      </c>
      <c r="N6" s="116">
        <f t="shared" si="3"/>
        <v>116854.75</v>
      </c>
      <c r="O6">
        <f t="shared" si="4"/>
        <v>16.149999999999999</v>
      </c>
      <c r="P6">
        <f t="shared" si="5"/>
        <v>5442.5499999999993</v>
      </c>
      <c r="Q6" s="117">
        <f t="shared" si="6"/>
        <v>190809.39999999997</v>
      </c>
    </row>
    <row r="7" spans="1:17" ht="15.5">
      <c r="A7" s="531"/>
      <c r="B7" s="9" t="s">
        <v>378</v>
      </c>
      <c r="C7" s="9" t="s">
        <v>379</v>
      </c>
      <c r="D7" s="9">
        <v>14.52633</v>
      </c>
      <c r="E7" s="9">
        <v>38.490490000000001</v>
      </c>
      <c r="F7" s="55">
        <v>42816</v>
      </c>
      <c r="G7" s="9">
        <v>116</v>
      </c>
      <c r="H7" s="9">
        <v>416</v>
      </c>
      <c r="I7" s="476">
        <f>IF(H7&lt;355,H7,355)</f>
        <v>355</v>
      </c>
      <c r="J7" s="133"/>
      <c r="K7" s="233">
        <f t="shared" si="0"/>
        <v>203.29999999999998</v>
      </c>
      <c r="L7" s="115">
        <f t="shared" si="2"/>
        <v>72171.5</v>
      </c>
      <c r="M7" s="189">
        <f t="shared" si="1"/>
        <v>346.75</v>
      </c>
      <c r="N7" s="116">
        <f t="shared" si="3"/>
        <v>123096.25</v>
      </c>
      <c r="O7">
        <f t="shared" si="4"/>
        <v>16.149999999999999</v>
      </c>
      <c r="P7">
        <f t="shared" si="5"/>
        <v>5733.2499999999991</v>
      </c>
      <c r="Q7" s="190">
        <f t="shared" si="6"/>
        <v>201001</v>
      </c>
    </row>
    <row r="8" spans="1:17" ht="15" thickBot="1">
      <c r="A8" s="118"/>
      <c r="B8" s="1"/>
      <c r="C8" s="2"/>
      <c r="D8" s="2"/>
      <c r="E8" s="2"/>
      <c r="F8" s="62"/>
      <c r="G8" s="174" t="s">
        <v>13</v>
      </c>
      <c r="H8" s="175">
        <f>SUM(H2:H7)</f>
        <v>3430</v>
      </c>
      <c r="I8" s="175">
        <f>SUM(I2:I7)</f>
        <v>2134</v>
      </c>
      <c r="J8" s="2"/>
      <c r="K8" s="2"/>
      <c r="L8" s="176">
        <f>SUM(L2:L7)</f>
        <v>433842.19999999995</v>
      </c>
      <c r="M8" s="177"/>
      <c r="N8" s="178">
        <f t="shared" ref="N8" si="7">SUM(N2:N7)</f>
        <v>739964.5</v>
      </c>
      <c r="P8" s="179">
        <f>SUM(P2:P7)</f>
        <v>34464.099999999991</v>
      </c>
      <c r="Q8" s="179">
        <f>SUM(Q2:Q7)</f>
        <v>1208270.7999999998</v>
      </c>
    </row>
    <row r="9" spans="1:17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7" ht="15" thickBot="1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7" ht="44" thickBot="1">
      <c r="A11" s="2"/>
      <c r="B11" s="66" t="s">
        <v>76</v>
      </c>
      <c r="C11" s="67"/>
      <c r="D11" s="2"/>
      <c r="E11" s="2"/>
      <c r="F11" s="2"/>
      <c r="G11" s="2"/>
      <c r="H11" s="2"/>
      <c r="I11" s="2"/>
      <c r="J11" s="2"/>
      <c r="K11" s="51" t="s">
        <v>55</v>
      </c>
      <c r="L11" s="52" t="s">
        <v>56</v>
      </c>
      <c r="M11" s="5" t="s">
        <v>57</v>
      </c>
      <c r="N11" s="53" t="s">
        <v>58</v>
      </c>
      <c r="O11" s="114" t="s">
        <v>279</v>
      </c>
      <c r="P11" s="49" t="s">
        <v>280</v>
      </c>
      <c r="Q11" s="50" t="s">
        <v>59</v>
      </c>
    </row>
    <row r="12" spans="1:17" ht="18.5">
      <c r="A12" s="68" t="s">
        <v>364</v>
      </c>
      <c r="B12" s="69">
        <v>44713</v>
      </c>
      <c r="C12" s="2"/>
      <c r="D12" s="73"/>
      <c r="E12" s="2"/>
      <c r="F12" s="2"/>
      <c r="G12" s="2"/>
      <c r="H12" s="2"/>
      <c r="I12" s="2"/>
      <c r="J12" s="2"/>
      <c r="K12" s="233">
        <f t="shared" ref="K12:K17" si="8">$E$19</f>
        <v>203.29999999999998</v>
      </c>
      <c r="L12" s="277">
        <f>K12*H2</f>
        <v>163453.19999999998</v>
      </c>
      <c r="M12" s="280">
        <f t="shared" ref="M12:M17" si="9">$E$20</f>
        <v>346.75</v>
      </c>
      <c r="N12" s="278">
        <f>M12*H2</f>
        <v>278787</v>
      </c>
      <c r="O12">
        <f>$E$21</f>
        <v>16.149999999999999</v>
      </c>
      <c r="P12">
        <f>O12*H2</f>
        <v>12984.599999999999</v>
      </c>
      <c r="Q12" s="279">
        <f t="shared" ref="Q12:Q17" si="10">L12+N12</f>
        <v>442240.19999999995</v>
      </c>
    </row>
    <row r="13" spans="1:17" ht="24.65" customHeight="1" thickBot="1">
      <c r="A13" s="123" t="s">
        <v>365</v>
      </c>
      <c r="B13" s="310">
        <v>45308</v>
      </c>
      <c r="C13" s="2"/>
      <c r="D13" s="541"/>
      <c r="E13" s="542"/>
      <c r="F13" s="543"/>
      <c r="G13" s="543"/>
      <c r="H13" s="525"/>
      <c r="I13" s="525"/>
      <c r="J13" s="24"/>
      <c r="K13" s="233">
        <f t="shared" si="8"/>
        <v>203.29999999999998</v>
      </c>
      <c r="L13" s="277">
        <f t="shared" ref="L13:L17" si="11">K13*H3</f>
        <v>74611.099999999991</v>
      </c>
      <c r="M13" s="280">
        <f t="shared" si="9"/>
        <v>346.75</v>
      </c>
      <c r="N13" s="278">
        <f t="shared" ref="N13:N17" si="12">M13*H3</f>
        <v>127257.25</v>
      </c>
      <c r="O13">
        <f t="shared" ref="O13:O17" si="13">$E$21</f>
        <v>16.149999999999999</v>
      </c>
      <c r="P13">
        <f t="shared" ref="P13:P17" si="14">O13*H3</f>
        <v>5927.0499999999993</v>
      </c>
      <c r="Q13" s="279">
        <f t="shared" si="10"/>
        <v>201868.34999999998</v>
      </c>
    </row>
    <row r="14" spans="1:17" ht="15" thickBot="1">
      <c r="A14" s="123" t="s">
        <v>79</v>
      </c>
      <c r="B14" s="310">
        <v>44926</v>
      </c>
      <c r="C14" s="2"/>
      <c r="D14" s="541"/>
      <c r="E14" s="542"/>
      <c r="F14" s="543"/>
      <c r="G14" s="543"/>
      <c r="H14" s="525"/>
      <c r="I14" s="525"/>
      <c r="J14" s="24"/>
      <c r="K14" s="233">
        <f t="shared" si="8"/>
        <v>203.29999999999998</v>
      </c>
      <c r="L14" s="277">
        <f t="shared" si="11"/>
        <v>167519.19999999998</v>
      </c>
      <c r="M14" s="280">
        <f t="shared" si="9"/>
        <v>346.75</v>
      </c>
      <c r="N14" s="278">
        <f t="shared" si="12"/>
        <v>285722</v>
      </c>
      <c r="O14">
        <f t="shared" si="13"/>
        <v>16.149999999999999</v>
      </c>
      <c r="P14">
        <f t="shared" si="14"/>
        <v>13307.599999999999</v>
      </c>
      <c r="Q14" s="279">
        <f t="shared" si="10"/>
        <v>453241.19999999995</v>
      </c>
    </row>
    <row r="15" spans="1:17" ht="15" thickBot="1">
      <c r="A15" s="123" t="s">
        <v>298</v>
      </c>
      <c r="B15" s="310">
        <v>45291</v>
      </c>
      <c r="C15" s="2"/>
      <c r="D15" s="72"/>
      <c r="E15" s="67"/>
      <c r="J15" s="2"/>
      <c r="K15" s="233">
        <f t="shared" si="8"/>
        <v>203.29999999999998</v>
      </c>
      <c r="L15" s="277">
        <f t="shared" si="11"/>
        <v>138650.59999999998</v>
      </c>
      <c r="M15" s="280">
        <f t="shared" si="9"/>
        <v>346.75</v>
      </c>
      <c r="N15" s="278">
        <f t="shared" si="12"/>
        <v>236483.5</v>
      </c>
      <c r="O15">
        <f t="shared" si="13"/>
        <v>16.149999999999999</v>
      </c>
      <c r="P15">
        <f t="shared" si="14"/>
        <v>11014.3</v>
      </c>
      <c r="Q15" s="279">
        <f t="shared" si="10"/>
        <v>375134.1</v>
      </c>
    </row>
    <row r="16" spans="1:17">
      <c r="C16" s="2"/>
      <c r="D16" s="72"/>
      <c r="E16" s="67"/>
      <c r="J16" s="2"/>
      <c r="K16" s="233">
        <f t="shared" si="8"/>
        <v>203.29999999999998</v>
      </c>
      <c r="L16" s="277">
        <f t="shared" si="11"/>
        <v>68512.099999999991</v>
      </c>
      <c r="M16" s="280">
        <f t="shared" si="9"/>
        <v>346.75</v>
      </c>
      <c r="N16" s="278">
        <f t="shared" si="12"/>
        <v>116854.75</v>
      </c>
      <c r="O16">
        <f t="shared" si="13"/>
        <v>16.149999999999999</v>
      </c>
      <c r="P16">
        <f t="shared" si="14"/>
        <v>5442.5499999999993</v>
      </c>
      <c r="Q16" s="279">
        <f t="shared" si="10"/>
        <v>185366.84999999998</v>
      </c>
    </row>
    <row r="17" spans="1:17">
      <c r="A17" s="197"/>
      <c r="B17" s="194" t="s">
        <v>81</v>
      </c>
      <c r="C17" s="57"/>
      <c r="D17" s="57"/>
      <c r="E17" s="77"/>
      <c r="F17" s="188"/>
      <c r="J17" s="2"/>
      <c r="K17" s="233">
        <f t="shared" si="8"/>
        <v>203.29999999999998</v>
      </c>
      <c r="L17" s="277">
        <f t="shared" si="11"/>
        <v>84572.799999999988</v>
      </c>
      <c r="M17" s="280">
        <f t="shared" si="9"/>
        <v>346.75</v>
      </c>
      <c r="N17" s="278">
        <f t="shared" si="12"/>
        <v>144248</v>
      </c>
      <c r="O17">
        <f t="shared" si="13"/>
        <v>16.149999999999999</v>
      </c>
      <c r="P17">
        <f t="shared" si="14"/>
        <v>6718.4</v>
      </c>
      <c r="Q17" s="281">
        <f t="shared" si="10"/>
        <v>228820.8</v>
      </c>
    </row>
    <row r="18" spans="1:17" ht="44" thickBot="1">
      <c r="A18" s="195" t="s">
        <v>82</v>
      </c>
      <c r="B18" s="77">
        <v>27.4</v>
      </c>
      <c r="C18" s="57" t="s">
        <v>8</v>
      </c>
      <c r="D18" s="132" t="s">
        <v>83</v>
      </c>
      <c r="E18" s="56" t="s">
        <v>84</v>
      </c>
      <c r="F18" s="198" t="s">
        <v>226</v>
      </c>
      <c r="J18" s="2"/>
      <c r="K18" s="282"/>
      <c r="L18" s="283">
        <f>SUM(L12:L17)</f>
        <v>697319</v>
      </c>
      <c r="M18" s="284"/>
      <c r="N18" s="285">
        <f t="shared" ref="N18" si="15">SUM(N12:N17)</f>
        <v>1189352.5</v>
      </c>
      <c r="P18" s="286">
        <f t="shared" ref="P18:Q18" si="16">SUM(P12:P17)</f>
        <v>55394.499999999993</v>
      </c>
      <c r="Q18" s="286">
        <f t="shared" si="16"/>
        <v>1886671.5000000002</v>
      </c>
    </row>
    <row r="19" spans="1:17">
      <c r="A19" s="195" t="s">
        <v>86</v>
      </c>
      <c r="B19" s="77">
        <f>B14-B12+1</f>
        <v>214</v>
      </c>
      <c r="C19" s="348">
        <f>'Maintenance '!$BI$81/($B19*COUNTA(B2:B7))</f>
        <v>0</v>
      </c>
      <c r="D19" s="196">
        <v>0.95</v>
      </c>
      <c r="E19" s="235">
        <f>F19*D19</f>
        <v>203.29999999999998</v>
      </c>
      <c r="F19" s="57">
        <f>B19</f>
        <v>214</v>
      </c>
      <c r="G19" s="2"/>
      <c r="H19" s="2"/>
      <c r="I19" s="2"/>
      <c r="J19" s="2"/>
      <c r="K19" s="2"/>
      <c r="L19" s="2"/>
      <c r="M19" s="2"/>
      <c r="N19" s="2"/>
      <c r="O19" s="2"/>
    </row>
    <row r="20" spans="1:17">
      <c r="A20" s="195" t="s">
        <v>87</v>
      </c>
      <c r="B20" s="77">
        <f>B15-B14</f>
        <v>365</v>
      </c>
      <c r="C20" s="348">
        <f>'Maintenance '!$BJ$81/($B20*COUNTA(B2:B7))</f>
        <v>1.8264840182648401E-3</v>
      </c>
      <c r="D20" s="196">
        <v>0.95</v>
      </c>
      <c r="E20" s="235">
        <f>F20*D20</f>
        <v>346.75</v>
      </c>
      <c r="F20" s="57">
        <f>B20</f>
        <v>365</v>
      </c>
    </row>
    <row r="21" spans="1:17">
      <c r="A21" s="195" t="s">
        <v>302</v>
      </c>
      <c r="B21" s="132">
        <f>B13-B15</f>
        <v>17</v>
      </c>
      <c r="C21" s="348">
        <f>'Maintenance '!BK81/($B21*COUNTA(B3:B8))</f>
        <v>0</v>
      </c>
      <c r="D21" s="57">
        <v>0.95</v>
      </c>
      <c r="E21" s="57">
        <f>F21*D21</f>
        <v>16.149999999999999</v>
      </c>
      <c r="F21" s="57">
        <f>B21</f>
        <v>17</v>
      </c>
    </row>
    <row r="22" spans="1:17">
      <c r="A22" s="197" t="s">
        <v>88</v>
      </c>
    </row>
    <row r="23" spans="1:17">
      <c r="A23" s="197" t="s">
        <v>350</v>
      </c>
      <c r="B23">
        <f>SUM(B19:B21)</f>
        <v>596</v>
      </c>
      <c r="C23" s="225">
        <f>'Maintenance '!BL81/B23</f>
        <v>6.7114093959731542E-3</v>
      </c>
    </row>
  </sheetData>
  <mergeCells count="7">
    <mergeCell ref="I13:I14"/>
    <mergeCell ref="A2:A7"/>
    <mergeCell ref="D13:D14"/>
    <mergeCell ref="E13:E14"/>
    <mergeCell ref="F13:F14"/>
    <mergeCell ref="G13:G14"/>
    <mergeCell ref="H13:H14"/>
  </mergeCells>
  <phoneticPr fontId="15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C3ED1-F097-42D2-9A4C-FD770881E616}">
  <dimension ref="A1:T39"/>
  <sheetViews>
    <sheetView topLeftCell="G1" workbookViewId="0">
      <selection activeCell="G1" sqref="G1:O1"/>
    </sheetView>
  </sheetViews>
  <sheetFormatPr defaultRowHeight="14.5"/>
  <cols>
    <col min="1" max="1" width="43.81640625" customWidth="1"/>
    <col min="5" max="5" width="25.7265625" customWidth="1"/>
    <col min="7" max="7" width="42.453125" customWidth="1"/>
    <col min="12" max="12" width="43.26953125" customWidth="1"/>
    <col min="17" max="17" width="52.81640625" customWidth="1"/>
  </cols>
  <sheetData>
    <row r="1" spans="1:20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  <c r="Q1" s="535" t="s">
        <v>276</v>
      </c>
      <c r="R1" s="535"/>
      <c r="S1" s="535"/>
      <c r="T1" s="535"/>
    </row>
    <row r="2" spans="1:2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2"/>
      <c r="R2" s="2"/>
      <c r="S2" s="2"/>
      <c r="T2" s="2"/>
    </row>
    <row r="3" spans="1:20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  <c r="Q3" s="533" t="s">
        <v>91</v>
      </c>
      <c r="R3" s="519"/>
      <c r="S3" s="519"/>
      <c r="T3" s="519"/>
    </row>
    <row r="4" spans="1:20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  <c r="Q4" s="9" t="s">
        <v>93</v>
      </c>
      <c r="R4" s="9" t="s">
        <v>94</v>
      </c>
      <c r="S4" s="9" t="s">
        <v>35</v>
      </c>
      <c r="T4" s="86">
        <v>0</v>
      </c>
    </row>
    <row r="5" spans="1:20" ht="29">
      <c r="A5" s="9" t="s">
        <v>96</v>
      </c>
      <c r="B5" s="9" t="s">
        <v>97</v>
      </c>
      <c r="C5" s="9"/>
      <c r="D5" s="87">
        <f>'GS7332 PTDs'!Q8</f>
        <v>1208270.7999999998</v>
      </c>
      <c r="E5" s="85" t="s">
        <v>98</v>
      </c>
      <c r="F5" s="2"/>
      <c r="G5" s="9" t="s">
        <v>96</v>
      </c>
      <c r="H5" s="9" t="s">
        <v>97</v>
      </c>
      <c r="I5" s="9"/>
      <c r="J5" s="87">
        <f>'GS7332 PTDs'!L8</f>
        <v>433842.19999999995</v>
      </c>
      <c r="K5" s="2"/>
      <c r="L5" s="9" t="s">
        <v>96</v>
      </c>
      <c r="M5" s="9" t="s">
        <v>97</v>
      </c>
      <c r="N5" s="9"/>
      <c r="O5" s="87">
        <f>'GS7332 PTDs'!N8</f>
        <v>739964.5</v>
      </c>
      <c r="Q5" s="9" t="s">
        <v>96</v>
      </c>
      <c r="R5" s="9" t="s">
        <v>97</v>
      </c>
      <c r="S5" s="9"/>
      <c r="T5" s="87">
        <f>'GS7332 PTDs'!P8</f>
        <v>34464.099999999991</v>
      </c>
    </row>
    <row r="6" spans="1:20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  <c r="Q6" s="9" t="s">
        <v>99</v>
      </c>
      <c r="R6" s="9" t="s">
        <v>100</v>
      </c>
      <c r="S6" s="9" t="s">
        <v>101</v>
      </c>
      <c r="T6" s="86">
        <v>4.0000000000000002E-4</v>
      </c>
    </row>
    <row r="7" spans="1:20" ht="29">
      <c r="A7" s="88" t="s">
        <v>103</v>
      </c>
      <c r="B7" s="9" t="s">
        <v>104</v>
      </c>
      <c r="C7" s="9" t="s">
        <v>105</v>
      </c>
      <c r="D7" s="86">
        <v>7.5</v>
      </c>
      <c r="E7" s="85" t="s">
        <v>162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  <c r="Q7" s="88" t="s">
        <v>103</v>
      </c>
      <c r="R7" s="9" t="s">
        <v>104</v>
      </c>
      <c r="S7" s="9" t="s">
        <v>105</v>
      </c>
      <c r="T7" s="86">
        <v>7.5</v>
      </c>
    </row>
    <row r="8" spans="1:20" ht="29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  <c r="Q8" s="88" t="s">
        <v>107</v>
      </c>
      <c r="R8" s="9" t="s">
        <v>108</v>
      </c>
      <c r="S8" s="9" t="s">
        <v>105</v>
      </c>
      <c r="T8" s="86">
        <v>0</v>
      </c>
    </row>
    <row r="9" spans="1:20">
      <c r="A9" s="9" t="s">
        <v>110</v>
      </c>
      <c r="B9" s="9" t="s">
        <v>111</v>
      </c>
      <c r="C9" s="9" t="s">
        <v>112</v>
      </c>
      <c r="D9" s="86">
        <f>ROUNDDOWN((1-D4)*D5*D6*(D7+D8),0)</f>
        <v>3624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1301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2219</v>
      </c>
      <c r="Q9" s="9" t="s">
        <v>110</v>
      </c>
      <c r="R9" s="9" t="s">
        <v>111</v>
      </c>
      <c r="S9" s="9" t="s">
        <v>112</v>
      </c>
      <c r="T9" s="86">
        <f>ROUNDDOWN((1-T4)*T5*T6*(T7+T8),0)</f>
        <v>103</v>
      </c>
    </row>
    <row r="10" spans="1:20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Q10" s="2"/>
      <c r="R10" s="2"/>
      <c r="S10" s="2"/>
      <c r="T10" s="2"/>
    </row>
    <row r="11" spans="1:20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  <c r="Q11" s="533" t="s">
        <v>113</v>
      </c>
      <c r="R11" s="519"/>
      <c r="S11" s="519"/>
      <c r="T11" s="519"/>
    </row>
    <row r="12" spans="1:20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  <c r="Q12" s="9" t="s">
        <v>114</v>
      </c>
      <c r="R12" s="9" t="s">
        <v>94</v>
      </c>
      <c r="S12" s="9" t="s">
        <v>35</v>
      </c>
      <c r="T12" s="86">
        <v>0</v>
      </c>
    </row>
    <row r="13" spans="1:20" ht="29">
      <c r="A13" s="9" t="s">
        <v>96</v>
      </c>
      <c r="B13" s="9" t="s">
        <v>97</v>
      </c>
      <c r="C13" s="9"/>
      <c r="D13" s="87">
        <f>D5</f>
        <v>1208270.7999999998</v>
      </c>
      <c r="E13" s="85" t="s">
        <v>115</v>
      </c>
      <c r="F13" s="2"/>
      <c r="G13" s="9" t="s">
        <v>96</v>
      </c>
      <c r="H13" s="9" t="s">
        <v>97</v>
      </c>
      <c r="I13" s="9"/>
      <c r="J13" s="87">
        <f>J5</f>
        <v>433842.19999999995</v>
      </c>
      <c r="K13" s="2"/>
      <c r="L13" s="9" t="s">
        <v>96</v>
      </c>
      <c r="M13" s="9" t="s">
        <v>97</v>
      </c>
      <c r="N13" s="9"/>
      <c r="O13" s="87">
        <f>O5</f>
        <v>739964.5</v>
      </c>
      <c r="Q13" s="9" t="s">
        <v>96</v>
      </c>
      <c r="R13" s="9" t="s">
        <v>97</v>
      </c>
      <c r="S13" s="9"/>
      <c r="T13" s="87">
        <f>T5</f>
        <v>34464.099999999991</v>
      </c>
    </row>
    <row r="14" spans="1:20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  <c r="Q14" s="9" t="s">
        <v>116</v>
      </c>
      <c r="R14" s="9" t="s">
        <v>117</v>
      </c>
      <c r="S14" s="9" t="s">
        <v>101</v>
      </c>
      <c r="T14" s="86">
        <v>4.0000000000000002E-4</v>
      </c>
    </row>
    <row r="15" spans="1:20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  <c r="Q15" s="9" t="s">
        <v>118</v>
      </c>
      <c r="R15" s="9" t="s">
        <v>108</v>
      </c>
      <c r="S15" s="9" t="s">
        <v>105</v>
      </c>
      <c r="T15" s="86">
        <v>0</v>
      </c>
    </row>
    <row r="16" spans="1:20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  <c r="Q16" s="9" t="s">
        <v>119</v>
      </c>
      <c r="R16" s="9" t="s">
        <v>120</v>
      </c>
      <c r="S16" s="9" t="s">
        <v>105</v>
      </c>
      <c r="T16" s="86">
        <v>0</v>
      </c>
    </row>
    <row r="17" spans="1:20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121</v>
      </c>
      <c r="M17" s="9" t="s">
        <v>122</v>
      </c>
      <c r="N17" s="9" t="s">
        <v>112</v>
      </c>
      <c r="O17" s="86">
        <f>ROUNDDOWN((1+O12)*O13*O14*(O16+O16),0)</f>
        <v>0</v>
      </c>
      <c r="Q17" s="9" t="s">
        <v>121</v>
      </c>
      <c r="R17" s="9" t="s">
        <v>122</v>
      </c>
      <c r="S17" s="9" t="s">
        <v>112</v>
      </c>
      <c r="T17" s="86">
        <f>ROUNDDOWN((1+T12)*T13*T14*(T16+T16),0)</f>
        <v>0</v>
      </c>
    </row>
    <row r="18" spans="1:20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  <c r="Q18" s="2"/>
      <c r="R18" s="2"/>
      <c r="S18" s="2"/>
      <c r="T18" s="2"/>
    </row>
    <row r="19" spans="1:20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  <c r="Q19" s="533" t="s">
        <v>123</v>
      </c>
      <c r="R19" s="519"/>
      <c r="S19" s="519"/>
      <c r="T19" s="519"/>
    </row>
    <row r="20" spans="1:20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  <c r="Q20" s="88" t="s">
        <v>124</v>
      </c>
      <c r="R20" s="9" t="s">
        <v>124</v>
      </c>
      <c r="S20" s="9" t="s">
        <v>125</v>
      </c>
      <c r="T20" s="86">
        <v>0.97</v>
      </c>
    </row>
    <row r="21" spans="1:20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  <c r="Q21" s="9" t="s">
        <v>127</v>
      </c>
      <c r="R21" s="9" t="s">
        <v>130</v>
      </c>
      <c r="S21" s="9" t="s">
        <v>129</v>
      </c>
      <c r="T21" s="86">
        <v>112</v>
      </c>
    </row>
    <row r="22" spans="1:20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D22</f>
        <v>9.4600000000000009</v>
      </c>
      <c r="Q22" s="9" t="s">
        <v>131</v>
      </c>
      <c r="R22" s="9" t="s">
        <v>134</v>
      </c>
      <c r="S22" s="9" t="s">
        <v>133</v>
      </c>
      <c r="T22" s="86">
        <f>O22</f>
        <v>9.4600000000000009</v>
      </c>
    </row>
    <row r="23" spans="1:20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  <c r="Q23" s="9" t="s">
        <v>135</v>
      </c>
      <c r="R23" s="9" t="s">
        <v>136</v>
      </c>
      <c r="S23" s="9" t="s">
        <v>137</v>
      </c>
      <c r="T23" s="86">
        <v>1.5599999999999999E-2</v>
      </c>
    </row>
    <row r="24" spans="1:20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  <c r="Q24" s="2"/>
      <c r="R24" s="2"/>
      <c r="S24" s="2"/>
      <c r="T24" s="2"/>
    </row>
    <row r="25" spans="1:20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  <c r="Q25" s="533" t="s">
        <v>19</v>
      </c>
      <c r="R25" s="519"/>
      <c r="S25" s="519"/>
      <c r="T25" s="519"/>
    </row>
    <row r="26" spans="1:20">
      <c r="A26" s="9" t="s">
        <v>28</v>
      </c>
      <c r="B26" s="9" t="s">
        <v>29</v>
      </c>
      <c r="C26" s="9" t="s">
        <v>30</v>
      </c>
      <c r="D26" s="87">
        <f>ROUNDDOWN(D9*((D20*D21)+D22)*D23,0)</f>
        <v>6676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2396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4088</v>
      </c>
      <c r="Q26" s="9" t="s">
        <v>28</v>
      </c>
      <c r="R26" s="9" t="s">
        <v>29</v>
      </c>
      <c r="S26" s="9" t="s">
        <v>30</v>
      </c>
      <c r="T26" s="87">
        <f>ROUNDDOWN(T9*((T20*T21)+T22)*T23,0)</f>
        <v>189</v>
      </c>
    </row>
    <row r="27" spans="1:20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O17*((O20*O21)+O22)*O230</f>
        <v>0</v>
      </c>
      <c r="Q27" s="9" t="s">
        <v>31</v>
      </c>
      <c r="R27" s="9" t="s">
        <v>32</v>
      </c>
      <c r="S27" s="9" t="s">
        <v>30</v>
      </c>
      <c r="T27" s="86">
        <f>T17*((T20*T21)+T22)*T230</f>
        <v>0</v>
      </c>
    </row>
    <row r="28" spans="1:20" ht="29">
      <c r="A28" s="9" t="s">
        <v>33</v>
      </c>
      <c r="B28" s="9" t="s">
        <v>34</v>
      </c>
      <c r="C28" s="9" t="s">
        <v>35</v>
      </c>
      <c r="D28" s="86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6">
        <f>D28</f>
        <v>0.95</v>
      </c>
      <c r="K28" s="2"/>
      <c r="L28" s="9" t="s">
        <v>33</v>
      </c>
      <c r="M28" s="9" t="s">
        <v>34</v>
      </c>
      <c r="N28" s="9" t="s">
        <v>35</v>
      </c>
      <c r="O28" s="86">
        <f>D28</f>
        <v>0.95</v>
      </c>
      <c r="Q28" s="9" t="s">
        <v>33</v>
      </c>
      <c r="R28" s="9" t="s">
        <v>34</v>
      </c>
      <c r="S28" s="9" t="s">
        <v>35</v>
      </c>
      <c r="T28" s="86">
        <f>O28</f>
        <v>0.95</v>
      </c>
    </row>
    <row r="29" spans="1:20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  <c r="Q29" s="9" t="s">
        <v>36</v>
      </c>
      <c r="R29" s="9" t="s">
        <v>37</v>
      </c>
      <c r="S29" s="9" t="s">
        <v>30</v>
      </c>
      <c r="T29" s="86">
        <v>0</v>
      </c>
    </row>
    <row r="30" spans="1:20">
      <c r="A30" s="9" t="s">
        <v>90</v>
      </c>
      <c r="B30" s="9" t="s">
        <v>39</v>
      </c>
      <c r="C30" s="9" t="s">
        <v>30</v>
      </c>
      <c r="D30" s="86">
        <f>ROUNDDOWN(((D26-D27)*D28)-D29,0)</f>
        <v>6342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2276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3883</v>
      </c>
      <c r="Q30" s="9" t="s">
        <v>90</v>
      </c>
      <c r="R30" s="9" t="s">
        <v>39</v>
      </c>
      <c r="S30" s="9" t="s">
        <v>30</v>
      </c>
      <c r="T30" s="86">
        <f>ROUNDDOWN(((T26-T27)*T28)-T29,0)</f>
        <v>179</v>
      </c>
    </row>
    <row r="31" spans="1:20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  <c r="Q31" s="2"/>
      <c r="R31" s="2"/>
      <c r="S31" s="2"/>
      <c r="T31" s="2"/>
    </row>
    <row r="32" spans="1:20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  <c r="Q32" s="533" t="s">
        <v>40</v>
      </c>
      <c r="R32" s="519"/>
      <c r="S32" s="519"/>
      <c r="T32" s="519"/>
    </row>
    <row r="33" spans="1:20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M33" s="9"/>
      <c r="N33" s="16"/>
      <c r="O33" s="91">
        <v>1</v>
      </c>
      <c r="Q33" s="90" t="s">
        <v>41</v>
      </c>
      <c r="R33" s="9"/>
      <c r="S33" s="16"/>
      <c r="T33" s="91">
        <v>1</v>
      </c>
    </row>
    <row r="34" spans="1:20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  <c r="Q34" s="90" t="s">
        <v>277</v>
      </c>
      <c r="R34" s="9" t="s">
        <v>42</v>
      </c>
      <c r="S34" s="16" t="s">
        <v>44</v>
      </c>
      <c r="T34" s="91">
        <v>0</v>
      </c>
    </row>
    <row r="35" spans="1:20">
      <c r="A35" s="93" t="s">
        <v>140</v>
      </c>
      <c r="B35" s="94" t="s">
        <v>39</v>
      </c>
      <c r="C35" s="95" t="s">
        <v>30</v>
      </c>
      <c r="D35" s="246">
        <f>ROUNDDOWN(D30*(1-D34),0)</f>
        <v>6342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2276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3883</v>
      </c>
      <c r="Q35" s="93" t="s">
        <v>140</v>
      </c>
      <c r="R35" s="94" t="s">
        <v>39</v>
      </c>
      <c r="S35" s="95" t="s">
        <v>30</v>
      </c>
      <c r="T35" s="96">
        <f>ROUNDDOWN(T30*(1-T34),0)</f>
        <v>179</v>
      </c>
    </row>
    <row r="36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</row>
    <row r="37" spans="1:20">
      <c r="A37" s="93" t="s">
        <v>141</v>
      </c>
      <c r="B37" s="94"/>
      <c r="C37" s="95" t="s">
        <v>30</v>
      </c>
      <c r="D37" s="96">
        <f>J37+O37+T37</f>
        <v>6338</v>
      </c>
      <c r="E37" s="2"/>
      <c r="F37" s="2"/>
      <c r="G37" s="93" t="s">
        <v>141</v>
      </c>
      <c r="H37" s="94"/>
      <c r="I37" s="95" t="s">
        <v>30</v>
      </c>
      <c r="J37" s="96">
        <f>IF(J35&gt;'GS7332 PTDs'!B18*'GS7332 PTDs'!B19,'GS7332 PTDs'!B18*'GS7332 PTDs'!B19,'GS7332 ER Calcs'!J35)</f>
        <v>2276</v>
      </c>
      <c r="K37" s="2"/>
      <c r="L37" s="93" t="s">
        <v>141</v>
      </c>
      <c r="M37" s="94"/>
      <c r="N37" s="95" t="s">
        <v>30</v>
      </c>
      <c r="O37" s="96">
        <f>IF(O35&gt;'GS7332 PTDs'!B18*'GS7332 PTDs'!B20,'GS7332 PTDs'!B18*'GS7332 PTDs'!B20,'GS7332 ER Calcs'!O35)</f>
        <v>3883</v>
      </c>
      <c r="Q37" s="93" t="s">
        <v>141</v>
      </c>
      <c r="R37" s="94"/>
      <c r="S37" s="95" t="s">
        <v>30</v>
      </c>
      <c r="T37" s="96">
        <f>IF(T35&gt;'GS7332 PTDs'!B18*'GS7332 PTDs'!B21,'GS7332 PTDs'!B18*'GS7332 PTDs'!B21,'GS7332 ER Calcs'!T35)</f>
        <v>179</v>
      </c>
    </row>
    <row r="38" spans="1:2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</row>
    <row r="39" spans="1:20">
      <c r="A39" s="1" t="s">
        <v>142</v>
      </c>
      <c r="B39" s="2"/>
      <c r="C39" s="2"/>
      <c r="D39" s="2"/>
      <c r="E39" s="2"/>
      <c r="F39" s="2"/>
      <c r="G39" s="1" t="s">
        <v>142</v>
      </c>
      <c r="H39" s="2"/>
      <c r="I39" s="2"/>
      <c r="J39" s="2"/>
      <c r="K39" s="2"/>
      <c r="L39" s="1" t="s">
        <v>142</v>
      </c>
      <c r="M39" s="2"/>
      <c r="N39" s="2"/>
      <c r="O39" s="2"/>
      <c r="Q39" s="1"/>
      <c r="R39" s="2"/>
      <c r="S39" s="2"/>
      <c r="T39" s="2"/>
    </row>
  </sheetData>
  <mergeCells count="24">
    <mergeCell ref="A25:D25"/>
    <mergeCell ref="G25:J25"/>
    <mergeCell ref="L25:O25"/>
    <mergeCell ref="A32:D32"/>
    <mergeCell ref="G32:J32"/>
    <mergeCell ref="L32:O32"/>
    <mergeCell ref="A11:D11"/>
    <mergeCell ref="G11:J11"/>
    <mergeCell ref="L11:O11"/>
    <mergeCell ref="A19:D19"/>
    <mergeCell ref="G19:J19"/>
    <mergeCell ref="L19:O19"/>
    <mergeCell ref="A1:D1"/>
    <mergeCell ref="G1:J1"/>
    <mergeCell ref="L1:O1"/>
    <mergeCell ref="A3:D3"/>
    <mergeCell ref="G3:J3"/>
    <mergeCell ref="L3:O3"/>
    <mergeCell ref="Q32:T32"/>
    <mergeCell ref="Q1:T1"/>
    <mergeCell ref="Q3:T3"/>
    <mergeCell ref="Q11:T11"/>
    <mergeCell ref="Q19:T19"/>
    <mergeCell ref="Q25:T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2AF12-9DA4-40F9-919D-5EBF6347F7A4}">
  <dimension ref="A1:F23"/>
  <sheetViews>
    <sheetView topLeftCell="B7" workbookViewId="0">
      <selection activeCell="C17" sqref="C17"/>
    </sheetView>
  </sheetViews>
  <sheetFormatPr defaultColWidth="62" defaultRowHeight="32.15" customHeight="1"/>
  <cols>
    <col min="1" max="1" width="36.81640625" customWidth="1"/>
    <col min="2" max="2" width="77.26953125" customWidth="1"/>
    <col min="3" max="3" width="43.81640625" customWidth="1"/>
    <col min="4" max="4" width="11.26953125" customWidth="1"/>
    <col min="5" max="5" width="30.26953125" customWidth="1"/>
  </cols>
  <sheetData>
    <row r="1" spans="1:6" s="32" customFormat="1" ht="14.5" customHeight="1">
      <c r="A1" s="128" t="s">
        <v>145</v>
      </c>
      <c r="B1" s="137" t="s">
        <v>146</v>
      </c>
      <c r="C1" s="137" t="s">
        <v>147</v>
      </c>
      <c r="D1" s="140" t="s">
        <v>148</v>
      </c>
      <c r="E1" s="99" t="s">
        <v>92</v>
      </c>
      <c r="F1" s="28"/>
    </row>
    <row r="2" spans="1:6" ht="14.5" customHeight="1">
      <c r="A2" s="100" t="s">
        <v>149</v>
      </c>
      <c r="B2" s="88" t="s">
        <v>150</v>
      </c>
      <c r="C2" s="129">
        <f>((C3-C4)/C3)*C8</f>
        <v>0.95</v>
      </c>
      <c r="D2" s="9" t="s">
        <v>151</v>
      </c>
      <c r="E2" s="88"/>
      <c r="F2" s="1"/>
    </row>
    <row r="3" spans="1:6" ht="14.5" customHeight="1">
      <c r="A3" s="9" t="s">
        <v>152</v>
      </c>
      <c r="B3" s="88" t="s">
        <v>153</v>
      </c>
      <c r="C3" s="360">
        <f>C5*C6</f>
        <v>3.0000000000000001E-3</v>
      </c>
      <c r="D3" s="9" t="s">
        <v>154</v>
      </c>
      <c r="E3" s="88"/>
      <c r="F3" s="1"/>
    </row>
    <row r="4" spans="1:6" ht="14.5" customHeight="1">
      <c r="A4" s="101" t="s">
        <v>155</v>
      </c>
      <c r="B4" s="88" t="s">
        <v>156</v>
      </c>
      <c r="C4" s="54">
        <f>C5*C7</f>
        <v>0</v>
      </c>
      <c r="D4" s="9" t="s">
        <v>154</v>
      </c>
      <c r="E4" s="88"/>
      <c r="F4" s="1"/>
    </row>
    <row r="5" spans="1:6" ht="14.5" customHeight="1">
      <c r="A5" s="9" t="s">
        <v>157</v>
      </c>
      <c r="B5" s="88" t="s">
        <v>158</v>
      </c>
      <c r="C5" s="54">
        <f>'GS5038 ER Calcs'!E7</f>
        <v>4.0000000000000002E-4</v>
      </c>
      <c r="D5" s="9" t="s">
        <v>159</v>
      </c>
      <c r="E5" s="85" t="s">
        <v>102</v>
      </c>
      <c r="F5" s="1"/>
    </row>
    <row r="6" spans="1:6" ht="14.5" customHeight="1">
      <c r="A6" s="9" t="s">
        <v>104</v>
      </c>
      <c r="B6" s="88" t="s">
        <v>160</v>
      </c>
      <c r="C6" s="54">
        <v>7.5</v>
      </c>
      <c r="D6" s="9" t="s">
        <v>161</v>
      </c>
      <c r="E6" s="85" t="s">
        <v>162</v>
      </c>
      <c r="F6" s="1"/>
    </row>
    <row r="7" spans="1:6" ht="14.5" customHeight="1">
      <c r="A7" s="9" t="s">
        <v>163</v>
      </c>
      <c r="B7" s="88" t="s">
        <v>164</v>
      </c>
      <c r="C7" s="54">
        <v>0</v>
      </c>
      <c r="D7" s="9" t="s">
        <v>161</v>
      </c>
      <c r="E7" s="85" t="s">
        <v>109</v>
      </c>
      <c r="F7" s="1"/>
    </row>
    <row r="8" spans="1:6" ht="14.5" customHeight="1">
      <c r="A8" s="9" t="s">
        <v>165</v>
      </c>
      <c r="B8" s="88" t="s">
        <v>166</v>
      </c>
      <c r="C8" s="102">
        <f>'GS5038 ER Calcs'!E29</f>
        <v>0.95</v>
      </c>
      <c r="D8" s="9" t="s">
        <v>151</v>
      </c>
      <c r="E8" s="85" t="s">
        <v>138</v>
      </c>
      <c r="F8" s="1"/>
    </row>
    <row r="9" spans="1:6" ht="14.5" customHeight="1">
      <c r="A9" s="1"/>
      <c r="B9" s="103"/>
      <c r="C9" s="104"/>
      <c r="D9" s="1"/>
      <c r="E9" s="88"/>
      <c r="F9" s="1"/>
    </row>
    <row r="10" spans="1:6" s="32" customFormat="1" ht="14.5" customHeight="1">
      <c r="A10" s="137" t="s">
        <v>167</v>
      </c>
      <c r="B10" s="137" t="s">
        <v>146</v>
      </c>
      <c r="C10" s="137" t="s">
        <v>168</v>
      </c>
      <c r="D10" s="137" t="s">
        <v>148</v>
      </c>
      <c r="E10" s="139"/>
      <c r="F10" s="28"/>
    </row>
    <row r="11" spans="1:6" ht="14.5" customHeight="1">
      <c r="A11" s="88" t="s">
        <v>169</v>
      </c>
      <c r="B11" s="9" t="s">
        <v>170</v>
      </c>
      <c r="C11" s="105">
        <f>C13-C12</f>
        <v>0.72</v>
      </c>
      <c r="D11" s="9" t="s">
        <v>171</v>
      </c>
      <c r="E11" s="88"/>
      <c r="F11" s="1"/>
    </row>
    <row r="12" spans="1:6" ht="14.5" customHeight="1">
      <c r="A12" s="88" t="s">
        <v>172</v>
      </c>
      <c r="B12" s="9" t="s">
        <v>173</v>
      </c>
      <c r="C12" s="57">
        <v>0</v>
      </c>
      <c r="D12" s="9" t="s">
        <v>171</v>
      </c>
      <c r="E12" s="88" t="s">
        <v>174</v>
      </c>
      <c r="F12" s="1"/>
    </row>
    <row r="13" spans="1:6" ht="14.5" customHeight="1">
      <c r="A13" s="88" t="s">
        <v>175</v>
      </c>
      <c r="B13" s="9" t="s">
        <v>176</v>
      </c>
      <c r="C13" s="478">
        <v>0.72</v>
      </c>
      <c r="D13" s="9" t="s">
        <v>171</v>
      </c>
      <c r="E13" s="88" t="s">
        <v>177</v>
      </c>
      <c r="F13" s="1"/>
    </row>
    <row r="14" spans="1:6" ht="14.5" customHeight="1">
      <c r="A14" s="1"/>
      <c r="B14" s="1"/>
      <c r="C14" s="1"/>
      <c r="D14" s="1"/>
      <c r="E14" s="88"/>
      <c r="F14" s="1"/>
    </row>
    <row r="15" spans="1:6" s="32" customFormat="1" ht="14.5" customHeight="1">
      <c r="A15" s="128" t="s">
        <v>178</v>
      </c>
      <c r="B15" s="137" t="s">
        <v>146</v>
      </c>
      <c r="C15" s="137" t="s">
        <v>179</v>
      </c>
      <c r="D15" s="137" t="s">
        <v>148</v>
      </c>
      <c r="E15" s="139"/>
      <c r="F15" s="28"/>
    </row>
    <row r="16" spans="1:6" ht="14.5" customHeight="1">
      <c r="A16" s="88" t="s">
        <v>180</v>
      </c>
      <c r="B16" s="9" t="s">
        <v>181</v>
      </c>
      <c r="C16" s="105">
        <f>ROUNDDOWN(C17*(1-C18)*C19,0)</f>
        <v>2227</v>
      </c>
      <c r="D16" s="9" t="s">
        <v>182</v>
      </c>
      <c r="E16" s="88"/>
      <c r="F16" s="1"/>
    </row>
    <row r="17" spans="1:6" ht="14.5" customHeight="1">
      <c r="A17" s="88" t="s">
        <v>183</v>
      </c>
      <c r="B17" s="9" t="s">
        <v>184</v>
      </c>
      <c r="C17" s="478">
        <f>'GS5038 PTDS'!G8</f>
        <v>2345</v>
      </c>
      <c r="D17" s="9" t="s">
        <v>182</v>
      </c>
      <c r="E17" s="88" t="s">
        <v>185</v>
      </c>
      <c r="F17" s="1"/>
    </row>
    <row r="18" spans="1:6" ht="14.5" customHeight="1">
      <c r="A18" s="88" t="s">
        <v>94</v>
      </c>
      <c r="B18" s="9" t="s">
        <v>186</v>
      </c>
      <c r="C18" s="106">
        <f>'GS5038 ER Calcs'!E5</f>
        <v>0</v>
      </c>
      <c r="D18" s="9" t="s">
        <v>151</v>
      </c>
      <c r="E18" s="88" t="s">
        <v>174</v>
      </c>
      <c r="F18" s="1"/>
    </row>
    <row r="19" spans="1:6" ht="14.5" customHeight="1">
      <c r="A19" s="88" t="s">
        <v>165</v>
      </c>
      <c r="B19" s="9" t="s">
        <v>166</v>
      </c>
      <c r="C19" s="107">
        <f>'GS5038 ER Calcs'!E29</f>
        <v>0.95</v>
      </c>
      <c r="D19" s="9" t="s">
        <v>151</v>
      </c>
      <c r="E19" s="85" t="s">
        <v>138</v>
      </c>
      <c r="F19" s="1"/>
    </row>
    <row r="20" spans="1:6" ht="14.5" customHeight="1">
      <c r="A20" s="1"/>
      <c r="B20" s="1"/>
      <c r="C20" s="1"/>
      <c r="D20" s="1"/>
      <c r="E20" s="88"/>
      <c r="F20" s="1"/>
    </row>
    <row r="21" spans="1:6" s="32" customFormat="1" ht="14.5" customHeight="1">
      <c r="A21" s="128" t="s">
        <v>187</v>
      </c>
      <c r="B21" s="137" t="s">
        <v>146</v>
      </c>
      <c r="C21" s="137"/>
      <c r="D21" s="137" t="s">
        <v>148</v>
      </c>
      <c r="E21" s="139"/>
      <c r="F21" s="28"/>
    </row>
    <row r="22" spans="1:6" ht="14.5" customHeight="1">
      <c r="A22" s="88" t="s">
        <v>188</v>
      </c>
      <c r="B22" s="9" t="s">
        <v>189</v>
      </c>
      <c r="C22" s="108">
        <f>'GS5038 ER Calcs'!E38</f>
        <v>4108</v>
      </c>
      <c r="D22" s="9" t="s">
        <v>190</v>
      </c>
      <c r="E22" s="88" t="s">
        <v>191</v>
      </c>
      <c r="F22" s="1"/>
    </row>
    <row r="23" spans="1:6" ht="32.15" customHeight="1">
      <c r="A23" s="1"/>
      <c r="B23" s="1"/>
      <c r="C23" s="1"/>
      <c r="D23" s="1"/>
      <c r="E23" s="1"/>
      <c r="F23" s="1"/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446F2-F2B7-4791-A77B-3CC97351BF21}">
  <dimension ref="A1:Y39"/>
  <sheetViews>
    <sheetView topLeftCell="A5" zoomScale="90" zoomScaleNormal="90" workbookViewId="0">
      <selection activeCell="A30" sqref="A30"/>
    </sheetView>
  </sheetViews>
  <sheetFormatPr defaultColWidth="16.81640625" defaultRowHeight="14.5"/>
  <cols>
    <col min="1" max="1" width="77.1796875" bestFit="1" customWidth="1"/>
    <col min="2" max="2" width="15.7265625" bestFit="1" customWidth="1"/>
    <col min="3" max="3" width="10" bestFit="1" customWidth="1"/>
    <col min="4" max="4" width="11.81640625" bestFit="1" customWidth="1"/>
    <col min="5" max="5" width="16.453125" bestFit="1" customWidth="1"/>
    <col min="7" max="7" width="77.1796875" bestFit="1" customWidth="1"/>
    <col min="8" max="8" width="15.7265625" bestFit="1" customWidth="1"/>
    <col min="9" max="9" width="10" bestFit="1" customWidth="1"/>
    <col min="10" max="10" width="11.81640625" bestFit="1" customWidth="1"/>
    <col min="12" max="12" width="77.1796875" bestFit="1" customWidth="1"/>
    <col min="13" max="13" width="15.7265625" bestFit="1" customWidth="1"/>
    <col min="14" max="14" width="10" bestFit="1" customWidth="1"/>
    <col min="15" max="15" width="11.81640625" bestFit="1" customWidth="1"/>
    <col min="17" max="17" width="66.54296875" customWidth="1"/>
    <col min="22" max="22" width="56" customWidth="1"/>
  </cols>
  <sheetData>
    <row r="1" spans="1:25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  <c r="Q1" s="535" t="s">
        <v>276</v>
      </c>
      <c r="R1" s="535"/>
      <c r="S1" s="535"/>
      <c r="T1" s="535"/>
      <c r="V1" s="550"/>
      <c r="W1" s="550"/>
      <c r="X1" s="550"/>
      <c r="Y1" s="550"/>
    </row>
    <row r="2" spans="1: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2"/>
      <c r="R2" s="2"/>
      <c r="S2" s="2"/>
      <c r="T2" s="2"/>
      <c r="V2" s="1"/>
      <c r="W2" s="1"/>
      <c r="X2" s="1"/>
      <c r="Y2" s="1"/>
    </row>
    <row r="3" spans="1:25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  <c r="Q3" s="533" t="s">
        <v>91</v>
      </c>
      <c r="R3" s="519"/>
      <c r="S3" s="519"/>
      <c r="T3" s="519"/>
      <c r="V3" s="554"/>
      <c r="W3" s="554"/>
      <c r="X3" s="554"/>
      <c r="Y3" s="554"/>
    </row>
    <row r="4" spans="1:25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  <c r="Q4" s="9" t="s">
        <v>93</v>
      </c>
      <c r="R4" s="9" t="s">
        <v>94</v>
      </c>
      <c r="S4" s="9" t="s">
        <v>35</v>
      </c>
      <c r="T4" s="86">
        <v>0</v>
      </c>
      <c r="V4" s="1"/>
      <c r="W4" s="1"/>
      <c r="X4" s="1"/>
      <c r="Y4" s="1"/>
    </row>
    <row r="5" spans="1:25" ht="22.5" customHeight="1">
      <c r="A5" s="9" t="s">
        <v>96</v>
      </c>
      <c r="B5" s="9" t="s">
        <v>97</v>
      </c>
      <c r="C5" s="9"/>
      <c r="D5" s="87">
        <f>'GS7332 PTDs'!Q18</f>
        <v>1886671.5000000002</v>
      </c>
      <c r="E5" s="85" t="s">
        <v>207</v>
      </c>
      <c r="F5" s="2"/>
      <c r="G5" s="9" t="s">
        <v>96</v>
      </c>
      <c r="H5" s="9" t="s">
        <v>97</v>
      </c>
      <c r="I5" s="9"/>
      <c r="J5" s="87">
        <f>'GS7332 PTDs'!L18</f>
        <v>697319</v>
      </c>
      <c r="K5" s="2"/>
      <c r="L5" s="9" t="s">
        <v>96</v>
      </c>
      <c r="M5" s="9" t="s">
        <v>97</v>
      </c>
      <c r="N5" s="9"/>
      <c r="O5" s="87">
        <f>'GS7332 PTDs'!N18</f>
        <v>1189352.5</v>
      </c>
      <c r="Q5" s="9" t="s">
        <v>96</v>
      </c>
      <c r="R5" s="9" t="s">
        <v>97</v>
      </c>
      <c r="S5" s="9"/>
      <c r="T5" s="87">
        <f>'GS7332 PTDs'!$P$18</f>
        <v>55394.499999999993</v>
      </c>
      <c r="V5" s="1"/>
      <c r="W5" s="1"/>
      <c r="X5" s="1"/>
      <c r="Y5" s="501"/>
    </row>
    <row r="6" spans="1:25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  <c r="Q6" s="9" t="s">
        <v>99</v>
      </c>
      <c r="R6" s="9" t="s">
        <v>100</v>
      </c>
      <c r="S6" s="9" t="s">
        <v>101</v>
      </c>
      <c r="T6" s="86">
        <v>4.0000000000000002E-4</v>
      </c>
      <c r="V6" s="1"/>
      <c r="W6" s="1"/>
      <c r="X6" s="1"/>
      <c r="Y6" s="1"/>
    </row>
    <row r="7" spans="1:25" ht="43.5" customHeight="1">
      <c r="A7" s="88" t="s">
        <v>103</v>
      </c>
      <c r="B7" s="9" t="s">
        <v>104</v>
      </c>
      <c r="C7" s="9" t="s">
        <v>105</v>
      </c>
      <c r="D7" s="86">
        <v>7.5</v>
      </c>
      <c r="E7" s="85" t="s">
        <v>162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  <c r="Q7" s="88" t="s">
        <v>103</v>
      </c>
      <c r="R7" s="9" t="s">
        <v>104</v>
      </c>
      <c r="S7" s="9" t="s">
        <v>105</v>
      </c>
      <c r="T7" s="86">
        <v>7.5</v>
      </c>
      <c r="V7" s="180"/>
      <c r="W7" s="1"/>
      <c r="X7" s="1"/>
      <c r="Y7" s="1"/>
    </row>
    <row r="8" spans="1:25" ht="26.25" customHeight="1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  <c r="Q8" s="88" t="s">
        <v>107</v>
      </c>
      <c r="R8" s="9" t="s">
        <v>108</v>
      </c>
      <c r="S8" s="9" t="s">
        <v>105</v>
      </c>
      <c r="T8" s="86">
        <v>0</v>
      </c>
      <c r="V8" s="180"/>
      <c r="W8" s="1"/>
      <c r="X8" s="1"/>
      <c r="Y8" s="1"/>
    </row>
    <row r="9" spans="1:25">
      <c r="A9" s="9" t="s">
        <v>110</v>
      </c>
      <c r="B9" s="9" t="s">
        <v>111</v>
      </c>
      <c r="C9" s="9" t="s">
        <v>112</v>
      </c>
      <c r="D9" s="86">
        <f>ROUNDDOWN((1-D4)*D5*D6*(D7+D8),0)</f>
        <v>5660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2091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3568</v>
      </c>
      <c r="Q9" s="9" t="s">
        <v>110</v>
      </c>
      <c r="R9" s="9" t="s">
        <v>111</v>
      </c>
      <c r="S9" s="9" t="s">
        <v>112</v>
      </c>
      <c r="T9" s="86">
        <f>ROUNDDOWN((1-T4)*T5*T6*(T7+T8),0)</f>
        <v>166</v>
      </c>
      <c r="V9" s="1"/>
      <c r="W9" s="1"/>
      <c r="X9" s="1"/>
      <c r="Y9" s="1"/>
    </row>
    <row r="10" spans="1:25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Q10" s="2"/>
      <c r="R10" s="2"/>
      <c r="S10" s="2"/>
      <c r="T10" s="2"/>
      <c r="V10" s="1"/>
      <c r="W10" s="1"/>
      <c r="X10" s="1"/>
      <c r="Y10" s="1"/>
    </row>
    <row r="11" spans="1:25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  <c r="Q11" s="533" t="s">
        <v>113</v>
      </c>
      <c r="R11" s="519"/>
      <c r="S11" s="519"/>
      <c r="T11" s="519"/>
      <c r="V11" s="554"/>
      <c r="W11" s="554"/>
      <c r="X11" s="554"/>
      <c r="Y11" s="554"/>
    </row>
    <row r="12" spans="1:25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  <c r="Q12" s="9" t="s">
        <v>114</v>
      </c>
      <c r="R12" s="9" t="s">
        <v>94</v>
      </c>
      <c r="S12" s="9" t="s">
        <v>35</v>
      </c>
      <c r="T12" s="86">
        <v>0</v>
      </c>
      <c r="V12" s="1"/>
      <c r="W12" s="1"/>
      <c r="X12" s="1"/>
      <c r="Y12" s="1"/>
    </row>
    <row r="13" spans="1:25" ht="28.5" customHeight="1">
      <c r="A13" s="9" t="s">
        <v>96</v>
      </c>
      <c r="B13" s="9" t="s">
        <v>97</v>
      </c>
      <c r="C13" s="9"/>
      <c r="D13" s="87">
        <f>D5</f>
        <v>1886671.5000000002</v>
      </c>
      <c r="E13" s="85" t="s">
        <v>208</v>
      </c>
      <c r="F13" s="2"/>
      <c r="G13" s="9" t="s">
        <v>96</v>
      </c>
      <c r="H13" s="9" t="s">
        <v>97</v>
      </c>
      <c r="I13" s="9"/>
      <c r="J13" s="87">
        <f>J5</f>
        <v>697319</v>
      </c>
      <c r="K13" s="2"/>
      <c r="L13" s="9" t="s">
        <v>96</v>
      </c>
      <c r="M13" s="9" t="s">
        <v>97</v>
      </c>
      <c r="N13" s="9"/>
      <c r="O13" s="87">
        <f>O5</f>
        <v>1189352.5</v>
      </c>
      <c r="Q13" s="9" t="s">
        <v>96</v>
      </c>
      <c r="R13" s="9" t="s">
        <v>97</v>
      </c>
      <c r="S13" s="9"/>
      <c r="T13" s="87">
        <f>T5</f>
        <v>55394.499999999993</v>
      </c>
      <c r="V13" s="1"/>
      <c r="W13" s="1"/>
      <c r="X13" s="1"/>
      <c r="Y13" s="501"/>
    </row>
    <row r="14" spans="1:25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  <c r="Q14" s="9" t="s">
        <v>116</v>
      </c>
      <c r="R14" s="9" t="s">
        <v>117</v>
      </c>
      <c r="S14" s="9" t="s">
        <v>101</v>
      </c>
      <c r="T14" s="86">
        <v>4.0000000000000002E-4</v>
      </c>
      <c r="V14" s="1"/>
      <c r="W14" s="1"/>
      <c r="X14" s="1"/>
      <c r="Y14" s="1"/>
    </row>
    <row r="15" spans="1:25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  <c r="Q15" s="9" t="s">
        <v>118</v>
      </c>
      <c r="R15" s="9" t="s">
        <v>108</v>
      </c>
      <c r="S15" s="9" t="s">
        <v>105</v>
      </c>
      <c r="T15" s="86">
        <v>0</v>
      </c>
      <c r="V15" s="1"/>
      <c r="W15" s="1"/>
      <c r="X15" s="1"/>
      <c r="Y15" s="1"/>
    </row>
    <row r="16" spans="1:25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  <c r="Q16" s="9" t="s">
        <v>119</v>
      </c>
      <c r="R16" s="9" t="s">
        <v>120</v>
      </c>
      <c r="S16" s="9" t="s">
        <v>105</v>
      </c>
      <c r="T16" s="86">
        <v>0</v>
      </c>
      <c r="V16" s="1"/>
      <c r="W16" s="1"/>
      <c r="X16" s="1"/>
      <c r="Y16" s="1"/>
    </row>
    <row r="17" spans="1:25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121</v>
      </c>
      <c r="M17" s="9" t="s">
        <v>122</v>
      </c>
      <c r="N17" s="9" t="s">
        <v>112</v>
      </c>
      <c r="O17" s="86">
        <f>ROUNDDOWN((1+O12)*O13*O14*(O16+O16),0)</f>
        <v>0</v>
      </c>
      <c r="Q17" s="9" t="s">
        <v>121</v>
      </c>
      <c r="R17" s="9" t="s">
        <v>122</v>
      </c>
      <c r="S17" s="9" t="s">
        <v>112</v>
      </c>
      <c r="T17" s="86">
        <f>ROUNDDOWN((1+T12)*T13*T14*(T16+T16),0)</f>
        <v>0</v>
      </c>
      <c r="V17" s="1"/>
      <c r="W17" s="1"/>
      <c r="X17" s="1"/>
      <c r="Y17" s="1"/>
    </row>
    <row r="18" spans="1:25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  <c r="Q18" s="2"/>
      <c r="R18" s="2"/>
      <c r="S18" s="2"/>
      <c r="T18" s="2"/>
      <c r="V18" s="1"/>
      <c r="W18" s="1"/>
      <c r="X18" s="1"/>
      <c r="Y18" s="1"/>
    </row>
    <row r="19" spans="1:25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  <c r="Q19" s="533" t="s">
        <v>123</v>
      </c>
      <c r="R19" s="519"/>
      <c r="S19" s="519"/>
      <c r="T19" s="519"/>
      <c r="V19" s="554"/>
      <c r="W19" s="554"/>
      <c r="X19" s="554"/>
      <c r="Y19" s="554"/>
    </row>
    <row r="20" spans="1:25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  <c r="Q20" s="88" t="s">
        <v>124</v>
      </c>
      <c r="R20" s="9" t="s">
        <v>124</v>
      </c>
      <c r="S20" s="9" t="s">
        <v>125</v>
      </c>
      <c r="T20" s="86">
        <v>0.97</v>
      </c>
      <c r="V20" s="180"/>
      <c r="W20" s="1"/>
      <c r="X20" s="1"/>
      <c r="Y20" s="1"/>
    </row>
    <row r="21" spans="1:25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  <c r="Q21" s="9" t="s">
        <v>127</v>
      </c>
      <c r="R21" s="9" t="s">
        <v>130</v>
      </c>
      <c r="S21" s="9" t="s">
        <v>129</v>
      </c>
      <c r="T21" s="86">
        <v>112</v>
      </c>
      <c r="V21" s="1"/>
      <c r="W21" s="1"/>
      <c r="X21" s="1"/>
      <c r="Y21" s="1"/>
    </row>
    <row r="22" spans="1:25">
      <c r="A22" s="9" t="s">
        <v>131</v>
      </c>
      <c r="B22" s="9" t="s">
        <v>132</v>
      </c>
      <c r="C22" s="9" t="s">
        <v>133</v>
      </c>
      <c r="D22" s="361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D22</f>
        <v>9.4600000000000009</v>
      </c>
      <c r="Q22" s="9" t="s">
        <v>131</v>
      </c>
      <c r="R22" s="9" t="s">
        <v>134</v>
      </c>
      <c r="S22" s="9" t="s">
        <v>133</v>
      </c>
      <c r="T22" s="86">
        <f>D22</f>
        <v>9.4600000000000009</v>
      </c>
      <c r="V22" s="1"/>
      <c r="W22" s="1"/>
      <c r="X22" s="1"/>
      <c r="Y22" s="1"/>
    </row>
    <row r="23" spans="1:25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  <c r="Q23" s="9" t="s">
        <v>135</v>
      </c>
      <c r="R23" s="9" t="s">
        <v>136</v>
      </c>
      <c r="S23" s="9" t="s">
        <v>137</v>
      </c>
      <c r="T23" s="86">
        <v>1.5599999999999999E-2</v>
      </c>
      <c r="V23" s="1"/>
      <c r="W23" s="1"/>
      <c r="X23" s="1"/>
      <c r="Y23" s="1"/>
    </row>
    <row r="24" spans="1:25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  <c r="Q24" s="2"/>
      <c r="R24" s="2"/>
      <c r="S24" s="2"/>
      <c r="T24" s="2"/>
      <c r="V24" s="1"/>
      <c r="W24" s="1"/>
      <c r="X24" s="1"/>
      <c r="Y24" s="1"/>
    </row>
    <row r="25" spans="1:25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  <c r="Q25" s="533" t="s">
        <v>19</v>
      </c>
      <c r="R25" s="519"/>
      <c r="S25" s="519"/>
      <c r="T25" s="519"/>
      <c r="V25" s="554"/>
      <c r="W25" s="554"/>
      <c r="X25" s="554"/>
      <c r="Y25" s="554"/>
    </row>
    <row r="26" spans="1:25">
      <c r="A26" s="9" t="s">
        <v>28</v>
      </c>
      <c r="B26" s="9" t="s">
        <v>29</v>
      </c>
      <c r="C26" s="9" t="s">
        <v>30</v>
      </c>
      <c r="D26" s="87">
        <f>ROUNDDOWN(D9*((D20*D21)+D22)*D23,0)</f>
        <v>10427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3852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6573</v>
      </c>
      <c r="Q26" s="9" t="s">
        <v>28</v>
      </c>
      <c r="R26" s="9" t="s">
        <v>29</v>
      </c>
      <c r="S26" s="9" t="s">
        <v>30</v>
      </c>
      <c r="T26" s="87">
        <f>ROUNDDOWN(T9*((T20*T21)+T22)*T23,0)</f>
        <v>305</v>
      </c>
      <c r="V26" s="1"/>
      <c r="W26" s="1"/>
      <c r="X26" s="1"/>
      <c r="Y26" s="501"/>
    </row>
    <row r="27" spans="1:25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O17*((O20*O21)+O22)*O230</f>
        <v>0</v>
      </c>
      <c r="Q27" s="9" t="s">
        <v>31</v>
      </c>
      <c r="R27" s="9" t="s">
        <v>32</v>
      </c>
      <c r="S27" s="9" t="s">
        <v>30</v>
      </c>
      <c r="T27" s="86">
        <f>T17*((T20*T21)+T22)*T230</f>
        <v>0</v>
      </c>
      <c r="V27" s="1"/>
      <c r="W27" s="1"/>
      <c r="X27" s="1"/>
      <c r="Y27" s="1"/>
    </row>
    <row r="28" spans="1:25" ht="25.5" customHeight="1">
      <c r="A28" s="9" t="s">
        <v>33</v>
      </c>
      <c r="B28" s="9" t="s">
        <v>34</v>
      </c>
      <c r="C28" s="9" t="s">
        <v>35</v>
      </c>
      <c r="D28" s="86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6">
        <f>D28</f>
        <v>0.95</v>
      </c>
      <c r="K28" s="2"/>
      <c r="L28" s="9" t="s">
        <v>33</v>
      </c>
      <c r="M28" s="9" t="s">
        <v>34</v>
      </c>
      <c r="N28" s="9" t="s">
        <v>35</v>
      </c>
      <c r="O28" s="86">
        <f>D28</f>
        <v>0.95</v>
      </c>
      <c r="Q28" s="9" t="s">
        <v>33</v>
      </c>
      <c r="R28" s="9" t="s">
        <v>34</v>
      </c>
      <c r="S28" s="9" t="s">
        <v>35</v>
      </c>
      <c r="T28" s="86">
        <f>D28</f>
        <v>0.95</v>
      </c>
      <c r="V28" s="1"/>
      <c r="W28" s="1"/>
      <c r="X28" s="1"/>
      <c r="Y28" s="1"/>
    </row>
    <row r="29" spans="1:25">
      <c r="A29" s="9" t="s">
        <v>36</v>
      </c>
      <c r="B29" s="9" t="s">
        <v>37</v>
      </c>
      <c r="C29" s="9" t="s">
        <v>30</v>
      </c>
      <c r="D29" s="86">
        <v>0</v>
      </c>
      <c r="E29" s="302"/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  <c r="Q29" s="9" t="s">
        <v>36</v>
      </c>
      <c r="R29" s="9" t="s">
        <v>37</v>
      </c>
      <c r="S29" s="9" t="s">
        <v>30</v>
      </c>
      <c r="T29" s="86">
        <v>0</v>
      </c>
      <c r="V29" s="1"/>
      <c r="W29" s="1"/>
      <c r="X29" s="1"/>
      <c r="Y29" s="1"/>
    </row>
    <row r="30" spans="1:25">
      <c r="A30" s="9" t="s">
        <v>90</v>
      </c>
      <c r="B30" s="9" t="s">
        <v>39</v>
      </c>
      <c r="C30" s="9" t="s">
        <v>30</v>
      </c>
      <c r="D30" s="86">
        <f>ROUNDDOWN(((D26-D27)*D28)-D29,0)</f>
        <v>9905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3659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6244</v>
      </c>
      <c r="Q30" s="9" t="s">
        <v>90</v>
      </c>
      <c r="R30" s="9" t="s">
        <v>39</v>
      </c>
      <c r="S30" s="9" t="s">
        <v>30</v>
      </c>
      <c r="T30" s="86">
        <f>ROUNDDOWN(((T26-T27)*T28)-T29,0)</f>
        <v>289</v>
      </c>
      <c r="V30" s="1"/>
      <c r="W30" s="1"/>
      <c r="X30" s="1"/>
      <c r="Y30" s="1"/>
    </row>
    <row r="31" spans="1:25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  <c r="Q31" s="2"/>
      <c r="R31" s="2"/>
      <c r="S31" s="2"/>
      <c r="T31" s="2"/>
      <c r="V31" s="1"/>
      <c r="W31" s="1"/>
      <c r="X31" s="1"/>
      <c r="Y31" s="1"/>
    </row>
    <row r="32" spans="1:25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  <c r="Q32" s="533" t="s">
        <v>40</v>
      </c>
      <c r="R32" s="519"/>
      <c r="S32" s="519"/>
      <c r="T32" s="519"/>
      <c r="V32" s="554"/>
      <c r="W32" s="554"/>
      <c r="X32" s="554"/>
      <c r="Y32" s="554"/>
    </row>
    <row r="33" spans="1:25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M33" s="9"/>
      <c r="N33" s="16"/>
      <c r="O33" s="91">
        <v>1</v>
      </c>
      <c r="Q33" s="90" t="s">
        <v>41</v>
      </c>
      <c r="R33" s="9"/>
      <c r="S33" s="16"/>
      <c r="T33" s="91">
        <v>1</v>
      </c>
      <c r="V33" s="1"/>
      <c r="W33" s="1"/>
      <c r="X33" s="1"/>
      <c r="Y33" s="502"/>
    </row>
    <row r="34" spans="1:25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  <c r="Q34" s="90" t="s">
        <v>43</v>
      </c>
      <c r="R34" s="9" t="s">
        <v>42</v>
      </c>
      <c r="S34" s="16" t="s">
        <v>44</v>
      </c>
      <c r="T34" s="91">
        <v>0</v>
      </c>
      <c r="V34" s="1"/>
      <c r="W34" s="1"/>
      <c r="X34" s="1"/>
      <c r="Y34" s="502"/>
    </row>
    <row r="35" spans="1:25">
      <c r="A35" s="93" t="s">
        <v>140</v>
      </c>
      <c r="B35" s="94" t="s">
        <v>39</v>
      </c>
      <c r="C35" s="95" t="s">
        <v>30</v>
      </c>
      <c r="D35" s="246">
        <f>ROUNDDOWN(D30*(1-D34),0)</f>
        <v>9905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3659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6244</v>
      </c>
      <c r="Q35" s="93" t="s">
        <v>140</v>
      </c>
      <c r="R35" s="94" t="s">
        <v>39</v>
      </c>
      <c r="S35" s="95" t="s">
        <v>30</v>
      </c>
      <c r="T35" s="96">
        <f>ROUNDDOWN(T30*(1-T34),0)</f>
        <v>289</v>
      </c>
      <c r="V35" s="28"/>
      <c r="W35" s="28"/>
      <c r="X35" s="28"/>
      <c r="Y35" s="503"/>
    </row>
    <row r="36" spans="1: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  <c r="V36" s="1"/>
      <c r="W36" s="1"/>
      <c r="X36" s="1"/>
      <c r="Y36" s="1"/>
    </row>
    <row r="37" spans="1:25">
      <c r="A37" s="93" t="s">
        <v>141</v>
      </c>
      <c r="B37" s="94"/>
      <c r="C37" s="95" t="s">
        <v>30</v>
      </c>
      <c r="D37" s="96">
        <f>J37+O37+T37</f>
        <v>10192</v>
      </c>
      <c r="E37" s="2"/>
      <c r="F37" s="2"/>
      <c r="G37" s="93" t="s">
        <v>141</v>
      </c>
      <c r="H37" s="94"/>
      <c r="I37" s="95" t="s">
        <v>30</v>
      </c>
      <c r="J37" s="96">
        <f>J35</f>
        <v>3659</v>
      </c>
      <c r="K37" s="2"/>
      <c r="L37" s="93" t="s">
        <v>141</v>
      </c>
      <c r="M37" s="94"/>
      <c r="N37" s="95" t="s">
        <v>30</v>
      </c>
      <c r="O37" s="96">
        <f>O35</f>
        <v>6244</v>
      </c>
      <c r="Q37" s="93" t="s">
        <v>141</v>
      </c>
      <c r="R37" s="94"/>
      <c r="S37" s="95" t="s">
        <v>30</v>
      </c>
      <c r="T37" s="96">
        <f>T35</f>
        <v>289</v>
      </c>
      <c r="V37" s="28"/>
      <c r="W37" s="28"/>
      <c r="X37" s="28"/>
      <c r="Y37" s="503"/>
    </row>
    <row r="38" spans="1: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25">
      <c r="A39" s="1"/>
      <c r="B39" s="2"/>
      <c r="C39" s="2"/>
      <c r="D39" s="2"/>
      <c r="E39" s="2"/>
      <c r="F39" s="2"/>
      <c r="G39" s="1"/>
      <c r="H39" s="2"/>
      <c r="I39" s="2"/>
      <c r="J39" s="2"/>
      <c r="K39" s="2"/>
      <c r="L39" s="1"/>
      <c r="M39" s="2"/>
      <c r="N39" s="2"/>
      <c r="O39" s="2"/>
    </row>
  </sheetData>
  <mergeCells count="30">
    <mergeCell ref="A25:D25"/>
    <mergeCell ref="G25:J25"/>
    <mergeCell ref="L25:O25"/>
    <mergeCell ref="A32:D32"/>
    <mergeCell ref="G32:J32"/>
    <mergeCell ref="L32:O32"/>
    <mergeCell ref="A11:D11"/>
    <mergeCell ref="G11:J11"/>
    <mergeCell ref="L11:O11"/>
    <mergeCell ref="A19:D19"/>
    <mergeCell ref="G19:J19"/>
    <mergeCell ref="L19:O19"/>
    <mergeCell ref="A1:D1"/>
    <mergeCell ref="G1:J1"/>
    <mergeCell ref="L1:O1"/>
    <mergeCell ref="A3:D3"/>
    <mergeCell ref="G3:J3"/>
    <mergeCell ref="L3:O3"/>
    <mergeCell ref="Q32:T32"/>
    <mergeCell ref="V1:Y1"/>
    <mergeCell ref="V3:Y3"/>
    <mergeCell ref="V11:Y11"/>
    <mergeCell ref="V19:Y19"/>
    <mergeCell ref="V25:Y25"/>
    <mergeCell ref="V32:Y32"/>
    <mergeCell ref="Q1:T1"/>
    <mergeCell ref="Q3:T3"/>
    <mergeCell ref="Q11:T11"/>
    <mergeCell ref="Q19:T19"/>
    <mergeCell ref="Q25:T25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5A5C5-4312-4833-80D7-9D670E133D96}">
  <dimension ref="A1:E23"/>
  <sheetViews>
    <sheetView topLeftCell="A7" workbookViewId="0">
      <selection activeCell="C17" sqref="C17"/>
    </sheetView>
  </sheetViews>
  <sheetFormatPr defaultRowHeight="14.5"/>
  <cols>
    <col min="1" max="1" width="24.453125" customWidth="1"/>
    <col min="2" max="2" width="61.26953125" customWidth="1"/>
    <col min="3" max="3" width="32.26953125" customWidth="1"/>
    <col min="5" max="5" width="24.54296875" customWidth="1"/>
  </cols>
  <sheetData>
    <row r="1" spans="1:5" s="32" customFormat="1" ht="29">
      <c r="A1" s="128" t="s">
        <v>145</v>
      </c>
      <c r="B1" s="137" t="s">
        <v>146</v>
      </c>
      <c r="C1" s="137" t="s">
        <v>147</v>
      </c>
      <c r="D1" s="137" t="s">
        <v>148</v>
      </c>
      <c r="E1" s="184" t="s">
        <v>92</v>
      </c>
    </row>
    <row r="2" spans="1:5" ht="29">
      <c r="A2" s="100" t="s">
        <v>149</v>
      </c>
      <c r="B2" s="88" t="s">
        <v>150</v>
      </c>
      <c r="C2" s="129">
        <f>((C3-C4)/C3)*C8</f>
        <v>0.95</v>
      </c>
      <c r="D2" s="9" t="s">
        <v>151</v>
      </c>
      <c r="E2" s="88"/>
    </row>
    <row r="3" spans="1:5" ht="29">
      <c r="A3" s="9" t="s">
        <v>152</v>
      </c>
      <c r="B3" s="88" t="s">
        <v>153</v>
      </c>
      <c r="C3" s="54">
        <f>C5*C6</f>
        <v>3.0000000000000001E-3</v>
      </c>
      <c r="D3" s="9" t="s">
        <v>154</v>
      </c>
      <c r="E3" s="88"/>
    </row>
    <row r="4" spans="1:5" ht="29">
      <c r="A4" s="101" t="s">
        <v>155</v>
      </c>
      <c r="B4" s="88" t="s">
        <v>156</v>
      </c>
      <c r="C4" s="54">
        <f>C5*C7</f>
        <v>0</v>
      </c>
      <c r="D4" s="9" t="s">
        <v>154</v>
      </c>
      <c r="E4" s="88"/>
    </row>
    <row r="5" spans="1:5" ht="29">
      <c r="A5" s="9" t="s">
        <v>100</v>
      </c>
      <c r="B5" s="88" t="s">
        <v>158</v>
      </c>
      <c r="C5" s="54">
        <f>'GS7332 ER Calcs'!D6</f>
        <v>4.0000000000000002E-4</v>
      </c>
      <c r="D5" s="9" t="s">
        <v>159</v>
      </c>
      <c r="E5" s="85" t="s">
        <v>102</v>
      </c>
    </row>
    <row r="6" spans="1:5" ht="29">
      <c r="A6" s="9" t="s">
        <v>104</v>
      </c>
      <c r="B6" s="88" t="s">
        <v>160</v>
      </c>
      <c r="C6" s="54">
        <v>7.5</v>
      </c>
      <c r="D6" s="9" t="s">
        <v>161</v>
      </c>
      <c r="E6" s="85" t="s">
        <v>162</v>
      </c>
    </row>
    <row r="7" spans="1:5" ht="29">
      <c r="A7" s="9" t="s">
        <v>163</v>
      </c>
      <c r="B7" s="88" t="s">
        <v>164</v>
      </c>
      <c r="C7" s="54">
        <v>0</v>
      </c>
      <c r="D7" s="9" t="s">
        <v>161</v>
      </c>
      <c r="E7" s="85" t="s">
        <v>109</v>
      </c>
    </row>
    <row r="8" spans="1:5" ht="30">
      <c r="A8" s="9" t="s">
        <v>209</v>
      </c>
      <c r="B8" s="88" t="s">
        <v>166</v>
      </c>
      <c r="C8" s="172">
        <f>'GS7332 ER Calcs'!D28</f>
        <v>0.95</v>
      </c>
      <c r="D8" s="9" t="s">
        <v>151</v>
      </c>
      <c r="E8" s="85" t="s">
        <v>138</v>
      </c>
    </row>
    <row r="9" spans="1:5">
      <c r="A9" s="1"/>
      <c r="B9" s="1"/>
      <c r="C9" s="1"/>
      <c r="D9" s="1"/>
      <c r="E9" s="88"/>
    </row>
    <row r="10" spans="1:5">
      <c r="A10" s="98" t="s">
        <v>167</v>
      </c>
      <c r="B10" s="98" t="s">
        <v>146</v>
      </c>
      <c r="C10" s="98" t="s">
        <v>168</v>
      </c>
      <c r="D10" s="98" t="s">
        <v>148</v>
      </c>
      <c r="E10" s="88"/>
    </row>
    <row r="11" spans="1:5">
      <c r="A11" s="88" t="s">
        <v>169</v>
      </c>
      <c r="B11" s="9" t="s">
        <v>170</v>
      </c>
      <c r="C11" s="105">
        <f>C13-C12</f>
        <v>0.72</v>
      </c>
      <c r="D11" s="9" t="s">
        <v>171</v>
      </c>
      <c r="E11" s="88" t="s">
        <v>174</v>
      </c>
    </row>
    <row r="12" spans="1:5">
      <c r="A12" s="88" t="s">
        <v>211</v>
      </c>
      <c r="B12" s="9" t="s">
        <v>173</v>
      </c>
      <c r="C12" s="9">
        <v>0</v>
      </c>
      <c r="D12" s="9" t="s">
        <v>171</v>
      </c>
      <c r="E12" s="88" t="s">
        <v>213</v>
      </c>
    </row>
    <row r="13" spans="1:5">
      <c r="A13" s="88" t="s">
        <v>212</v>
      </c>
      <c r="B13" s="9" t="s">
        <v>176</v>
      </c>
      <c r="C13" s="478">
        <v>0.72</v>
      </c>
      <c r="D13" s="9" t="s">
        <v>171</v>
      </c>
      <c r="E13" s="88"/>
    </row>
    <row r="14" spans="1:5">
      <c r="A14" s="1"/>
      <c r="B14" s="1"/>
      <c r="C14" s="1"/>
      <c r="D14" s="1"/>
      <c r="E14" s="88"/>
    </row>
    <row r="15" spans="1:5" s="32" customFormat="1" ht="29">
      <c r="A15" s="128" t="s">
        <v>178</v>
      </c>
      <c r="B15" s="137" t="s">
        <v>146</v>
      </c>
      <c r="C15" s="137" t="s">
        <v>179</v>
      </c>
      <c r="D15" s="137" t="s">
        <v>148</v>
      </c>
      <c r="E15" s="139"/>
    </row>
    <row r="16" spans="1:5">
      <c r="A16" s="88" t="s">
        <v>180</v>
      </c>
      <c r="B16" s="9" t="s">
        <v>181</v>
      </c>
      <c r="C16" s="105">
        <f>ROUNDDOWN(C17*(1-C18)*C19,0)</f>
        <v>3258</v>
      </c>
      <c r="D16" s="9" t="s">
        <v>182</v>
      </c>
      <c r="E16" s="180"/>
    </row>
    <row r="17" spans="1:5">
      <c r="A17" s="88" t="s">
        <v>183</v>
      </c>
      <c r="B17" s="9" t="s">
        <v>184</v>
      </c>
      <c r="C17" s="9">
        <f>'GS7332 PTDs'!H8</f>
        <v>3430</v>
      </c>
      <c r="D17" s="9" t="s">
        <v>182</v>
      </c>
      <c r="E17" s="88" t="s">
        <v>228</v>
      </c>
    </row>
    <row r="18" spans="1:5">
      <c r="A18" s="88" t="s">
        <v>94</v>
      </c>
      <c r="B18" s="9" t="s">
        <v>186</v>
      </c>
      <c r="C18" s="106">
        <f>'GS7330 ER Calcs'!D4</f>
        <v>0</v>
      </c>
      <c r="D18" s="9" t="s">
        <v>151</v>
      </c>
      <c r="E18" s="88" t="s">
        <v>174</v>
      </c>
    </row>
    <row r="19" spans="1:5" ht="30">
      <c r="A19" s="88" t="s">
        <v>209</v>
      </c>
      <c r="B19" s="9" t="s">
        <v>166</v>
      </c>
      <c r="C19" s="173">
        <f>'GS7332 ER Calcs'!D28</f>
        <v>0.95</v>
      </c>
      <c r="D19" s="9" t="s">
        <v>151</v>
      </c>
      <c r="E19" s="85" t="s">
        <v>138</v>
      </c>
    </row>
    <row r="20" spans="1:5">
      <c r="A20" s="1"/>
      <c r="B20" s="1"/>
      <c r="C20" s="1"/>
      <c r="D20" s="1"/>
      <c r="E20" s="88"/>
    </row>
    <row r="21" spans="1:5" s="32" customFormat="1">
      <c r="A21" s="128" t="s">
        <v>187</v>
      </c>
      <c r="B21" s="137" t="s">
        <v>146</v>
      </c>
      <c r="C21" s="137"/>
      <c r="D21" s="137" t="s">
        <v>148</v>
      </c>
      <c r="E21" s="139"/>
    </row>
    <row r="22" spans="1:5">
      <c r="A22" s="88" t="s">
        <v>188</v>
      </c>
      <c r="B22" s="9" t="s">
        <v>189</v>
      </c>
      <c r="C22" s="108">
        <f>'GS7332 ER Calcs'!D37</f>
        <v>6338</v>
      </c>
      <c r="D22" s="9" t="s">
        <v>190</v>
      </c>
      <c r="E22" s="88" t="s">
        <v>191</v>
      </c>
    </row>
    <row r="23" spans="1:5">
      <c r="A23" s="1"/>
      <c r="B23" s="1"/>
      <c r="C23" s="1"/>
      <c r="D23" s="1"/>
      <c r="E23" s="180"/>
    </row>
  </sheetData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43F0-A521-48C8-AE5B-7376AAD4062C}">
  <dimension ref="D1:S50"/>
  <sheetViews>
    <sheetView topLeftCell="D1" workbookViewId="0">
      <selection activeCell="P9" sqref="P9"/>
    </sheetView>
  </sheetViews>
  <sheetFormatPr defaultRowHeight="14.5"/>
  <cols>
    <col min="4" max="4" width="39" bestFit="1" customWidth="1"/>
    <col min="7" max="7" width="9" customWidth="1"/>
    <col min="18" max="18" width="9.453125" customWidth="1"/>
  </cols>
  <sheetData>
    <row r="1" spans="4:19" ht="37" customHeight="1" thickBot="1">
      <c r="D1" s="521" t="s">
        <v>275</v>
      </c>
      <c r="E1" s="522"/>
      <c r="F1" s="522"/>
      <c r="G1" s="522"/>
      <c r="H1" s="4"/>
      <c r="I1" s="4"/>
      <c r="J1" s="4"/>
      <c r="K1" s="521" t="s">
        <v>16</v>
      </c>
      <c r="L1" s="522"/>
      <c r="M1" s="522"/>
      <c r="N1" s="522"/>
      <c r="O1" s="522"/>
      <c r="P1" s="522"/>
      <c r="Q1" s="522"/>
      <c r="R1" s="522"/>
      <c r="S1" s="2"/>
    </row>
    <row r="2" spans="4:19" ht="15" thickBot="1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"/>
      <c r="S2" s="2"/>
    </row>
    <row r="3" spans="4:19" ht="14.5" customHeight="1">
      <c r="D3" s="523" t="s">
        <v>17</v>
      </c>
      <c r="E3" s="524"/>
      <c r="F3" s="524"/>
      <c r="G3" s="524"/>
      <c r="H3" s="2"/>
      <c r="I3" s="4"/>
      <c r="J3" s="4"/>
      <c r="K3" s="528" t="s">
        <v>18</v>
      </c>
      <c r="L3" s="529"/>
      <c r="M3" s="529"/>
      <c r="N3" s="529"/>
      <c r="O3" s="529"/>
      <c r="P3" s="529"/>
      <c r="Q3" s="529"/>
      <c r="R3" s="529"/>
      <c r="S3" s="2"/>
    </row>
    <row r="4" spans="4:19" ht="29">
      <c r="D4" s="518" t="s">
        <v>19</v>
      </c>
      <c r="E4" s="519"/>
      <c r="F4" s="519"/>
      <c r="G4" s="519"/>
      <c r="H4" s="2"/>
      <c r="I4" s="4"/>
      <c r="J4" s="4"/>
      <c r="K4" s="6" t="s">
        <v>20</v>
      </c>
      <c r="L4" s="7" t="s">
        <v>21</v>
      </c>
      <c r="M4" s="6" t="s">
        <v>22</v>
      </c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2"/>
    </row>
    <row r="5" spans="4:19">
      <c r="D5" s="8" t="s">
        <v>28</v>
      </c>
      <c r="E5" s="9" t="s">
        <v>29</v>
      </c>
      <c r="F5" s="9" t="s">
        <v>30</v>
      </c>
      <c r="G5" s="10">
        <f>'GS7333 ER Calcs'!J26</f>
        <v>2384</v>
      </c>
      <c r="H5" s="2"/>
      <c r="I5" s="4"/>
      <c r="J5" s="4"/>
      <c r="K5" s="11">
        <v>2017</v>
      </c>
      <c r="L5" s="12" t="s">
        <v>352</v>
      </c>
      <c r="M5" s="13">
        <v>1863</v>
      </c>
      <c r="N5" s="13" t="s">
        <v>352</v>
      </c>
      <c r="O5" s="13"/>
      <c r="P5" s="13"/>
      <c r="R5" s="11">
        <f>SUM(M5:O5)</f>
        <v>1863</v>
      </c>
      <c r="S5" s="2" t="s">
        <v>334</v>
      </c>
    </row>
    <row r="6" spans="4:19">
      <c r="D6" s="8" t="s">
        <v>31</v>
      </c>
      <c r="E6" s="9" t="s">
        <v>32</v>
      </c>
      <c r="F6" s="9" t="s">
        <v>30</v>
      </c>
      <c r="G6" s="14">
        <f>'GS7333 ER Calcs'!J27</f>
        <v>0</v>
      </c>
      <c r="H6" s="2"/>
      <c r="I6" s="4"/>
      <c r="J6" s="4"/>
      <c r="K6" s="11">
        <v>2018</v>
      </c>
      <c r="L6" s="12" t="s">
        <v>352</v>
      </c>
      <c r="M6" s="12">
        <v>10000</v>
      </c>
      <c r="N6" s="13" t="s">
        <v>352</v>
      </c>
      <c r="O6" s="13"/>
      <c r="P6" s="13"/>
      <c r="R6" s="11">
        <f>SUM(M6:O6)</f>
        <v>10000</v>
      </c>
      <c r="S6" s="2"/>
    </row>
    <row r="7" spans="4:19">
      <c r="D7" s="8" t="s">
        <v>33</v>
      </c>
      <c r="E7" s="9" t="s">
        <v>34</v>
      </c>
      <c r="F7" s="9" t="s">
        <v>35</v>
      </c>
      <c r="G7" s="14">
        <f>'GS7333 ER Calcs'!J28</f>
        <v>0.95</v>
      </c>
      <c r="H7" s="2"/>
      <c r="I7" s="4"/>
      <c r="J7" s="4"/>
      <c r="K7" s="11">
        <v>2019</v>
      </c>
      <c r="L7" s="12" t="s">
        <v>352</v>
      </c>
      <c r="M7" s="12">
        <v>4137</v>
      </c>
      <c r="N7" s="12">
        <v>1908</v>
      </c>
      <c r="O7" s="12"/>
      <c r="P7" s="12"/>
      <c r="R7" s="11">
        <f>SUM(M7:O7)</f>
        <v>6045</v>
      </c>
      <c r="S7" s="2"/>
    </row>
    <row r="8" spans="4:19">
      <c r="D8" s="8" t="s">
        <v>36</v>
      </c>
      <c r="E8" s="9" t="s">
        <v>37</v>
      </c>
      <c r="F8" s="9" t="s">
        <v>30</v>
      </c>
      <c r="G8" s="14">
        <f>'GS7333 ER Calcs'!J29</f>
        <v>0</v>
      </c>
      <c r="H8" s="2"/>
      <c r="I8" s="4"/>
      <c r="J8" s="4"/>
      <c r="K8" s="11">
        <v>2020</v>
      </c>
      <c r="L8" s="12" t="s">
        <v>352</v>
      </c>
      <c r="M8" s="12" t="s">
        <v>352</v>
      </c>
      <c r="N8" s="12">
        <v>1354</v>
      </c>
      <c r="O8" s="237">
        <v>1806</v>
      </c>
      <c r="P8" s="237"/>
      <c r="R8" s="11">
        <f>SUM(M8:P8)</f>
        <v>3160</v>
      </c>
      <c r="S8" s="2"/>
    </row>
    <row r="9" spans="4:19">
      <c r="D9" s="8"/>
      <c r="E9" s="9"/>
      <c r="F9" s="9"/>
      <c r="G9" s="14"/>
      <c r="H9" s="2"/>
      <c r="I9" s="4"/>
      <c r="J9" s="4"/>
      <c r="K9" s="11">
        <v>2021</v>
      </c>
      <c r="L9" s="12"/>
      <c r="M9" s="12"/>
      <c r="N9" s="12"/>
      <c r="O9" s="237">
        <v>1282</v>
      </c>
      <c r="P9" s="237">
        <v>1919</v>
      </c>
      <c r="R9" s="11">
        <f>SUM(M9:Q9)</f>
        <v>3201</v>
      </c>
      <c r="S9" s="2"/>
    </row>
    <row r="10" spans="4:19">
      <c r="D10" s="8"/>
      <c r="E10" s="9"/>
      <c r="F10" s="9"/>
      <c r="G10" s="14"/>
      <c r="H10" s="2"/>
      <c r="I10" s="4"/>
      <c r="J10" s="4"/>
      <c r="K10" s="11">
        <v>2022</v>
      </c>
      <c r="L10" s="12"/>
      <c r="M10" s="12"/>
      <c r="N10" s="12"/>
      <c r="O10" s="237"/>
      <c r="P10" s="237">
        <v>1353</v>
      </c>
      <c r="Q10" s="366">
        <f>G46</f>
        <v>2264</v>
      </c>
      <c r="R10" s="11">
        <f t="shared" ref="R10:R12" si="0">SUM(M10:Q10)</f>
        <v>3617</v>
      </c>
      <c r="S10" s="2"/>
    </row>
    <row r="11" spans="4:19">
      <c r="D11" s="8" t="s">
        <v>38</v>
      </c>
      <c r="E11" s="9" t="s">
        <v>39</v>
      </c>
      <c r="F11" s="9" t="s">
        <v>30</v>
      </c>
      <c r="G11" s="10">
        <f>'GS7333 ER Calcs'!J30</f>
        <v>2264</v>
      </c>
      <c r="H11" s="2"/>
      <c r="I11" s="4"/>
      <c r="J11" s="4"/>
      <c r="K11" s="11">
        <v>2023</v>
      </c>
      <c r="Q11" s="366">
        <f t="shared" ref="Q11:Q12" si="1">G47</f>
        <v>3862</v>
      </c>
      <c r="R11" s="11">
        <f t="shared" si="0"/>
        <v>3862</v>
      </c>
      <c r="S11" s="2"/>
    </row>
    <row r="12" spans="4:19">
      <c r="D12" s="518" t="s">
        <v>40</v>
      </c>
      <c r="E12" s="519"/>
      <c r="F12" s="519"/>
      <c r="G12" s="519"/>
      <c r="H12" s="2"/>
      <c r="I12" s="4"/>
      <c r="J12" s="4"/>
      <c r="K12" s="11">
        <v>2024</v>
      </c>
      <c r="L12" s="2"/>
      <c r="M12" s="2"/>
      <c r="N12" s="18"/>
      <c r="O12" s="2"/>
      <c r="P12" s="2"/>
      <c r="Q12" s="366">
        <f t="shared" si="1"/>
        <v>177</v>
      </c>
      <c r="R12" s="11">
        <f t="shared" si="0"/>
        <v>177</v>
      </c>
      <c r="S12" s="2"/>
    </row>
    <row r="13" spans="4:19">
      <c r="D13" s="15" t="s">
        <v>41</v>
      </c>
      <c r="E13" s="9"/>
      <c r="F13" s="16"/>
      <c r="G13" s="17">
        <f>'GS7333 ER Calcs'!J33</f>
        <v>1</v>
      </c>
      <c r="H13" s="2"/>
      <c r="I13" s="4"/>
      <c r="J13" s="4"/>
      <c r="K13" s="18" t="s">
        <v>13</v>
      </c>
      <c r="L13" s="18">
        <v>0</v>
      </c>
      <c r="M13" s="18">
        <f>SUM(M5:M10)</f>
        <v>16000</v>
      </c>
      <c r="N13" s="18">
        <f>SUM(N5:N10)</f>
        <v>3262</v>
      </c>
      <c r="O13" s="18">
        <f>SUM(O5:O10)</f>
        <v>3088</v>
      </c>
      <c r="P13" s="18">
        <f>SUM(P5:P12)</f>
        <v>3272</v>
      </c>
      <c r="Q13" s="18">
        <f>SUM(Q5:Q12)</f>
        <v>6303</v>
      </c>
      <c r="R13" s="18">
        <f>SUM(L13:Q13)</f>
        <v>31925</v>
      </c>
      <c r="S13" s="2"/>
    </row>
    <row r="14" spans="4:19">
      <c r="D14" s="15" t="s">
        <v>43</v>
      </c>
      <c r="E14" s="9" t="s">
        <v>42</v>
      </c>
      <c r="F14" s="16" t="s">
        <v>44</v>
      </c>
      <c r="G14" s="17">
        <f>'GS7333 ER Calcs'!J34</f>
        <v>0</v>
      </c>
      <c r="H14" s="2"/>
      <c r="I14" s="4"/>
      <c r="J14" s="4"/>
      <c r="K14" s="4"/>
      <c r="L14" s="4"/>
      <c r="M14" s="4"/>
      <c r="N14" s="4"/>
      <c r="O14" s="4"/>
      <c r="P14" s="4"/>
      <c r="Q14" s="4"/>
      <c r="R14" s="2"/>
      <c r="S14" s="2"/>
    </row>
    <row r="15" spans="4:19" ht="15" thickBot="1">
      <c r="D15" s="21" t="s">
        <v>38</v>
      </c>
      <c r="E15" s="22" t="s">
        <v>39</v>
      </c>
      <c r="F15" s="22" t="s">
        <v>30</v>
      </c>
      <c r="G15" s="23">
        <f>'GS7333 ER Calcs'!J35</f>
        <v>2264</v>
      </c>
      <c r="H15" s="2"/>
      <c r="I15" s="4"/>
      <c r="J15" s="4"/>
      <c r="K15" s="4"/>
      <c r="L15" s="4"/>
      <c r="M15" s="4"/>
      <c r="N15" s="4"/>
      <c r="O15" s="4"/>
      <c r="P15" s="4"/>
      <c r="Q15" s="4"/>
      <c r="R15" s="2"/>
      <c r="S15" s="2"/>
    </row>
    <row r="16" spans="4:19" ht="15" thickBot="1">
      <c r="D16" s="21" t="s">
        <v>45</v>
      </c>
      <c r="E16" s="22" t="s">
        <v>39</v>
      </c>
      <c r="F16" s="22" t="s">
        <v>30</v>
      </c>
      <c r="G16" s="23">
        <f>'GS7333 ER Calcs'!J37</f>
        <v>2264</v>
      </c>
      <c r="H16" s="2"/>
      <c r="I16" s="4"/>
      <c r="J16" s="4"/>
      <c r="K16" s="4"/>
      <c r="L16" s="4"/>
      <c r="M16" s="4"/>
      <c r="N16" s="4"/>
      <c r="O16" s="4"/>
      <c r="P16" s="4"/>
      <c r="Q16" s="4"/>
      <c r="R16" s="2"/>
      <c r="S16" s="2"/>
    </row>
    <row r="17" spans="4:19" ht="15" thickBot="1">
      <c r="D17" s="4"/>
      <c r="E17" s="4"/>
      <c r="F17" s="4"/>
      <c r="G17" s="4"/>
      <c r="H17" s="2"/>
      <c r="I17" s="4"/>
      <c r="J17" s="4"/>
      <c r="K17" s="4"/>
      <c r="L17" s="4"/>
      <c r="M17" s="4"/>
      <c r="N17" s="4"/>
      <c r="O17" s="4"/>
      <c r="P17" s="4"/>
      <c r="Q17" s="4"/>
      <c r="R17" s="2"/>
      <c r="S17" s="2"/>
    </row>
    <row r="18" spans="4:19" ht="14.5" customHeight="1">
      <c r="D18" s="523" t="s">
        <v>46</v>
      </c>
      <c r="E18" s="524"/>
      <c r="F18" s="524"/>
      <c r="G18" s="524"/>
      <c r="H18" s="4"/>
      <c r="I18" s="4"/>
      <c r="J18" s="4"/>
      <c r="K18" s="4"/>
      <c r="L18" s="4"/>
      <c r="M18" s="4"/>
      <c r="N18" s="4"/>
      <c r="O18" s="4"/>
      <c r="P18" s="4"/>
      <c r="Q18" s="4"/>
      <c r="R18" s="2"/>
      <c r="S18" s="2"/>
    </row>
    <row r="19" spans="4:19">
      <c r="D19" s="518" t="s">
        <v>19</v>
      </c>
      <c r="E19" s="519"/>
      <c r="F19" s="519"/>
      <c r="G19" s="519"/>
      <c r="H19" s="4"/>
      <c r="I19" s="4"/>
      <c r="J19" s="4"/>
      <c r="K19" s="4"/>
      <c r="L19" s="4"/>
      <c r="M19" s="4"/>
      <c r="N19" s="4"/>
      <c r="O19" s="4"/>
      <c r="P19" s="4"/>
      <c r="Q19" s="4"/>
      <c r="R19" s="2"/>
      <c r="S19" s="2"/>
    </row>
    <row r="20" spans="4:19">
      <c r="D20" s="8" t="s">
        <v>28</v>
      </c>
      <c r="E20" s="9" t="s">
        <v>29</v>
      </c>
      <c r="F20" s="9" t="s">
        <v>30</v>
      </c>
      <c r="G20" s="10">
        <f>'GS7333 ER Calcs'!O26</f>
        <v>4066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2"/>
      <c r="S20" s="2"/>
    </row>
    <row r="21" spans="4:19">
      <c r="D21" s="8" t="s">
        <v>31</v>
      </c>
      <c r="E21" s="9" t="s">
        <v>32</v>
      </c>
      <c r="F21" s="9" t="s">
        <v>30</v>
      </c>
      <c r="G21" s="14">
        <f>'GS7333 ER Calcs'!O27</f>
        <v>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2"/>
      <c r="S21" s="2"/>
    </row>
    <row r="22" spans="4:19">
      <c r="D22" s="8" t="s">
        <v>33</v>
      </c>
      <c r="E22" s="9" t="s">
        <v>34</v>
      </c>
      <c r="F22" s="9" t="s">
        <v>35</v>
      </c>
      <c r="G22" s="14">
        <f>'GS7333 ER Calcs'!O28</f>
        <v>0.95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2"/>
      <c r="S22" s="2"/>
    </row>
    <row r="23" spans="4:19">
      <c r="D23" s="8" t="s">
        <v>36</v>
      </c>
      <c r="E23" s="9" t="s">
        <v>37</v>
      </c>
      <c r="F23" s="9" t="s">
        <v>30</v>
      </c>
      <c r="G23" s="14">
        <f>'GS7333 ER Calcs'!O29</f>
        <v>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2"/>
      <c r="S23" s="2"/>
    </row>
    <row r="24" spans="4:19">
      <c r="D24" s="8" t="s">
        <v>38</v>
      </c>
      <c r="E24" s="9" t="s">
        <v>39</v>
      </c>
      <c r="F24" s="9" t="s">
        <v>30</v>
      </c>
      <c r="G24" s="10">
        <f>'GS7333 ER Calcs'!O30</f>
        <v>3862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2"/>
      <c r="S24" s="2"/>
    </row>
    <row r="25" spans="4:19">
      <c r="D25" s="518" t="s">
        <v>40</v>
      </c>
      <c r="E25" s="519"/>
      <c r="F25" s="519"/>
      <c r="G25" s="519"/>
      <c r="H25" s="4"/>
      <c r="I25" s="4"/>
      <c r="J25" s="4"/>
      <c r="K25" s="4"/>
      <c r="L25" s="4"/>
      <c r="M25" s="4"/>
      <c r="N25" s="4"/>
      <c r="O25" s="4"/>
      <c r="P25" s="4"/>
      <c r="Q25" s="4"/>
      <c r="R25" s="2"/>
      <c r="S25" s="2"/>
    </row>
    <row r="26" spans="4:19">
      <c r="D26" s="15" t="s">
        <v>41</v>
      </c>
      <c r="E26" s="9"/>
      <c r="F26" s="16"/>
      <c r="G26" s="17">
        <f>'GS7333 ER Calcs'!O33</f>
        <v>1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2"/>
      <c r="S26" s="2"/>
    </row>
    <row r="27" spans="4:19">
      <c r="D27" s="15" t="s">
        <v>43</v>
      </c>
      <c r="E27" s="9" t="s">
        <v>42</v>
      </c>
      <c r="F27" s="16" t="s">
        <v>44</v>
      </c>
      <c r="G27" s="17">
        <f>'GS7333 ER Calcs'!O34</f>
        <v>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2"/>
      <c r="S27" s="2"/>
    </row>
    <row r="28" spans="4:19" ht="15" thickBot="1">
      <c r="D28" s="21" t="s">
        <v>38</v>
      </c>
      <c r="E28" s="22" t="s">
        <v>39</v>
      </c>
      <c r="F28" s="22" t="s">
        <v>30</v>
      </c>
      <c r="G28" s="23">
        <f>'GS7333 ER Calcs'!O35</f>
        <v>3862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2"/>
      <c r="S28" s="2"/>
    </row>
    <row r="29" spans="4:19" ht="15" thickBot="1">
      <c r="D29" s="21" t="s">
        <v>45</v>
      </c>
      <c r="E29" s="22" t="s">
        <v>39</v>
      </c>
      <c r="F29" s="22" t="s">
        <v>30</v>
      </c>
      <c r="G29" s="23">
        <f>'GS7333 ER Calcs'!O37</f>
        <v>3862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2"/>
      <c r="S29" s="2"/>
    </row>
    <row r="30" spans="4:19" ht="15" thickBot="1">
      <c r="D30" s="2"/>
      <c r="E30" s="508"/>
      <c r="F30" s="508"/>
      <c r="G30" s="2"/>
      <c r="H30" s="4"/>
      <c r="I30" s="4"/>
      <c r="J30" s="4"/>
      <c r="K30" s="4"/>
      <c r="L30" s="4"/>
      <c r="M30" s="4"/>
      <c r="N30" s="4"/>
      <c r="O30" s="4"/>
      <c r="P30" s="4"/>
      <c r="Q30" s="4"/>
      <c r="R30" s="2"/>
      <c r="S30" s="2"/>
    </row>
    <row r="31" spans="4:19">
      <c r="D31" s="523" t="s">
        <v>276</v>
      </c>
      <c r="E31" s="524"/>
      <c r="F31" s="524"/>
      <c r="G31" s="524"/>
      <c r="H31" s="4"/>
      <c r="I31" s="4"/>
      <c r="J31" s="4"/>
      <c r="K31" s="4"/>
      <c r="L31" s="4"/>
      <c r="M31" s="4"/>
      <c r="N31" s="4"/>
      <c r="O31" s="4"/>
      <c r="P31" s="4"/>
      <c r="Q31" s="4"/>
      <c r="R31" s="2"/>
      <c r="S31" s="2"/>
    </row>
    <row r="32" spans="4:19">
      <c r="D32" s="518" t="s">
        <v>19</v>
      </c>
      <c r="E32" s="519"/>
      <c r="F32" s="519"/>
      <c r="G32" s="519"/>
      <c r="H32" s="4"/>
      <c r="I32" s="4"/>
      <c r="J32" s="4"/>
      <c r="K32" s="4"/>
      <c r="L32" s="4"/>
      <c r="M32" s="4"/>
      <c r="N32" s="4"/>
      <c r="O32" s="4"/>
      <c r="P32" s="4"/>
      <c r="Q32" s="4"/>
      <c r="R32" s="2"/>
      <c r="S32" s="2"/>
    </row>
    <row r="33" spans="4:19">
      <c r="D33" s="8" t="s">
        <v>28</v>
      </c>
      <c r="E33" s="9" t="s">
        <v>29</v>
      </c>
      <c r="F33" s="9" t="s">
        <v>30</v>
      </c>
      <c r="G33" s="10">
        <f>'GS7333 ER Calcs'!T26</f>
        <v>187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2"/>
      <c r="S33" s="2"/>
    </row>
    <row r="34" spans="4:19">
      <c r="D34" s="8" t="s">
        <v>31</v>
      </c>
      <c r="E34" s="9" t="s">
        <v>32</v>
      </c>
      <c r="F34" s="9" t="s">
        <v>30</v>
      </c>
      <c r="G34" s="10">
        <f>'GS7333 ER Calcs'!T27</f>
        <v>0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2"/>
      <c r="S34" s="2"/>
    </row>
    <row r="35" spans="4:19">
      <c r="D35" s="8" t="s">
        <v>33</v>
      </c>
      <c r="E35" s="9" t="s">
        <v>34</v>
      </c>
      <c r="F35" s="9" t="s">
        <v>35</v>
      </c>
      <c r="G35" s="10">
        <f>'GS7333 ER Calcs'!T28</f>
        <v>0.95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2"/>
      <c r="S35" s="2"/>
    </row>
    <row r="36" spans="4:19">
      <c r="D36" s="8" t="s">
        <v>36</v>
      </c>
      <c r="E36" s="9" t="s">
        <v>37</v>
      </c>
      <c r="F36" s="9" t="s">
        <v>30</v>
      </c>
      <c r="G36" s="10">
        <f>'GS7333 ER Calcs'!T29</f>
        <v>0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2"/>
      <c r="S36" s="2"/>
    </row>
    <row r="37" spans="4:19">
      <c r="D37" s="8" t="s">
        <v>38</v>
      </c>
      <c r="E37" s="9" t="s">
        <v>39</v>
      </c>
      <c r="F37" s="9" t="s">
        <v>30</v>
      </c>
      <c r="G37" s="10">
        <f>'GS7333 ER Calcs'!T30</f>
        <v>177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2"/>
      <c r="S37" s="2"/>
    </row>
    <row r="38" spans="4:19">
      <c r="D38" s="518" t="s">
        <v>40</v>
      </c>
      <c r="E38" s="519"/>
      <c r="F38" s="519"/>
      <c r="G38" s="519"/>
      <c r="H38" s="4"/>
      <c r="I38" s="4"/>
      <c r="J38" s="4"/>
      <c r="K38" s="4"/>
      <c r="L38" s="4"/>
      <c r="M38" s="4"/>
      <c r="N38" s="4"/>
      <c r="O38" s="4"/>
      <c r="P38" s="4"/>
      <c r="Q38" s="4"/>
      <c r="R38" s="2"/>
      <c r="S38" s="2"/>
    </row>
    <row r="39" spans="4:19">
      <c r="D39" s="15" t="s">
        <v>41</v>
      </c>
      <c r="E39" s="9"/>
      <c r="F39" s="16"/>
      <c r="G39" s="17">
        <f>'GS7333 ER Calcs'!T33</f>
        <v>1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2"/>
      <c r="S39" s="2"/>
    </row>
    <row r="40" spans="4:19">
      <c r="D40" s="15" t="s">
        <v>277</v>
      </c>
      <c r="E40" s="9" t="s">
        <v>42</v>
      </c>
      <c r="F40" s="16" t="s">
        <v>44</v>
      </c>
      <c r="G40" s="17">
        <f>'GS7333 ER Calcs'!T34</f>
        <v>0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2"/>
      <c r="S40" s="2"/>
    </row>
    <row r="41" spans="4:19" ht="15" thickBot="1">
      <c r="D41" s="21" t="s">
        <v>38</v>
      </c>
      <c r="E41" s="22" t="s">
        <v>39</v>
      </c>
      <c r="F41" s="22" t="s">
        <v>30</v>
      </c>
      <c r="G41" s="375">
        <f>'GS7333 ER Calcs'!T35</f>
        <v>177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2"/>
      <c r="S41" s="2"/>
    </row>
    <row r="42" spans="4:19" ht="15" thickBot="1">
      <c r="D42" s="21" t="s">
        <v>45</v>
      </c>
      <c r="E42" s="22" t="s">
        <v>39</v>
      </c>
      <c r="F42" s="22" t="s">
        <v>30</v>
      </c>
      <c r="G42" s="23">
        <f>'GS7333 ER Calcs'!T37</f>
        <v>177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2"/>
      <c r="S42" s="2"/>
    </row>
    <row r="43" spans="4:19" ht="15" thickBot="1">
      <c r="D43" s="2"/>
      <c r="E43" s="365"/>
      <c r="F43" s="365"/>
      <c r="G43" s="2"/>
      <c r="H43" s="4"/>
      <c r="I43" s="4"/>
      <c r="J43" s="4"/>
      <c r="K43" s="4"/>
      <c r="L43" s="4"/>
      <c r="M43" s="4"/>
      <c r="N43" s="4"/>
      <c r="O43" s="4"/>
      <c r="P43" s="4"/>
      <c r="Q43" s="4"/>
      <c r="R43" s="2"/>
      <c r="S43" s="2"/>
    </row>
    <row r="44" spans="4:19" ht="15.65" customHeight="1">
      <c r="D44" s="509" t="s">
        <v>47</v>
      </c>
      <c r="E44" s="510"/>
      <c r="F44" s="510"/>
      <c r="G44" s="510"/>
      <c r="H44" s="2"/>
      <c r="I44" s="2"/>
      <c r="J44" s="507"/>
      <c r="K44" s="507"/>
      <c r="L44" s="2"/>
      <c r="M44" s="2"/>
      <c r="N44" s="2"/>
      <c r="O44" s="2"/>
      <c r="P44" s="2"/>
      <c r="Q44" s="2"/>
      <c r="R44" s="2"/>
      <c r="S44" s="2"/>
    </row>
    <row r="45" spans="4:19">
      <c r="D45" s="511" t="s">
        <v>19</v>
      </c>
      <c r="E45" s="512"/>
      <c r="F45" s="512"/>
      <c r="G45" s="512"/>
      <c r="H45" s="2"/>
      <c r="I45" s="2"/>
      <c r="J45" s="507"/>
      <c r="K45" s="507"/>
      <c r="L45" s="2"/>
      <c r="M45" s="2"/>
      <c r="N45" s="2"/>
      <c r="O45" s="2"/>
      <c r="P45" s="2"/>
      <c r="Q45" s="2"/>
      <c r="R45" s="2"/>
      <c r="S45" s="2"/>
    </row>
    <row r="46" spans="4:19" ht="14.5" customHeight="1">
      <c r="D46" s="513">
        <v>2022</v>
      </c>
      <c r="E46" s="514"/>
      <c r="F46" s="514"/>
      <c r="G46" s="25">
        <f>G16</f>
        <v>2264</v>
      </c>
      <c r="H46" s="2"/>
      <c r="I46" s="2"/>
      <c r="J46" s="507"/>
      <c r="K46" s="507"/>
      <c r="L46" s="2"/>
      <c r="M46" s="2"/>
      <c r="N46" s="2"/>
      <c r="O46" s="2"/>
      <c r="P46" s="2"/>
      <c r="Q46" s="2"/>
      <c r="R46" s="2"/>
      <c r="S46" s="2"/>
    </row>
    <row r="47" spans="4:19" ht="15" thickBot="1">
      <c r="D47" s="515">
        <v>2023</v>
      </c>
      <c r="E47" s="516"/>
      <c r="F47" s="516"/>
      <c r="G47" s="26">
        <f>G29</f>
        <v>3862</v>
      </c>
      <c r="H47" s="2"/>
      <c r="I47" s="2"/>
      <c r="J47" s="507"/>
      <c r="K47" s="507"/>
      <c r="L47" s="2"/>
      <c r="M47" s="2"/>
      <c r="N47" s="2"/>
      <c r="O47" s="2"/>
      <c r="P47" s="2"/>
      <c r="Q47" s="2"/>
      <c r="R47" s="2"/>
      <c r="S47" s="2"/>
    </row>
    <row r="48" spans="4:19" ht="15" thickBot="1">
      <c r="D48" s="377">
        <v>2024</v>
      </c>
      <c r="E48" s="378"/>
      <c r="F48" s="378"/>
      <c r="G48" s="379">
        <f>G42</f>
        <v>177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4:19" ht="15" thickBot="1">
      <c r="D49" s="27" t="s">
        <v>48</v>
      </c>
      <c r="E49" s="29"/>
      <c r="F49" s="30"/>
      <c r="G49" s="31">
        <f>SUM(G46:G48)</f>
        <v>6303</v>
      </c>
      <c r="H49" s="2"/>
      <c r="I49" s="2"/>
      <c r="J49" s="507"/>
      <c r="K49" s="507"/>
      <c r="L49" s="2"/>
      <c r="M49" s="2"/>
      <c r="N49" s="2"/>
      <c r="O49" s="2"/>
      <c r="P49" s="2"/>
      <c r="Q49" s="2"/>
      <c r="R49" s="2"/>
      <c r="S49" s="2"/>
    </row>
    <row r="50" spans="4:19">
      <c r="D50" s="2"/>
      <c r="E50" s="517"/>
      <c r="F50" s="517"/>
      <c r="G50" s="2"/>
      <c r="H50" s="2"/>
      <c r="I50" s="2"/>
      <c r="J50" s="507"/>
      <c r="K50" s="507"/>
      <c r="L50" s="2"/>
      <c r="M50" s="2"/>
      <c r="N50" s="2"/>
      <c r="O50" s="2"/>
      <c r="P50" s="2"/>
      <c r="Q50" s="2"/>
      <c r="R50" s="2"/>
      <c r="S50" s="2"/>
    </row>
  </sheetData>
  <mergeCells count="24">
    <mergeCell ref="J49:K49"/>
    <mergeCell ref="E50:F50"/>
    <mergeCell ref="J50:K50"/>
    <mergeCell ref="D45:G45"/>
    <mergeCell ref="J45:K45"/>
    <mergeCell ref="D46:F46"/>
    <mergeCell ref="J46:K46"/>
    <mergeCell ref="D47:F47"/>
    <mergeCell ref="J47:K47"/>
    <mergeCell ref="J44:K44"/>
    <mergeCell ref="D1:G1"/>
    <mergeCell ref="K1:R1"/>
    <mergeCell ref="D3:G3"/>
    <mergeCell ref="K3:R3"/>
    <mergeCell ref="D4:G4"/>
    <mergeCell ref="D12:G12"/>
    <mergeCell ref="D18:G18"/>
    <mergeCell ref="D19:G19"/>
    <mergeCell ref="D25:G25"/>
    <mergeCell ref="E30:F30"/>
    <mergeCell ref="D44:G44"/>
    <mergeCell ref="D31:G31"/>
    <mergeCell ref="D32:G32"/>
    <mergeCell ref="D38:G38"/>
  </mergeCells>
  <phoneticPr fontId="15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7F2F7-CBEB-490B-A8AA-4E222CCFB2DB}">
  <dimension ref="A1:Q23"/>
  <sheetViews>
    <sheetView workbookViewId="0">
      <selection activeCell="Q2" sqref="Q2"/>
    </sheetView>
  </sheetViews>
  <sheetFormatPr defaultRowHeight="14.5"/>
  <cols>
    <col min="1" max="1" width="25.54296875" bestFit="1" customWidth="1"/>
    <col min="2" max="2" width="17.26953125" bestFit="1" customWidth="1"/>
    <col min="3" max="3" width="14.1796875" customWidth="1"/>
    <col min="4" max="4" width="17.1796875" customWidth="1"/>
    <col min="5" max="5" width="14.81640625" customWidth="1"/>
    <col min="6" max="6" width="17.1796875" bestFit="1" customWidth="1"/>
    <col min="7" max="7" width="15.1796875" bestFit="1" customWidth="1"/>
    <col min="8" max="8" width="9.81640625" bestFit="1" customWidth="1"/>
    <col min="9" max="9" width="15.54296875" bestFit="1" customWidth="1"/>
    <col min="11" max="11" width="11.81640625" customWidth="1"/>
    <col min="12" max="13" width="9.453125" customWidth="1"/>
    <col min="14" max="14" width="9.26953125" customWidth="1"/>
    <col min="15" max="15" width="12.453125" customWidth="1"/>
  </cols>
  <sheetData>
    <row r="1" spans="1:17" ht="43.5">
      <c r="A1" s="48" t="s">
        <v>0</v>
      </c>
      <c r="B1" s="49" t="s">
        <v>49</v>
      </c>
      <c r="C1" s="49" t="s">
        <v>50</v>
      </c>
      <c r="D1" s="49" t="s">
        <v>51</v>
      </c>
      <c r="E1" s="49" t="s">
        <v>52</v>
      </c>
      <c r="F1" s="49" t="s">
        <v>192</v>
      </c>
      <c r="G1" s="49" t="s">
        <v>53</v>
      </c>
      <c r="H1" s="50" t="s">
        <v>54</v>
      </c>
      <c r="I1" s="50" t="s">
        <v>11</v>
      </c>
      <c r="J1" s="2"/>
      <c r="K1" s="51" t="s">
        <v>55</v>
      </c>
      <c r="L1" s="52" t="s">
        <v>56</v>
      </c>
      <c r="M1" s="5" t="s">
        <v>57</v>
      </c>
      <c r="N1" s="53" t="s">
        <v>58</v>
      </c>
      <c r="O1" s="114" t="s">
        <v>279</v>
      </c>
      <c r="P1" s="49" t="s">
        <v>280</v>
      </c>
      <c r="Q1" s="50" t="s">
        <v>59</v>
      </c>
    </row>
    <row r="2" spans="1:17">
      <c r="A2" s="530" t="s">
        <v>380</v>
      </c>
      <c r="B2" s="9" t="s">
        <v>381</v>
      </c>
      <c r="C2" s="54" t="s">
        <v>382</v>
      </c>
      <c r="D2" s="9">
        <v>14.63958</v>
      </c>
      <c r="E2" s="9">
        <v>39.230339999999998</v>
      </c>
      <c r="F2" s="55">
        <v>42789</v>
      </c>
      <c r="G2" s="9">
        <v>152</v>
      </c>
      <c r="H2" s="9">
        <v>624</v>
      </c>
      <c r="I2" s="9">
        <v>369</v>
      </c>
      <c r="J2" s="133"/>
      <c r="K2" s="233">
        <f t="shared" ref="K2:K7" si="0">$E$19</f>
        <v>203.29999999999998</v>
      </c>
      <c r="L2" s="115">
        <f>K2*I2</f>
        <v>75017.7</v>
      </c>
      <c r="M2" s="276">
        <f t="shared" ref="M2:M7" si="1">$E$20</f>
        <v>346.75</v>
      </c>
      <c r="N2" s="116">
        <f>I2*M2</f>
        <v>127950.75</v>
      </c>
      <c r="O2">
        <f>$E$21</f>
        <v>16.149999999999999</v>
      </c>
      <c r="P2">
        <f>I2*O2</f>
        <v>5959.3499999999995</v>
      </c>
      <c r="Q2" s="117">
        <f>L2+N2+P2</f>
        <v>208927.80000000002</v>
      </c>
    </row>
    <row r="3" spans="1:17" ht="15.5">
      <c r="A3" s="531"/>
      <c r="B3" s="9" t="s">
        <v>383</v>
      </c>
      <c r="C3" s="54" t="s">
        <v>384</v>
      </c>
      <c r="D3" s="9">
        <v>14.753819999999999</v>
      </c>
      <c r="E3" s="9">
        <v>39.137880000000003</v>
      </c>
      <c r="F3" s="55">
        <v>42792</v>
      </c>
      <c r="G3" s="9">
        <v>78</v>
      </c>
      <c r="H3" s="9">
        <v>269</v>
      </c>
      <c r="I3" s="476">
        <f>IF(H3&lt;371,H3,371)</f>
        <v>269</v>
      </c>
      <c r="J3" s="133"/>
      <c r="K3" s="233">
        <f t="shared" si="0"/>
        <v>203.29999999999998</v>
      </c>
      <c r="L3" s="115">
        <f t="shared" ref="L3:L7" si="2">K3*I3</f>
        <v>54687.7</v>
      </c>
      <c r="M3" s="276">
        <f t="shared" si="1"/>
        <v>346.75</v>
      </c>
      <c r="N3" s="116">
        <f t="shared" ref="N3:N7" si="3">I3*M3</f>
        <v>93275.75</v>
      </c>
      <c r="O3">
        <f t="shared" ref="O3:O7" si="4">$E$21</f>
        <v>16.149999999999999</v>
      </c>
      <c r="P3">
        <f t="shared" ref="P3:P7" si="5">I3*O3</f>
        <v>4344.3499999999995</v>
      </c>
      <c r="Q3" s="117">
        <f t="shared" ref="Q3:Q7" si="6">L3+N3+P3</f>
        <v>152307.80000000002</v>
      </c>
    </row>
    <row r="4" spans="1:17" ht="15.5">
      <c r="A4" s="531"/>
      <c r="B4" s="9" t="s">
        <v>385</v>
      </c>
      <c r="C4" s="54" t="s">
        <v>386</v>
      </c>
      <c r="D4" s="9">
        <v>14.79504</v>
      </c>
      <c r="E4" s="9">
        <v>39.089449999999999</v>
      </c>
      <c r="F4" s="55">
        <v>42793</v>
      </c>
      <c r="G4" s="9">
        <v>162</v>
      </c>
      <c r="H4" s="9">
        <v>618</v>
      </c>
      <c r="I4" s="476">
        <f>IF(H4&lt;371,H4,371)</f>
        <v>371</v>
      </c>
      <c r="J4" s="133"/>
      <c r="K4" s="233">
        <f t="shared" si="0"/>
        <v>203.29999999999998</v>
      </c>
      <c r="L4" s="115">
        <f t="shared" si="2"/>
        <v>75424.299999999988</v>
      </c>
      <c r="M4" s="276">
        <f t="shared" si="1"/>
        <v>346.75</v>
      </c>
      <c r="N4" s="116">
        <f t="shared" si="3"/>
        <v>128644.25</v>
      </c>
      <c r="O4">
        <f t="shared" si="4"/>
        <v>16.149999999999999</v>
      </c>
      <c r="P4">
        <f t="shared" si="5"/>
        <v>5991.65</v>
      </c>
      <c r="Q4" s="117">
        <f t="shared" si="6"/>
        <v>210060.19999999998</v>
      </c>
    </row>
    <row r="5" spans="1:17" ht="15.5">
      <c r="A5" s="531"/>
      <c r="B5" s="9" t="s">
        <v>387</v>
      </c>
      <c r="C5" s="54" t="s">
        <v>388</v>
      </c>
      <c r="D5" s="9">
        <v>14.6143</v>
      </c>
      <c r="E5" s="9">
        <v>39.377139999999997</v>
      </c>
      <c r="F5" s="55">
        <v>42800</v>
      </c>
      <c r="G5" s="9">
        <v>201</v>
      </c>
      <c r="H5" s="9">
        <v>615</v>
      </c>
      <c r="I5" s="476">
        <f>IF(H5&lt;371,H5,371)</f>
        <v>371</v>
      </c>
      <c r="J5" s="133"/>
      <c r="K5" s="233">
        <f t="shared" si="0"/>
        <v>203.29999999999998</v>
      </c>
      <c r="L5" s="115">
        <f t="shared" si="2"/>
        <v>75424.299999999988</v>
      </c>
      <c r="M5" s="276">
        <f t="shared" si="1"/>
        <v>346.75</v>
      </c>
      <c r="N5" s="116">
        <f t="shared" si="3"/>
        <v>128644.25</v>
      </c>
      <c r="O5">
        <f t="shared" si="4"/>
        <v>16.149999999999999</v>
      </c>
      <c r="P5">
        <f t="shared" si="5"/>
        <v>5991.65</v>
      </c>
      <c r="Q5" s="117">
        <f t="shared" si="6"/>
        <v>210060.19999999998</v>
      </c>
    </row>
    <row r="6" spans="1:17" ht="15.5">
      <c r="A6" s="531"/>
      <c r="B6" s="9" t="s">
        <v>389</v>
      </c>
      <c r="C6" s="9" t="s">
        <v>390</v>
      </c>
      <c r="D6" s="9">
        <v>14.54377</v>
      </c>
      <c r="E6" s="9">
        <v>38.4754</v>
      </c>
      <c r="F6" s="55">
        <v>42811</v>
      </c>
      <c r="G6" s="9">
        <v>128</v>
      </c>
      <c r="H6" s="9">
        <v>448</v>
      </c>
      <c r="I6" s="476">
        <f>IF(H6&lt;371,H6,371)</f>
        <v>371</v>
      </c>
      <c r="J6" s="133"/>
      <c r="K6" s="233">
        <f t="shared" si="0"/>
        <v>203.29999999999998</v>
      </c>
      <c r="L6" s="115">
        <f t="shared" si="2"/>
        <v>75424.299999999988</v>
      </c>
      <c r="M6" s="276">
        <f t="shared" si="1"/>
        <v>346.75</v>
      </c>
      <c r="N6" s="116">
        <f t="shared" si="3"/>
        <v>128644.25</v>
      </c>
      <c r="O6">
        <f t="shared" si="4"/>
        <v>16.149999999999999</v>
      </c>
      <c r="P6">
        <f t="shared" si="5"/>
        <v>5991.65</v>
      </c>
      <c r="Q6" s="117">
        <f t="shared" si="6"/>
        <v>210060.19999999998</v>
      </c>
    </row>
    <row r="7" spans="1:17" ht="15.5">
      <c r="A7" s="531"/>
      <c r="B7" s="9" t="s">
        <v>391</v>
      </c>
      <c r="C7" s="9" t="s">
        <v>392</v>
      </c>
      <c r="D7" s="9">
        <v>14.57015</v>
      </c>
      <c r="E7" s="9">
        <v>38.541629999999998</v>
      </c>
      <c r="F7" s="55">
        <v>42817</v>
      </c>
      <c r="G7" s="9">
        <v>171</v>
      </c>
      <c r="H7" s="9">
        <v>633</v>
      </c>
      <c r="I7" s="476">
        <f>IF(H7&lt;371,H7,371)</f>
        <v>371</v>
      </c>
      <c r="J7" s="133"/>
      <c r="K7" s="233">
        <f t="shared" si="0"/>
        <v>203.29999999999998</v>
      </c>
      <c r="L7" s="115">
        <f t="shared" si="2"/>
        <v>75424.299999999988</v>
      </c>
      <c r="M7" s="276">
        <f t="shared" si="1"/>
        <v>346.75</v>
      </c>
      <c r="N7" s="116">
        <f t="shared" si="3"/>
        <v>128644.25</v>
      </c>
      <c r="O7">
        <f t="shared" si="4"/>
        <v>16.149999999999999</v>
      </c>
      <c r="P7">
        <f t="shared" si="5"/>
        <v>5991.65</v>
      </c>
      <c r="Q7" s="117">
        <f t="shared" si="6"/>
        <v>210060.19999999998</v>
      </c>
    </row>
    <row r="8" spans="1:17" ht="15" thickBot="1">
      <c r="A8" s="118"/>
      <c r="B8" s="1"/>
      <c r="C8" s="2"/>
      <c r="D8" s="2"/>
      <c r="E8" s="2"/>
      <c r="F8" s="62"/>
      <c r="G8" s="174" t="s">
        <v>13</v>
      </c>
      <c r="H8" s="175">
        <f>SUM(H2:H7)</f>
        <v>3207</v>
      </c>
      <c r="I8" s="175">
        <f>SUM(I2:I7)</f>
        <v>2122</v>
      </c>
      <c r="J8" s="2"/>
      <c r="K8" s="2"/>
      <c r="L8" s="176">
        <f>SUM(L2:L7)</f>
        <v>431402.6</v>
      </c>
      <c r="M8" s="176"/>
      <c r="N8" s="176">
        <f t="shared" ref="N8" si="7">SUM(N2:N7)</f>
        <v>735803.5</v>
      </c>
      <c r="P8" s="176">
        <f>SUM(P2:P7)</f>
        <v>34270.300000000003</v>
      </c>
      <c r="Q8" s="176">
        <f>SUM(Q2:Q7)</f>
        <v>1201476.3999999999</v>
      </c>
    </row>
    <row r="9" spans="1:17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7" ht="15" thickBot="1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7" ht="44" thickBot="1">
      <c r="A11" s="2"/>
      <c r="B11" s="66" t="s">
        <v>76</v>
      </c>
      <c r="C11" s="67"/>
      <c r="D11" s="2"/>
      <c r="E11" s="2"/>
      <c r="F11" s="2"/>
      <c r="G11" s="2"/>
      <c r="H11" s="2"/>
      <c r="I11" s="2"/>
      <c r="J11" s="2"/>
      <c r="K11" s="51" t="s">
        <v>55</v>
      </c>
      <c r="L11" s="52" t="s">
        <v>56</v>
      </c>
      <c r="M11" s="5" t="s">
        <v>57</v>
      </c>
      <c r="N11" s="53" t="s">
        <v>58</v>
      </c>
      <c r="O11" s="114" t="s">
        <v>279</v>
      </c>
      <c r="P11" s="49" t="s">
        <v>280</v>
      </c>
      <c r="Q11" s="50" t="s">
        <v>59</v>
      </c>
    </row>
    <row r="12" spans="1:17">
      <c r="A12" s="68" t="s">
        <v>364</v>
      </c>
      <c r="B12" s="69">
        <v>44713</v>
      </c>
      <c r="C12" s="2"/>
      <c r="D12" s="381"/>
      <c r="E12" s="381"/>
      <c r="F12" s="2"/>
      <c r="G12" s="2"/>
      <c r="H12" s="2"/>
      <c r="I12" s="2"/>
      <c r="J12" s="2"/>
      <c r="K12" s="233">
        <f t="shared" ref="K12:K17" si="8">$E$19</f>
        <v>203.29999999999998</v>
      </c>
      <c r="L12" s="277">
        <f>K12*H2</f>
        <v>126859.19999999998</v>
      </c>
      <c r="M12" s="276">
        <f t="shared" ref="M12:M17" si="9">$E$20</f>
        <v>346.75</v>
      </c>
      <c r="N12" s="278">
        <f>M12*H2</f>
        <v>216372</v>
      </c>
      <c r="O12">
        <f>$E$21</f>
        <v>16.149999999999999</v>
      </c>
      <c r="P12">
        <f>O12*H2</f>
        <v>10077.599999999999</v>
      </c>
      <c r="Q12" s="279">
        <f t="shared" ref="Q12:Q17" si="10">L12+N12</f>
        <v>343231.19999999995</v>
      </c>
    </row>
    <row r="13" spans="1:17" ht="19" thickBot="1">
      <c r="A13" s="123" t="s">
        <v>365</v>
      </c>
      <c r="B13" s="310">
        <v>45308</v>
      </c>
      <c r="C13" s="2"/>
      <c r="D13" s="73"/>
      <c r="E13" s="2"/>
      <c r="F13" s="2"/>
      <c r="G13" s="2"/>
      <c r="H13" s="2"/>
      <c r="I13" s="2"/>
      <c r="J13" s="2"/>
      <c r="K13" s="233">
        <f t="shared" si="8"/>
        <v>203.29999999999998</v>
      </c>
      <c r="L13" s="277">
        <f t="shared" ref="L13:L17" si="11">K13*H3</f>
        <v>54687.7</v>
      </c>
      <c r="M13" s="276">
        <f t="shared" si="9"/>
        <v>346.75</v>
      </c>
      <c r="N13" s="278">
        <f t="shared" ref="N13:N17" si="12">M13*H3</f>
        <v>93275.75</v>
      </c>
      <c r="O13">
        <f t="shared" ref="O13:O17" si="13">$E$21</f>
        <v>16.149999999999999</v>
      </c>
      <c r="P13">
        <f t="shared" ref="P13:P17" si="14">O13*H3</f>
        <v>4344.3499999999995</v>
      </c>
      <c r="Q13" s="279">
        <f t="shared" si="10"/>
        <v>147963.45000000001</v>
      </c>
    </row>
    <row r="14" spans="1:17" ht="21" customHeight="1" thickBot="1">
      <c r="A14" s="123" t="s">
        <v>79</v>
      </c>
      <c r="B14" s="310">
        <v>44926</v>
      </c>
      <c r="C14" s="2"/>
      <c r="D14" s="541"/>
      <c r="E14" s="542"/>
      <c r="F14" s="543"/>
      <c r="G14" s="543"/>
      <c r="H14" s="525"/>
      <c r="I14" s="525"/>
      <c r="J14" s="24"/>
      <c r="K14" s="233">
        <f t="shared" si="8"/>
        <v>203.29999999999998</v>
      </c>
      <c r="L14" s="277">
        <f t="shared" si="11"/>
        <v>125639.4</v>
      </c>
      <c r="M14" s="276">
        <f t="shared" si="9"/>
        <v>346.75</v>
      </c>
      <c r="N14" s="278">
        <f t="shared" si="12"/>
        <v>214291.5</v>
      </c>
      <c r="O14">
        <f t="shared" si="13"/>
        <v>16.149999999999999</v>
      </c>
      <c r="P14">
        <f t="shared" si="14"/>
        <v>9980.6999999999989</v>
      </c>
      <c r="Q14" s="279">
        <f t="shared" si="10"/>
        <v>339930.9</v>
      </c>
    </row>
    <row r="15" spans="1:17" ht="15" thickBot="1">
      <c r="A15" s="123" t="s">
        <v>298</v>
      </c>
      <c r="B15" s="310">
        <v>45291</v>
      </c>
      <c r="C15" s="2"/>
      <c r="D15" s="541"/>
      <c r="E15" s="542"/>
      <c r="F15" s="543"/>
      <c r="G15" s="543"/>
      <c r="H15" s="525"/>
      <c r="I15" s="525"/>
      <c r="J15" s="24"/>
      <c r="K15" s="233">
        <f t="shared" si="8"/>
        <v>203.29999999999998</v>
      </c>
      <c r="L15" s="277">
        <f t="shared" si="11"/>
        <v>125029.49999999999</v>
      </c>
      <c r="M15" s="276">
        <f t="shared" si="9"/>
        <v>346.75</v>
      </c>
      <c r="N15" s="278">
        <f t="shared" si="12"/>
        <v>213251.25</v>
      </c>
      <c r="O15">
        <f t="shared" si="13"/>
        <v>16.149999999999999</v>
      </c>
      <c r="P15">
        <f t="shared" si="14"/>
        <v>9932.25</v>
      </c>
      <c r="Q15" s="279">
        <f t="shared" si="10"/>
        <v>338280.75</v>
      </c>
    </row>
    <row r="16" spans="1:17">
      <c r="C16" s="2"/>
      <c r="D16" s="347"/>
      <c r="E16" s="67"/>
      <c r="J16" s="2"/>
      <c r="K16" s="233">
        <f t="shared" si="8"/>
        <v>203.29999999999998</v>
      </c>
      <c r="L16" s="277">
        <f t="shared" si="11"/>
        <v>91078.399999999994</v>
      </c>
      <c r="M16" s="276">
        <f t="shared" si="9"/>
        <v>346.75</v>
      </c>
      <c r="N16" s="278">
        <f t="shared" si="12"/>
        <v>155344</v>
      </c>
      <c r="O16">
        <f t="shared" si="13"/>
        <v>16.149999999999999</v>
      </c>
      <c r="P16">
        <f t="shared" si="14"/>
        <v>7235.1999999999989</v>
      </c>
      <c r="Q16" s="279">
        <f t="shared" si="10"/>
        <v>246422.39999999999</v>
      </c>
    </row>
    <row r="17" spans="1:17">
      <c r="A17" s="197"/>
      <c r="B17" s="194" t="s">
        <v>81</v>
      </c>
      <c r="C17" s="57"/>
      <c r="D17" s="124"/>
      <c r="E17" s="77"/>
      <c r="F17" s="188"/>
      <c r="J17" s="2"/>
      <c r="K17" s="233">
        <f t="shared" si="8"/>
        <v>203.29999999999998</v>
      </c>
      <c r="L17" s="277">
        <f t="shared" si="11"/>
        <v>128688.9</v>
      </c>
      <c r="M17" s="276">
        <f t="shared" si="9"/>
        <v>346.75</v>
      </c>
      <c r="N17" s="278">
        <f t="shared" si="12"/>
        <v>219492.75</v>
      </c>
      <c r="O17">
        <f t="shared" si="13"/>
        <v>16.149999999999999</v>
      </c>
      <c r="P17">
        <f t="shared" si="14"/>
        <v>10222.949999999999</v>
      </c>
      <c r="Q17" s="279">
        <f t="shared" si="10"/>
        <v>348181.65</v>
      </c>
    </row>
    <row r="18" spans="1:17" ht="44" thickBot="1">
      <c r="A18" s="195" t="s">
        <v>82</v>
      </c>
      <c r="B18" s="77">
        <v>27.4</v>
      </c>
      <c r="C18" s="57" t="s">
        <v>8</v>
      </c>
      <c r="D18" s="132" t="s">
        <v>83</v>
      </c>
      <c r="E18" s="56" t="s">
        <v>84</v>
      </c>
      <c r="F18" s="198" t="s">
        <v>226</v>
      </c>
      <c r="J18" s="2"/>
      <c r="K18" s="2"/>
      <c r="L18" s="176">
        <f>SUM(L12:L17)</f>
        <v>651983.1</v>
      </c>
      <c r="M18" s="176"/>
      <c r="N18" s="176">
        <f t="shared" ref="N18" si="15">SUM(N12:N17)</f>
        <v>1112027.25</v>
      </c>
      <c r="P18" s="176">
        <f>SUM(P12:P17)</f>
        <v>51793.049999999988</v>
      </c>
      <c r="Q18" s="176">
        <f>SUM(Q12:Q17)</f>
        <v>1764010.35</v>
      </c>
    </row>
    <row r="19" spans="1:17">
      <c r="A19" s="195" t="s">
        <v>86</v>
      </c>
      <c r="B19" s="77">
        <f>B14-B12+1</f>
        <v>214</v>
      </c>
      <c r="C19" s="248">
        <f>'Maintenance '!BI88/($B19*COUNTA($B$2:$B$8))</f>
        <v>0</v>
      </c>
      <c r="D19" s="196">
        <v>0.95</v>
      </c>
      <c r="E19" s="235">
        <f>F19*D19</f>
        <v>203.29999999999998</v>
      </c>
      <c r="F19" s="57">
        <f>B19</f>
        <v>214</v>
      </c>
      <c r="J19" s="2"/>
      <c r="K19" s="2"/>
      <c r="L19" s="2"/>
      <c r="M19" s="2"/>
      <c r="N19" s="2"/>
      <c r="O19" s="2"/>
    </row>
    <row r="20" spans="1:17">
      <c r="A20" s="195" t="s">
        <v>87</v>
      </c>
      <c r="B20" s="77">
        <f>B15-B14</f>
        <v>365</v>
      </c>
      <c r="C20" s="248">
        <f>'Maintenance '!BJ88/($B20*COUNTA($B$2:$B$8))</f>
        <v>0</v>
      </c>
      <c r="D20" s="196">
        <v>0.95</v>
      </c>
      <c r="E20" s="235">
        <f>F20*D20</f>
        <v>346.75</v>
      </c>
      <c r="F20" s="57">
        <f>B20</f>
        <v>365</v>
      </c>
      <c r="G20" s="2"/>
      <c r="H20" s="2"/>
      <c r="I20" s="2"/>
      <c r="J20" s="2"/>
      <c r="K20" s="2"/>
      <c r="L20" s="2"/>
      <c r="M20" s="2"/>
      <c r="N20" s="2"/>
      <c r="O20" s="2"/>
    </row>
    <row r="21" spans="1:17">
      <c r="A21" s="195" t="s">
        <v>302</v>
      </c>
      <c r="B21" s="144">
        <f>B13-B15</f>
        <v>17</v>
      </c>
      <c r="C21" s="248">
        <f>'Maintenance '!BK88/($B21*COUNTA($B$2:$B$8))</f>
        <v>0</v>
      </c>
      <c r="D21" s="57">
        <v>0.95</v>
      </c>
      <c r="E21" s="57">
        <f>F21*D21</f>
        <v>16.149999999999999</v>
      </c>
      <c r="F21" s="57">
        <f>B21</f>
        <v>17</v>
      </c>
    </row>
    <row r="22" spans="1:17">
      <c r="A22" s="197" t="s">
        <v>88</v>
      </c>
    </row>
    <row r="23" spans="1:17">
      <c r="A23" s="197" t="s">
        <v>350</v>
      </c>
      <c r="B23">
        <f>SUM(B19:B21)</f>
        <v>596</v>
      </c>
      <c r="C23" s="225">
        <f>'Maintenance '!BL88/B23</f>
        <v>0</v>
      </c>
    </row>
  </sheetData>
  <mergeCells count="7">
    <mergeCell ref="I14:I15"/>
    <mergeCell ref="A2:A7"/>
    <mergeCell ref="D14:D15"/>
    <mergeCell ref="E14:E15"/>
    <mergeCell ref="F14:F15"/>
    <mergeCell ref="G14:G15"/>
    <mergeCell ref="H14:H15"/>
  </mergeCells>
  <phoneticPr fontId="15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317B8-2BE4-4C6C-99A7-F4B812CC6000}">
  <dimension ref="A1:T39"/>
  <sheetViews>
    <sheetView topLeftCell="A3" workbookViewId="0">
      <selection activeCell="D37" sqref="D37"/>
    </sheetView>
  </sheetViews>
  <sheetFormatPr defaultRowHeight="14.5"/>
  <cols>
    <col min="1" max="1" width="77.1796875" bestFit="1" customWidth="1"/>
    <col min="2" max="2" width="6.54296875" customWidth="1"/>
    <col min="3" max="3" width="6.7265625" customWidth="1"/>
    <col min="4" max="4" width="10.26953125" customWidth="1"/>
    <col min="5" max="5" width="21.54296875" customWidth="1"/>
    <col min="7" max="7" width="77.1796875" bestFit="1" customWidth="1"/>
    <col min="10" max="10" width="8.7265625" customWidth="1"/>
    <col min="12" max="12" width="77.1796875" bestFit="1" customWidth="1"/>
    <col min="17" max="17" width="103.453125" customWidth="1"/>
  </cols>
  <sheetData>
    <row r="1" spans="1:20" ht="14.5" customHeight="1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  <c r="Q1" s="535" t="s">
        <v>276</v>
      </c>
      <c r="R1" s="535"/>
      <c r="S1" s="535"/>
      <c r="T1" s="535"/>
    </row>
    <row r="2" spans="1:2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2"/>
      <c r="R2" s="2"/>
      <c r="S2" s="2"/>
      <c r="T2" s="2"/>
    </row>
    <row r="3" spans="1:20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  <c r="Q3" s="533" t="s">
        <v>91</v>
      </c>
      <c r="R3" s="519"/>
      <c r="S3" s="519"/>
      <c r="T3" s="519"/>
    </row>
    <row r="4" spans="1:20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  <c r="Q4" s="9" t="s">
        <v>93</v>
      </c>
      <c r="R4" s="9" t="s">
        <v>94</v>
      </c>
      <c r="S4" s="9" t="s">
        <v>35</v>
      </c>
      <c r="T4" s="86">
        <v>0</v>
      </c>
    </row>
    <row r="5" spans="1:20" ht="29">
      <c r="A5" s="9" t="s">
        <v>96</v>
      </c>
      <c r="B5" s="9" t="s">
        <v>97</v>
      </c>
      <c r="C5" s="9"/>
      <c r="D5" s="87">
        <f>'GS7333 PTDs'!Q8</f>
        <v>1201476.3999999999</v>
      </c>
      <c r="E5" s="85" t="s">
        <v>98</v>
      </c>
      <c r="F5" s="2"/>
      <c r="G5" s="9" t="s">
        <v>96</v>
      </c>
      <c r="H5" s="9" t="s">
        <v>97</v>
      </c>
      <c r="I5" s="9"/>
      <c r="J5" s="87">
        <f>'GS7333 PTDs'!L8</f>
        <v>431402.6</v>
      </c>
      <c r="K5" s="2"/>
      <c r="L5" s="9" t="s">
        <v>96</v>
      </c>
      <c r="M5" s="9" t="s">
        <v>97</v>
      </c>
      <c r="N5" s="9"/>
      <c r="O5" s="87">
        <f>'GS7333 PTDs'!N8</f>
        <v>735803.5</v>
      </c>
      <c r="Q5" s="9" t="s">
        <v>96</v>
      </c>
      <c r="R5" s="9" t="s">
        <v>97</v>
      </c>
      <c r="S5" s="9"/>
      <c r="T5" s="87">
        <f>'GS7333 PTDs'!P8</f>
        <v>34270.300000000003</v>
      </c>
    </row>
    <row r="6" spans="1:20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  <c r="Q6" s="9" t="s">
        <v>99</v>
      </c>
      <c r="R6" s="9" t="s">
        <v>100</v>
      </c>
      <c r="S6" s="9" t="s">
        <v>101</v>
      </c>
      <c r="T6" s="86">
        <v>4.0000000000000002E-4</v>
      </c>
    </row>
    <row r="7" spans="1:20" ht="29">
      <c r="A7" s="88" t="s">
        <v>103</v>
      </c>
      <c r="B7" s="9" t="s">
        <v>104</v>
      </c>
      <c r="C7" s="9" t="s">
        <v>105</v>
      </c>
      <c r="D7" s="86">
        <v>7.5</v>
      </c>
      <c r="E7" s="85" t="s">
        <v>162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  <c r="Q7" s="88" t="s">
        <v>103</v>
      </c>
      <c r="R7" s="9" t="s">
        <v>104</v>
      </c>
      <c r="S7" s="9" t="s">
        <v>105</v>
      </c>
      <c r="T7" s="86">
        <v>7.5</v>
      </c>
    </row>
    <row r="8" spans="1:20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  <c r="Q8" s="88" t="s">
        <v>107</v>
      </c>
      <c r="R8" s="9" t="s">
        <v>108</v>
      </c>
      <c r="S8" s="9" t="s">
        <v>105</v>
      </c>
      <c r="T8" s="86">
        <v>0</v>
      </c>
    </row>
    <row r="9" spans="1:20">
      <c r="A9" s="9" t="s">
        <v>110</v>
      </c>
      <c r="B9" s="9" t="s">
        <v>111</v>
      </c>
      <c r="C9" s="9" t="s">
        <v>112</v>
      </c>
      <c r="D9" s="86">
        <f>ROUNDDOWN((1-D4)*D5*D6*(D7+D8),0)</f>
        <v>3604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1294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2207</v>
      </c>
      <c r="Q9" s="9" t="s">
        <v>110</v>
      </c>
      <c r="R9" s="9" t="s">
        <v>111</v>
      </c>
      <c r="S9" s="9" t="s">
        <v>112</v>
      </c>
      <c r="T9" s="86">
        <f>ROUNDDOWN((1-T4)*T5*T6*(T7+T8),0)</f>
        <v>102</v>
      </c>
    </row>
    <row r="10" spans="1:20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Q10" s="2"/>
      <c r="R10" s="2"/>
      <c r="S10" s="2"/>
      <c r="T10" s="2"/>
    </row>
    <row r="11" spans="1:20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  <c r="Q11" s="533" t="s">
        <v>113</v>
      </c>
      <c r="R11" s="519"/>
      <c r="S11" s="519"/>
      <c r="T11" s="519"/>
    </row>
    <row r="12" spans="1:20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  <c r="Q12" s="9" t="s">
        <v>114</v>
      </c>
      <c r="R12" s="9" t="s">
        <v>94</v>
      </c>
      <c r="S12" s="9" t="s">
        <v>35</v>
      </c>
      <c r="T12" s="86">
        <v>0</v>
      </c>
    </row>
    <row r="13" spans="1:20" ht="29">
      <c r="A13" s="9" t="s">
        <v>96</v>
      </c>
      <c r="B13" s="9" t="s">
        <v>97</v>
      </c>
      <c r="C13" s="9"/>
      <c r="D13" s="87">
        <f>D5</f>
        <v>1201476.3999999999</v>
      </c>
      <c r="E13" s="85" t="s">
        <v>115</v>
      </c>
      <c r="F13" s="2"/>
      <c r="G13" s="9" t="s">
        <v>96</v>
      </c>
      <c r="H13" s="9" t="s">
        <v>97</v>
      </c>
      <c r="I13" s="9"/>
      <c r="J13" s="87">
        <f>J5</f>
        <v>431402.6</v>
      </c>
      <c r="K13" s="2"/>
      <c r="L13" s="9" t="s">
        <v>96</v>
      </c>
      <c r="M13" s="9" t="s">
        <v>97</v>
      </c>
      <c r="N13" s="9"/>
      <c r="O13" s="87">
        <f>O5</f>
        <v>735803.5</v>
      </c>
      <c r="Q13" s="9" t="s">
        <v>96</v>
      </c>
      <c r="R13" s="9" t="s">
        <v>97</v>
      </c>
      <c r="S13" s="9"/>
      <c r="T13" s="87">
        <f>T5</f>
        <v>34270.300000000003</v>
      </c>
    </row>
    <row r="14" spans="1:20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  <c r="Q14" s="9" t="s">
        <v>116</v>
      </c>
      <c r="R14" s="9" t="s">
        <v>117</v>
      </c>
      <c r="S14" s="9" t="s">
        <v>101</v>
      </c>
      <c r="T14" s="86">
        <v>4.0000000000000002E-4</v>
      </c>
    </row>
    <row r="15" spans="1:20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  <c r="Q15" s="9" t="s">
        <v>118</v>
      </c>
      <c r="R15" s="9" t="s">
        <v>108</v>
      </c>
      <c r="S15" s="9" t="s">
        <v>105</v>
      </c>
      <c r="T15" s="86">
        <v>0</v>
      </c>
    </row>
    <row r="16" spans="1:20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  <c r="Q16" s="9" t="s">
        <v>119</v>
      </c>
      <c r="R16" s="9" t="s">
        <v>120</v>
      </c>
      <c r="S16" s="9" t="s">
        <v>105</v>
      </c>
      <c r="T16" s="86">
        <v>0</v>
      </c>
    </row>
    <row r="17" spans="1:20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121</v>
      </c>
      <c r="M17" s="9" t="s">
        <v>122</v>
      </c>
      <c r="N17" s="9" t="s">
        <v>112</v>
      </c>
      <c r="O17" s="86">
        <f>ROUNDDOWN((1+O12)*O13*O14*(O16+O16),0)</f>
        <v>0</v>
      </c>
      <c r="Q17" s="9" t="s">
        <v>121</v>
      </c>
      <c r="R17" s="9" t="s">
        <v>122</v>
      </c>
      <c r="S17" s="9" t="s">
        <v>112</v>
      </c>
      <c r="T17" s="86">
        <f>ROUNDDOWN((1+T12)*T13*T14*(T16+T16),0)</f>
        <v>0</v>
      </c>
    </row>
    <row r="18" spans="1:20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  <c r="Q18" s="2"/>
      <c r="R18" s="2"/>
      <c r="S18" s="2"/>
      <c r="T18" s="2"/>
    </row>
    <row r="19" spans="1:20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  <c r="Q19" s="533" t="s">
        <v>123</v>
      </c>
      <c r="R19" s="519"/>
      <c r="S19" s="519"/>
      <c r="T19" s="519"/>
    </row>
    <row r="20" spans="1:20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  <c r="Q20" s="88" t="s">
        <v>124</v>
      </c>
      <c r="R20" s="9" t="s">
        <v>124</v>
      </c>
      <c r="S20" s="9" t="s">
        <v>125</v>
      </c>
      <c r="T20" s="86">
        <v>0.97</v>
      </c>
    </row>
    <row r="21" spans="1:20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  <c r="Q21" s="9" t="s">
        <v>127</v>
      </c>
      <c r="R21" s="9" t="s">
        <v>130</v>
      </c>
      <c r="S21" s="9" t="s">
        <v>129</v>
      </c>
      <c r="T21" s="86">
        <v>112</v>
      </c>
    </row>
    <row r="22" spans="1:20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D22</f>
        <v>9.4600000000000009</v>
      </c>
      <c r="Q22" s="9" t="s">
        <v>131</v>
      </c>
      <c r="R22" s="9" t="s">
        <v>134</v>
      </c>
      <c r="S22" s="9" t="s">
        <v>133</v>
      </c>
      <c r="T22" s="86">
        <v>9.4600000000000009</v>
      </c>
    </row>
    <row r="23" spans="1:20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  <c r="Q23" s="9" t="s">
        <v>135</v>
      </c>
      <c r="R23" s="9" t="s">
        <v>136</v>
      </c>
      <c r="S23" s="9" t="s">
        <v>137</v>
      </c>
      <c r="T23" s="86">
        <v>1.5599999999999999E-2</v>
      </c>
    </row>
    <row r="24" spans="1:20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  <c r="Q24" s="2"/>
      <c r="R24" s="2"/>
      <c r="S24" s="2"/>
      <c r="T24" s="2"/>
    </row>
    <row r="25" spans="1:20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  <c r="Q25" s="533" t="s">
        <v>19</v>
      </c>
      <c r="R25" s="519"/>
      <c r="S25" s="519"/>
      <c r="T25" s="519"/>
    </row>
    <row r="26" spans="1:20">
      <c r="A26" s="9" t="s">
        <v>28</v>
      </c>
      <c r="B26" s="9" t="s">
        <v>29</v>
      </c>
      <c r="C26" s="9" t="s">
        <v>30</v>
      </c>
      <c r="D26" s="87">
        <f>ROUNDDOWN(D9*((D20*D21)+D22)*D23,0)</f>
        <v>6639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2384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4066</v>
      </c>
      <c r="Q26" s="9" t="s">
        <v>28</v>
      </c>
      <c r="R26" s="9" t="s">
        <v>29</v>
      </c>
      <c r="S26" s="9" t="s">
        <v>30</v>
      </c>
      <c r="T26" s="87">
        <f>ROUNDDOWN(T9*((T20*T21)+T22)*T23,0)</f>
        <v>187</v>
      </c>
    </row>
    <row r="27" spans="1:20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O17*((O20*O21)+O22)*O230</f>
        <v>0</v>
      </c>
      <c r="Q27" s="9" t="s">
        <v>31</v>
      </c>
      <c r="R27" s="9" t="s">
        <v>32</v>
      </c>
      <c r="S27" s="9" t="s">
        <v>30</v>
      </c>
      <c r="T27" s="86">
        <f>T17*((T20*T21)+T22)*T230</f>
        <v>0</v>
      </c>
    </row>
    <row r="28" spans="1:20" ht="29">
      <c r="A28" s="9" t="s">
        <v>33</v>
      </c>
      <c r="B28" s="9" t="s">
        <v>34</v>
      </c>
      <c r="C28" s="9" t="s">
        <v>35</v>
      </c>
      <c r="D28" s="86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6">
        <f>D28</f>
        <v>0.95</v>
      </c>
      <c r="K28" s="2"/>
      <c r="L28" s="9" t="s">
        <v>33</v>
      </c>
      <c r="M28" s="9" t="s">
        <v>34</v>
      </c>
      <c r="N28" s="9" t="s">
        <v>35</v>
      </c>
      <c r="O28" s="86">
        <f>D28</f>
        <v>0.95</v>
      </c>
      <c r="Q28" s="9" t="s">
        <v>33</v>
      </c>
      <c r="R28" s="9" t="s">
        <v>34</v>
      </c>
      <c r="S28" s="9" t="s">
        <v>35</v>
      </c>
      <c r="T28" s="86">
        <f>O28</f>
        <v>0.95</v>
      </c>
    </row>
    <row r="29" spans="1:20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  <c r="Q29" s="9" t="s">
        <v>36</v>
      </c>
      <c r="R29" s="9" t="s">
        <v>37</v>
      </c>
      <c r="S29" s="9" t="s">
        <v>30</v>
      </c>
      <c r="T29" s="86">
        <v>0</v>
      </c>
    </row>
    <row r="30" spans="1:20">
      <c r="A30" s="9" t="s">
        <v>90</v>
      </c>
      <c r="B30" s="9" t="s">
        <v>39</v>
      </c>
      <c r="C30" s="9" t="s">
        <v>30</v>
      </c>
      <c r="D30" s="86">
        <f>ROUNDDOWN(((D26-D27)*D28)-D29,0)</f>
        <v>6307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2264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3862</v>
      </c>
      <c r="Q30" s="9" t="s">
        <v>90</v>
      </c>
      <c r="R30" s="9" t="s">
        <v>39</v>
      </c>
      <c r="S30" s="9" t="s">
        <v>30</v>
      </c>
      <c r="T30" s="86">
        <f>ROUNDDOWN(((T26-T27)*T28)-T29,0)</f>
        <v>177</v>
      </c>
    </row>
    <row r="31" spans="1:20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  <c r="Q31" s="2"/>
      <c r="R31" s="2"/>
      <c r="S31" s="2"/>
      <c r="T31" s="2"/>
    </row>
    <row r="32" spans="1:20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  <c r="Q32" s="533" t="s">
        <v>40</v>
      </c>
      <c r="R32" s="519"/>
      <c r="S32" s="519"/>
      <c r="T32" s="519"/>
    </row>
    <row r="33" spans="1:20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M33" s="9"/>
      <c r="N33" s="16"/>
      <c r="O33" s="91">
        <v>1</v>
      </c>
      <c r="Q33" s="90" t="s">
        <v>41</v>
      </c>
      <c r="R33" s="9"/>
      <c r="S33" s="16"/>
      <c r="T33" s="91">
        <v>1</v>
      </c>
    </row>
    <row r="34" spans="1:20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  <c r="Q34" s="90" t="s">
        <v>277</v>
      </c>
      <c r="R34" s="9" t="s">
        <v>42</v>
      </c>
      <c r="S34" s="16" t="s">
        <v>44</v>
      </c>
      <c r="T34" s="91">
        <v>0</v>
      </c>
    </row>
    <row r="35" spans="1:20">
      <c r="A35" s="93" t="s">
        <v>140</v>
      </c>
      <c r="B35" s="94" t="s">
        <v>39</v>
      </c>
      <c r="C35" s="95" t="s">
        <v>30</v>
      </c>
      <c r="D35" s="246">
        <f>ROUNDDOWN(D30*(1-D34),0)</f>
        <v>6307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2264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3862</v>
      </c>
      <c r="Q35" s="93" t="s">
        <v>140</v>
      </c>
      <c r="R35" s="94" t="s">
        <v>39</v>
      </c>
      <c r="S35" s="95" t="s">
        <v>30</v>
      </c>
      <c r="T35" s="96">
        <f>ROUNDDOWN(T30*(1-T34),0)</f>
        <v>177</v>
      </c>
    </row>
    <row r="36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</row>
    <row r="37" spans="1:20">
      <c r="A37" s="93" t="s">
        <v>141</v>
      </c>
      <c r="B37" s="94"/>
      <c r="C37" s="95" t="s">
        <v>30</v>
      </c>
      <c r="D37" s="96">
        <f>J37+O37+T37</f>
        <v>6303</v>
      </c>
      <c r="E37" s="2"/>
      <c r="F37" s="2"/>
      <c r="G37" s="93" t="s">
        <v>141</v>
      </c>
      <c r="H37" s="94"/>
      <c r="I37" s="95" t="s">
        <v>30</v>
      </c>
      <c r="J37" s="96">
        <f>IF(J35&gt;'GS7333 PTDs'!B18*'GS7332 PTDs'!B19,'GS7333 PTDs'!B18*'GS7333 PTDs'!B19,'GS7333 ER Calcs'!J35)</f>
        <v>2264</v>
      </c>
      <c r="K37" s="2"/>
      <c r="L37" s="93" t="s">
        <v>141</v>
      </c>
      <c r="M37" s="94"/>
      <c r="N37" s="95" t="s">
        <v>30</v>
      </c>
      <c r="O37" s="96">
        <f>IF(O35&gt;'GS7333 PTDs'!B18*'GS7333 PTDs'!B20,'GS7333 PTDs'!B18*'GS7333 PTDs'!B20,'GS7333 ER Calcs'!O35)</f>
        <v>3862</v>
      </c>
      <c r="Q37" s="93" t="s">
        <v>141</v>
      </c>
      <c r="R37" s="94"/>
      <c r="S37" s="95" t="s">
        <v>30</v>
      </c>
      <c r="T37" s="96">
        <f>IF(T35&gt;'GS7333 PTDs'!B18*'GS7333 PTDs'!B21,'GS7333 PTDs'!B18*'GS7333 PTDs'!B21,'GS7333 ER Calcs'!T35)</f>
        <v>177</v>
      </c>
    </row>
    <row r="38" spans="1:2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</row>
    <row r="39" spans="1:20">
      <c r="A39" s="1" t="s">
        <v>142</v>
      </c>
      <c r="B39" s="2"/>
      <c r="C39" s="2"/>
      <c r="D39" s="2"/>
      <c r="E39" s="2"/>
      <c r="F39" s="2"/>
      <c r="G39" s="1" t="s">
        <v>142</v>
      </c>
      <c r="H39" s="2"/>
      <c r="I39" s="2"/>
      <c r="J39" s="2"/>
      <c r="K39" s="2"/>
      <c r="L39" s="1" t="s">
        <v>142</v>
      </c>
      <c r="M39" s="2"/>
      <c r="N39" s="2"/>
      <c r="O39" s="2"/>
      <c r="Q39" s="1" t="s">
        <v>142</v>
      </c>
      <c r="R39" s="2"/>
      <c r="S39" s="2"/>
      <c r="T39" s="2"/>
    </row>
  </sheetData>
  <mergeCells count="24">
    <mergeCell ref="A25:D25"/>
    <mergeCell ref="G25:J25"/>
    <mergeCell ref="L25:O25"/>
    <mergeCell ref="A32:D32"/>
    <mergeCell ref="G32:J32"/>
    <mergeCell ref="L32:O32"/>
    <mergeCell ref="A11:D11"/>
    <mergeCell ref="G11:J11"/>
    <mergeCell ref="L11:O11"/>
    <mergeCell ref="A19:D19"/>
    <mergeCell ref="G19:J19"/>
    <mergeCell ref="L19:O19"/>
    <mergeCell ref="A1:D1"/>
    <mergeCell ref="G1:J1"/>
    <mergeCell ref="L1:O1"/>
    <mergeCell ref="A3:D3"/>
    <mergeCell ref="G3:J3"/>
    <mergeCell ref="L3:O3"/>
    <mergeCell ref="Q32:T32"/>
    <mergeCell ref="Q1:T1"/>
    <mergeCell ref="Q3:T3"/>
    <mergeCell ref="Q11:T11"/>
    <mergeCell ref="Q19:T19"/>
    <mergeCell ref="Q25:T25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E119C-235F-44ED-81A8-F42295E33158}">
  <dimension ref="A1:Y39"/>
  <sheetViews>
    <sheetView workbookViewId="0">
      <selection activeCell="A46" sqref="A46:A47"/>
    </sheetView>
  </sheetViews>
  <sheetFormatPr defaultColWidth="18.1796875" defaultRowHeight="14.5"/>
  <cols>
    <col min="1" max="1" width="77.1796875" bestFit="1" customWidth="1"/>
    <col min="2" max="2" width="15.7265625" bestFit="1" customWidth="1"/>
    <col min="3" max="3" width="10" bestFit="1" customWidth="1"/>
    <col min="4" max="4" width="11.81640625" bestFit="1" customWidth="1"/>
    <col min="7" max="7" width="77.1796875" bestFit="1" customWidth="1"/>
    <col min="8" max="8" width="15.7265625" bestFit="1" customWidth="1"/>
    <col min="9" max="9" width="10" bestFit="1" customWidth="1"/>
    <col min="10" max="10" width="11.81640625" bestFit="1" customWidth="1"/>
    <col min="12" max="12" width="77.1796875" bestFit="1" customWidth="1"/>
    <col min="13" max="13" width="15.7265625" bestFit="1" customWidth="1"/>
    <col min="14" max="14" width="10" bestFit="1" customWidth="1"/>
    <col min="15" max="15" width="11.81640625" bestFit="1" customWidth="1"/>
    <col min="17" max="17" width="60.7265625" customWidth="1"/>
    <col min="22" max="22" width="60.7265625" customWidth="1"/>
  </cols>
  <sheetData>
    <row r="1" spans="1:25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  <c r="Q1" s="535" t="s">
        <v>276</v>
      </c>
      <c r="R1" s="535"/>
      <c r="S1" s="535"/>
      <c r="T1" s="535"/>
      <c r="V1" s="550"/>
      <c r="W1" s="550"/>
      <c r="X1" s="550"/>
      <c r="Y1" s="550"/>
    </row>
    <row r="2" spans="1: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2"/>
      <c r="R2" s="2"/>
      <c r="S2" s="2"/>
      <c r="T2" s="2"/>
      <c r="V2" s="1"/>
      <c r="W2" s="1"/>
      <c r="X2" s="1"/>
      <c r="Y2" s="1"/>
    </row>
    <row r="3" spans="1:25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  <c r="Q3" s="533" t="s">
        <v>91</v>
      </c>
      <c r="R3" s="519"/>
      <c r="S3" s="519"/>
      <c r="T3" s="519"/>
      <c r="V3" s="554"/>
      <c r="W3" s="554"/>
      <c r="X3" s="554"/>
      <c r="Y3" s="554"/>
    </row>
    <row r="4" spans="1:25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f>D4</f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  <c r="Q4" s="9" t="s">
        <v>93</v>
      </c>
      <c r="R4" s="9" t="s">
        <v>94</v>
      </c>
      <c r="S4" s="9" t="s">
        <v>35</v>
      </c>
      <c r="T4" s="86">
        <v>0</v>
      </c>
      <c r="V4" s="1"/>
      <c r="W4" s="1"/>
      <c r="X4" s="1"/>
      <c r="Y4" s="1"/>
    </row>
    <row r="5" spans="1:25" ht="26.25" customHeight="1">
      <c r="A5" s="9" t="s">
        <v>96</v>
      </c>
      <c r="B5" s="9" t="s">
        <v>97</v>
      </c>
      <c r="C5" s="9"/>
      <c r="D5" s="87">
        <f>'GS7333 PTDs'!Q18</f>
        <v>1764010.35</v>
      </c>
      <c r="E5" s="85" t="s">
        <v>98</v>
      </c>
      <c r="F5" s="2"/>
      <c r="G5" s="9" t="s">
        <v>96</v>
      </c>
      <c r="H5" s="9" t="s">
        <v>97</v>
      </c>
      <c r="I5" s="9"/>
      <c r="J5" s="87">
        <f>'GS7333 PTDs'!L18</f>
        <v>651983.1</v>
      </c>
      <c r="K5" s="2"/>
      <c r="L5" s="9" t="s">
        <v>96</v>
      </c>
      <c r="M5" s="9" t="s">
        <v>97</v>
      </c>
      <c r="N5" s="9"/>
      <c r="O5" s="87">
        <f>'GS7333 PTDs'!N18</f>
        <v>1112027.25</v>
      </c>
      <c r="Q5" s="9" t="s">
        <v>96</v>
      </c>
      <c r="R5" s="9" t="s">
        <v>97</v>
      </c>
      <c r="S5" s="9"/>
      <c r="T5" s="87">
        <f>'GS7333 PTDs'!$P$18</f>
        <v>51793.049999999988</v>
      </c>
      <c r="V5" s="1"/>
      <c r="W5" s="1"/>
      <c r="X5" s="1"/>
      <c r="Y5" s="501"/>
    </row>
    <row r="6" spans="1:25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f>D6</f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  <c r="Q6" s="9" t="s">
        <v>99</v>
      </c>
      <c r="R6" s="9" t="s">
        <v>100</v>
      </c>
      <c r="S6" s="9" t="s">
        <v>101</v>
      </c>
      <c r="T6" s="86">
        <v>4.0000000000000002E-4</v>
      </c>
      <c r="V6" s="1"/>
      <c r="W6" s="1"/>
      <c r="X6" s="1"/>
      <c r="Y6" s="1"/>
    </row>
    <row r="7" spans="1:25" ht="38.25" customHeight="1">
      <c r="A7" s="88" t="s">
        <v>103</v>
      </c>
      <c r="B7" s="9" t="s">
        <v>104</v>
      </c>
      <c r="C7" s="9" t="s">
        <v>105</v>
      </c>
      <c r="D7" s="86">
        <v>7.5</v>
      </c>
      <c r="E7" s="85" t="s">
        <v>162</v>
      </c>
      <c r="F7" s="2"/>
      <c r="G7" s="88" t="s">
        <v>103</v>
      </c>
      <c r="H7" s="9" t="s">
        <v>104</v>
      </c>
      <c r="I7" s="9" t="s">
        <v>105</v>
      </c>
      <c r="J7" s="86">
        <f>D7</f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  <c r="Q7" s="88" t="s">
        <v>103</v>
      </c>
      <c r="R7" s="9" t="s">
        <v>104</v>
      </c>
      <c r="S7" s="9" t="s">
        <v>105</v>
      </c>
      <c r="T7" s="86">
        <v>7.5</v>
      </c>
      <c r="V7" s="180"/>
      <c r="W7" s="1"/>
      <c r="X7" s="1"/>
      <c r="Y7" s="1"/>
    </row>
    <row r="8" spans="1:25" ht="34.5" customHeight="1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f>D8</f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  <c r="Q8" s="88" t="s">
        <v>107</v>
      </c>
      <c r="R8" s="9" t="s">
        <v>108</v>
      </c>
      <c r="S8" s="9" t="s">
        <v>105</v>
      </c>
      <c r="T8" s="86">
        <v>0</v>
      </c>
      <c r="V8" s="180"/>
      <c r="W8" s="1"/>
      <c r="X8" s="1"/>
      <c r="Y8" s="1"/>
    </row>
    <row r="9" spans="1:25">
      <c r="A9" s="9" t="s">
        <v>110</v>
      </c>
      <c r="B9" s="9" t="s">
        <v>111</v>
      </c>
      <c r="C9" s="9" t="s">
        <v>112</v>
      </c>
      <c r="D9" s="86">
        <f>ROUNDDOWN((1-D4)*D5*D6*(D7+D8),0)</f>
        <v>5292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1955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3336</v>
      </c>
      <c r="Q9" s="9" t="s">
        <v>110</v>
      </c>
      <c r="R9" s="9" t="s">
        <v>111</v>
      </c>
      <c r="S9" s="9" t="s">
        <v>112</v>
      </c>
      <c r="T9" s="86">
        <f>ROUNDDOWN((1-T4)*T5*T6*(T7+T8),0)</f>
        <v>155</v>
      </c>
      <c r="V9" s="1"/>
      <c r="W9" s="1"/>
      <c r="X9" s="1"/>
      <c r="Y9" s="1"/>
    </row>
    <row r="10" spans="1:25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Q10" s="2"/>
      <c r="R10" s="2"/>
      <c r="S10" s="2"/>
      <c r="T10" s="2"/>
      <c r="V10" s="1"/>
      <c r="W10" s="1"/>
      <c r="X10" s="1"/>
      <c r="Y10" s="1"/>
    </row>
    <row r="11" spans="1:25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  <c r="Q11" s="533" t="s">
        <v>113</v>
      </c>
      <c r="R11" s="519"/>
      <c r="S11" s="519"/>
      <c r="T11" s="519"/>
      <c r="V11" s="554"/>
      <c r="W11" s="554"/>
      <c r="X11" s="554"/>
      <c r="Y11" s="554"/>
    </row>
    <row r="12" spans="1:25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f>D12</f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  <c r="Q12" s="9" t="s">
        <v>114</v>
      </c>
      <c r="R12" s="9" t="s">
        <v>94</v>
      </c>
      <c r="S12" s="9" t="s">
        <v>35</v>
      </c>
      <c r="T12" s="86">
        <v>0</v>
      </c>
      <c r="V12" s="1"/>
      <c r="W12" s="1"/>
      <c r="X12" s="1"/>
      <c r="Y12" s="1"/>
    </row>
    <row r="13" spans="1:25" ht="28.5" customHeight="1">
      <c r="A13" s="9" t="s">
        <v>96</v>
      </c>
      <c r="B13" s="9" t="s">
        <v>97</v>
      </c>
      <c r="C13" s="9"/>
      <c r="D13" s="87">
        <f>D5</f>
        <v>1764010.35</v>
      </c>
      <c r="E13" s="85" t="s">
        <v>115</v>
      </c>
      <c r="F13" s="2"/>
      <c r="G13" s="9" t="s">
        <v>96</v>
      </c>
      <c r="H13" s="9" t="s">
        <v>97</v>
      </c>
      <c r="I13" s="9"/>
      <c r="J13" s="87">
        <f>J5</f>
        <v>651983.1</v>
      </c>
      <c r="K13" s="2"/>
      <c r="L13" s="9" t="s">
        <v>96</v>
      </c>
      <c r="M13" s="9" t="s">
        <v>97</v>
      </c>
      <c r="N13" s="9"/>
      <c r="O13" s="87">
        <f>O5</f>
        <v>1112027.25</v>
      </c>
      <c r="Q13" s="9" t="s">
        <v>96</v>
      </c>
      <c r="R13" s="9" t="s">
        <v>97</v>
      </c>
      <c r="S13" s="9"/>
      <c r="T13" s="87">
        <f>T5</f>
        <v>51793.049999999988</v>
      </c>
      <c r="V13" s="1"/>
      <c r="W13" s="1"/>
      <c r="X13" s="1"/>
      <c r="Y13" s="501"/>
    </row>
    <row r="14" spans="1:25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f>D14</f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  <c r="Q14" s="9" t="s">
        <v>116</v>
      </c>
      <c r="R14" s="9" t="s">
        <v>117</v>
      </c>
      <c r="S14" s="9" t="s">
        <v>101</v>
      </c>
      <c r="T14" s="86">
        <v>4.0000000000000002E-4</v>
      </c>
      <c r="V14" s="1"/>
      <c r="W14" s="1"/>
      <c r="X14" s="1"/>
      <c r="Y14" s="1"/>
    </row>
    <row r="15" spans="1:25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f>D15</f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  <c r="Q15" s="9" t="s">
        <v>118</v>
      </c>
      <c r="R15" s="9" t="s">
        <v>108</v>
      </c>
      <c r="S15" s="9" t="s">
        <v>105</v>
      </c>
      <c r="T15" s="86">
        <v>0</v>
      </c>
      <c r="V15" s="1"/>
      <c r="W15" s="1"/>
      <c r="X15" s="1"/>
      <c r="Y15" s="1"/>
    </row>
    <row r="16" spans="1:25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f>D16</f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  <c r="Q16" s="9" t="s">
        <v>119</v>
      </c>
      <c r="R16" s="9" t="s">
        <v>120</v>
      </c>
      <c r="S16" s="9" t="s">
        <v>105</v>
      </c>
      <c r="T16" s="86">
        <v>0</v>
      </c>
      <c r="V16" s="1"/>
      <c r="W16" s="1"/>
      <c r="X16" s="1"/>
      <c r="Y16" s="1"/>
    </row>
    <row r="17" spans="1:25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121</v>
      </c>
      <c r="M17" s="9" t="s">
        <v>122</v>
      </c>
      <c r="N17" s="9" t="s">
        <v>112</v>
      </c>
      <c r="O17" s="86">
        <f>ROUNDDOWN((1+O12)*O13*O14*(O16+O16),0)</f>
        <v>0</v>
      </c>
      <c r="Q17" s="9" t="s">
        <v>121</v>
      </c>
      <c r="R17" s="9" t="s">
        <v>122</v>
      </c>
      <c r="S17" s="9" t="s">
        <v>112</v>
      </c>
      <c r="T17" s="86">
        <f>ROUNDDOWN((1+T12)*T13*T14*(T16+T16),0)</f>
        <v>0</v>
      </c>
      <c r="V17" s="1"/>
      <c r="W17" s="1"/>
      <c r="X17" s="1"/>
      <c r="Y17" s="1"/>
    </row>
    <row r="18" spans="1:25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  <c r="Q18" s="2"/>
      <c r="R18" s="2"/>
      <c r="S18" s="2"/>
      <c r="T18" s="2"/>
      <c r="V18" s="1"/>
      <c r="W18" s="1"/>
      <c r="X18" s="1"/>
      <c r="Y18" s="1"/>
    </row>
    <row r="19" spans="1:25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  <c r="Q19" s="533" t="s">
        <v>123</v>
      </c>
      <c r="R19" s="519"/>
      <c r="S19" s="519"/>
      <c r="T19" s="519"/>
      <c r="V19" s="554"/>
      <c r="W19" s="554"/>
      <c r="X19" s="554"/>
      <c r="Y19" s="554"/>
    </row>
    <row r="20" spans="1:25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f>D20</f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  <c r="Q20" s="88" t="s">
        <v>124</v>
      </c>
      <c r="R20" s="9" t="s">
        <v>124</v>
      </c>
      <c r="S20" s="9" t="s">
        <v>125</v>
      </c>
      <c r="T20" s="86">
        <v>0.97</v>
      </c>
      <c r="V20" s="180"/>
      <c r="W20" s="1"/>
      <c r="X20" s="1"/>
      <c r="Y20" s="1"/>
    </row>
    <row r="21" spans="1:25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f>D21</f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  <c r="Q21" s="9" t="s">
        <v>127</v>
      </c>
      <c r="R21" s="9" t="s">
        <v>130</v>
      </c>
      <c r="S21" s="9" t="s">
        <v>129</v>
      </c>
      <c r="T21" s="86">
        <v>112</v>
      </c>
      <c r="V21" s="1"/>
      <c r="W21" s="1"/>
      <c r="X21" s="1"/>
      <c r="Y21" s="1"/>
    </row>
    <row r="22" spans="1:25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D22</f>
        <v>9.4600000000000009</v>
      </c>
      <c r="Q22" s="9" t="s">
        <v>131</v>
      </c>
      <c r="R22" s="9" t="s">
        <v>134</v>
      </c>
      <c r="S22" s="9" t="s">
        <v>133</v>
      </c>
      <c r="T22" s="86">
        <f>D22</f>
        <v>9.4600000000000009</v>
      </c>
      <c r="V22" s="1"/>
      <c r="W22" s="1"/>
      <c r="X22" s="1"/>
      <c r="Y22" s="1"/>
    </row>
    <row r="23" spans="1:25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f>D23</f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  <c r="Q23" s="9" t="s">
        <v>135</v>
      </c>
      <c r="R23" s="9" t="s">
        <v>136</v>
      </c>
      <c r="S23" s="9" t="s">
        <v>137</v>
      </c>
      <c r="T23" s="86">
        <v>1.5599999999999999E-2</v>
      </c>
      <c r="V23" s="1"/>
      <c r="W23" s="1"/>
      <c r="X23" s="1"/>
      <c r="Y23" s="1"/>
    </row>
    <row r="24" spans="1:25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  <c r="Q24" s="2"/>
      <c r="R24" s="2"/>
      <c r="S24" s="2"/>
      <c r="T24" s="2"/>
      <c r="V24" s="1"/>
      <c r="W24" s="1"/>
      <c r="X24" s="1"/>
      <c r="Y24" s="1"/>
    </row>
    <row r="25" spans="1:25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  <c r="Q25" s="533" t="s">
        <v>19</v>
      </c>
      <c r="R25" s="519"/>
      <c r="S25" s="519"/>
      <c r="T25" s="519"/>
      <c r="V25" s="554"/>
      <c r="W25" s="554"/>
      <c r="X25" s="554"/>
      <c r="Y25" s="554"/>
    </row>
    <row r="26" spans="1:25">
      <c r="A26" s="9" t="s">
        <v>28</v>
      </c>
      <c r="B26" s="9" t="s">
        <v>29</v>
      </c>
      <c r="C26" s="9" t="s">
        <v>30</v>
      </c>
      <c r="D26" s="87">
        <f>ROUNDDOWN(D9*((D20*D21)+D22)*D23,0)</f>
        <v>9749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3601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6146</v>
      </c>
      <c r="Q26" s="9" t="s">
        <v>28</v>
      </c>
      <c r="R26" s="9" t="s">
        <v>29</v>
      </c>
      <c r="S26" s="9" t="s">
        <v>30</v>
      </c>
      <c r="T26" s="87">
        <f>ROUNDDOWN(T9*((T20*T21)+T22)*T23,0)</f>
        <v>285</v>
      </c>
      <c r="V26" s="1"/>
      <c r="W26" s="1"/>
      <c r="X26" s="1"/>
      <c r="Y26" s="501"/>
    </row>
    <row r="27" spans="1:25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O17*((O20*O21)+O22)*O230</f>
        <v>0</v>
      </c>
      <c r="Q27" s="9" t="s">
        <v>31</v>
      </c>
      <c r="R27" s="9" t="s">
        <v>32</v>
      </c>
      <c r="S27" s="9" t="s">
        <v>30</v>
      </c>
      <c r="T27" s="86">
        <f>T17*((T20*T21)+T22)*T230</f>
        <v>0</v>
      </c>
      <c r="V27" s="1"/>
      <c r="W27" s="1"/>
      <c r="X27" s="1"/>
      <c r="Y27" s="1"/>
    </row>
    <row r="28" spans="1:25" ht="29">
      <c r="A28" s="9" t="s">
        <v>33</v>
      </c>
      <c r="B28" s="9" t="s">
        <v>34</v>
      </c>
      <c r="C28" s="9" t="s">
        <v>35</v>
      </c>
      <c r="D28" s="86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6">
        <f>D28</f>
        <v>0.95</v>
      </c>
      <c r="K28" s="2"/>
      <c r="L28" s="9" t="s">
        <v>33</v>
      </c>
      <c r="M28" s="9" t="s">
        <v>34</v>
      </c>
      <c r="N28" s="9" t="s">
        <v>35</v>
      </c>
      <c r="O28" s="86">
        <f>D28</f>
        <v>0.95</v>
      </c>
      <c r="Q28" s="9" t="s">
        <v>33</v>
      </c>
      <c r="R28" s="9" t="s">
        <v>34</v>
      </c>
      <c r="S28" s="9" t="s">
        <v>35</v>
      </c>
      <c r="T28" s="86">
        <f>D28</f>
        <v>0.95</v>
      </c>
      <c r="V28" s="1"/>
      <c r="W28" s="1"/>
      <c r="X28" s="1"/>
      <c r="Y28" s="1"/>
    </row>
    <row r="29" spans="1:25" ht="29">
      <c r="A29" s="9" t="s">
        <v>36</v>
      </c>
      <c r="B29" s="9" t="s">
        <v>37</v>
      </c>
      <c r="C29" s="9" t="s">
        <v>30</v>
      </c>
      <c r="D29" s="86">
        <v>0</v>
      </c>
      <c r="E29" s="302" t="s">
        <v>139</v>
      </c>
      <c r="F29" s="2"/>
      <c r="G29" s="9" t="s">
        <v>36</v>
      </c>
      <c r="H29" s="9" t="s">
        <v>37</v>
      </c>
      <c r="I29" s="9" t="s">
        <v>30</v>
      </c>
      <c r="J29" s="86">
        <f>D29</f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  <c r="Q29" s="9" t="s">
        <v>36</v>
      </c>
      <c r="R29" s="9" t="s">
        <v>37</v>
      </c>
      <c r="S29" s="9" t="s">
        <v>30</v>
      </c>
      <c r="T29" s="86">
        <v>0</v>
      </c>
      <c r="V29" s="1"/>
      <c r="W29" s="1"/>
      <c r="X29" s="1"/>
      <c r="Y29" s="1"/>
    </row>
    <row r="30" spans="1:25">
      <c r="A30" s="9" t="s">
        <v>90</v>
      </c>
      <c r="B30" s="9" t="s">
        <v>39</v>
      </c>
      <c r="C30" s="9" t="s">
        <v>30</v>
      </c>
      <c r="D30" s="86">
        <f>ROUNDDOWN(((D26-D27)*D28)-D29,0)</f>
        <v>9261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3420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5838</v>
      </c>
      <c r="Q30" s="9" t="s">
        <v>90</v>
      </c>
      <c r="R30" s="9" t="s">
        <v>39</v>
      </c>
      <c r="S30" s="9" t="s">
        <v>30</v>
      </c>
      <c r="T30" s="86">
        <f>ROUNDDOWN(((T26-T27)*T28)-T29,0)</f>
        <v>270</v>
      </c>
      <c r="V30" s="1"/>
      <c r="W30" s="1"/>
      <c r="X30" s="1"/>
      <c r="Y30" s="1"/>
    </row>
    <row r="31" spans="1:25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  <c r="Q31" s="2"/>
      <c r="R31" s="2"/>
      <c r="S31" s="2"/>
      <c r="T31" s="2"/>
      <c r="V31" s="1"/>
      <c r="W31" s="1"/>
      <c r="X31" s="1"/>
      <c r="Y31" s="1"/>
    </row>
    <row r="32" spans="1:25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  <c r="Q32" s="533" t="s">
        <v>40</v>
      </c>
      <c r="R32" s="519"/>
      <c r="S32" s="519"/>
      <c r="T32" s="519"/>
      <c r="V32" s="554"/>
      <c r="W32" s="554"/>
      <c r="X32" s="554"/>
      <c r="Y32" s="554"/>
    </row>
    <row r="33" spans="1:25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f>D33</f>
        <v>1</v>
      </c>
      <c r="K33" s="2"/>
      <c r="L33" s="90" t="s">
        <v>41</v>
      </c>
      <c r="M33" s="9"/>
      <c r="N33" s="16"/>
      <c r="O33" s="91">
        <v>1</v>
      </c>
      <c r="Q33" s="90" t="s">
        <v>41</v>
      </c>
      <c r="R33" s="9"/>
      <c r="S33" s="16"/>
      <c r="T33" s="91">
        <v>1</v>
      </c>
      <c r="V33" s="1"/>
      <c r="W33" s="1"/>
      <c r="X33" s="1"/>
      <c r="Y33" s="502"/>
    </row>
    <row r="34" spans="1:25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  <c r="Q34" s="90" t="s">
        <v>43</v>
      </c>
      <c r="R34" s="9" t="s">
        <v>42</v>
      </c>
      <c r="S34" s="16" t="s">
        <v>44</v>
      </c>
      <c r="T34" s="91">
        <v>0</v>
      </c>
      <c r="V34" s="1"/>
      <c r="W34" s="1"/>
      <c r="X34" s="1"/>
      <c r="Y34" s="502"/>
    </row>
    <row r="35" spans="1:25">
      <c r="A35" s="93" t="s">
        <v>140</v>
      </c>
      <c r="B35" s="94" t="s">
        <v>39</v>
      </c>
      <c r="C35" s="95" t="s">
        <v>30</v>
      </c>
      <c r="D35" s="246">
        <f>ROUNDDOWN(D30*(1-D34),0)</f>
        <v>9261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3420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5838</v>
      </c>
      <c r="Q35" s="93" t="s">
        <v>140</v>
      </c>
      <c r="R35" s="94" t="s">
        <v>39</v>
      </c>
      <c r="S35" s="95" t="s">
        <v>30</v>
      </c>
      <c r="T35" s="96">
        <f>ROUNDDOWN(T30*(1-T34),0)</f>
        <v>270</v>
      </c>
      <c r="V35" s="28"/>
      <c r="W35" s="28"/>
      <c r="X35" s="28"/>
      <c r="Y35" s="503"/>
    </row>
    <row r="36" spans="1: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  <c r="V36" s="1"/>
      <c r="W36" s="1"/>
      <c r="X36" s="1"/>
      <c r="Y36" s="1"/>
    </row>
    <row r="37" spans="1:25">
      <c r="A37" s="93" t="s">
        <v>141</v>
      </c>
      <c r="B37" s="94"/>
      <c r="C37" s="95" t="s">
        <v>30</v>
      </c>
      <c r="D37" s="96">
        <f>J37+O37+T37</f>
        <v>9528</v>
      </c>
      <c r="E37" s="2"/>
      <c r="F37" s="2"/>
      <c r="G37" s="93" t="s">
        <v>141</v>
      </c>
      <c r="H37" s="94"/>
      <c r="I37" s="95" t="s">
        <v>30</v>
      </c>
      <c r="J37" s="96">
        <f>J35</f>
        <v>3420</v>
      </c>
      <c r="K37" s="2"/>
      <c r="L37" s="93" t="s">
        <v>141</v>
      </c>
      <c r="M37" s="94"/>
      <c r="N37" s="95" t="s">
        <v>30</v>
      </c>
      <c r="O37" s="96">
        <f>O35</f>
        <v>5838</v>
      </c>
      <c r="Q37" s="93" t="s">
        <v>141</v>
      </c>
      <c r="R37" s="94"/>
      <c r="S37" s="95" t="s">
        <v>30</v>
      </c>
      <c r="T37" s="96">
        <f>T35</f>
        <v>270</v>
      </c>
      <c r="V37" s="28"/>
      <c r="W37" s="28"/>
      <c r="X37" s="28"/>
      <c r="Y37" s="503"/>
    </row>
    <row r="38" spans="1: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25">
      <c r="A39" s="1"/>
      <c r="B39" s="2"/>
      <c r="C39" s="2"/>
      <c r="D39" s="2"/>
      <c r="E39" s="2"/>
      <c r="F39" s="2"/>
      <c r="G39" s="1"/>
      <c r="H39" s="2"/>
      <c r="I39" s="2"/>
      <c r="J39" s="2"/>
      <c r="K39" s="2"/>
      <c r="L39" s="1"/>
      <c r="M39" s="2"/>
      <c r="N39" s="2"/>
      <c r="O39" s="2"/>
    </row>
  </sheetData>
  <mergeCells count="30">
    <mergeCell ref="A25:D25"/>
    <mergeCell ref="G25:J25"/>
    <mergeCell ref="L25:O25"/>
    <mergeCell ref="A32:D32"/>
    <mergeCell ref="G32:J32"/>
    <mergeCell ref="L32:O32"/>
    <mergeCell ref="A11:D11"/>
    <mergeCell ref="G11:J11"/>
    <mergeCell ref="L11:O11"/>
    <mergeCell ref="A19:D19"/>
    <mergeCell ref="G19:J19"/>
    <mergeCell ref="L19:O19"/>
    <mergeCell ref="A1:D1"/>
    <mergeCell ref="G1:J1"/>
    <mergeCell ref="L1:O1"/>
    <mergeCell ref="A3:D3"/>
    <mergeCell ref="G3:J3"/>
    <mergeCell ref="L3:O3"/>
    <mergeCell ref="Q32:T32"/>
    <mergeCell ref="V1:Y1"/>
    <mergeCell ref="V3:Y3"/>
    <mergeCell ref="V11:Y11"/>
    <mergeCell ref="V19:Y19"/>
    <mergeCell ref="V25:Y25"/>
    <mergeCell ref="V32:Y32"/>
    <mergeCell ref="Q1:T1"/>
    <mergeCell ref="Q3:T3"/>
    <mergeCell ref="Q11:T11"/>
    <mergeCell ref="Q19:T19"/>
    <mergeCell ref="Q25:T2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40BD5-4EFD-4231-A5FF-3DDCDB24EAB6}">
  <dimension ref="A1:E22"/>
  <sheetViews>
    <sheetView topLeftCell="A5" workbookViewId="0">
      <selection activeCell="C17" sqref="C17"/>
    </sheetView>
  </sheetViews>
  <sheetFormatPr defaultRowHeight="14.5"/>
  <cols>
    <col min="1" max="1" width="20.1796875" bestFit="1" customWidth="1"/>
    <col min="2" max="2" width="63.453125" customWidth="1"/>
    <col min="3" max="3" width="28.54296875" bestFit="1" customWidth="1"/>
    <col min="4" max="4" width="6" customWidth="1"/>
    <col min="5" max="5" width="17" customWidth="1"/>
  </cols>
  <sheetData>
    <row r="1" spans="1:5" s="32" customFormat="1" ht="29">
      <c r="A1" s="128" t="s">
        <v>145</v>
      </c>
      <c r="B1" s="137" t="s">
        <v>146</v>
      </c>
      <c r="C1" s="137" t="s">
        <v>147</v>
      </c>
      <c r="D1" s="137" t="s">
        <v>148</v>
      </c>
      <c r="E1" s="184" t="s">
        <v>92</v>
      </c>
    </row>
    <row r="2" spans="1:5">
      <c r="A2" s="100" t="s">
        <v>149</v>
      </c>
      <c r="B2" s="88" t="s">
        <v>150</v>
      </c>
      <c r="C2" s="129">
        <f>((C3-C4)/C3)*C8</f>
        <v>0.95</v>
      </c>
      <c r="D2" s="9" t="s">
        <v>151</v>
      </c>
      <c r="E2" s="88"/>
    </row>
    <row r="3" spans="1:5" ht="29">
      <c r="A3" s="9" t="s">
        <v>152</v>
      </c>
      <c r="B3" s="88" t="s">
        <v>153</v>
      </c>
      <c r="C3" s="54">
        <f>C5*C6</f>
        <v>3.0000000000000001E-3</v>
      </c>
      <c r="D3" s="9" t="s">
        <v>154</v>
      </c>
      <c r="E3" s="88"/>
    </row>
    <row r="4" spans="1:5" ht="29">
      <c r="A4" s="101" t="s">
        <v>155</v>
      </c>
      <c r="B4" s="88" t="s">
        <v>156</v>
      </c>
      <c r="C4" s="54">
        <f>C5*C7</f>
        <v>0</v>
      </c>
      <c r="D4" s="9" t="s">
        <v>154</v>
      </c>
      <c r="E4" s="88"/>
    </row>
    <row r="5" spans="1:5" ht="29">
      <c r="A5" s="9" t="s">
        <v>100</v>
      </c>
      <c r="B5" s="88" t="s">
        <v>158</v>
      </c>
      <c r="C5" s="54">
        <f>'GS7333 ER Calcs'!D6</f>
        <v>4.0000000000000002E-4</v>
      </c>
      <c r="D5" s="9" t="s">
        <v>159</v>
      </c>
      <c r="E5" s="85" t="s">
        <v>102</v>
      </c>
    </row>
    <row r="6" spans="1:5" ht="43.5">
      <c r="A6" s="9" t="s">
        <v>104</v>
      </c>
      <c r="B6" s="88" t="s">
        <v>160</v>
      </c>
      <c r="C6" s="54">
        <v>7.5</v>
      </c>
      <c r="D6" s="9" t="s">
        <v>161</v>
      </c>
      <c r="E6" s="85" t="s">
        <v>162</v>
      </c>
    </row>
    <row r="7" spans="1:5" ht="29">
      <c r="A7" s="9" t="s">
        <v>163</v>
      </c>
      <c r="B7" s="88" t="s">
        <v>164</v>
      </c>
      <c r="C7" s="54">
        <v>0</v>
      </c>
      <c r="D7" s="9" t="s">
        <v>161</v>
      </c>
      <c r="E7" s="85" t="s">
        <v>109</v>
      </c>
    </row>
    <row r="8" spans="1:5" ht="30">
      <c r="A8" s="9" t="s">
        <v>209</v>
      </c>
      <c r="B8" s="88" t="s">
        <v>166</v>
      </c>
      <c r="C8" s="172">
        <f>'GS7333 ER Calcs'!D28</f>
        <v>0.95</v>
      </c>
      <c r="D8" s="9" t="s">
        <v>151</v>
      </c>
      <c r="E8" s="85" t="s">
        <v>138</v>
      </c>
    </row>
    <row r="9" spans="1:5">
      <c r="A9" s="1"/>
      <c r="B9" s="1"/>
      <c r="C9" s="1"/>
      <c r="D9" s="1"/>
      <c r="E9" s="88"/>
    </row>
    <row r="10" spans="1:5" s="32" customFormat="1">
      <c r="A10" s="137" t="s">
        <v>167</v>
      </c>
      <c r="B10" s="137" t="s">
        <v>146</v>
      </c>
      <c r="C10" s="137" t="s">
        <v>168</v>
      </c>
      <c r="D10" s="137" t="s">
        <v>148</v>
      </c>
      <c r="E10" s="139"/>
    </row>
    <row r="11" spans="1:5">
      <c r="A11" s="88" t="s">
        <v>169</v>
      </c>
      <c r="B11" s="9" t="s">
        <v>170</v>
      </c>
      <c r="C11" s="105">
        <f>C13-C12</f>
        <v>0.72</v>
      </c>
      <c r="D11" s="9" t="s">
        <v>171</v>
      </c>
      <c r="E11" s="88" t="s">
        <v>174</v>
      </c>
    </row>
    <row r="12" spans="1:5">
      <c r="A12" s="88" t="s">
        <v>211</v>
      </c>
      <c r="B12" s="9" t="s">
        <v>173</v>
      </c>
      <c r="C12" s="9">
        <v>0</v>
      </c>
      <c r="D12" s="9" t="s">
        <v>171</v>
      </c>
      <c r="E12" s="88" t="s">
        <v>213</v>
      </c>
    </row>
    <row r="13" spans="1:5">
      <c r="A13" s="88" t="s">
        <v>212</v>
      </c>
      <c r="B13" s="9" t="s">
        <v>176</v>
      </c>
      <c r="C13" s="478">
        <v>0.72</v>
      </c>
      <c r="D13" s="9" t="s">
        <v>171</v>
      </c>
      <c r="E13" s="88"/>
    </row>
    <row r="14" spans="1:5">
      <c r="A14" s="1"/>
      <c r="B14" s="1"/>
      <c r="C14" s="1"/>
      <c r="D14" s="1"/>
      <c r="E14" s="88"/>
    </row>
    <row r="15" spans="1:5" ht="29">
      <c r="A15" s="97" t="s">
        <v>178</v>
      </c>
      <c r="B15" s="98" t="s">
        <v>146</v>
      </c>
      <c r="C15" s="98" t="s">
        <v>179</v>
      </c>
      <c r="D15" s="98" t="s">
        <v>148</v>
      </c>
      <c r="E15" s="88"/>
    </row>
    <row r="16" spans="1:5">
      <c r="A16" s="88" t="s">
        <v>180</v>
      </c>
      <c r="B16" s="9" t="s">
        <v>181</v>
      </c>
      <c r="C16" s="105">
        <f>ROUNDDOWN(C17*(1-C18)*C19,0)</f>
        <v>3046</v>
      </c>
      <c r="D16" s="9" t="s">
        <v>182</v>
      </c>
      <c r="E16" s="180"/>
    </row>
    <row r="17" spans="1:5">
      <c r="A17" s="88" t="s">
        <v>183</v>
      </c>
      <c r="B17" s="9" t="s">
        <v>184</v>
      </c>
      <c r="C17" s="9">
        <f>'GS7333 PTDs'!H8</f>
        <v>3207</v>
      </c>
      <c r="D17" s="9" t="s">
        <v>182</v>
      </c>
      <c r="E17" s="88" t="s">
        <v>228</v>
      </c>
    </row>
    <row r="18" spans="1:5">
      <c r="A18" s="88" t="s">
        <v>94</v>
      </c>
      <c r="B18" s="9" t="s">
        <v>186</v>
      </c>
      <c r="C18" s="106">
        <f>'GS7330 ER Calcs'!D4</f>
        <v>0</v>
      </c>
      <c r="D18" s="9" t="s">
        <v>151</v>
      </c>
      <c r="E18" s="88" t="s">
        <v>174</v>
      </c>
    </row>
    <row r="19" spans="1:5" ht="30">
      <c r="A19" s="88" t="s">
        <v>209</v>
      </c>
      <c r="B19" s="9" t="s">
        <v>166</v>
      </c>
      <c r="C19" s="173">
        <f>'GS7333 ER Calcs'!D28</f>
        <v>0.95</v>
      </c>
      <c r="D19" s="9" t="s">
        <v>151</v>
      </c>
      <c r="E19" s="85" t="s">
        <v>138</v>
      </c>
    </row>
    <row r="20" spans="1:5">
      <c r="A20" s="1"/>
      <c r="B20" s="1"/>
      <c r="C20" s="1"/>
      <c r="D20" s="1"/>
      <c r="E20" s="88"/>
    </row>
    <row r="21" spans="1:5" s="32" customFormat="1">
      <c r="A21" s="128" t="s">
        <v>187</v>
      </c>
      <c r="B21" s="137" t="s">
        <v>146</v>
      </c>
      <c r="C21" s="137"/>
      <c r="D21" s="137" t="s">
        <v>148</v>
      </c>
      <c r="E21" s="139"/>
    </row>
    <row r="22" spans="1:5">
      <c r="A22" s="88" t="s">
        <v>188</v>
      </c>
      <c r="B22" s="9" t="s">
        <v>189</v>
      </c>
      <c r="C22" s="108">
        <f>'GS7333 ER Calcs'!D37</f>
        <v>6303</v>
      </c>
      <c r="D22" s="9" t="s">
        <v>190</v>
      </c>
      <c r="E22" s="88" t="s">
        <v>191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F2D52-ACF1-4EB5-853B-259D6A374782}">
  <dimension ref="A1:P49"/>
  <sheetViews>
    <sheetView workbookViewId="0">
      <selection sqref="A1:D1"/>
    </sheetView>
  </sheetViews>
  <sheetFormatPr defaultRowHeight="14.5"/>
  <cols>
    <col min="1" max="1" width="39" bestFit="1" customWidth="1"/>
    <col min="4" max="4" width="9.54296875" customWidth="1"/>
  </cols>
  <sheetData>
    <row r="1" spans="1:16" ht="37" customHeight="1" thickBot="1">
      <c r="A1" s="521" t="s">
        <v>275</v>
      </c>
      <c r="B1" s="522"/>
      <c r="C1" s="522"/>
      <c r="D1" s="522"/>
      <c r="E1" s="4"/>
      <c r="F1" s="4"/>
      <c r="G1" s="4"/>
      <c r="H1" s="521" t="s">
        <v>16</v>
      </c>
      <c r="I1" s="522"/>
      <c r="J1" s="522"/>
      <c r="K1" s="522"/>
      <c r="L1" s="522"/>
      <c r="M1" s="522"/>
      <c r="N1" s="522"/>
      <c r="O1" s="304"/>
      <c r="P1" s="2"/>
    </row>
    <row r="2" spans="1:16" ht="1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  <c r="O2" s="2"/>
      <c r="P2" s="2"/>
    </row>
    <row r="3" spans="1:16" ht="14.5" customHeight="1">
      <c r="A3" s="523" t="s">
        <v>17</v>
      </c>
      <c r="B3" s="524"/>
      <c r="C3" s="524"/>
      <c r="D3" s="524"/>
      <c r="E3" s="2"/>
      <c r="F3" s="4"/>
      <c r="G3" s="4"/>
      <c r="H3" s="528" t="s">
        <v>18</v>
      </c>
      <c r="I3" s="529"/>
      <c r="J3" s="529"/>
      <c r="K3" s="529"/>
      <c r="L3" s="529"/>
      <c r="M3" s="529"/>
      <c r="N3" s="529"/>
      <c r="O3" s="5"/>
      <c r="P3" s="2"/>
    </row>
    <row r="4" spans="1:16" ht="29">
      <c r="A4" s="518" t="s">
        <v>19</v>
      </c>
      <c r="B4" s="519"/>
      <c r="C4" s="519"/>
      <c r="D4" s="519"/>
      <c r="E4" s="2"/>
      <c r="F4" s="4"/>
      <c r="G4" s="4"/>
      <c r="H4" s="6" t="s">
        <v>20</v>
      </c>
      <c r="I4" s="7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6" t="s">
        <v>26</v>
      </c>
      <c r="O4" s="6" t="s">
        <v>27</v>
      </c>
      <c r="P4" s="2"/>
    </row>
    <row r="5" spans="1:16">
      <c r="A5" s="8" t="s">
        <v>28</v>
      </c>
      <c r="B5" s="9" t="s">
        <v>29</v>
      </c>
      <c r="C5" s="9" t="s">
        <v>30</v>
      </c>
      <c r="D5" s="10">
        <f>'GS7334 ER Calcs'!J26</f>
        <v>2026</v>
      </c>
      <c r="E5" s="2"/>
      <c r="F5" s="4"/>
      <c r="G5" s="4"/>
      <c r="H5" s="11">
        <v>2017</v>
      </c>
      <c r="I5" s="12" t="s">
        <v>352</v>
      </c>
      <c r="J5" s="13">
        <v>1863</v>
      </c>
      <c r="K5" s="13" t="s">
        <v>352</v>
      </c>
      <c r="L5" s="13"/>
      <c r="M5" s="13"/>
      <c r="O5" s="11">
        <f>SUM(J5:M5)</f>
        <v>1863</v>
      </c>
      <c r="P5" s="2" t="s">
        <v>334</v>
      </c>
    </row>
    <row r="6" spans="1:16">
      <c r="A6" s="8" t="s">
        <v>31</v>
      </c>
      <c r="B6" s="9" t="s">
        <v>32</v>
      </c>
      <c r="C6" s="9" t="s">
        <v>30</v>
      </c>
      <c r="D6" s="14">
        <f>'GS7334 ER Calcs'!J27</f>
        <v>0</v>
      </c>
      <c r="E6" s="2"/>
      <c r="F6" s="4"/>
      <c r="G6" s="4"/>
      <c r="H6" s="11">
        <v>2018</v>
      </c>
      <c r="I6" s="12" t="s">
        <v>352</v>
      </c>
      <c r="J6" s="12">
        <v>10000</v>
      </c>
      <c r="K6" s="13" t="s">
        <v>352</v>
      </c>
      <c r="L6" s="13"/>
      <c r="M6" s="13"/>
      <c r="O6" s="11">
        <f>SUM(J6:M6)</f>
        <v>10000</v>
      </c>
      <c r="P6" s="2"/>
    </row>
    <row r="7" spans="1:16">
      <c r="A7" s="8" t="s">
        <v>33</v>
      </c>
      <c r="B7" s="9" t="s">
        <v>34</v>
      </c>
      <c r="C7" s="9" t="s">
        <v>35</v>
      </c>
      <c r="D7" s="14">
        <f>'GS7334 ER Calcs'!J28</f>
        <v>0.95</v>
      </c>
      <c r="E7" s="2"/>
      <c r="F7" s="4"/>
      <c r="G7" s="4"/>
      <c r="H7" s="11">
        <v>2019</v>
      </c>
      <c r="I7" s="12" t="s">
        <v>352</v>
      </c>
      <c r="J7" s="12">
        <v>4137</v>
      </c>
      <c r="K7" s="12">
        <v>1590</v>
      </c>
      <c r="L7" s="12"/>
      <c r="M7" s="12"/>
      <c r="O7" s="11">
        <f>SUM(J7:M7)</f>
        <v>5727</v>
      </c>
      <c r="P7" s="2"/>
    </row>
    <row r="8" spans="1:16">
      <c r="A8" s="8" t="s">
        <v>36</v>
      </c>
      <c r="B8" s="9" t="s">
        <v>37</v>
      </c>
      <c r="C8" s="9" t="s">
        <v>30</v>
      </c>
      <c r="D8" s="14">
        <f>'GS7334 ER Calcs'!J29</f>
        <v>0</v>
      </c>
      <c r="E8" s="2"/>
      <c r="F8" s="4"/>
      <c r="G8" s="4"/>
      <c r="H8" s="11">
        <v>2020</v>
      </c>
      <c r="I8" s="12" t="s">
        <v>352</v>
      </c>
      <c r="J8" s="12" t="s">
        <v>352</v>
      </c>
      <c r="K8" s="12">
        <v>1128</v>
      </c>
      <c r="L8" s="237">
        <v>1504</v>
      </c>
      <c r="M8" s="237"/>
      <c r="O8" s="11">
        <f>SUM(J8:M8)</f>
        <v>2632</v>
      </c>
      <c r="P8" s="2"/>
    </row>
    <row r="9" spans="1:16">
      <c r="A9" s="8"/>
      <c r="B9" s="9"/>
      <c r="C9" s="9"/>
      <c r="D9" s="14"/>
      <c r="E9" s="2"/>
      <c r="F9" s="4"/>
      <c r="G9" s="4"/>
      <c r="H9" s="11">
        <v>2021</v>
      </c>
      <c r="I9" s="12"/>
      <c r="J9" s="12"/>
      <c r="K9" s="12"/>
      <c r="L9" s="237">
        <v>1069</v>
      </c>
      <c r="M9" s="237">
        <v>1598</v>
      </c>
      <c r="O9" s="11">
        <f>SUM(J9:M9)</f>
        <v>2667</v>
      </c>
      <c r="P9" s="2"/>
    </row>
    <row r="10" spans="1:16">
      <c r="A10" s="8"/>
      <c r="B10" s="9"/>
      <c r="C10" s="9"/>
      <c r="D10" s="14"/>
      <c r="E10" s="2"/>
      <c r="F10" s="4"/>
      <c r="G10" s="4"/>
      <c r="H10" s="11">
        <v>2022</v>
      </c>
      <c r="I10" s="12"/>
      <c r="J10" s="12"/>
      <c r="K10" s="12"/>
      <c r="L10" s="237"/>
      <c r="M10" s="237">
        <v>1128</v>
      </c>
      <c r="N10" s="366">
        <f>D46</f>
        <v>1924</v>
      </c>
      <c r="O10" s="11">
        <f>SUM(J10:N10)</f>
        <v>3052</v>
      </c>
      <c r="P10" s="2"/>
    </row>
    <row r="11" spans="1:16">
      <c r="A11" s="8" t="s">
        <v>38</v>
      </c>
      <c r="B11" s="9" t="s">
        <v>39</v>
      </c>
      <c r="C11" s="9" t="s">
        <v>30</v>
      </c>
      <c r="D11" s="10">
        <f>'GS7334 ER Calcs'!J30</f>
        <v>1924</v>
      </c>
      <c r="E11" s="2"/>
      <c r="F11" s="4"/>
      <c r="G11" s="4"/>
      <c r="H11" s="11">
        <v>2023</v>
      </c>
      <c r="N11" s="366">
        <f t="shared" ref="N11:N12" si="0">D47</f>
        <v>3285</v>
      </c>
      <c r="O11" s="11">
        <f t="shared" ref="O11:O12" si="1">SUM(J11:N11)</f>
        <v>3285</v>
      </c>
      <c r="P11" s="2"/>
    </row>
    <row r="12" spans="1:16">
      <c r="A12" s="518" t="s">
        <v>40</v>
      </c>
      <c r="B12" s="519"/>
      <c r="C12" s="519"/>
      <c r="D12" s="519"/>
      <c r="E12" s="2"/>
      <c r="F12" s="4"/>
      <c r="G12" s="4"/>
      <c r="H12" s="11">
        <v>2024</v>
      </c>
      <c r="N12" s="366">
        <f t="shared" si="0"/>
        <v>277</v>
      </c>
      <c r="O12" s="11">
        <f t="shared" si="1"/>
        <v>277</v>
      </c>
      <c r="P12" s="2"/>
    </row>
    <row r="13" spans="1:16">
      <c r="A13" s="15" t="s">
        <v>41</v>
      </c>
      <c r="B13" s="9"/>
      <c r="C13" s="16"/>
      <c r="D13" s="17">
        <f>'GS7334 ER Calcs'!J33</f>
        <v>1</v>
      </c>
      <c r="E13" s="2"/>
      <c r="F13" s="4"/>
      <c r="G13" s="4"/>
      <c r="H13" s="18" t="s">
        <v>13</v>
      </c>
      <c r="I13" s="18">
        <v>0</v>
      </c>
      <c r="J13" s="18">
        <f>SUM(J5:J10)</f>
        <v>16000</v>
      </c>
      <c r="K13" s="18">
        <f>SUM(K5:K10)</f>
        <v>2718</v>
      </c>
      <c r="L13" s="18">
        <f>SUM(L5:L10)</f>
        <v>2573</v>
      </c>
      <c r="M13" s="18">
        <f>SUM(M5:M12)</f>
        <v>2726</v>
      </c>
      <c r="N13" s="18">
        <f>SUM(N5:N12)</f>
        <v>5486</v>
      </c>
      <c r="O13" s="18">
        <f>SUM(I13:N13)</f>
        <v>29503</v>
      </c>
      <c r="P13" s="2"/>
    </row>
    <row r="14" spans="1:16">
      <c r="A14" s="15" t="s">
        <v>43</v>
      </c>
      <c r="B14" s="9" t="s">
        <v>42</v>
      </c>
      <c r="C14" s="16" t="s">
        <v>44</v>
      </c>
      <c r="D14" s="17">
        <f>'GS7334 ER Calcs'!J34</f>
        <v>0</v>
      </c>
      <c r="E14" s="2"/>
      <c r="F14" s="4"/>
      <c r="G14" s="4"/>
      <c r="H14" s="2"/>
      <c r="I14" s="18">
        <v>1</v>
      </c>
      <c r="J14" s="2"/>
      <c r="K14" s="2"/>
      <c r="L14" s="274"/>
      <c r="M14" s="274"/>
      <c r="N14" s="2"/>
      <c r="O14" s="305"/>
      <c r="P14" s="2"/>
    </row>
    <row r="15" spans="1:16" ht="15" thickBot="1">
      <c r="A15" s="21" t="s">
        <v>38</v>
      </c>
      <c r="B15" s="22" t="s">
        <v>39</v>
      </c>
      <c r="C15" s="22" t="s">
        <v>30</v>
      </c>
      <c r="D15" s="23">
        <f>'GS7334 ER Calcs'!J35</f>
        <v>1924</v>
      </c>
      <c r="E15" s="2"/>
      <c r="F15" s="4"/>
      <c r="G15" s="4"/>
      <c r="H15" s="4"/>
      <c r="I15" s="4"/>
      <c r="J15" s="4"/>
      <c r="K15" s="4"/>
      <c r="L15" s="4"/>
      <c r="M15" s="4"/>
      <c r="N15" s="2"/>
      <c r="O15" s="2"/>
      <c r="P15" s="2"/>
    </row>
    <row r="16" spans="1:16" ht="15" thickBot="1">
      <c r="A16" s="21" t="s">
        <v>45</v>
      </c>
      <c r="B16" s="22" t="s">
        <v>39</v>
      </c>
      <c r="C16" s="22" t="s">
        <v>30</v>
      </c>
      <c r="D16" s="23">
        <f>'GS7334 ER Calcs'!J37</f>
        <v>1924</v>
      </c>
      <c r="E16" s="2"/>
      <c r="F16" s="4"/>
      <c r="G16" s="4"/>
      <c r="H16" s="4"/>
      <c r="I16" s="4"/>
      <c r="J16" s="4"/>
      <c r="K16" s="4"/>
      <c r="L16" s="4"/>
      <c r="M16" s="4"/>
      <c r="N16" s="2"/>
      <c r="O16" s="2"/>
      <c r="P16" s="2"/>
    </row>
    <row r="17" spans="1:16" ht="15" thickBot="1">
      <c r="A17" s="4"/>
      <c r="B17" s="4"/>
      <c r="C17" s="4"/>
      <c r="D17" s="4"/>
      <c r="E17" s="2"/>
      <c r="F17" s="4"/>
      <c r="G17" s="4"/>
      <c r="H17" s="4"/>
      <c r="I17" s="4"/>
      <c r="J17" s="4"/>
      <c r="K17" s="4"/>
      <c r="L17" s="4"/>
      <c r="M17" s="4"/>
      <c r="N17" s="2"/>
      <c r="O17" s="2"/>
      <c r="P17" s="2"/>
    </row>
    <row r="18" spans="1:16" ht="14.5" customHeight="1">
      <c r="A18" s="523" t="s">
        <v>46</v>
      </c>
      <c r="B18" s="524"/>
      <c r="C18" s="524"/>
      <c r="D18" s="524"/>
      <c r="E18" s="4"/>
      <c r="F18" s="4"/>
      <c r="G18" s="4"/>
      <c r="H18" s="4"/>
      <c r="I18" s="4"/>
      <c r="J18" s="4"/>
      <c r="K18" s="4"/>
      <c r="L18" s="4"/>
      <c r="M18" s="4"/>
      <c r="N18" s="2"/>
      <c r="O18" s="2"/>
      <c r="P18" s="2"/>
    </row>
    <row r="19" spans="1:16">
      <c r="A19" s="518" t="s">
        <v>19</v>
      </c>
      <c r="B19" s="519"/>
      <c r="C19" s="519"/>
      <c r="D19" s="519"/>
      <c r="E19" s="4"/>
      <c r="F19" s="4"/>
      <c r="G19" s="4"/>
      <c r="H19" s="4"/>
      <c r="I19" s="4"/>
      <c r="J19" s="4"/>
      <c r="K19" s="4"/>
      <c r="L19" s="4"/>
      <c r="M19" s="4"/>
      <c r="N19" s="2"/>
      <c r="O19" s="2"/>
      <c r="P19" s="2"/>
    </row>
    <row r="20" spans="1:16">
      <c r="A20" s="8" t="s">
        <v>28</v>
      </c>
      <c r="B20" s="9" t="s">
        <v>29</v>
      </c>
      <c r="C20" s="9" t="s">
        <v>30</v>
      </c>
      <c r="D20" s="10">
        <f>'GS7334 ER Calcs'!O26</f>
        <v>3458</v>
      </c>
      <c r="E20" s="4"/>
      <c r="F20" s="4"/>
      <c r="G20" s="4"/>
      <c r="H20" s="4"/>
      <c r="I20" s="4"/>
      <c r="J20" s="4"/>
      <c r="K20" s="4"/>
      <c r="L20" s="4"/>
      <c r="M20" s="4"/>
      <c r="N20" s="2"/>
      <c r="O20" s="2"/>
      <c r="P20" s="2"/>
    </row>
    <row r="21" spans="1:16">
      <c r="A21" s="8" t="s">
        <v>31</v>
      </c>
      <c r="B21" s="9" t="s">
        <v>32</v>
      </c>
      <c r="C21" s="9" t="s">
        <v>30</v>
      </c>
      <c r="D21" s="14">
        <f>'GS7334 ER Calcs'!O27</f>
        <v>0</v>
      </c>
      <c r="E21" s="4"/>
      <c r="F21" s="4"/>
      <c r="G21" s="4"/>
      <c r="H21" s="4"/>
      <c r="I21" s="4"/>
      <c r="J21" s="4"/>
      <c r="K21" s="4"/>
      <c r="L21" s="4"/>
      <c r="M21" s="4"/>
      <c r="N21" s="2"/>
      <c r="O21" s="2"/>
      <c r="P21" s="2"/>
    </row>
    <row r="22" spans="1:16">
      <c r="A22" s="8" t="s">
        <v>33</v>
      </c>
      <c r="B22" s="9" t="s">
        <v>34</v>
      </c>
      <c r="C22" s="9" t="s">
        <v>35</v>
      </c>
      <c r="D22" s="14">
        <f>'GS7334 ER Calcs'!O28</f>
        <v>0.95</v>
      </c>
      <c r="E22" s="4"/>
      <c r="F22" s="4"/>
      <c r="G22" s="4"/>
      <c r="H22" s="4"/>
      <c r="I22" s="4"/>
      <c r="J22" s="4"/>
      <c r="K22" s="4"/>
      <c r="L22" s="4"/>
      <c r="M22" s="4"/>
      <c r="N22" s="2"/>
      <c r="O22" s="2"/>
      <c r="P22" s="2"/>
    </row>
    <row r="23" spans="1:16">
      <c r="A23" s="8" t="s">
        <v>36</v>
      </c>
      <c r="B23" s="9" t="s">
        <v>37</v>
      </c>
      <c r="C23" s="9" t="s">
        <v>30</v>
      </c>
      <c r="D23" s="14">
        <f>'GS7334 ER Calcs'!O29</f>
        <v>0</v>
      </c>
      <c r="E23" s="4"/>
      <c r="F23" s="4"/>
      <c r="G23" s="4"/>
      <c r="H23" s="4"/>
      <c r="I23" s="4"/>
      <c r="J23" s="4"/>
      <c r="K23" s="4"/>
      <c r="L23" s="4"/>
      <c r="M23" s="4"/>
      <c r="N23" s="2"/>
      <c r="O23" s="2"/>
      <c r="P23" s="2"/>
    </row>
    <row r="24" spans="1:16">
      <c r="A24" s="8" t="s">
        <v>38</v>
      </c>
      <c r="B24" s="9" t="s">
        <v>39</v>
      </c>
      <c r="C24" s="9" t="s">
        <v>30</v>
      </c>
      <c r="D24" s="10">
        <f>'GS7334 ER Calcs'!O30</f>
        <v>3285</v>
      </c>
      <c r="E24" s="4"/>
      <c r="F24" s="4"/>
      <c r="G24" s="4"/>
      <c r="H24" s="4"/>
      <c r="I24" s="4"/>
      <c r="J24" s="4"/>
      <c r="K24" s="4"/>
      <c r="L24" s="4"/>
      <c r="M24" s="4"/>
      <c r="N24" s="2"/>
      <c r="O24" s="2"/>
      <c r="P24" s="2"/>
    </row>
    <row r="25" spans="1:16">
      <c r="A25" s="518" t="s">
        <v>40</v>
      </c>
      <c r="B25" s="519"/>
      <c r="C25" s="519"/>
      <c r="D25" s="519"/>
      <c r="E25" s="4"/>
      <c r="F25" s="4"/>
      <c r="G25" s="4"/>
      <c r="H25" s="4"/>
      <c r="I25" s="4"/>
      <c r="J25" s="4"/>
      <c r="K25" s="4"/>
      <c r="L25" s="4"/>
      <c r="M25" s="4"/>
      <c r="N25" s="2"/>
      <c r="O25" s="2"/>
      <c r="P25" s="2"/>
    </row>
    <row r="26" spans="1:16">
      <c r="A26" s="15" t="s">
        <v>41</v>
      </c>
      <c r="B26" s="9"/>
      <c r="C26" s="16"/>
      <c r="D26" s="17">
        <f>'GS7334 ER Calcs'!O33</f>
        <v>1</v>
      </c>
      <c r="E26" s="4"/>
      <c r="F26" s="4"/>
      <c r="G26" s="4"/>
      <c r="H26" s="4"/>
      <c r="I26" s="4"/>
      <c r="J26" s="4"/>
      <c r="K26" s="4"/>
      <c r="L26" s="4"/>
      <c r="M26" s="4"/>
      <c r="N26" s="2"/>
      <c r="O26" s="2"/>
      <c r="P26" s="2"/>
    </row>
    <row r="27" spans="1:16">
      <c r="A27" s="15" t="s">
        <v>43</v>
      </c>
      <c r="B27" s="9" t="s">
        <v>42</v>
      </c>
      <c r="C27" s="16" t="s">
        <v>44</v>
      </c>
      <c r="D27" s="17">
        <f>'GS7334 ER Calcs'!O34</f>
        <v>0</v>
      </c>
      <c r="E27" s="4"/>
      <c r="F27" s="4"/>
      <c r="G27" s="4"/>
      <c r="H27" s="4"/>
      <c r="I27" s="4"/>
      <c r="J27" s="4"/>
      <c r="K27" s="4"/>
      <c r="L27" s="4"/>
      <c r="M27" s="4"/>
      <c r="N27" s="2"/>
      <c r="O27" s="2"/>
      <c r="P27" s="2"/>
    </row>
    <row r="28" spans="1:16" ht="15" thickBot="1">
      <c r="A28" s="21" t="s">
        <v>38</v>
      </c>
      <c r="B28" s="22" t="s">
        <v>39</v>
      </c>
      <c r="C28" s="22" t="s">
        <v>30</v>
      </c>
      <c r="D28" s="23">
        <f>'GS7334 ER Calcs'!O35</f>
        <v>3285</v>
      </c>
      <c r="E28" s="4"/>
      <c r="F28" s="4"/>
      <c r="G28" s="4"/>
      <c r="H28" s="4"/>
      <c r="I28" s="4"/>
      <c r="J28" s="4"/>
      <c r="K28" s="4"/>
      <c r="L28" s="4"/>
      <c r="M28" s="4"/>
      <c r="N28" s="2"/>
      <c r="O28" s="2"/>
      <c r="P28" s="2"/>
    </row>
    <row r="29" spans="1:16" ht="15" thickBot="1">
      <c r="A29" s="21" t="s">
        <v>45</v>
      </c>
      <c r="B29" s="22" t="s">
        <v>39</v>
      </c>
      <c r="C29" s="22" t="s">
        <v>30</v>
      </c>
      <c r="D29" s="23">
        <f>'GS7334 ER Calcs'!O37</f>
        <v>3285</v>
      </c>
      <c r="E29" s="4"/>
      <c r="F29" s="4"/>
      <c r="G29" s="4"/>
      <c r="H29" s="4"/>
      <c r="I29" s="4"/>
      <c r="J29" s="4"/>
      <c r="K29" s="4"/>
      <c r="L29" s="4"/>
      <c r="M29" s="4"/>
      <c r="N29" s="2"/>
      <c r="O29" s="2"/>
      <c r="P29" s="2"/>
    </row>
    <row r="30" spans="1:16" ht="15" thickBot="1">
      <c r="A30" s="2"/>
      <c r="B30" s="508"/>
      <c r="C30" s="508"/>
      <c r="D30" s="2"/>
      <c r="E30" s="4"/>
      <c r="F30" s="4"/>
      <c r="G30" s="4"/>
      <c r="H30" s="4"/>
      <c r="I30" s="4"/>
      <c r="J30" s="4"/>
      <c r="K30" s="4"/>
      <c r="L30" s="4"/>
      <c r="M30" s="4"/>
      <c r="N30" s="2"/>
      <c r="O30" s="2"/>
      <c r="P30" s="2"/>
    </row>
    <row r="31" spans="1:16">
      <c r="A31" s="523" t="s">
        <v>276</v>
      </c>
      <c r="B31" s="524"/>
      <c r="C31" s="524"/>
      <c r="D31" s="524"/>
      <c r="E31" s="4"/>
      <c r="F31" s="4"/>
      <c r="G31" s="4"/>
      <c r="H31" s="4"/>
      <c r="I31" s="4"/>
      <c r="J31" s="4"/>
      <c r="K31" s="4"/>
      <c r="L31" s="4"/>
      <c r="M31" s="4"/>
      <c r="N31" s="2"/>
      <c r="O31" s="2"/>
      <c r="P31" s="2"/>
    </row>
    <row r="32" spans="1:16">
      <c r="A32" s="518" t="s">
        <v>19</v>
      </c>
      <c r="B32" s="519"/>
      <c r="C32" s="519"/>
      <c r="D32" s="519"/>
      <c r="E32" s="4"/>
      <c r="F32" s="4"/>
      <c r="G32" s="4"/>
      <c r="H32" s="4"/>
      <c r="I32" s="4"/>
      <c r="J32" s="4"/>
      <c r="K32" s="4"/>
      <c r="L32" s="4"/>
      <c r="M32" s="4"/>
      <c r="N32" s="2"/>
      <c r="O32" s="2"/>
      <c r="P32" s="2"/>
    </row>
    <row r="33" spans="1:16">
      <c r="A33" s="8" t="s">
        <v>28</v>
      </c>
      <c r="B33" s="9" t="s">
        <v>29</v>
      </c>
      <c r="C33" s="9" t="s">
        <v>30</v>
      </c>
      <c r="D33" s="10">
        <f>'GS7334 ER Calcs'!T26</f>
        <v>292</v>
      </c>
      <c r="E33" s="4"/>
      <c r="F33" s="4"/>
      <c r="G33" s="4"/>
      <c r="H33" s="4"/>
      <c r="I33" s="4"/>
      <c r="J33" s="4"/>
      <c r="K33" s="4"/>
      <c r="L33" s="4"/>
      <c r="M33" s="4"/>
      <c r="N33" s="2"/>
      <c r="O33" s="2"/>
      <c r="P33" s="2"/>
    </row>
    <row r="34" spans="1:16">
      <c r="A34" s="8" t="s">
        <v>31</v>
      </c>
      <c r="B34" s="9" t="s">
        <v>32</v>
      </c>
      <c r="C34" s="9" t="s">
        <v>30</v>
      </c>
      <c r="D34" s="10">
        <f>'GS7334 ER Calcs'!T27</f>
        <v>0</v>
      </c>
      <c r="E34" s="4"/>
      <c r="F34" s="4"/>
      <c r="G34" s="4"/>
      <c r="H34" s="4"/>
      <c r="I34" s="4"/>
      <c r="J34" s="4"/>
      <c r="K34" s="4"/>
      <c r="L34" s="4"/>
      <c r="M34" s="4"/>
      <c r="N34" s="2"/>
      <c r="O34" s="2"/>
      <c r="P34" s="2"/>
    </row>
    <row r="35" spans="1:16">
      <c r="A35" s="8" t="s">
        <v>33</v>
      </c>
      <c r="B35" s="9" t="s">
        <v>34</v>
      </c>
      <c r="C35" s="9" t="s">
        <v>35</v>
      </c>
      <c r="D35" s="10">
        <f>'GS7334 ER Calcs'!T28</f>
        <v>0.95</v>
      </c>
      <c r="E35" s="4"/>
      <c r="F35" s="4"/>
      <c r="G35" s="4"/>
      <c r="H35" s="4"/>
      <c r="I35" s="4"/>
      <c r="J35" s="4"/>
      <c r="K35" s="4"/>
      <c r="L35" s="4"/>
      <c r="M35" s="4"/>
      <c r="N35" s="2"/>
      <c r="O35" s="2"/>
      <c r="P35" s="2"/>
    </row>
    <row r="36" spans="1:16">
      <c r="A36" s="8" t="s">
        <v>36</v>
      </c>
      <c r="B36" s="9" t="s">
        <v>37</v>
      </c>
      <c r="C36" s="9" t="s">
        <v>30</v>
      </c>
      <c r="D36" s="10">
        <f>'GS7334 ER Calcs'!T29</f>
        <v>0</v>
      </c>
      <c r="E36" s="4"/>
      <c r="F36" s="4"/>
      <c r="G36" s="4"/>
      <c r="H36" s="4"/>
      <c r="I36" s="4"/>
      <c r="J36" s="4"/>
      <c r="K36" s="4"/>
      <c r="L36" s="4"/>
      <c r="M36" s="4"/>
      <c r="N36" s="2"/>
      <c r="O36" s="2"/>
      <c r="P36" s="2"/>
    </row>
    <row r="37" spans="1:16">
      <c r="A37" s="8" t="s">
        <v>38</v>
      </c>
      <c r="B37" s="9" t="s">
        <v>39</v>
      </c>
      <c r="C37" s="9" t="s">
        <v>30</v>
      </c>
      <c r="D37" s="10">
        <f>'GS7334 ER Calcs'!T30</f>
        <v>277</v>
      </c>
      <c r="E37" s="4"/>
      <c r="F37" s="4"/>
      <c r="G37" s="4"/>
      <c r="H37" s="4"/>
      <c r="I37" s="4"/>
      <c r="J37" s="4"/>
      <c r="K37" s="4"/>
      <c r="L37" s="4"/>
      <c r="M37" s="4"/>
      <c r="N37" s="2"/>
      <c r="O37" s="2"/>
      <c r="P37" s="2"/>
    </row>
    <row r="38" spans="1:16">
      <c r="A38" s="518" t="s">
        <v>40</v>
      </c>
      <c r="B38" s="519"/>
      <c r="C38" s="519"/>
      <c r="D38" s="519"/>
      <c r="E38" s="4"/>
      <c r="F38" s="4"/>
      <c r="G38" s="4"/>
      <c r="H38" s="4"/>
      <c r="I38" s="4"/>
      <c r="J38" s="4"/>
      <c r="K38" s="4"/>
      <c r="L38" s="4"/>
      <c r="M38" s="4"/>
      <c r="N38" s="2"/>
      <c r="O38" s="2"/>
      <c r="P38" s="2"/>
    </row>
    <row r="39" spans="1:16">
      <c r="A39" s="15" t="s">
        <v>41</v>
      </c>
      <c r="B39" s="9"/>
      <c r="C39" s="16"/>
      <c r="D39" s="17">
        <f>'GS7334 ER Calcs'!T33</f>
        <v>1</v>
      </c>
      <c r="E39" s="4"/>
      <c r="F39" s="4"/>
      <c r="G39" s="4"/>
      <c r="H39" s="4"/>
      <c r="I39" s="4"/>
      <c r="J39" s="4"/>
      <c r="K39" s="4"/>
      <c r="L39" s="4"/>
      <c r="M39" s="4"/>
      <c r="N39" s="2"/>
      <c r="O39" s="2"/>
      <c r="P39" s="2"/>
    </row>
    <row r="40" spans="1:16">
      <c r="A40" s="15" t="s">
        <v>277</v>
      </c>
      <c r="B40" s="9" t="s">
        <v>42</v>
      </c>
      <c r="C40" s="16" t="s">
        <v>44</v>
      </c>
      <c r="D40" s="17">
        <f>'GS7334 ER Calcs'!T34</f>
        <v>0</v>
      </c>
      <c r="E40" s="4"/>
      <c r="F40" s="4"/>
      <c r="G40" s="4"/>
      <c r="H40" s="4"/>
      <c r="I40" s="4"/>
      <c r="J40" s="4"/>
      <c r="K40" s="4"/>
      <c r="L40" s="4"/>
      <c r="M40" s="4"/>
      <c r="N40" s="2"/>
      <c r="O40" s="2"/>
      <c r="P40" s="2"/>
    </row>
    <row r="41" spans="1:16" ht="15" thickBot="1">
      <c r="A41" s="21" t="s">
        <v>38</v>
      </c>
      <c r="B41" s="22" t="s">
        <v>39</v>
      </c>
      <c r="C41" s="22" t="s">
        <v>30</v>
      </c>
      <c r="D41" s="375">
        <f>'GS7334 ER Calcs'!T35</f>
        <v>277</v>
      </c>
      <c r="E41" s="4"/>
      <c r="F41" s="4"/>
      <c r="G41" s="4"/>
      <c r="H41" s="4"/>
      <c r="I41" s="4"/>
      <c r="J41" s="4"/>
      <c r="K41" s="4"/>
      <c r="L41" s="4"/>
      <c r="M41" s="4"/>
      <c r="N41" s="2"/>
      <c r="O41" s="2"/>
      <c r="P41" s="2"/>
    </row>
    <row r="42" spans="1:16" ht="15" thickBot="1">
      <c r="A42" s="21" t="s">
        <v>45</v>
      </c>
      <c r="B42" s="22" t="s">
        <v>39</v>
      </c>
      <c r="C42" s="22" t="s">
        <v>30</v>
      </c>
      <c r="D42" s="23">
        <f>'GS7334 ER Calcs'!T37</f>
        <v>277</v>
      </c>
      <c r="E42" s="4"/>
      <c r="F42" s="4"/>
      <c r="G42" s="4"/>
      <c r="H42" s="4"/>
      <c r="I42" s="4"/>
      <c r="J42" s="4"/>
      <c r="K42" s="4"/>
      <c r="L42" s="4"/>
      <c r="M42" s="4"/>
      <c r="N42" s="2"/>
      <c r="O42" s="2"/>
      <c r="P42" s="2"/>
    </row>
    <row r="43" spans="1:16" ht="15" thickBot="1">
      <c r="A43" s="2"/>
      <c r="B43" s="365"/>
      <c r="C43" s="365"/>
      <c r="D43" s="2"/>
      <c r="E43" s="4"/>
      <c r="F43" s="4"/>
      <c r="G43" s="4"/>
      <c r="H43" s="4"/>
      <c r="I43" s="4"/>
      <c r="J43" s="4"/>
      <c r="K43" s="4"/>
      <c r="L43" s="4"/>
      <c r="M43" s="4"/>
      <c r="N43" s="2"/>
      <c r="O43" s="2"/>
      <c r="P43" s="2"/>
    </row>
    <row r="44" spans="1:16" ht="15.65" customHeight="1">
      <c r="A44" s="509" t="s">
        <v>47</v>
      </c>
      <c r="B44" s="510"/>
      <c r="C44" s="510"/>
      <c r="D44" s="510"/>
      <c r="E44" s="2"/>
      <c r="F44" s="2"/>
      <c r="G44" s="507"/>
      <c r="H44" s="507"/>
      <c r="I44" s="2"/>
      <c r="J44" s="2"/>
      <c r="K44" s="2"/>
      <c r="L44" s="2"/>
      <c r="M44" s="2"/>
      <c r="N44" s="2"/>
      <c r="O44" s="2"/>
      <c r="P44" s="2"/>
    </row>
    <row r="45" spans="1:16">
      <c r="A45" s="511" t="s">
        <v>19</v>
      </c>
      <c r="B45" s="512"/>
      <c r="C45" s="512"/>
      <c r="D45" s="512"/>
      <c r="E45" s="2"/>
      <c r="F45" s="2"/>
      <c r="G45" s="507"/>
      <c r="H45" s="507"/>
      <c r="I45" s="2"/>
      <c r="J45" s="2"/>
      <c r="K45" s="2"/>
      <c r="L45" s="2"/>
      <c r="M45" s="2"/>
      <c r="N45" s="2"/>
      <c r="O45" s="2"/>
      <c r="P45" s="2"/>
    </row>
    <row r="46" spans="1:16" ht="14.5" customHeight="1">
      <c r="A46" s="513">
        <v>2022</v>
      </c>
      <c r="B46" s="514"/>
      <c r="C46" s="514"/>
      <c r="D46" s="25">
        <f>D16</f>
        <v>1924</v>
      </c>
      <c r="E46" s="2"/>
      <c r="F46" s="2"/>
      <c r="G46" s="507"/>
      <c r="H46" s="507"/>
      <c r="I46" s="2"/>
      <c r="J46" s="2"/>
      <c r="K46" s="2"/>
      <c r="L46" s="2"/>
      <c r="M46" s="2"/>
      <c r="N46" s="2"/>
      <c r="O46" s="2"/>
      <c r="P46" s="2"/>
    </row>
    <row r="47" spans="1:16">
      <c r="A47" s="513">
        <v>2023</v>
      </c>
      <c r="B47" s="514"/>
      <c r="C47" s="514"/>
      <c r="D47" s="26">
        <f>D29</f>
        <v>3285</v>
      </c>
      <c r="E47" s="2"/>
      <c r="F47" s="2"/>
      <c r="G47" s="507"/>
      <c r="H47" s="507"/>
      <c r="I47" s="2"/>
      <c r="J47" s="2"/>
      <c r="K47" s="2"/>
      <c r="L47" s="2"/>
      <c r="M47" s="2"/>
      <c r="N47" s="2"/>
      <c r="O47" s="2"/>
      <c r="P47" s="2"/>
    </row>
    <row r="48" spans="1:16" ht="15" thickBot="1">
      <c r="A48" s="513">
        <v>2024</v>
      </c>
      <c r="B48" s="514"/>
      <c r="C48" s="514"/>
      <c r="D48" s="379">
        <f>D42</f>
        <v>277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5" thickBot="1">
      <c r="A49" s="27" t="s">
        <v>48</v>
      </c>
      <c r="B49" s="29"/>
      <c r="C49" s="30"/>
      <c r="D49" s="31">
        <f>SUM(D46:D48)</f>
        <v>5486</v>
      </c>
      <c r="E49" s="2"/>
      <c r="F49" s="2"/>
      <c r="G49" s="507"/>
      <c r="H49" s="507"/>
      <c r="I49" s="2"/>
      <c r="J49" s="2"/>
      <c r="K49" s="2"/>
      <c r="L49" s="2"/>
      <c r="M49" s="2"/>
      <c r="N49" s="2"/>
      <c r="O49" s="2"/>
      <c r="P49" s="2"/>
    </row>
  </sheetData>
  <mergeCells count="23">
    <mergeCell ref="G49:H49"/>
    <mergeCell ref="A45:D45"/>
    <mergeCell ref="G45:H45"/>
    <mergeCell ref="A46:C46"/>
    <mergeCell ref="G46:H46"/>
    <mergeCell ref="A47:C47"/>
    <mergeCell ref="G47:H47"/>
    <mergeCell ref="A48:C48"/>
    <mergeCell ref="G44:H44"/>
    <mergeCell ref="A1:D1"/>
    <mergeCell ref="H1:N1"/>
    <mergeCell ref="A3:D3"/>
    <mergeCell ref="H3:N3"/>
    <mergeCell ref="A4:D4"/>
    <mergeCell ref="A12:D12"/>
    <mergeCell ref="A18:D18"/>
    <mergeCell ref="A19:D19"/>
    <mergeCell ref="A25:D25"/>
    <mergeCell ref="B30:C30"/>
    <mergeCell ref="A44:D44"/>
    <mergeCell ref="A31:D31"/>
    <mergeCell ref="A32:D32"/>
    <mergeCell ref="A38:D38"/>
  </mergeCells>
  <phoneticPr fontId="15" type="noConversion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442C9-9679-4BF2-BB1A-ED1EDEF880CC}">
  <dimension ref="A1:Q23"/>
  <sheetViews>
    <sheetView topLeftCell="F1" workbookViewId="0">
      <selection activeCell="Q7" sqref="Q7"/>
    </sheetView>
  </sheetViews>
  <sheetFormatPr defaultColWidth="17" defaultRowHeight="14.5"/>
  <cols>
    <col min="1" max="1" width="25.54296875" bestFit="1" customWidth="1"/>
    <col min="2" max="2" width="17.26953125" bestFit="1" customWidth="1"/>
    <col min="3" max="3" width="13.7265625" customWidth="1"/>
    <col min="4" max="4" width="20.1796875" customWidth="1"/>
    <col min="5" max="5" width="15.81640625" bestFit="1" customWidth="1"/>
    <col min="6" max="6" width="17.1796875" bestFit="1" customWidth="1"/>
    <col min="7" max="7" width="15.1796875" bestFit="1" customWidth="1"/>
    <col min="8" max="8" width="15" bestFit="1" customWidth="1"/>
    <col min="9" max="9" width="16.1796875" bestFit="1" customWidth="1"/>
    <col min="11" max="11" width="16.453125" bestFit="1" customWidth="1"/>
    <col min="12" max="12" width="9.453125" bestFit="1" customWidth="1"/>
    <col min="13" max="13" width="16.453125" bestFit="1" customWidth="1"/>
    <col min="14" max="14" width="9.453125" bestFit="1" customWidth="1"/>
    <col min="15" max="15" width="8.81640625" bestFit="1" customWidth="1"/>
  </cols>
  <sheetData>
    <row r="1" spans="1:17" ht="58">
      <c r="A1" s="48" t="s">
        <v>0</v>
      </c>
      <c r="B1" s="49" t="s">
        <v>49</v>
      </c>
      <c r="C1" s="49" t="s">
        <v>50</v>
      </c>
      <c r="D1" s="49" t="s">
        <v>51</v>
      </c>
      <c r="E1" s="49" t="s">
        <v>52</v>
      </c>
      <c r="F1" s="49" t="s">
        <v>192</v>
      </c>
      <c r="G1" s="49" t="s">
        <v>53</v>
      </c>
      <c r="H1" s="50" t="s">
        <v>54</v>
      </c>
      <c r="I1" s="50" t="s">
        <v>11</v>
      </c>
      <c r="J1" s="2"/>
      <c r="K1" s="51" t="s">
        <v>55</v>
      </c>
      <c r="L1" s="52" t="s">
        <v>56</v>
      </c>
      <c r="M1" s="5" t="s">
        <v>57</v>
      </c>
      <c r="N1" s="53" t="s">
        <v>58</v>
      </c>
      <c r="O1" s="114" t="s">
        <v>279</v>
      </c>
      <c r="P1" s="49" t="s">
        <v>280</v>
      </c>
      <c r="Q1" s="50" t="s">
        <v>59</v>
      </c>
    </row>
    <row r="2" spans="1:17" ht="15.5">
      <c r="A2" s="530" t="s">
        <v>393</v>
      </c>
      <c r="B2" s="9" t="s">
        <v>394</v>
      </c>
      <c r="C2" s="54" t="s">
        <v>395</v>
      </c>
      <c r="D2" s="9">
        <v>14.674189999999999</v>
      </c>
      <c r="E2" s="9">
        <v>38.84986</v>
      </c>
      <c r="F2" s="55">
        <v>42766</v>
      </c>
      <c r="G2" s="9">
        <v>177</v>
      </c>
      <c r="H2" s="9">
        <v>707</v>
      </c>
      <c r="I2" s="476">
        <f>IF(H2&lt;371,H2,371)</f>
        <v>371</v>
      </c>
      <c r="J2" s="133"/>
      <c r="K2" s="233">
        <f>$E$19</f>
        <v>203.29999999999998</v>
      </c>
      <c r="L2" s="115">
        <f>I2*K2</f>
        <v>75424.299999999988</v>
      </c>
      <c r="M2" s="276">
        <f>$E$20</f>
        <v>346.75</v>
      </c>
      <c r="N2" s="116">
        <f>M2*I2</f>
        <v>128644.25</v>
      </c>
      <c r="O2">
        <f>$E$21</f>
        <v>29.45</v>
      </c>
      <c r="P2">
        <f>I2*O2</f>
        <v>10925.949999999999</v>
      </c>
      <c r="Q2" s="117">
        <f>L2+N2+P2</f>
        <v>214994.5</v>
      </c>
    </row>
    <row r="3" spans="1:17" ht="15.5">
      <c r="A3" s="531"/>
      <c r="B3" s="9" t="s">
        <v>396</v>
      </c>
      <c r="C3" s="54" t="s">
        <v>397</v>
      </c>
      <c r="D3" s="9">
        <v>14.569990000000001</v>
      </c>
      <c r="E3" s="9">
        <v>39.270899999999997</v>
      </c>
      <c r="F3" s="55">
        <v>42781</v>
      </c>
      <c r="G3" s="9">
        <v>189</v>
      </c>
      <c r="H3" s="9">
        <v>703</v>
      </c>
      <c r="I3" s="476">
        <f>IF(H3&lt;371,H3,371)</f>
        <v>371</v>
      </c>
      <c r="J3" s="133"/>
      <c r="K3" s="233">
        <f>$E$19</f>
        <v>203.29999999999998</v>
      </c>
      <c r="L3" s="115">
        <f t="shared" ref="L3:L6" si="0">I3*K3</f>
        <v>75424.299999999988</v>
      </c>
      <c r="M3" s="276">
        <f>$E$20</f>
        <v>346.75</v>
      </c>
      <c r="N3" s="116">
        <f t="shared" ref="N3:N6" si="1">M3*I3</f>
        <v>128644.25</v>
      </c>
      <c r="O3">
        <f t="shared" ref="O3:O6" si="2">$E$21</f>
        <v>29.45</v>
      </c>
      <c r="P3">
        <f t="shared" ref="P3:P6" si="3">I3*O3</f>
        <v>10925.949999999999</v>
      </c>
      <c r="Q3" s="117">
        <f t="shared" ref="Q3:Q6" si="4">L3+N3+P3</f>
        <v>214994.5</v>
      </c>
    </row>
    <row r="4" spans="1:17" ht="15.5">
      <c r="A4" s="531"/>
      <c r="B4" s="9" t="s">
        <v>398</v>
      </c>
      <c r="C4" s="54" t="s">
        <v>399</v>
      </c>
      <c r="D4" s="9">
        <v>14.77176</v>
      </c>
      <c r="E4" s="9">
        <v>39.220089999999999</v>
      </c>
      <c r="F4" s="55">
        <v>42786</v>
      </c>
      <c r="G4" s="9">
        <v>108</v>
      </c>
      <c r="H4" s="9">
        <v>387</v>
      </c>
      <c r="I4" s="476">
        <f>IF(H4&lt;321,H4,321)</f>
        <v>321</v>
      </c>
      <c r="J4" s="133"/>
      <c r="K4" s="233">
        <f>$E$19</f>
        <v>203.29999999999998</v>
      </c>
      <c r="L4" s="115">
        <f t="shared" si="0"/>
        <v>65259.299999999996</v>
      </c>
      <c r="M4" s="276">
        <f>$E$20</f>
        <v>346.75</v>
      </c>
      <c r="N4" s="116">
        <f t="shared" si="1"/>
        <v>111306.75</v>
      </c>
      <c r="O4">
        <f t="shared" si="2"/>
        <v>29.45</v>
      </c>
      <c r="P4">
        <f t="shared" si="3"/>
        <v>9453.4499999999989</v>
      </c>
      <c r="Q4" s="117">
        <f t="shared" si="4"/>
        <v>186019.5</v>
      </c>
    </row>
    <row r="5" spans="1:17" ht="15.5">
      <c r="A5" s="531"/>
      <c r="B5" s="9" t="s">
        <v>400</v>
      </c>
      <c r="C5" s="54" t="s">
        <v>401</v>
      </c>
      <c r="D5" s="9">
        <v>14.638450000000001</v>
      </c>
      <c r="E5" s="9">
        <v>39.230170000000001</v>
      </c>
      <c r="F5" s="55">
        <v>42789</v>
      </c>
      <c r="G5" s="9">
        <v>156</v>
      </c>
      <c r="H5" s="9">
        <v>540</v>
      </c>
      <c r="I5" s="476">
        <f>IF(H5&lt;371,H5,371)</f>
        <v>371</v>
      </c>
      <c r="J5" s="133"/>
      <c r="K5" s="233">
        <f>$E$19</f>
        <v>203.29999999999998</v>
      </c>
      <c r="L5" s="115">
        <f t="shared" si="0"/>
        <v>75424.299999999988</v>
      </c>
      <c r="M5" s="276">
        <f>$E$20</f>
        <v>346.75</v>
      </c>
      <c r="N5" s="116">
        <f t="shared" si="1"/>
        <v>128644.25</v>
      </c>
      <c r="O5">
        <f t="shared" si="2"/>
        <v>29.45</v>
      </c>
      <c r="P5">
        <f t="shared" si="3"/>
        <v>10925.949999999999</v>
      </c>
      <c r="Q5" s="117">
        <f t="shared" si="4"/>
        <v>214994.5</v>
      </c>
    </row>
    <row r="6" spans="1:17" ht="15.5">
      <c r="A6" s="532"/>
      <c r="B6" s="9" t="s">
        <v>402</v>
      </c>
      <c r="C6" s="9" t="s">
        <v>403</v>
      </c>
      <c r="D6" s="9">
        <v>14.53168</v>
      </c>
      <c r="E6" s="9">
        <v>38.550789999999999</v>
      </c>
      <c r="F6" s="55">
        <v>42818</v>
      </c>
      <c r="G6" s="9">
        <v>171</v>
      </c>
      <c r="H6" s="9">
        <v>582</v>
      </c>
      <c r="I6" s="476">
        <f>IF(H6&lt;371,H6,371)</f>
        <v>371</v>
      </c>
      <c r="J6" s="133"/>
      <c r="K6" s="233">
        <f>$E$19</f>
        <v>203.29999999999998</v>
      </c>
      <c r="L6" s="115">
        <f t="shared" si="0"/>
        <v>75424.299999999988</v>
      </c>
      <c r="M6" s="276">
        <f>$E$20</f>
        <v>346.75</v>
      </c>
      <c r="N6" s="116">
        <f t="shared" si="1"/>
        <v>128644.25</v>
      </c>
      <c r="O6">
        <f t="shared" si="2"/>
        <v>29.45</v>
      </c>
      <c r="P6">
        <f t="shared" si="3"/>
        <v>10925.949999999999</v>
      </c>
      <c r="Q6" s="117">
        <f t="shared" si="4"/>
        <v>214994.5</v>
      </c>
    </row>
    <row r="7" spans="1:17" ht="15" thickBot="1">
      <c r="A7" s="118"/>
      <c r="B7" s="1"/>
      <c r="C7" s="2"/>
      <c r="D7" s="2"/>
      <c r="E7" s="2"/>
      <c r="F7" s="62"/>
      <c r="G7" s="174" t="s">
        <v>13</v>
      </c>
      <c r="H7" s="175">
        <f>SUM(H2:H6)</f>
        <v>2919</v>
      </c>
      <c r="I7" s="175">
        <f>SUM(I2:I6)</f>
        <v>1805</v>
      </c>
      <c r="J7" s="2"/>
      <c r="K7" s="2"/>
      <c r="L7" s="176">
        <f>SUM(L2:L6)</f>
        <v>366956.49999999994</v>
      </c>
      <c r="M7" s="176"/>
      <c r="N7" s="176">
        <f t="shared" ref="N7" si="5">SUM(N2:N6)</f>
        <v>625883.75</v>
      </c>
      <c r="P7" s="176">
        <f>SUM(P2:P6)</f>
        <v>53157.249999999993</v>
      </c>
      <c r="Q7" s="176">
        <f>SUM(Q2:Q6)</f>
        <v>1045997.5</v>
      </c>
    </row>
    <row r="8" spans="1:17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Q8" s="2"/>
    </row>
    <row r="9" spans="1:17" ht="15" thickBo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7" ht="58">
      <c r="C10" s="67"/>
      <c r="D10" s="2"/>
      <c r="E10" s="2"/>
      <c r="F10" s="2"/>
      <c r="G10" s="2"/>
      <c r="H10" s="2"/>
      <c r="I10" s="2"/>
      <c r="J10" s="2"/>
      <c r="K10" s="51" t="s">
        <v>55</v>
      </c>
      <c r="L10" s="52" t="s">
        <v>56</v>
      </c>
      <c r="M10" s="5" t="s">
        <v>57</v>
      </c>
      <c r="N10" s="53" t="s">
        <v>58</v>
      </c>
      <c r="O10" s="114" t="s">
        <v>279</v>
      </c>
      <c r="P10" s="49" t="s">
        <v>280</v>
      </c>
      <c r="Q10" s="50" t="s">
        <v>59</v>
      </c>
    </row>
    <row r="11" spans="1:17" ht="19" thickBot="1">
      <c r="A11" s="2"/>
      <c r="B11" s="66" t="s">
        <v>76</v>
      </c>
      <c r="C11" s="2"/>
      <c r="D11" s="73"/>
      <c r="E11" s="2"/>
      <c r="F11" s="2"/>
      <c r="G11" s="2"/>
      <c r="H11" s="2"/>
      <c r="I11" s="2"/>
      <c r="J11" s="2"/>
      <c r="K11" s="233">
        <f>$E$19</f>
        <v>203.29999999999998</v>
      </c>
      <c r="L11" s="277">
        <f>K11*H2</f>
        <v>143733.09999999998</v>
      </c>
      <c r="M11" s="276">
        <f>$E$20</f>
        <v>346.75</v>
      </c>
      <c r="N11" s="278">
        <f>M11*H2</f>
        <v>245152.25</v>
      </c>
      <c r="O11">
        <f>$E$21</f>
        <v>29.45</v>
      </c>
      <c r="P11">
        <f>O11*H2</f>
        <v>20821.149999999998</v>
      </c>
      <c r="Q11" s="279">
        <f>L11+N11</f>
        <v>388885.35</v>
      </c>
    </row>
    <row r="12" spans="1:17" ht="57.65" customHeight="1">
      <c r="A12" s="68" t="s">
        <v>364</v>
      </c>
      <c r="B12" s="69">
        <v>44713</v>
      </c>
      <c r="C12" s="2"/>
      <c r="D12" s="541"/>
      <c r="E12" s="542"/>
      <c r="F12" s="543"/>
      <c r="G12" s="543"/>
      <c r="H12" s="525"/>
      <c r="I12" s="525"/>
      <c r="J12" s="24"/>
      <c r="K12" s="233">
        <f>$E$19</f>
        <v>203.29999999999998</v>
      </c>
      <c r="L12" s="277">
        <f t="shared" ref="L12:L15" si="6">K12*H3</f>
        <v>142919.9</v>
      </c>
      <c r="M12" s="276">
        <f>$E$20</f>
        <v>346.75</v>
      </c>
      <c r="N12" s="278">
        <f t="shared" ref="N12:N15" si="7">M12*H3</f>
        <v>243765.25</v>
      </c>
      <c r="O12">
        <f t="shared" ref="O12:O15" si="8">$E$21</f>
        <v>29.45</v>
      </c>
      <c r="P12">
        <f t="shared" ref="P12:P15" si="9">O12*H3</f>
        <v>20703.349999999999</v>
      </c>
      <c r="Q12" s="279">
        <f>L12+N12</f>
        <v>386685.15</v>
      </c>
    </row>
    <row r="13" spans="1:17" ht="15" thickBot="1">
      <c r="A13" s="123" t="s">
        <v>365</v>
      </c>
      <c r="B13" s="310">
        <v>45322</v>
      </c>
      <c r="C13" s="2"/>
      <c r="D13" s="541"/>
      <c r="E13" s="542"/>
      <c r="F13" s="543"/>
      <c r="G13" s="543"/>
      <c r="H13" s="525"/>
      <c r="I13" s="525"/>
      <c r="J13" s="24"/>
      <c r="K13" s="233">
        <f>$E$19</f>
        <v>203.29999999999998</v>
      </c>
      <c r="L13" s="277">
        <f t="shared" si="6"/>
        <v>78677.099999999991</v>
      </c>
      <c r="M13" s="276">
        <f>$E$20</f>
        <v>346.75</v>
      </c>
      <c r="N13" s="278">
        <f t="shared" si="7"/>
        <v>134192.25</v>
      </c>
      <c r="O13">
        <f t="shared" si="8"/>
        <v>29.45</v>
      </c>
      <c r="P13">
        <f t="shared" si="9"/>
        <v>11397.15</v>
      </c>
      <c r="Q13" s="279">
        <f>L13+N13</f>
        <v>212869.34999999998</v>
      </c>
    </row>
    <row r="14" spans="1:17" ht="15" thickBot="1">
      <c r="A14" s="123" t="s">
        <v>79</v>
      </c>
      <c r="B14" s="310">
        <v>44926</v>
      </c>
      <c r="C14" s="2"/>
      <c r="D14" s="72"/>
      <c r="E14" s="67"/>
      <c r="J14" s="2"/>
      <c r="K14" s="233">
        <f>$E$19</f>
        <v>203.29999999999998</v>
      </c>
      <c r="L14" s="277">
        <f t="shared" si="6"/>
        <v>109781.99999999999</v>
      </c>
      <c r="M14" s="276">
        <f>$E$20</f>
        <v>346.75</v>
      </c>
      <c r="N14" s="278">
        <f t="shared" si="7"/>
        <v>187245</v>
      </c>
      <c r="O14">
        <f t="shared" si="8"/>
        <v>29.45</v>
      </c>
      <c r="P14">
        <f t="shared" si="9"/>
        <v>15903</v>
      </c>
      <c r="Q14" s="279">
        <f>L14+N14</f>
        <v>297027</v>
      </c>
    </row>
    <row r="15" spans="1:17" ht="15" thickBot="1">
      <c r="A15" s="123" t="s">
        <v>298</v>
      </c>
      <c r="B15" s="310">
        <v>45291</v>
      </c>
      <c r="C15" s="2"/>
      <c r="D15" s="72"/>
      <c r="E15" s="67"/>
      <c r="J15" s="2"/>
      <c r="K15" s="233">
        <f>$E$19</f>
        <v>203.29999999999998</v>
      </c>
      <c r="L15" s="277">
        <f t="shared" si="6"/>
        <v>118320.59999999999</v>
      </c>
      <c r="M15" s="276">
        <f>$E$20</f>
        <v>346.75</v>
      </c>
      <c r="N15" s="278">
        <f t="shared" si="7"/>
        <v>201808.5</v>
      </c>
      <c r="O15">
        <f t="shared" si="8"/>
        <v>29.45</v>
      </c>
      <c r="P15">
        <f t="shared" si="9"/>
        <v>17139.899999999998</v>
      </c>
      <c r="Q15" s="279">
        <f>L15+N15</f>
        <v>320129.09999999998</v>
      </c>
    </row>
    <row r="16" spans="1:17" ht="15" thickBot="1">
      <c r="C16" s="2"/>
      <c r="D16" s="2"/>
      <c r="E16" s="67"/>
      <c r="J16" s="2"/>
      <c r="K16" s="2"/>
      <c r="L16" s="176">
        <f>SUM(L11:L15)</f>
        <v>593432.69999999995</v>
      </c>
      <c r="M16" s="176"/>
      <c r="N16" s="176">
        <f t="shared" ref="N16" si="10">SUM(N11:N15)</f>
        <v>1012163.25</v>
      </c>
      <c r="P16" s="176">
        <f>SUM(P11:P15)</f>
        <v>85964.549999999988</v>
      </c>
      <c r="Q16" s="176">
        <f>SUM(Q11:Q15)</f>
        <v>1605595.9500000002</v>
      </c>
    </row>
    <row r="17" spans="1:15">
      <c r="A17" s="197"/>
      <c r="B17" s="194" t="s">
        <v>81</v>
      </c>
      <c r="C17" s="57"/>
      <c r="D17" s="188"/>
      <c r="E17" s="188"/>
      <c r="F17" s="188"/>
      <c r="G17" s="2"/>
      <c r="H17" s="2"/>
      <c r="I17" s="2"/>
      <c r="J17" s="2"/>
      <c r="K17" s="2"/>
      <c r="L17" s="2"/>
      <c r="M17" s="2"/>
      <c r="N17" s="2"/>
      <c r="O17" s="2"/>
    </row>
    <row r="18" spans="1:15" ht="43.5">
      <c r="A18" s="195" t="s">
        <v>82</v>
      </c>
      <c r="B18" s="77">
        <v>27.4</v>
      </c>
      <c r="C18" s="57" t="s">
        <v>8</v>
      </c>
      <c r="D18" s="132" t="s">
        <v>83</v>
      </c>
      <c r="E18" s="56" t="s">
        <v>84</v>
      </c>
      <c r="F18" s="198" t="s">
        <v>226</v>
      </c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195" t="s">
        <v>86</v>
      </c>
      <c r="B19" s="77">
        <f>B14-B12+1</f>
        <v>214</v>
      </c>
      <c r="C19" s="248">
        <f>'Maintenance '!BI94/($B19*COUNTA($B$2:$B$8))</f>
        <v>0</v>
      </c>
      <c r="D19" s="196">
        <v>0.95</v>
      </c>
      <c r="E19" s="235">
        <f>F19*D19</f>
        <v>203.29999999999998</v>
      </c>
      <c r="F19" s="57">
        <f>B19</f>
        <v>214</v>
      </c>
      <c r="G19" s="2"/>
      <c r="H19" s="2"/>
      <c r="I19" s="2"/>
      <c r="J19" s="2"/>
      <c r="K19" s="2"/>
      <c r="L19" s="2"/>
      <c r="M19" s="2"/>
      <c r="N19" s="2"/>
      <c r="O19" s="2"/>
    </row>
    <row r="20" spans="1:15">
      <c r="A20" s="195" t="s">
        <v>87</v>
      </c>
      <c r="B20" s="77">
        <f>B15-B14</f>
        <v>365</v>
      </c>
      <c r="C20" s="248">
        <f>'Maintenance '!BJ94/($B20*COUNTA($B$2:$B$8))</f>
        <v>0</v>
      </c>
      <c r="D20" s="196">
        <v>0.95</v>
      </c>
      <c r="E20" s="235">
        <f>F20*D20</f>
        <v>346.75</v>
      </c>
      <c r="F20" s="57">
        <f>B20</f>
        <v>365</v>
      </c>
      <c r="G20" s="2"/>
      <c r="H20" s="2"/>
      <c r="I20" s="2"/>
      <c r="J20" s="2"/>
      <c r="K20" s="2"/>
      <c r="L20" s="2"/>
      <c r="M20" s="2"/>
      <c r="N20" s="2"/>
      <c r="O20" s="2"/>
    </row>
    <row r="21" spans="1:15">
      <c r="A21" s="195" t="s">
        <v>302</v>
      </c>
      <c r="B21" s="144">
        <f>B13-B15</f>
        <v>31</v>
      </c>
      <c r="C21" s="248">
        <f>'Maintenance '!BK94/($B21*COUNTA($B$2:$B$8))</f>
        <v>0</v>
      </c>
      <c r="D21" s="57">
        <v>0.95</v>
      </c>
      <c r="E21" s="57">
        <f>F21*D21</f>
        <v>29.45</v>
      </c>
      <c r="F21" s="57">
        <f>B21</f>
        <v>31</v>
      </c>
    </row>
    <row r="22" spans="1:15">
      <c r="A22" s="197" t="s">
        <v>88</v>
      </c>
    </row>
    <row r="23" spans="1:15">
      <c r="A23" s="197" t="s">
        <v>350</v>
      </c>
      <c r="B23">
        <f>SUM(B19:B21)</f>
        <v>610</v>
      </c>
      <c r="C23" s="225">
        <f>'Maintenance '!BL94/B23</f>
        <v>0</v>
      </c>
    </row>
  </sheetData>
  <mergeCells count="7">
    <mergeCell ref="I12:I13"/>
    <mergeCell ref="A2:A6"/>
    <mergeCell ref="D12:D13"/>
    <mergeCell ref="E12:E13"/>
    <mergeCell ref="F12:F13"/>
    <mergeCell ref="G12:G13"/>
    <mergeCell ref="H12:H13"/>
  </mergeCells>
  <phoneticPr fontId="15" type="noConversion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87D0F-31F3-4E5F-A3A7-DF19DF5A9B8B}">
  <dimension ref="A1:T39"/>
  <sheetViews>
    <sheetView topLeftCell="A13" workbookViewId="0">
      <selection activeCell="D37" sqref="D37"/>
    </sheetView>
  </sheetViews>
  <sheetFormatPr defaultRowHeight="14.5"/>
  <cols>
    <col min="1" max="1" width="77.1796875" bestFit="1" customWidth="1"/>
    <col min="2" max="2" width="7.453125" customWidth="1"/>
    <col min="3" max="3" width="6.7265625" customWidth="1"/>
    <col min="4" max="4" width="9.1796875" customWidth="1"/>
    <col min="5" max="5" width="22.54296875" customWidth="1"/>
    <col min="7" max="7" width="77.1796875" bestFit="1" customWidth="1"/>
    <col min="8" max="8" width="15.7265625" bestFit="1" customWidth="1"/>
    <col min="9" max="9" width="10" bestFit="1" customWidth="1"/>
    <col min="10" max="10" width="9.1796875" customWidth="1"/>
    <col min="12" max="12" width="77.1796875" bestFit="1" customWidth="1"/>
    <col min="13" max="13" width="15.7265625" bestFit="1" customWidth="1"/>
    <col min="14" max="14" width="10" bestFit="1" customWidth="1"/>
    <col min="15" max="15" width="8.54296875" customWidth="1"/>
    <col min="17" max="17" width="69.453125" customWidth="1"/>
  </cols>
  <sheetData>
    <row r="1" spans="1:20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  <c r="Q1" s="535" t="s">
        <v>276</v>
      </c>
      <c r="R1" s="535"/>
      <c r="S1" s="535"/>
      <c r="T1" s="535"/>
    </row>
    <row r="2" spans="1:2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2"/>
      <c r="R2" s="2"/>
      <c r="S2" s="2"/>
      <c r="T2" s="2"/>
    </row>
    <row r="3" spans="1:20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  <c r="Q3" s="533" t="s">
        <v>91</v>
      </c>
      <c r="R3" s="519"/>
      <c r="S3" s="519"/>
      <c r="T3" s="519"/>
    </row>
    <row r="4" spans="1:20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  <c r="Q4" s="9" t="s">
        <v>93</v>
      </c>
      <c r="R4" s="9" t="s">
        <v>94</v>
      </c>
      <c r="S4" s="9" t="s">
        <v>35</v>
      </c>
      <c r="T4" s="86">
        <v>0</v>
      </c>
    </row>
    <row r="5" spans="1:20" ht="29">
      <c r="A5" s="9" t="s">
        <v>96</v>
      </c>
      <c r="B5" s="9" t="s">
        <v>97</v>
      </c>
      <c r="C5" s="9"/>
      <c r="D5" s="87">
        <f>'GS7334 PTDs'!Q7</f>
        <v>1045997.5</v>
      </c>
      <c r="E5" s="85" t="s">
        <v>98</v>
      </c>
      <c r="F5" s="2"/>
      <c r="G5" s="9" t="s">
        <v>96</v>
      </c>
      <c r="H5" s="9" t="s">
        <v>97</v>
      </c>
      <c r="I5" s="9"/>
      <c r="J5" s="87">
        <f>'GS7334 PTDs'!L7</f>
        <v>366956.49999999994</v>
      </c>
      <c r="K5" s="2"/>
      <c r="L5" s="9" t="s">
        <v>96</v>
      </c>
      <c r="M5" s="9" t="s">
        <v>97</v>
      </c>
      <c r="N5" s="9"/>
      <c r="O5" s="87">
        <f>'GS7334 PTDs'!N7</f>
        <v>625883.75</v>
      </c>
      <c r="Q5" s="9" t="s">
        <v>96</v>
      </c>
      <c r="R5" s="9" t="s">
        <v>97</v>
      </c>
      <c r="S5" s="9"/>
      <c r="T5" s="87">
        <f>'GS7334 PTDs'!P7</f>
        <v>53157.249999999993</v>
      </c>
    </row>
    <row r="6" spans="1:20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  <c r="Q6" s="9" t="s">
        <v>99</v>
      </c>
      <c r="R6" s="9" t="s">
        <v>100</v>
      </c>
      <c r="S6" s="9" t="s">
        <v>101</v>
      </c>
      <c r="T6" s="86">
        <v>4.0000000000000002E-4</v>
      </c>
    </row>
    <row r="7" spans="1:20" ht="29">
      <c r="A7" s="88" t="s">
        <v>103</v>
      </c>
      <c r="B7" s="9" t="s">
        <v>104</v>
      </c>
      <c r="C7" s="9" t="s">
        <v>105</v>
      </c>
      <c r="D7" s="86">
        <v>7.5</v>
      </c>
      <c r="E7" s="85" t="s">
        <v>106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  <c r="Q7" s="88" t="s">
        <v>103</v>
      </c>
      <c r="R7" s="9" t="s">
        <v>104</v>
      </c>
      <c r="S7" s="9" t="s">
        <v>105</v>
      </c>
      <c r="T7" s="86">
        <v>7.5</v>
      </c>
    </row>
    <row r="8" spans="1:20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  <c r="Q8" s="88" t="s">
        <v>107</v>
      </c>
      <c r="R8" s="9" t="s">
        <v>108</v>
      </c>
      <c r="S8" s="9" t="s">
        <v>105</v>
      </c>
      <c r="T8" s="86">
        <v>0</v>
      </c>
    </row>
    <row r="9" spans="1:20">
      <c r="A9" s="9" t="s">
        <v>110</v>
      </c>
      <c r="B9" s="9" t="s">
        <v>111</v>
      </c>
      <c r="C9" s="9" t="s">
        <v>112</v>
      </c>
      <c r="D9" s="86">
        <f>ROUNDDOWN((1-D4)*D5*D6*(D7+D8),0)</f>
        <v>3137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1100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1877</v>
      </c>
      <c r="Q9" s="9" t="s">
        <v>110</v>
      </c>
      <c r="R9" s="9" t="s">
        <v>111</v>
      </c>
      <c r="S9" s="9" t="s">
        <v>112</v>
      </c>
      <c r="T9" s="86">
        <f>ROUNDDOWN((1-T4)*T5*T6*(T7+T8),0)</f>
        <v>159</v>
      </c>
    </row>
    <row r="10" spans="1:20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Q10" s="2"/>
      <c r="R10" s="2"/>
      <c r="S10" s="2"/>
      <c r="T10" s="2"/>
    </row>
    <row r="11" spans="1:20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  <c r="Q11" s="533" t="s">
        <v>113</v>
      </c>
      <c r="R11" s="519"/>
      <c r="S11" s="519"/>
      <c r="T11" s="519"/>
    </row>
    <row r="12" spans="1:20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  <c r="Q12" s="9" t="s">
        <v>114</v>
      </c>
      <c r="R12" s="9" t="s">
        <v>94</v>
      </c>
      <c r="S12" s="9" t="s">
        <v>35</v>
      </c>
      <c r="T12" s="86">
        <v>0</v>
      </c>
    </row>
    <row r="13" spans="1:20" ht="29">
      <c r="A13" s="9" t="s">
        <v>96</v>
      </c>
      <c r="B13" s="9" t="s">
        <v>97</v>
      </c>
      <c r="C13" s="9"/>
      <c r="D13" s="87">
        <f>D5</f>
        <v>1045997.5</v>
      </c>
      <c r="E13" s="85" t="s">
        <v>115</v>
      </c>
      <c r="F13" s="2"/>
      <c r="G13" s="9" t="s">
        <v>96</v>
      </c>
      <c r="H13" s="9" t="s">
        <v>97</v>
      </c>
      <c r="I13" s="9"/>
      <c r="J13" s="87">
        <f>J5</f>
        <v>366956.49999999994</v>
      </c>
      <c r="K13" s="2"/>
      <c r="L13" s="9" t="s">
        <v>96</v>
      </c>
      <c r="M13" s="9" t="s">
        <v>97</v>
      </c>
      <c r="N13" s="9"/>
      <c r="O13" s="87">
        <f>O5</f>
        <v>625883.75</v>
      </c>
      <c r="Q13" s="9" t="s">
        <v>96</v>
      </c>
      <c r="R13" s="9" t="s">
        <v>97</v>
      </c>
      <c r="S13" s="9"/>
      <c r="T13" s="87">
        <f>T5</f>
        <v>53157.249999999993</v>
      </c>
    </row>
    <row r="14" spans="1:20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  <c r="Q14" s="9" t="s">
        <v>116</v>
      </c>
      <c r="R14" s="9" t="s">
        <v>117</v>
      </c>
      <c r="S14" s="9" t="s">
        <v>101</v>
      </c>
      <c r="T14" s="86">
        <v>4.0000000000000002E-4</v>
      </c>
    </row>
    <row r="15" spans="1:20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  <c r="Q15" s="9" t="s">
        <v>118</v>
      </c>
      <c r="R15" s="9" t="s">
        <v>108</v>
      </c>
      <c r="S15" s="9" t="s">
        <v>105</v>
      </c>
      <c r="T15" s="86">
        <v>0</v>
      </c>
    </row>
    <row r="16" spans="1:20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  <c r="Q16" s="9" t="s">
        <v>119</v>
      </c>
      <c r="R16" s="9" t="s">
        <v>120</v>
      </c>
      <c r="S16" s="9" t="s">
        <v>105</v>
      </c>
      <c r="T16" s="86">
        <v>0</v>
      </c>
    </row>
    <row r="17" spans="1:20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121</v>
      </c>
      <c r="M17" s="9" t="s">
        <v>122</v>
      </c>
      <c r="N17" s="9" t="s">
        <v>112</v>
      </c>
      <c r="O17" s="86">
        <f>ROUNDDOWN((1+O12)*O13*O14*(O16+O16),0)</f>
        <v>0</v>
      </c>
      <c r="Q17" s="9" t="s">
        <v>121</v>
      </c>
      <c r="R17" s="9" t="s">
        <v>122</v>
      </c>
      <c r="S17" s="9" t="s">
        <v>112</v>
      </c>
      <c r="T17" s="86">
        <f>ROUNDDOWN((1+T12)*T13*T14*(T16+T16),0)</f>
        <v>0</v>
      </c>
    </row>
    <row r="18" spans="1:20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  <c r="Q18" s="2"/>
      <c r="R18" s="2"/>
      <c r="S18" s="2"/>
      <c r="T18" s="2"/>
    </row>
    <row r="19" spans="1:20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  <c r="Q19" s="533" t="s">
        <v>123</v>
      </c>
      <c r="R19" s="519"/>
      <c r="S19" s="519"/>
      <c r="T19" s="519"/>
    </row>
    <row r="20" spans="1:20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  <c r="Q20" s="88" t="s">
        <v>124</v>
      </c>
      <c r="R20" s="9" t="s">
        <v>124</v>
      </c>
      <c r="S20" s="9" t="s">
        <v>125</v>
      </c>
      <c r="T20" s="86">
        <v>0.97</v>
      </c>
    </row>
    <row r="21" spans="1:20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  <c r="Q21" s="9" t="s">
        <v>127</v>
      </c>
      <c r="R21" s="9" t="s">
        <v>130</v>
      </c>
      <c r="S21" s="9" t="s">
        <v>129</v>
      </c>
      <c r="T21" s="86">
        <v>112</v>
      </c>
    </row>
    <row r="22" spans="1:20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D22</f>
        <v>9.4600000000000009</v>
      </c>
      <c r="Q22" s="9" t="s">
        <v>131</v>
      </c>
      <c r="R22" s="9" t="s">
        <v>134</v>
      </c>
      <c r="S22" s="9" t="s">
        <v>133</v>
      </c>
      <c r="T22" s="86">
        <v>9.4600000000000009</v>
      </c>
    </row>
    <row r="23" spans="1:20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  <c r="Q23" s="9" t="s">
        <v>135</v>
      </c>
      <c r="R23" s="9" t="s">
        <v>136</v>
      </c>
      <c r="S23" s="9" t="s">
        <v>137</v>
      </c>
      <c r="T23" s="86">
        <v>1.5599999999999999E-2</v>
      </c>
    </row>
    <row r="24" spans="1:20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  <c r="Q24" s="2"/>
      <c r="R24" s="2"/>
      <c r="S24" s="2"/>
      <c r="T24" s="2"/>
    </row>
    <row r="25" spans="1:20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  <c r="Q25" s="533" t="s">
        <v>19</v>
      </c>
      <c r="R25" s="519"/>
      <c r="S25" s="519"/>
      <c r="T25" s="519"/>
    </row>
    <row r="26" spans="1:20">
      <c r="A26" s="9" t="s">
        <v>28</v>
      </c>
      <c r="B26" s="9" t="s">
        <v>29</v>
      </c>
      <c r="C26" s="9" t="s">
        <v>30</v>
      </c>
      <c r="D26" s="87">
        <f>ROUNDDOWN(D9*((D20*D21)+D22)*D23,0)</f>
        <v>5779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2026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3458</v>
      </c>
      <c r="Q26" s="9" t="s">
        <v>28</v>
      </c>
      <c r="R26" s="9" t="s">
        <v>29</v>
      </c>
      <c r="S26" s="9" t="s">
        <v>30</v>
      </c>
      <c r="T26" s="87">
        <f>ROUNDDOWN(T9*((T20*T21)+T22)*T23,0)</f>
        <v>292</v>
      </c>
    </row>
    <row r="27" spans="1:20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O17*((O20*O21)+O22)*O230</f>
        <v>0</v>
      </c>
      <c r="Q27" s="9" t="s">
        <v>31</v>
      </c>
      <c r="R27" s="9" t="s">
        <v>32</v>
      </c>
      <c r="S27" s="9" t="s">
        <v>30</v>
      </c>
      <c r="T27" s="86">
        <f>T17*((T20*T21)+T22)*T230</f>
        <v>0</v>
      </c>
    </row>
    <row r="28" spans="1:20" ht="29">
      <c r="A28" s="9" t="s">
        <v>33</v>
      </c>
      <c r="B28" s="9" t="s">
        <v>34</v>
      </c>
      <c r="C28" s="9" t="s">
        <v>35</v>
      </c>
      <c r="D28" s="86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6">
        <f>D28</f>
        <v>0.95</v>
      </c>
      <c r="K28" s="2"/>
      <c r="L28" s="9" t="s">
        <v>33</v>
      </c>
      <c r="M28" s="9" t="s">
        <v>34</v>
      </c>
      <c r="N28" s="9" t="s">
        <v>35</v>
      </c>
      <c r="O28" s="86">
        <f>D28</f>
        <v>0.95</v>
      </c>
      <c r="Q28" s="9" t="s">
        <v>33</v>
      </c>
      <c r="R28" s="9" t="s">
        <v>34</v>
      </c>
      <c r="S28" s="9" t="s">
        <v>35</v>
      </c>
      <c r="T28" s="86">
        <f>O28</f>
        <v>0.95</v>
      </c>
    </row>
    <row r="29" spans="1:20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  <c r="Q29" s="9" t="s">
        <v>36</v>
      </c>
      <c r="R29" s="9" t="s">
        <v>37</v>
      </c>
      <c r="S29" s="9" t="s">
        <v>30</v>
      </c>
      <c r="T29" s="86">
        <v>0</v>
      </c>
    </row>
    <row r="30" spans="1:20">
      <c r="A30" s="9" t="s">
        <v>90</v>
      </c>
      <c r="B30" s="9" t="s">
        <v>39</v>
      </c>
      <c r="C30" s="9" t="s">
        <v>30</v>
      </c>
      <c r="D30" s="86">
        <f>ROUNDDOWN(((D26-D27)*D28)-D29,0)</f>
        <v>5490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1924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3285</v>
      </c>
      <c r="Q30" s="9" t="s">
        <v>90</v>
      </c>
      <c r="R30" s="9" t="s">
        <v>39</v>
      </c>
      <c r="S30" s="9" t="s">
        <v>30</v>
      </c>
      <c r="T30" s="86">
        <f>ROUNDDOWN(((T26-T27)*T28)-T29,0)</f>
        <v>277</v>
      </c>
    </row>
    <row r="31" spans="1:20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  <c r="Q31" s="2"/>
      <c r="R31" s="2"/>
      <c r="S31" s="2"/>
      <c r="T31" s="2"/>
    </row>
    <row r="32" spans="1:20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  <c r="Q32" s="533" t="s">
        <v>40</v>
      </c>
      <c r="R32" s="519"/>
      <c r="S32" s="519"/>
      <c r="T32" s="519"/>
    </row>
    <row r="33" spans="1:20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M33" s="9"/>
      <c r="N33" s="16"/>
      <c r="O33" s="91">
        <v>1</v>
      </c>
      <c r="Q33" s="90" t="s">
        <v>41</v>
      </c>
      <c r="R33" s="9"/>
      <c r="S33" s="16"/>
      <c r="T33" s="91">
        <v>1</v>
      </c>
    </row>
    <row r="34" spans="1:20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  <c r="Q34" s="90" t="s">
        <v>277</v>
      </c>
      <c r="R34" s="9" t="s">
        <v>42</v>
      </c>
      <c r="S34" s="16" t="s">
        <v>44</v>
      </c>
      <c r="T34" s="91">
        <v>0</v>
      </c>
    </row>
    <row r="35" spans="1:20">
      <c r="A35" s="93" t="s">
        <v>140</v>
      </c>
      <c r="B35" s="94" t="s">
        <v>39</v>
      </c>
      <c r="C35" s="95" t="s">
        <v>30</v>
      </c>
      <c r="D35" s="246">
        <f>ROUNDDOWN(D30*(1-D34),0)</f>
        <v>5490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1924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3285</v>
      </c>
      <c r="Q35" s="93" t="s">
        <v>140</v>
      </c>
      <c r="R35" s="94" t="s">
        <v>39</v>
      </c>
      <c r="S35" s="95" t="s">
        <v>30</v>
      </c>
      <c r="T35" s="96">
        <f>ROUNDDOWN(T30*(1-T34),0)</f>
        <v>277</v>
      </c>
    </row>
    <row r="36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</row>
    <row r="37" spans="1:20">
      <c r="A37" s="93" t="s">
        <v>141</v>
      </c>
      <c r="B37" s="94"/>
      <c r="C37" s="95" t="s">
        <v>30</v>
      </c>
      <c r="D37" s="96">
        <f>J37+O37+T37</f>
        <v>5486</v>
      </c>
      <c r="E37" s="2"/>
      <c r="F37" s="2"/>
      <c r="G37" s="93" t="s">
        <v>141</v>
      </c>
      <c r="H37" s="94"/>
      <c r="I37" s="95" t="s">
        <v>30</v>
      </c>
      <c r="J37" s="96">
        <f>IF(J35&gt;'GS7334 PTDs'!B18*'GS7334 PTDs'!B19,'GS7334 PTDs'!B18*'GS7334 PTDs'!B19,'GS7334 ER Calcs'!J35)</f>
        <v>1924</v>
      </c>
      <c r="K37" s="2"/>
      <c r="L37" s="93" t="s">
        <v>141</v>
      </c>
      <c r="M37" s="94"/>
      <c r="N37" s="95" t="s">
        <v>30</v>
      </c>
      <c r="O37" s="96">
        <f>IF(O35&gt;'GS7334 PTDs'!B18*'GS7334 PTDs'!B20,'GS7334 PTDs'!B18*'GS7334 PTDs'!B20,'GS7334 ER Calcs'!O35)</f>
        <v>3285</v>
      </c>
      <c r="Q37" s="93" t="s">
        <v>141</v>
      </c>
      <c r="R37" s="94"/>
      <c r="S37" s="95" t="s">
        <v>30</v>
      </c>
      <c r="T37" s="96">
        <f>IF(T35&gt;'GS7334 PTDs'!B18*'GS7334 PTDs'!B21,'GS7334 PTDs'!B18*'GS7334 PTDs'!B21,'GS7334 ER Calcs'!T35)</f>
        <v>277</v>
      </c>
    </row>
    <row r="38" spans="1:2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</row>
    <row r="39" spans="1:20">
      <c r="A39" s="1" t="s">
        <v>142</v>
      </c>
      <c r="B39" s="2"/>
      <c r="C39" s="2"/>
      <c r="D39" s="2"/>
      <c r="E39" s="2"/>
      <c r="F39" s="2"/>
      <c r="G39" s="1" t="s">
        <v>142</v>
      </c>
      <c r="H39" s="2"/>
      <c r="I39" s="2"/>
      <c r="J39" s="2"/>
      <c r="K39" s="2"/>
      <c r="L39" s="1" t="s">
        <v>142</v>
      </c>
      <c r="M39" s="2"/>
      <c r="N39" s="2"/>
      <c r="O39" s="2"/>
      <c r="Q39" s="1" t="s">
        <v>142</v>
      </c>
      <c r="R39" s="2"/>
      <c r="S39" s="2"/>
      <c r="T39" s="2"/>
    </row>
  </sheetData>
  <mergeCells count="24">
    <mergeCell ref="A25:D25"/>
    <mergeCell ref="G25:J25"/>
    <mergeCell ref="L25:O25"/>
    <mergeCell ref="A32:D32"/>
    <mergeCell ref="G32:J32"/>
    <mergeCell ref="L32:O32"/>
    <mergeCell ref="A11:D11"/>
    <mergeCell ref="G11:J11"/>
    <mergeCell ref="L11:O11"/>
    <mergeCell ref="A19:D19"/>
    <mergeCell ref="G19:J19"/>
    <mergeCell ref="L19:O19"/>
    <mergeCell ref="A1:D1"/>
    <mergeCell ref="G1:J1"/>
    <mergeCell ref="L1:O1"/>
    <mergeCell ref="A3:D3"/>
    <mergeCell ref="G3:J3"/>
    <mergeCell ref="L3:O3"/>
    <mergeCell ref="Q32:T32"/>
    <mergeCell ref="Q1:T1"/>
    <mergeCell ref="Q3:T3"/>
    <mergeCell ref="Q11:T11"/>
    <mergeCell ref="Q19:T19"/>
    <mergeCell ref="Q25:T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0DA0-5723-4F11-B739-279F22779222}">
  <dimension ref="A1:O34"/>
  <sheetViews>
    <sheetView topLeftCell="A9" workbookViewId="0">
      <selection activeCell="D34" sqref="D34"/>
    </sheetView>
  </sheetViews>
  <sheetFormatPr defaultRowHeight="14.5"/>
  <cols>
    <col min="1" max="1" width="39" bestFit="1" customWidth="1"/>
    <col min="3" max="3" width="10" bestFit="1" customWidth="1"/>
    <col min="4" max="4" width="11.81640625" customWidth="1"/>
    <col min="14" max="15" width="9.54296875" customWidth="1"/>
  </cols>
  <sheetData>
    <row r="1" spans="1:15" ht="37" customHeight="1" thickBot="1">
      <c r="A1" s="521" t="s">
        <v>15</v>
      </c>
      <c r="B1" s="522"/>
      <c r="C1" s="522"/>
      <c r="D1" s="522"/>
      <c r="E1" s="4"/>
      <c r="F1" s="4"/>
      <c r="G1" s="4"/>
      <c r="H1" s="521" t="s">
        <v>16</v>
      </c>
      <c r="I1" s="522"/>
      <c r="J1" s="522"/>
      <c r="K1" s="522"/>
      <c r="L1" s="522"/>
      <c r="M1" s="522"/>
      <c r="N1" s="522"/>
      <c r="O1" s="304"/>
    </row>
    <row r="2" spans="1:15" ht="1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  <c r="O2" s="2"/>
    </row>
    <row r="3" spans="1:15" ht="14.5" customHeight="1">
      <c r="A3" s="523" t="s">
        <v>17</v>
      </c>
      <c r="B3" s="524"/>
      <c r="C3" s="524"/>
      <c r="D3" s="524"/>
      <c r="E3" s="2"/>
      <c r="F3" s="4"/>
      <c r="G3" s="4"/>
      <c r="H3" s="528" t="s">
        <v>18</v>
      </c>
      <c r="I3" s="529"/>
      <c r="J3" s="529"/>
      <c r="K3" s="529"/>
      <c r="L3" s="529"/>
      <c r="M3" s="529"/>
      <c r="N3" s="529"/>
      <c r="O3" s="5"/>
    </row>
    <row r="4" spans="1:15" ht="29">
      <c r="A4" s="518" t="s">
        <v>19</v>
      </c>
      <c r="B4" s="519"/>
      <c r="C4" s="519"/>
      <c r="D4" s="519"/>
      <c r="E4" s="2"/>
      <c r="F4" s="4"/>
      <c r="G4" s="4"/>
      <c r="H4" s="6" t="s">
        <v>20</v>
      </c>
      <c r="I4" s="7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6" t="s">
        <v>26</v>
      </c>
      <c r="O4" s="6" t="s">
        <v>27</v>
      </c>
    </row>
    <row r="5" spans="1:15">
      <c r="A5" s="8" t="s">
        <v>28</v>
      </c>
      <c r="B5" s="9" t="s">
        <v>29</v>
      </c>
      <c r="C5" s="9" t="s">
        <v>30</v>
      </c>
      <c r="D5" s="10">
        <f>'GS5039 ER Calcs'!J26</f>
        <v>1816</v>
      </c>
      <c r="E5" s="2"/>
      <c r="F5" s="4"/>
      <c r="G5" s="4"/>
      <c r="H5" s="109">
        <v>2016</v>
      </c>
      <c r="I5" s="110">
        <v>364</v>
      </c>
      <c r="J5" s="110"/>
      <c r="K5" s="110"/>
      <c r="L5" s="110"/>
      <c r="M5" s="384"/>
      <c r="N5" s="382"/>
      <c r="O5" s="20">
        <f>SUM(I5:L5)</f>
        <v>364</v>
      </c>
    </row>
    <row r="6" spans="1:15">
      <c r="A6" s="8" t="s">
        <v>31</v>
      </c>
      <c r="B6" s="9" t="s">
        <v>32</v>
      </c>
      <c r="C6" s="9" t="s">
        <v>30</v>
      </c>
      <c r="D6" s="14">
        <f>'GS5039 ER Calcs'!J27</f>
        <v>0</v>
      </c>
      <c r="E6" s="2"/>
      <c r="F6" s="4"/>
      <c r="G6" s="4"/>
      <c r="H6" s="109">
        <v>2017</v>
      </c>
      <c r="I6" s="110">
        <v>7687</v>
      </c>
      <c r="J6" s="110">
        <v>2313</v>
      </c>
      <c r="K6" s="110"/>
      <c r="L6" s="110"/>
      <c r="M6" s="384"/>
      <c r="N6" s="382"/>
      <c r="O6" s="20">
        <f>SUM(I6:L6)</f>
        <v>10000</v>
      </c>
    </row>
    <row r="7" spans="1:15">
      <c r="A7" s="8" t="s">
        <v>33</v>
      </c>
      <c r="B7" s="9" t="s">
        <v>34</v>
      </c>
      <c r="C7" s="9" t="s">
        <v>35</v>
      </c>
      <c r="D7" s="14">
        <f>'GS5039 ER Calcs'!J28</f>
        <v>0.95</v>
      </c>
      <c r="E7" s="2"/>
      <c r="F7" s="4"/>
      <c r="G7" s="4"/>
      <c r="H7" s="109">
        <v>2018</v>
      </c>
      <c r="I7" s="110"/>
      <c r="J7" s="110">
        <v>10000</v>
      </c>
      <c r="K7" s="110"/>
      <c r="L7" s="110"/>
      <c r="M7" s="384"/>
      <c r="N7" s="382"/>
      <c r="O7" s="20">
        <f>SUM(I7:L7)</f>
        <v>10000</v>
      </c>
    </row>
    <row r="8" spans="1:15">
      <c r="A8" s="8" t="s">
        <v>36</v>
      </c>
      <c r="B8" s="9" t="s">
        <v>37</v>
      </c>
      <c r="C8" s="9" t="s">
        <v>30</v>
      </c>
      <c r="D8" s="14">
        <f>'GS5039 ER Calcs'!J29</f>
        <v>0</v>
      </c>
      <c r="E8" s="2"/>
      <c r="F8" s="4"/>
      <c r="G8" s="4"/>
      <c r="H8" s="109">
        <v>2019</v>
      </c>
      <c r="I8" s="110"/>
      <c r="J8" s="110">
        <v>4137</v>
      </c>
      <c r="K8" s="110">
        <v>1606</v>
      </c>
      <c r="L8" s="110"/>
      <c r="M8" s="384"/>
      <c r="N8" s="382"/>
      <c r="O8" s="20">
        <f>SUM(I8:L8)</f>
        <v>5743</v>
      </c>
    </row>
    <row r="9" spans="1:15">
      <c r="A9" s="8"/>
      <c r="B9" s="9"/>
      <c r="C9" s="9"/>
      <c r="D9" s="14"/>
      <c r="E9" s="2"/>
      <c r="F9" s="4"/>
      <c r="G9" s="4"/>
      <c r="H9" s="109">
        <v>2020</v>
      </c>
      <c r="I9" s="110"/>
      <c r="J9" s="110"/>
      <c r="K9" s="110">
        <v>1128</v>
      </c>
      <c r="L9" s="254">
        <v>1504</v>
      </c>
      <c r="M9" s="385"/>
      <c r="N9" s="382"/>
      <c r="O9" s="20">
        <f>SUM(I9:M9)</f>
        <v>2632</v>
      </c>
    </row>
    <row r="10" spans="1:15">
      <c r="A10" s="8" t="s">
        <v>38</v>
      </c>
      <c r="B10" s="9" t="s">
        <v>39</v>
      </c>
      <c r="C10" s="9" t="s">
        <v>30</v>
      </c>
      <c r="D10" s="10">
        <f>'GS5039 ER Calcs'!J30</f>
        <v>1725</v>
      </c>
      <c r="E10" s="2"/>
      <c r="F10" s="4"/>
      <c r="G10" s="4"/>
      <c r="H10" s="111">
        <v>2021</v>
      </c>
      <c r="I10" s="110"/>
      <c r="J10" s="110"/>
      <c r="K10" s="57"/>
      <c r="L10" s="254">
        <v>1069</v>
      </c>
      <c r="M10" s="385">
        <v>1598</v>
      </c>
      <c r="N10" s="382"/>
      <c r="O10" s="20">
        <f>SUM(I10:M10)</f>
        <v>2667</v>
      </c>
    </row>
    <row r="11" spans="1:15">
      <c r="A11" s="518" t="s">
        <v>40</v>
      </c>
      <c r="B11" s="519"/>
      <c r="C11" s="519"/>
      <c r="D11" s="519"/>
      <c r="E11" s="2"/>
      <c r="F11" s="4"/>
      <c r="G11" s="4"/>
      <c r="H11" s="109">
        <v>2022</v>
      </c>
      <c r="I11" s="110"/>
      <c r="J11" s="110"/>
      <c r="K11" s="57"/>
      <c r="L11" s="254"/>
      <c r="M11" s="385">
        <v>1128</v>
      </c>
      <c r="N11" s="383">
        <f>D32</f>
        <v>1725</v>
      </c>
      <c r="O11" s="20">
        <f>SUM(J11:N11)</f>
        <v>2853</v>
      </c>
    </row>
    <row r="12" spans="1:15">
      <c r="A12" s="15" t="s">
        <v>41</v>
      </c>
      <c r="B12" s="9" t="s">
        <v>42</v>
      </c>
      <c r="C12" s="16"/>
      <c r="D12" s="17">
        <f>'GS5039 ER Calcs'!J33</f>
        <v>1</v>
      </c>
      <c r="E12" s="2"/>
      <c r="F12" s="4"/>
      <c r="G12" s="4"/>
      <c r="N12" s="383">
        <f>D33</f>
        <v>2364</v>
      </c>
      <c r="O12" s="20">
        <f>SUM(J12:N12)</f>
        <v>2364</v>
      </c>
    </row>
    <row r="13" spans="1:15">
      <c r="A13" s="15" t="s">
        <v>43</v>
      </c>
      <c r="B13" s="2"/>
      <c r="C13" s="16" t="s">
        <v>44</v>
      </c>
      <c r="D13" s="17">
        <f>'GS5039 ER Calcs'!J34</f>
        <v>0</v>
      </c>
      <c r="E13" s="2"/>
      <c r="F13" s="4"/>
      <c r="G13" s="4"/>
      <c r="H13" s="18" t="s">
        <v>13</v>
      </c>
      <c r="I13" s="18">
        <f>SUM(I5:I10)</f>
        <v>8051</v>
      </c>
      <c r="J13" s="18">
        <f>SUM(J5:J10)</f>
        <v>16450</v>
      </c>
      <c r="K13" s="18">
        <f>SUM(K5:K10)</f>
        <v>2734</v>
      </c>
      <c r="L13" s="18">
        <f>SUM(L5:L11)</f>
        <v>2573</v>
      </c>
      <c r="M13" s="18">
        <f>SUM(M5:M12)</f>
        <v>2726</v>
      </c>
      <c r="N13" s="131">
        <f>SUM(N5:N12)</f>
        <v>4089</v>
      </c>
      <c r="O13" s="18">
        <f>SUM(O5:O12)</f>
        <v>36623</v>
      </c>
    </row>
    <row r="14" spans="1:15" ht="15" thickBot="1">
      <c r="A14" s="21" t="s">
        <v>38</v>
      </c>
      <c r="B14" s="22" t="s">
        <v>39</v>
      </c>
      <c r="C14" s="22" t="s">
        <v>30</v>
      </c>
      <c r="D14" s="23">
        <f>'GS5039 ER Calcs'!J35</f>
        <v>1725</v>
      </c>
      <c r="E14" s="2"/>
      <c r="F14" s="4"/>
      <c r="G14" s="4"/>
      <c r="H14" s="4"/>
      <c r="I14" s="4"/>
      <c r="J14" s="4"/>
      <c r="K14" s="4"/>
      <c r="L14" s="4"/>
      <c r="M14" s="4"/>
      <c r="N14" s="2"/>
      <c r="O14" s="2"/>
    </row>
    <row r="15" spans="1:15" ht="15" thickBot="1">
      <c r="A15" s="21" t="s">
        <v>45</v>
      </c>
      <c r="B15" s="22" t="s">
        <v>39</v>
      </c>
      <c r="C15" s="22" t="s">
        <v>30</v>
      </c>
      <c r="D15" s="23">
        <f>'GS5039 ER Calcs'!J37</f>
        <v>1725</v>
      </c>
      <c r="E15" s="2"/>
      <c r="F15" s="4"/>
      <c r="G15" s="4"/>
      <c r="H15" s="4"/>
      <c r="I15" s="4"/>
      <c r="J15" s="4"/>
      <c r="K15" s="4"/>
      <c r="L15" s="4"/>
      <c r="M15" s="4"/>
      <c r="N15" s="2"/>
      <c r="O15" s="2"/>
    </row>
    <row r="16" spans="1:15" ht="15" thickBot="1">
      <c r="A16" s="4"/>
      <c r="B16" s="4"/>
      <c r="C16" s="4"/>
      <c r="D16" s="4"/>
      <c r="E16" s="2"/>
      <c r="F16" s="4"/>
      <c r="G16" s="4"/>
      <c r="H16" s="525"/>
      <c r="I16" s="525"/>
      <c r="J16" s="525"/>
      <c r="K16" s="525"/>
      <c r="L16" s="24"/>
      <c r="M16" s="24"/>
      <c r="N16" s="2"/>
      <c r="O16" s="2"/>
    </row>
    <row r="17" spans="1:15" ht="14.5" customHeight="1">
      <c r="A17" s="523" t="s">
        <v>46</v>
      </c>
      <c r="B17" s="524"/>
      <c r="C17" s="524"/>
      <c r="D17" s="524"/>
      <c r="E17" s="4"/>
      <c r="F17" s="4"/>
      <c r="G17" s="4"/>
      <c r="H17" s="4"/>
      <c r="I17" s="4"/>
      <c r="J17" s="4"/>
      <c r="K17" s="4"/>
      <c r="L17" s="4"/>
      <c r="M17" s="4"/>
      <c r="N17" s="2"/>
      <c r="O17" s="2"/>
    </row>
    <row r="18" spans="1:15">
      <c r="A18" s="518" t="s">
        <v>19</v>
      </c>
      <c r="B18" s="519"/>
      <c r="C18" s="519"/>
      <c r="D18" s="519"/>
      <c r="E18" s="4"/>
      <c r="F18" s="4"/>
      <c r="G18" s="4"/>
      <c r="H18" s="4"/>
      <c r="I18" s="4"/>
      <c r="J18" s="4"/>
      <c r="K18" s="4"/>
      <c r="L18" s="4"/>
      <c r="M18" s="4"/>
      <c r="N18" s="2"/>
      <c r="O18" s="2"/>
    </row>
    <row r="19" spans="1:15">
      <c r="A19" s="8" t="s">
        <v>28</v>
      </c>
      <c r="B19" s="9" t="s">
        <v>29</v>
      </c>
      <c r="C19" s="9" t="s">
        <v>30</v>
      </c>
      <c r="D19" s="10">
        <f>'GS5039 ER Calcs'!O26</f>
        <v>2489</v>
      </c>
      <c r="E19" s="4"/>
      <c r="F19" s="4"/>
      <c r="G19" s="4"/>
      <c r="H19" s="4"/>
      <c r="I19" s="4"/>
      <c r="J19" s="4"/>
      <c r="K19" s="4"/>
      <c r="L19" s="4"/>
      <c r="M19" s="4"/>
      <c r="N19" s="2"/>
      <c r="O19" s="2"/>
    </row>
    <row r="20" spans="1:15">
      <c r="A20" s="8" t="s">
        <v>31</v>
      </c>
      <c r="B20" s="9" t="s">
        <v>32</v>
      </c>
      <c r="C20" s="9" t="s">
        <v>30</v>
      </c>
      <c r="D20" s="14">
        <f>'GS5039 ER Calcs'!O27</f>
        <v>0</v>
      </c>
      <c r="E20" s="4"/>
      <c r="F20" s="4"/>
      <c r="G20" s="4"/>
      <c r="H20" s="4"/>
      <c r="I20" s="4"/>
      <c r="J20" s="4"/>
      <c r="K20" s="4"/>
      <c r="L20" s="4"/>
      <c r="M20" s="4"/>
      <c r="N20" s="2"/>
      <c r="O20" s="2"/>
    </row>
    <row r="21" spans="1:15">
      <c r="A21" s="8" t="s">
        <v>33</v>
      </c>
      <c r="B21" s="9" t="s">
        <v>34</v>
      </c>
      <c r="C21" s="9" t="s">
        <v>35</v>
      </c>
      <c r="D21" s="14">
        <f>'GS5039 ER Calcs'!O28</f>
        <v>0.95</v>
      </c>
      <c r="E21" s="4"/>
      <c r="F21" s="4"/>
      <c r="G21" s="4"/>
      <c r="H21" s="4"/>
      <c r="I21" s="4"/>
      <c r="J21" s="4"/>
      <c r="K21" s="4"/>
      <c r="L21" s="4"/>
      <c r="M21" s="4"/>
      <c r="N21" s="2"/>
      <c r="O21" s="2"/>
    </row>
    <row r="22" spans="1:15">
      <c r="A22" s="8" t="s">
        <v>36</v>
      </c>
      <c r="B22" s="9" t="s">
        <v>37</v>
      </c>
      <c r="C22" s="9" t="s">
        <v>30</v>
      </c>
      <c r="D22" s="14">
        <f>'GS5039 ER Calcs'!O29</f>
        <v>0</v>
      </c>
      <c r="E22" s="4"/>
      <c r="F22" s="4"/>
      <c r="G22" s="4"/>
      <c r="H22" s="4"/>
      <c r="I22" s="4"/>
      <c r="J22" s="4"/>
      <c r="K22" s="4"/>
      <c r="L22" s="4"/>
      <c r="M22" s="4"/>
      <c r="N22" s="2"/>
      <c r="O22" s="2"/>
    </row>
    <row r="23" spans="1:15">
      <c r="A23" s="8" t="s">
        <v>38</v>
      </c>
      <c r="B23" s="9" t="s">
        <v>39</v>
      </c>
      <c r="C23" s="9" t="s">
        <v>30</v>
      </c>
      <c r="D23" s="10">
        <f>'GS5039 ER Calcs'!O30</f>
        <v>2364</v>
      </c>
      <c r="E23" s="4"/>
      <c r="F23" s="4"/>
      <c r="G23" s="4"/>
      <c r="H23" s="4"/>
      <c r="I23" s="4"/>
      <c r="J23" s="4"/>
      <c r="K23" s="4"/>
      <c r="L23" s="4"/>
      <c r="M23" s="4"/>
      <c r="N23" s="2"/>
      <c r="O23" s="2"/>
    </row>
    <row r="24" spans="1:15">
      <c r="A24" s="518" t="s">
        <v>40</v>
      </c>
      <c r="B24" s="519"/>
      <c r="C24" s="519"/>
      <c r="D24" s="519"/>
      <c r="E24" s="4"/>
      <c r="F24" s="4"/>
      <c r="G24" s="4"/>
      <c r="H24" s="4"/>
      <c r="I24" s="4"/>
      <c r="J24" s="4"/>
      <c r="K24" s="4"/>
      <c r="L24" s="4"/>
      <c r="M24" s="4"/>
      <c r="N24" s="2"/>
      <c r="O24" s="2"/>
    </row>
    <row r="25" spans="1:15">
      <c r="A25" s="15" t="s">
        <v>41</v>
      </c>
      <c r="B25" s="9" t="s">
        <v>42</v>
      </c>
      <c r="C25" s="16"/>
      <c r="D25" s="17">
        <f>'GS5039 ER Calcs'!O33</f>
        <v>1</v>
      </c>
      <c r="E25" s="4"/>
      <c r="F25" s="4"/>
      <c r="G25" s="4"/>
      <c r="H25" s="4"/>
      <c r="I25" s="4"/>
      <c r="J25" s="4"/>
      <c r="K25" s="4"/>
      <c r="L25" s="4"/>
      <c r="M25" s="4"/>
      <c r="N25" s="2"/>
      <c r="O25" s="2"/>
    </row>
    <row r="26" spans="1:15">
      <c r="A26" s="15" t="s">
        <v>43</v>
      </c>
      <c r="B26" s="2"/>
      <c r="C26" s="16" t="s">
        <v>44</v>
      </c>
      <c r="D26" s="17">
        <f>'GS5039 ER Calcs'!O34</f>
        <v>0</v>
      </c>
      <c r="E26" s="4"/>
      <c r="F26" s="4"/>
      <c r="G26" s="4"/>
      <c r="H26" s="4"/>
      <c r="I26" s="4"/>
      <c r="J26" s="4"/>
      <c r="K26" s="4"/>
      <c r="L26" s="4"/>
      <c r="M26" s="4"/>
      <c r="N26" s="2"/>
      <c r="O26" s="2"/>
    </row>
    <row r="27" spans="1:15" ht="15" thickBot="1">
      <c r="A27" s="21" t="s">
        <v>38</v>
      </c>
      <c r="B27" s="22" t="s">
        <v>39</v>
      </c>
      <c r="C27" s="22" t="s">
        <v>30</v>
      </c>
      <c r="D27" s="23">
        <f>'GS5039 ER Calcs'!O35</f>
        <v>2364</v>
      </c>
      <c r="E27" s="4"/>
      <c r="F27" s="4"/>
      <c r="G27" s="4"/>
      <c r="H27" s="4"/>
      <c r="I27" s="4"/>
      <c r="J27" s="4"/>
      <c r="K27" s="4"/>
      <c r="L27" s="4"/>
      <c r="M27" s="4"/>
      <c r="N27" s="2"/>
      <c r="O27" s="2"/>
    </row>
    <row r="28" spans="1:15" ht="15" thickBot="1">
      <c r="A28" s="21" t="s">
        <v>45</v>
      </c>
      <c r="B28" s="22" t="s">
        <v>39</v>
      </c>
      <c r="C28" s="22" t="s">
        <v>30</v>
      </c>
      <c r="D28" s="23">
        <f>'GS5039 ER Calcs'!O37</f>
        <v>2364</v>
      </c>
      <c r="E28" s="4"/>
      <c r="F28" s="4"/>
      <c r="G28" s="4"/>
      <c r="H28" s="4"/>
      <c r="I28" s="4"/>
      <c r="J28" s="4"/>
      <c r="K28" s="4"/>
      <c r="L28" s="4"/>
      <c r="M28" s="4"/>
      <c r="N28" s="2"/>
      <c r="O28" s="2"/>
    </row>
    <row r="29" spans="1:15" ht="15" thickBot="1">
      <c r="A29" s="2"/>
      <c r="B29" s="508"/>
      <c r="C29" s="508"/>
      <c r="D29" s="2"/>
      <c r="E29" s="4"/>
      <c r="F29" s="4"/>
      <c r="G29" s="4"/>
      <c r="H29" s="4"/>
      <c r="I29" s="4"/>
      <c r="J29" s="4"/>
      <c r="K29" s="4"/>
      <c r="L29" s="4"/>
      <c r="M29" s="4"/>
      <c r="N29" s="2"/>
      <c r="O29" s="2"/>
    </row>
    <row r="30" spans="1:15" ht="15.65" customHeight="1">
      <c r="A30" s="509" t="s">
        <v>47</v>
      </c>
      <c r="B30" s="510"/>
      <c r="C30" s="510"/>
      <c r="D30" s="510"/>
      <c r="E30" s="2"/>
      <c r="F30" s="2"/>
      <c r="G30" s="507"/>
      <c r="H30" s="507"/>
      <c r="I30" s="2"/>
      <c r="J30" s="2"/>
      <c r="K30" s="2"/>
      <c r="L30" s="2"/>
      <c r="M30" s="2"/>
      <c r="N30" s="2"/>
      <c r="O30" s="2"/>
    </row>
    <row r="31" spans="1:15">
      <c r="A31" s="511" t="s">
        <v>19</v>
      </c>
      <c r="B31" s="512"/>
      <c r="C31" s="512"/>
      <c r="D31" s="512"/>
      <c r="E31" s="2"/>
      <c r="F31" s="2"/>
      <c r="G31" s="507"/>
      <c r="H31" s="507"/>
      <c r="I31" s="2"/>
      <c r="J31" s="2"/>
      <c r="K31" s="2"/>
      <c r="L31" s="2"/>
      <c r="M31" s="2"/>
      <c r="N31" s="2"/>
      <c r="O31" s="2"/>
    </row>
    <row r="32" spans="1:15" ht="14.5" customHeight="1">
      <c r="A32" s="513">
        <v>2022</v>
      </c>
      <c r="B32" s="514"/>
      <c r="C32" s="514"/>
      <c r="D32" s="25">
        <f>D14</f>
        <v>1725</v>
      </c>
      <c r="E32" s="2"/>
      <c r="F32" s="2"/>
      <c r="G32" s="507"/>
      <c r="H32" s="507"/>
      <c r="I32" s="2"/>
      <c r="J32" s="2"/>
      <c r="K32" s="2"/>
      <c r="L32" s="2"/>
      <c r="M32" s="2"/>
      <c r="N32" s="2"/>
      <c r="O32" s="2"/>
    </row>
    <row r="33" spans="1:15" ht="15" thickBot="1">
      <c r="A33" s="515">
        <v>2023</v>
      </c>
      <c r="B33" s="516"/>
      <c r="C33" s="516"/>
      <c r="D33" s="26">
        <f>D27</f>
        <v>2364</v>
      </c>
      <c r="E33" s="2"/>
      <c r="F33" s="2"/>
      <c r="G33" s="507"/>
      <c r="H33" s="507"/>
      <c r="I33" s="2"/>
      <c r="J33" s="2"/>
      <c r="K33" s="2"/>
      <c r="L33" s="2"/>
      <c r="M33" s="2"/>
      <c r="N33" s="2"/>
      <c r="O33" s="2"/>
    </row>
    <row r="34" spans="1:15" ht="32.15" customHeight="1" thickBot="1">
      <c r="A34" s="27" t="s">
        <v>48</v>
      </c>
      <c r="B34" s="29"/>
      <c r="C34" s="30"/>
      <c r="D34" s="31">
        <f>SUM(D32:D33)</f>
        <v>4089</v>
      </c>
      <c r="E34" s="2"/>
      <c r="F34" s="2"/>
      <c r="G34" s="507"/>
      <c r="H34" s="507"/>
      <c r="I34" s="2"/>
      <c r="J34" s="2"/>
      <c r="K34" s="2"/>
      <c r="L34" s="2"/>
      <c r="M34" s="2"/>
      <c r="N34" s="2"/>
      <c r="O34" s="2"/>
    </row>
  </sheetData>
  <mergeCells count="20">
    <mergeCell ref="A30:D30"/>
    <mergeCell ref="G30:H30"/>
    <mergeCell ref="A1:D1"/>
    <mergeCell ref="H1:N1"/>
    <mergeCell ref="A3:D3"/>
    <mergeCell ref="H3:N3"/>
    <mergeCell ref="A4:D4"/>
    <mergeCell ref="A11:D11"/>
    <mergeCell ref="H16:K16"/>
    <mergeCell ref="A17:D17"/>
    <mergeCell ref="A18:D18"/>
    <mergeCell ref="A24:D24"/>
    <mergeCell ref="B29:C29"/>
    <mergeCell ref="G34:H34"/>
    <mergeCell ref="A31:D31"/>
    <mergeCell ref="G31:H31"/>
    <mergeCell ref="A32:C32"/>
    <mergeCell ref="G32:H32"/>
    <mergeCell ref="A33:C33"/>
    <mergeCell ref="G33:H33"/>
  </mergeCells>
  <phoneticPr fontId="15" type="noConversion"/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A916D-98B5-408E-8C93-48C5B6D8BF5D}">
  <dimension ref="A1:Y39"/>
  <sheetViews>
    <sheetView topLeftCell="A8" workbookViewId="0">
      <selection activeCell="E14" sqref="E14"/>
    </sheetView>
  </sheetViews>
  <sheetFormatPr defaultColWidth="18.1796875" defaultRowHeight="14.5"/>
  <cols>
    <col min="1" max="1" width="77.1796875" bestFit="1" customWidth="1"/>
    <col min="2" max="2" width="15.7265625" bestFit="1" customWidth="1"/>
    <col min="3" max="3" width="10" bestFit="1" customWidth="1"/>
    <col min="4" max="4" width="11.81640625" bestFit="1" customWidth="1"/>
    <col min="5" max="5" width="17.1796875" bestFit="1" customWidth="1"/>
    <col min="7" max="7" width="77.1796875" bestFit="1" customWidth="1"/>
    <col min="8" max="8" width="15.7265625" bestFit="1" customWidth="1"/>
    <col min="9" max="9" width="10" bestFit="1" customWidth="1"/>
    <col min="10" max="10" width="11.81640625" bestFit="1" customWidth="1"/>
    <col min="12" max="12" width="77.1796875" bestFit="1" customWidth="1"/>
    <col min="13" max="13" width="15.7265625" bestFit="1" customWidth="1"/>
    <col min="14" max="14" width="10" bestFit="1" customWidth="1"/>
    <col min="15" max="15" width="11.81640625" bestFit="1" customWidth="1"/>
    <col min="17" max="17" width="77.1796875" bestFit="1" customWidth="1"/>
    <col min="18" max="18" width="15.7265625" bestFit="1" customWidth="1"/>
    <col min="19" max="19" width="10" bestFit="1" customWidth="1"/>
    <col min="20" max="20" width="11.81640625" bestFit="1" customWidth="1"/>
    <col min="22" max="22" width="77.1796875" bestFit="1" customWidth="1"/>
    <col min="23" max="23" width="15.7265625" bestFit="1" customWidth="1"/>
    <col min="24" max="24" width="10" bestFit="1" customWidth="1"/>
    <col min="25" max="25" width="11.81640625" bestFit="1" customWidth="1"/>
  </cols>
  <sheetData>
    <row r="1" spans="1:25">
      <c r="A1" s="535" t="s">
        <v>90</v>
      </c>
      <c r="B1" s="535"/>
      <c r="C1" s="535"/>
      <c r="D1" s="535"/>
      <c r="E1" s="2"/>
      <c r="F1" s="2"/>
      <c r="G1" s="535" t="s">
        <v>305</v>
      </c>
      <c r="H1" s="535"/>
      <c r="I1" s="535"/>
      <c r="J1" s="535"/>
      <c r="K1" s="2"/>
      <c r="L1" s="535" t="s">
        <v>17</v>
      </c>
      <c r="M1" s="535"/>
      <c r="N1" s="535"/>
      <c r="O1" s="535"/>
      <c r="Q1" s="535" t="s">
        <v>46</v>
      </c>
      <c r="R1" s="535"/>
      <c r="S1" s="535"/>
      <c r="T1" s="535"/>
      <c r="V1" s="535" t="s">
        <v>276</v>
      </c>
      <c r="W1" s="535"/>
      <c r="X1" s="535"/>
      <c r="Y1" s="535"/>
    </row>
    <row r="2" spans="1: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2"/>
      <c r="R2" s="2"/>
      <c r="S2" s="2"/>
      <c r="T2" s="2"/>
      <c r="V2" s="2"/>
      <c r="W2" s="2"/>
      <c r="X2" s="2"/>
      <c r="Y2" s="2"/>
    </row>
    <row r="3" spans="1:25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  <c r="Q3" s="533" t="s">
        <v>91</v>
      </c>
      <c r="R3" s="519"/>
      <c r="S3" s="519"/>
      <c r="T3" s="519"/>
      <c r="V3" s="533" t="s">
        <v>91</v>
      </c>
      <c r="W3" s="519"/>
      <c r="X3" s="519"/>
      <c r="Y3" s="519"/>
    </row>
    <row r="4" spans="1:25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  <c r="Q4" s="9" t="s">
        <v>93</v>
      </c>
      <c r="R4" s="9" t="s">
        <v>94</v>
      </c>
      <c r="S4" s="9" t="s">
        <v>35</v>
      </c>
      <c r="T4" s="86">
        <v>0</v>
      </c>
      <c r="V4" s="9" t="s">
        <v>93</v>
      </c>
      <c r="W4" s="9" t="s">
        <v>94</v>
      </c>
      <c r="X4" s="9" t="s">
        <v>35</v>
      </c>
      <c r="Y4" s="86">
        <v>0</v>
      </c>
    </row>
    <row r="5" spans="1:25" ht="43.5">
      <c r="A5" s="9" t="s">
        <v>96</v>
      </c>
      <c r="B5" s="9" t="s">
        <v>97</v>
      </c>
      <c r="C5" s="9"/>
      <c r="D5" s="87">
        <f>'GS7334 PTDs'!Q16</f>
        <v>1605595.9500000002</v>
      </c>
      <c r="E5" s="85" t="s">
        <v>207</v>
      </c>
      <c r="F5" s="2"/>
      <c r="G5" s="9" t="s">
        <v>96</v>
      </c>
      <c r="H5" s="9" t="s">
        <v>97</v>
      </c>
      <c r="I5" s="9"/>
      <c r="J5" s="87">
        <f>'GS7334 PTDs'!L16</f>
        <v>593432.69999999995</v>
      </c>
      <c r="K5" s="2"/>
      <c r="L5" s="9" t="s">
        <v>96</v>
      </c>
      <c r="M5" s="9" t="s">
        <v>97</v>
      </c>
      <c r="N5" s="9"/>
      <c r="O5" s="87">
        <f>'GS7334 PTDs'!$L$16</f>
        <v>593432.69999999995</v>
      </c>
      <c r="Q5" s="9" t="s">
        <v>96</v>
      </c>
      <c r="R5" s="9" t="s">
        <v>97</v>
      </c>
      <c r="S5" s="9"/>
      <c r="T5" s="87">
        <f>'GS7334 PTDs'!$N$16</f>
        <v>1012163.25</v>
      </c>
      <c r="V5" s="9" t="s">
        <v>96</v>
      </c>
      <c r="W5" s="9" t="s">
        <v>97</v>
      </c>
      <c r="X5" s="9"/>
      <c r="Y5" s="87">
        <f>'GS7334 PTDs'!$P$16</f>
        <v>85964.549999999988</v>
      </c>
    </row>
    <row r="6" spans="1:25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  <c r="Q6" s="9" t="s">
        <v>99</v>
      </c>
      <c r="R6" s="9" t="s">
        <v>100</v>
      </c>
      <c r="S6" s="9" t="s">
        <v>101</v>
      </c>
      <c r="T6" s="86">
        <v>4.0000000000000002E-4</v>
      </c>
      <c r="V6" s="9" t="s">
        <v>99</v>
      </c>
      <c r="W6" s="9" t="s">
        <v>100</v>
      </c>
      <c r="X6" s="9" t="s">
        <v>101</v>
      </c>
      <c r="Y6" s="86">
        <v>4.0000000000000002E-4</v>
      </c>
    </row>
    <row r="7" spans="1:25" ht="29">
      <c r="A7" s="88" t="s">
        <v>103</v>
      </c>
      <c r="B7" s="9" t="s">
        <v>104</v>
      </c>
      <c r="C7" s="9" t="s">
        <v>105</v>
      </c>
      <c r="D7" s="86">
        <v>7.5</v>
      </c>
      <c r="E7" s="85" t="s">
        <v>106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  <c r="Q7" s="88" t="s">
        <v>103</v>
      </c>
      <c r="R7" s="9" t="s">
        <v>104</v>
      </c>
      <c r="S7" s="9" t="s">
        <v>105</v>
      </c>
      <c r="T7" s="86">
        <v>7.5</v>
      </c>
      <c r="V7" s="88" t="s">
        <v>103</v>
      </c>
      <c r="W7" s="9" t="s">
        <v>104</v>
      </c>
      <c r="X7" s="9" t="s">
        <v>105</v>
      </c>
      <c r="Y7" s="86">
        <v>7.5</v>
      </c>
    </row>
    <row r="8" spans="1:25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  <c r="Q8" s="88" t="s">
        <v>107</v>
      </c>
      <c r="R8" s="9" t="s">
        <v>108</v>
      </c>
      <c r="S8" s="9" t="s">
        <v>105</v>
      </c>
      <c r="T8" s="86">
        <v>0</v>
      </c>
      <c r="V8" s="88" t="s">
        <v>107</v>
      </c>
      <c r="W8" s="9" t="s">
        <v>108</v>
      </c>
      <c r="X8" s="9" t="s">
        <v>105</v>
      </c>
      <c r="Y8" s="86">
        <v>0</v>
      </c>
    </row>
    <row r="9" spans="1:25">
      <c r="A9" s="9" t="s">
        <v>110</v>
      </c>
      <c r="B9" s="9" t="s">
        <v>111</v>
      </c>
      <c r="C9" s="9" t="s">
        <v>112</v>
      </c>
      <c r="D9" s="86">
        <f>ROUNDDOWN((1-D4)*D5*D6*(D7+D8),0)</f>
        <v>4816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1780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1780</v>
      </c>
      <c r="Q9" s="9" t="s">
        <v>110</v>
      </c>
      <c r="R9" s="9" t="s">
        <v>111</v>
      </c>
      <c r="S9" s="9" t="s">
        <v>112</v>
      </c>
      <c r="T9" s="86">
        <f>ROUNDDOWN((1-T4)*T5*T6*(T7+T8),0)</f>
        <v>3036</v>
      </c>
      <c r="V9" s="9" t="s">
        <v>110</v>
      </c>
      <c r="W9" s="9" t="s">
        <v>111</v>
      </c>
      <c r="X9" s="9" t="s">
        <v>112</v>
      </c>
      <c r="Y9" s="86">
        <f>ROUNDDOWN((1-Y4)*Y5*Y6*(Y7+Y8),0)</f>
        <v>257</v>
      </c>
    </row>
    <row r="10" spans="1:25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Q10" s="2"/>
      <c r="R10" s="2"/>
      <c r="S10" s="2"/>
      <c r="T10" s="2"/>
      <c r="V10" s="2"/>
      <c r="W10" s="2"/>
      <c r="X10" s="2"/>
      <c r="Y10" s="2"/>
    </row>
    <row r="11" spans="1:25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  <c r="Q11" s="533" t="s">
        <v>113</v>
      </c>
      <c r="R11" s="519"/>
      <c r="S11" s="519"/>
      <c r="T11" s="519"/>
      <c r="V11" s="533" t="s">
        <v>113</v>
      </c>
      <c r="W11" s="519"/>
      <c r="X11" s="519"/>
      <c r="Y11" s="519"/>
    </row>
    <row r="12" spans="1:25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  <c r="Q12" s="9" t="s">
        <v>114</v>
      </c>
      <c r="R12" s="9" t="s">
        <v>94</v>
      </c>
      <c r="S12" s="9" t="s">
        <v>35</v>
      </c>
      <c r="T12" s="86">
        <v>0</v>
      </c>
      <c r="V12" s="9" t="s">
        <v>114</v>
      </c>
      <c r="W12" s="9" t="s">
        <v>94</v>
      </c>
      <c r="X12" s="9" t="s">
        <v>35</v>
      </c>
      <c r="Y12" s="86">
        <v>0</v>
      </c>
    </row>
    <row r="13" spans="1:25" ht="43.5">
      <c r="A13" s="9" t="s">
        <v>96</v>
      </c>
      <c r="B13" s="9" t="s">
        <v>97</v>
      </c>
      <c r="C13" s="9"/>
      <c r="D13" s="87">
        <f>D5</f>
        <v>1605595.9500000002</v>
      </c>
      <c r="E13" s="85" t="s">
        <v>208</v>
      </c>
      <c r="F13" s="2"/>
      <c r="G13" s="9" t="s">
        <v>96</v>
      </c>
      <c r="H13" s="9" t="s">
        <v>97</v>
      </c>
      <c r="I13" s="9"/>
      <c r="J13" s="87">
        <f>J5</f>
        <v>593432.69999999995</v>
      </c>
      <c r="K13" s="2"/>
      <c r="L13" s="9" t="s">
        <v>96</v>
      </c>
      <c r="M13" s="9" t="s">
        <v>97</v>
      </c>
      <c r="N13" s="9"/>
      <c r="O13" s="87">
        <f>O5</f>
        <v>593432.69999999995</v>
      </c>
      <c r="Q13" s="9" t="s">
        <v>96</v>
      </c>
      <c r="R13" s="9" t="s">
        <v>97</v>
      </c>
      <c r="S13" s="9"/>
      <c r="T13" s="87">
        <f>T5</f>
        <v>1012163.25</v>
      </c>
      <c r="V13" s="9" t="s">
        <v>96</v>
      </c>
      <c r="W13" s="9" t="s">
        <v>97</v>
      </c>
      <c r="X13" s="9"/>
      <c r="Y13" s="87">
        <f>Y5</f>
        <v>85964.549999999988</v>
      </c>
    </row>
    <row r="14" spans="1:25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  <c r="Q14" s="9" t="s">
        <v>116</v>
      </c>
      <c r="R14" s="9" t="s">
        <v>117</v>
      </c>
      <c r="S14" s="9" t="s">
        <v>101</v>
      </c>
      <c r="T14" s="86">
        <v>4.0000000000000002E-4</v>
      </c>
      <c r="V14" s="9" t="s">
        <v>116</v>
      </c>
      <c r="W14" s="9" t="s">
        <v>117</v>
      </c>
      <c r="X14" s="9" t="s">
        <v>101</v>
      </c>
      <c r="Y14" s="86">
        <v>4.0000000000000002E-4</v>
      </c>
    </row>
    <row r="15" spans="1:25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  <c r="Q15" s="9" t="s">
        <v>118</v>
      </c>
      <c r="R15" s="9" t="s">
        <v>108</v>
      </c>
      <c r="S15" s="9" t="s">
        <v>105</v>
      </c>
      <c r="T15" s="86">
        <v>0</v>
      </c>
      <c r="V15" s="9" t="s">
        <v>118</v>
      </c>
      <c r="W15" s="9" t="s">
        <v>108</v>
      </c>
      <c r="X15" s="9" t="s">
        <v>105</v>
      </c>
      <c r="Y15" s="86">
        <v>0</v>
      </c>
    </row>
    <row r="16" spans="1:25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  <c r="Q16" s="9" t="s">
        <v>119</v>
      </c>
      <c r="R16" s="9" t="s">
        <v>120</v>
      </c>
      <c r="S16" s="9" t="s">
        <v>105</v>
      </c>
      <c r="T16" s="86">
        <v>0</v>
      </c>
      <c r="V16" s="9" t="s">
        <v>119</v>
      </c>
      <c r="W16" s="9" t="s">
        <v>120</v>
      </c>
      <c r="X16" s="9" t="s">
        <v>105</v>
      </c>
      <c r="Y16" s="86">
        <v>0</v>
      </c>
    </row>
    <row r="17" spans="1:25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121</v>
      </c>
      <c r="M17" s="9" t="s">
        <v>122</v>
      </c>
      <c r="N17" s="9" t="s">
        <v>112</v>
      </c>
      <c r="O17" s="86">
        <f>ROUNDDOWN((1+O12)*O13*O14*(O16+O16),0)</f>
        <v>0</v>
      </c>
      <c r="Q17" s="9" t="s">
        <v>121</v>
      </c>
      <c r="R17" s="9" t="s">
        <v>122</v>
      </c>
      <c r="S17" s="9" t="s">
        <v>112</v>
      </c>
      <c r="T17" s="86">
        <f>ROUNDDOWN((1+T12)*T13*T14*(T16+T16),0)</f>
        <v>0</v>
      </c>
      <c r="V17" s="9" t="s">
        <v>121</v>
      </c>
      <c r="W17" s="9" t="s">
        <v>122</v>
      </c>
      <c r="X17" s="9" t="s">
        <v>112</v>
      </c>
      <c r="Y17" s="86">
        <f>ROUNDDOWN((1+Y12)*Y13*Y14*(Y16+Y16),0)</f>
        <v>0</v>
      </c>
    </row>
    <row r="18" spans="1:25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  <c r="Q18" s="2"/>
      <c r="R18" s="2"/>
      <c r="S18" s="2"/>
      <c r="T18" s="2"/>
      <c r="V18" s="2"/>
      <c r="W18" s="2"/>
      <c r="X18" s="2"/>
      <c r="Y18" s="2"/>
    </row>
    <row r="19" spans="1:25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  <c r="Q19" s="533" t="s">
        <v>123</v>
      </c>
      <c r="R19" s="519"/>
      <c r="S19" s="519"/>
      <c r="T19" s="519"/>
      <c r="V19" s="533" t="s">
        <v>123</v>
      </c>
      <c r="W19" s="519"/>
      <c r="X19" s="519"/>
      <c r="Y19" s="519"/>
    </row>
    <row r="20" spans="1:25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  <c r="Q20" s="88" t="s">
        <v>124</v>
      </c>
      <c r="R20" s="9" t="s">
        <v>124</v>
      </c>
      <c r="S20" s="9" t="s">
        <v>125</v>
      </c>
      <c r="T20" s="86">
        <v>0.97</v>
      </c>
      <c r="V20" s="88" t="s">
        <v>124</v>
      </c>
      <c r="W20" s="9" t="s">
        <v>124</v>
      </c>
      <c r="X20" s="9" t="s">
        <v>125</v>
      </c>
      <c r="Y20" s="86">
        <v>0.97</v>
      </c>
    </row>
    <row r="21" spans="1:25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  <c r="Q21" s="9" t="s">
        <v>127</v>
      </c>
      <c r="R21" s="9" t="s">
        <v>130</v>
      </c>
      <c r="S21" s="9" t="s">
        <v>129</v>
      </c>
      <c r="T21" s="86">
        <v>112</v>
      </c>
      <c r="V21" s="9" t="s">
        <v>127</v>
      </c>
      <c r="W21" s="9" t="s">
        <v>130</v>
      </c>
      <c r="X21" s="9" t="s">
        <v>129</v>
      </c>
      <c r="Y21" s="86">
        <v>112</v>
      </c>
    </row>
    <row r="22" spans="1:25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D22</f>
        <v>9.4600000000000009</v>
      </c>
      <c r="Q22" s="9" t="s">
        <v>131</v>
      </c>
      <c r="R22" s="9" t="s">
        <v>134</v>
      </c>
      <c r="S22" s="9" t="s">
        <v>133</v>
      </c>
      <c r="T22" s="86">
        <f>D22</f>
        <v>9.4600000000000009</v>
      </c>
      <c r="V22" s="9" t="s">
        <v>131</v>
      </c>
      <c r="W22" s="9" t="s">
        <v>134</v>
      </c>
      <c r="X22" s="9" t="s">
        <v>133</v>
      </c>
      <c r="Y22" s="86">
        <f>D22</f>
        <v>9.4600000000000009</v>
      </c>
    </row>
    <row r="23" spans="1:25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  <c r="Q23" s="9" t="s">
        <v>135</v>
      </c>
      <c r="R23" s="9" t="s">
        <v>136</v>
      </c>
      <c r="S23" s="9" t="s">
        <v>137</v>
      </c>
      <c r="T23" s="86">
        <v>1.5599999999999999E-2</v>
      </c>
      <c r="V23" s="9" t="s">
        <v>135</v>
      </c>
      <c r="W23" s="9" t="s">
        <v>136</v>
      </c>
      <c r="X23" s="9" t="s">
        <v>137</v>
      </c>
      <c r="Y23" s="86">
        <v>1.5599999999999999E-2</v>
      </c>
    </row>
    <row r="24" spans="1:25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  <c r="Q24" s="2"/>
      <c r="R24" s="2"/>
      <c r="S24" s="2"/>
      <c r="T24" s="2"/>
      <c r="V24" s="2"/>
      <c r="W24" s="2"/>
      <c r="X24" s="2"/>
      <c r="Y24" s="2"/>
    </row>
    <row r="25" spans="1:25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  <c r="Q25" s="533" t="s">
        <v>19</v>
      </c>
      <c r="R25" s="519"/>
      <c r="S25" s="519"/>
      <c r="T25" s="519"/>
      <c r="V25" s="533" t="s">
        <v>19</v>
      </c>
      <c r="W25" s="519"/>
      <c r="X25" s="519"/>
      <c r="Y25" s="519"/>
    </row>
    <row r="26" spans="1:25">
      <c r="A26" s="9" t="s">
        <v>28</v>
      </c>
      <c r="B26" s="9" t="s">
        <v>29</v>
      </c>
      <c r="C26" s="9" t="s">
        <v>30</v>
      </c>
      <c r="D26" s="87">
        <f>ROUNDDOWN(D9*((D20*D21)+D22)*D23,0)</f>
        <v>8872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3279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3279</v>
      </c>
      <c r="Q26" s="9" t="s">
        <v>28</v>
      </c>
      <c r="R26" s="9" t="s">
        <v>29</v>
      </c>
      <c r="S26" s="9" t="s">
        <v>30</v>
      </c>
      <c r="T26" s="87">
        <f>ROUNDDOWN(T9*((T20*T21)+T22)*T23,0)</f>
        <v>5593</v>
      </c>
      <c r="V26" s="9" t="s">
        <v>28</v>
      </c>
      <c r="W26" s="9" t="s">
        <v>29</v>
      </c>
      <c r="X26" s="9" t="s">
        <v>30</v>
      </c>
      <c r="Y26" s="87">
        <f>ROUNDDOWN(Y9*((Y20*Y21)+Y22)*Y23,0)</f>
        <v>473</v>
      </c>
    </row>
    <row r="27" spans="1:25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O17*((O20*O21)+O22)*O230</f>
        <v>0</v>
      </c>
      <c r="Q27" s="9" t="s">
        <v>31</v>
      </c>
      <c r="R27" s="9" t="s">
        <v>32</v>
      </c>
      <c r="S27" s="9" t="s">
        <v>30</v>
      </c>
      <c r="T27" s="86">
        <f>T17*((T20*T21)+T22)*T230</f>
        <v>0</v>
      </c>
      <c r="V27" s="9" t="s">
        <v>31</v>
      </c>
      <c r="W27" s="9" t="s">
        <v>32</v>
      </c>
      <c r="X27" s="9" t="s">
        <v>30</v>
      </c>
      <c r="Y27" s="86">
        <f>Y17*((Y20*Y21)+Y22)*Y230</f>
        <v>0</v>
      </c>
    </row>
    <row r="28" spans="1:25" ht="29">
      <c r="A28" s="9" t="s">
        <v>33</v>
      </c>
      <c r="B28" s="9" t="s">
        <v>34</v>
      </c>
      <c r="C28" s="9" t="s">
        <v>35</v>
      </c>
      <c r="D28" s="86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6">
        <f>D28</f>
        <v>0.95</v>
      </c>
      <c r="K28" s="2"/>
      <c r="L28" s="9" t="s">
        <v>33</v>
      </c>
      <c r="M28" s="9" t="s">
        <v>34</v>
      </c>
      <c r="N28" s="9" t="s">
        <v>35</v>
      </c>
      <c r="O28" s="86">
        <f>D28</f>
        <v>0.95</v>
      </c>
      <c r="Q28" s="9" t="s">
        <v>33</v>
      </c>
      <c r="R28" s="9" t="s">
        <v>34</v>
      </c>
      <c r="S28" s="9" t="s">
        <v>35</v>
      </c>
      <c r="T28" s="86">
        <f>D28</f>
        <v>0.95</v>
      </c>
      <c r="V28" s="9" t="s">
        <v>33</v>
      </c>
      <c r="W28" s="9" t="s">
        <v>34</v>
      </c>
      <c r="X28" s="9" t="s">
        <v>35</v>
      </c>
      <c r="Y28" s="86">
        <f>D28</f>
        <v>0.95</v>
      </c>
    </row>
    <row r="29" spans="1:25">
      <c r="A29" s="9" t="s">
        <v>36</v>
      </c>
      <c r="B29" s="9" t="s">
        <v>37</v>
      </c>
      <c r="C29" s="9" t="s">
        <v>30</v>
      </c>
      <c r="D29" s="86">
        <v>0</v>
      </c>
      <c r="E29" s="302"/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  <c r="Q29" s="9" t="s">
        <v>36</v>
      </c>
      <c r="R29" s="9" t="s">
        <v>37</v>
      </c>
      <c r="S29" s="9" t="s">
        <v>30</v>
      </c>
      <c r="T29" s="86">
        <v>0</v>
      </c>
      <c r="V29" s="9" t="s">
        <v>36</v>
      </c>
      <c r="W29" s="9" t="s">
        <v>37</v>
      </c>
      <c r="X29" s="9" t="s">
        <v>30</v>
      </c>
      <c r="Y29" s="86">
        <v>0</v>
      </c>
    </row>
    <row r="30" spans="1:25">
      <c r="A30" s="9" t="s">
        <v>90</v>
      </c>
      <c r="B30" s="9" t="s">
        <v>39</v>
      </c>
      <c r="C30" s="9" t="s">
        <v>30</v>
      </c>
      <c r="D30" s="86">
        <f>ROUNDDOWN(((D26-D27)*D28)-D29,0)</f>
        <v>8428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3115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3115</v>
      </c>
      <c r="Q30" s="9" t="s">
        <v>90</v>
      </c>
      <c r="R30" s="9" t="s">
        <v>39</v>
      </c>
      <c r="S30" s="9" t="s">
        <v>30</v>
      </c>
      <c r="T30" s="86">
        <f>ROUNDDOWN(((T26-T27)*T28)-T29,0)</f>
        <v>5313</v>
      </c>
      <c r="V30" s="9" t="s">
        <v>90</v>
      </c>
      <c r="W30" s="9" t="s">
        <v>39</v>
      </c>
      <c r="X30" s="9" t="s">
        <v>30</v>
      </c>
      <c r="Y30" s="86">
        <f>ROUNDDOWN(((Y26-Y27)*Y28)-Y29,0)</f>
        <v>449</v>
      </c>
    </row>
    <row r="31" spans="1:25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  <c r="Q31" s="2"/>
      <c r="R31" s="2"/>
      <c r="S31" s="2"/>
      <c r="T31" s="2"/>
      <c r="V31" s="2"/>
      <c r="W31" s="2"/>
      <c r="X31" s="2"/>
      <c r="Y31" s="2"/>
    </row>
    <row r="32" spans="1:25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  <c r="Q32" s="533" t="s">
        <v>40</v>
      </c>
      <c r="R32" s="519"/>
      <c r="S32" s="519"/>
      <c r="T32" s="519"/>
      <c r="V32" s="533" t="s">
        <v>40</v>
      </c>
      <c r="W32" s="519"/>
      <c r="X32" s="519"/>
      <c r="Y32" s="519"/>
    </row>
    <row r="33" spans="1:25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M33" s="9"/>
      <c r="N33" s="16"/>
      <c r="O33" s="91">
        <v>1</v>
      </c>
      <c r="Q33" s="90" t="s">
        <v>41</v>
      </c>
      <c r="R33" s="9"/>
      <c r="S33" s="16"/>
      <c r="T33" s="91">
        <v>1</v>
      </c>
      <c r="V33" s="90" t="s">
        <v>41</v>
      </c>
      <c r="W33" s="9"/>
      <c r="X33" s="16"/>
      <c r="Y33" s="91">
        <v>1</v>
      </c>
    </row>
    <row r="34" spans="1:25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  <c r="Q34" s="90" t="s">
        <v>43</v>
      </c>
      <c r="R34" s="9" t="s">
        <v>42</v>
      </c>
      <c r="S34" s="16" t="s">
        <v>44</v>
      </c>
      <c r="T34" s="91">
        <v>0</v>
      </c>
      <c r="V34" s="90" t="s">
        <v>43</v>
      </c>
      <c r="W34" s="9" t="s">
        <v>42</v>
      </c>
      <c r="X34" s="16" t="s">
        <v>44</v>
      </c>
      <c r="Y34" s="91">
        <v>0</v>
      </c>
    </row>
    <row r="35" spans="1:25">
      <c r="A35" s="93" t="s">
        <v>140</v>
      </c>
      <c r="B35" s="94" t="s">
        <v>39</v>
      </c>
      <c r="C35" s="95" t="s">
        <v>30</v>
      </c>
      <c r="D35" s="246">
        <f>ROUNDDOWN(D30*(1-D34),0)</f>
        <v>8428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3115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3115</v>
      </c>
      <c r="Q35" s="93" t="s">
        <v>140</v>
      </c>
      <c r="R35" s="94" t="s">
        <v>39</v>
      </c>
      <c r="S35" s="95" t="s">
        <v>30</v>
      </c>
      <c r="T35" s="96">
        <f>ROUNDDOWN(T30*(1-T34),0)</f>
        <v>5313</v>
      </c>
      <c r="V35" s="93" t="s">
        <v>140</v>
      </c>
      <c r="W35" s="94" t="s">
        <v>39</v>
      </c>
      <c r="X35" s="95" t="s">
        <v>30</v>
      </c>
      <c r="Y35" s="96">
        <f>ROUNDDOWN(Y30*(1-Y34),0)</f>
        <v>449</v>
      </c>
    </row>
    <row r="36" spans="1: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  <c r="V36" s="2"/>
      <c r="W36" s="2"/>
      <c r="X36" s="2"/>
      <c r="Y36" s="2"/>
    </row>
    <row r="37" spans="1:25">
      <c r="A37" s="93" t="s">
        <v>141</v>
      </c>
      <c r="B37" s="94"/>
      <c r="C37" s="95" t="s">
        <v>30</v>
      </c>
      <c r="D37" s="96">
        <f>J37+O37+T37</f>
        <v>11543</v>
      </c>
      <c r="E37" s="2"/>
      <c r="F37" s="2"/>
      <c r="G37" s="93" t="s">
        <v>141</v>
      </c>
      <c r="H37" s="94"/>
      <c r="I37" s="95" t="s">
        <v>30</v>
      </c>
      <c r="J37" s="96">
        <f>J35</f>
        <v>3115</v>
      </c>
      <c r="K37" s="2"/>
      <c r="L37" s="93" t="s">
        <v>141</v>
      </c>
      <c r="M37" s="94"/>
      <c r="N37" s="95" t="s">
        <v>30</v>
      </c>
      <c r="O37" s="96">
        <f>O35</f>
        <v>3115</v>
      </c>
      <c r="Q37" s="93" t="s">
        <v>141</v>
      </c>
      <c r="R37" s="94"/>
      <c r="S37" s="95" t="s">
        <v>30</v>
      </c>
      <c r="T37" s="96">
        <f>T35</f>
        <v>5313</v>
      </c>
      <c r="V37" s="93" t="s">
        <v>141</v>
      </c>
      <c r="W37" s="94"/>
      <c r="X37" s="95" t="s">
        <v>30</v>
      </c>
      <c r="Y37" s="96">
        <f>Y35</f>
        <v>449</v>
      </c>
    </row>
    <row r="38" spans="1: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  <c r="V38" s="2"/>
      <c r="W38" s="2"/>
      <c r="X38" s="2"/>
      <c r="Y38" s="2"/>
    </row>
    <row r="39" spans="1:25">
      <c r="A39" s="1"/>
      <c r="B39" s="2"/>
      <c r="C39" s="2"/>
      <c r="D39" s="2"/>
      <c r="E39" s="2"/>
      <c r="F39" s="2"/>
      <c r="G39" s="1"/>
      <c r="H39" s="2"/>
      <c r="I39" s="2"/>
      <c r="J39" s="2"/>
      <c r="K39" s="2"/>
      <c r="L39" s="1"/>
      <c r="M39" s="2"/>
      <c r="N39" s="2"/>
      <c r="O39" s="2"/>
      <c r="Q39" s="1"/>
      <c r="R39" s="2"/>
      <c r="S39" s="2"/>
      <c r="T39" s="2"/>
      <c r="V39" s="1"/>
      <c r="W39" s="2"/>
      <c r="X39" s="2"/>
      <c r="Y39" s="2"/>
    </row>
  </sheetData>
  <mergeCells count="30">
    <mergeCell ref="A25:D25"/>
    <mergeCell ref="G25:J25"/>
    <mergeCell ref="L25:O25"/>
    <mergeCell ref="A32:D32"/>
    <mergeCell ref="G32:J32"/>
    <mergeCell ref="L32:O32"/>
    <mergeCell ref="A11:D11"/>
    <mergeCell ref="G11:J11"/>
    <mergeCell ref="L11:O11"/>
    <mergeCell ref="A19:D19"/>
    <mergeCell ref="G19:J19"/>
    <mergeCell ref="L19:O19"/>
    <mergeCell ref="A1:D1"/>
    <mergeCell ref="G1:J1"/>
    <mergeCell ref="L1:O1"/>
    <mergeCell ref="A3:D3"/>
    <mergeCell ref="G3:J3"/>
    <mergeCell ref="L3:O3"/>
    <mergeCell ref="Q32:T32"/>
    <mergeCell ref="V1:Y1"/>
    <mergeCell ref="V3:Y3"/>
    <mergeCell ref="V11:Y11"/>
    <mergeCell ref="V19:Y19"/>
    <mergeCell ref="V25:Y25"/>
    <mergeCell ref="V32:Y32"/>
    <mergeCell ref="Q1:T1"/>
    <mergeCell ref="Q3:T3"/>
    <mergeCell ref="Q11:T11"/>
    <mergeCell ref="Q19:T19"/>
    <mergeCell ref="Q25:T2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DBEF5-DF3E-4479-B812-C9588605D1C1}">
  <dimension ref="A1:E22"/>
  <sheetViews>
    <sheetView topLeftCell="A6" workbookViewId="0">
      <selection activeCell="C17" sqref="C17"/>
    </sheetView>
  </sheetViews>
  <sheetFormatPr defaultRowHeight="14.5"/>
  <cols>
    <col min="1" max="1" width="20.1796875" bestFit="1" customWidth="1"/>
    <col min="2" max="2" width="63.81640625" customWidth="1"/>
    <col min="3" max="3" width="28.54296875" bestFit="1" customWidth="1"/>
    <col min="4" max="4" width="6.54296875" bestFit="1" customWidth="1"/>
    <col min="5" max="5" width="18.1796875" customWidth="1"/>
  </cols>
  <sheetData>
    <row r="1" spans="1:5" s="32" customFormat="1" ht="29">
      <c r="A1" s="128" t="s">
        <v>145</v>
      </c>
      <c r="B1" s="137" t="s">
        <v>146</v>
      </c>
      <c r="C1" s="137" t="s">
        <v>147</v>
      </c>
      <c r="D1" s="137" t="s">
        <v>148</v>
      </c>
      <c r="E1" s="184" t="s">
        <v>92</v>
      </c>
    </row>
    <row r="2" spans="1:5">
      <c r="A2" s="100" t="s">
        <v>149</v>
      </c>
      <c r="B2" s="88" t="s">
        <v>150</v>
      </c>
      <c r="C2" s="129">
        <f>((C3-C4)/C3)*C8</f>
        <v>0.95</v>
      </c>
      <c r="D2" s="9" t="s">
        <v>151</v>
      </c>
      <c r="E2" s="88"/>
    </row>
    <row r="3" spans="1:5" ht="29">
      <c r="A3" s="9" t="s">
        <v>152</v>
      </c>
      <c r="B3" s="88" t="s">
        <v>153</v>
      </c>
      <c r="C3" s="54">
        <f>C5*C6</f>
        <v>3.0000000000000001E-3</v>
      </c>
      <c r="D3" s="9" t="s">
        <v>154</v>
      </c>
      <c r="E3" s="88"/>
    </row>
    <row r="4" spans="1:5" ht="29">
      <c r="A4" s="101" t="s">
        <v>155</v>
      </c>
      <c r="B4" s="88" t="s">
        <v>156</v>
      </c>
      <c r="C4" s="54">
        <f>C5*C7</f>
        <v>0</v>
      </c>
      <c r="D4" s="9" t="s">
        <v>154</v>
      </c>
      <c r="E4" s="88"/>
    </row>
    <row r="5" spans="1:5" ht="29">
      <c r="A5" s="9" t="s">
        <v>100</v>
      </c>
      <c r="B5" s="88" t="s">
        <v>158</v>
      </c>
      <c r="C5" s="54">
        <f>'GS7334 ER Calcs'!D6</f>
        <v>4.0000000000000002E-4</v>
      </c>
      <c r="D5" s="9" t="s">
        <v>159</v>
      </c>
      <c r="E5" s="85" t="s">
        <v>102</v>
      </c>
    </row>
    <row r="6" spans="1:5" ht="43.5">
      <c r="A6" s="9" t="s">
        <v>104</v>
      </c>
      <c r="B6" s="88" t="s">
        <v>160</v>
      </c>
      <c r="C6" s="54">
        <v>7.5</v>
      </c>
      <c r="D6" s="9" t="s">
        <v>161</v>
      </c>
      <c r="E6" s="85" t="s">
        <v>162</v>
      </c>
    </row>
    <row r="7" spans="1:5" ht="29">
      <c r="A7" s="9" t="s">
        <v>163</v>
      </c>
      <c r="B7" s="88" t="s">
        <v>164</v>
      </c>
      <c r="C7" s="54">
        <v>0</v>
      </c>
      <c r="D7" s="9" t="s">
        <v>161</v>
      </c>
      <c r="E7" s="85" t="s">
        <v>109</v>
      </c>
    </row>
    <row r="8" spans="1:5" ht="30">
      <c r="A8" s="9" t="s">
        <v>209</v>
      </c>
      <c r="B8" s="88" t="s">
        <v>166</v>
      </c>
      <c r="C8" s="172">
        <f>'GS7334 ER Calcs'!D28</f>
        <v>0.95</v>
      </c>
      <c r="D8" s="9" t="s">
        <v>151</v>
      </c>
      <c r="E8" s="85" t="s">
        <v>138</v>
      </c>
    </row>
    <row r="9" spans="1:5">
      <c r="A9" s="1"/>
      <c r="B9" s="1"/>
      <c r="C9" s="1"/>
      <c r="D9" s="1"/>
      <c r="E9" s="88"/>
    </row>
    <row r="10" spans="1:5" s="32" customFormat="1">
      <c r="A10" s="137" t="s">
        <v>167</v>
      </c>
      <c r="B10" s="137" t="s">
        <v>146</v>
      </c>
      <c r="C10" s="137" t="s">
        <v>168</v>
      </c>
      <c r="D10" s="137" t="s">
        <v>148</v>
      </c>
      <c r="E10" s="139"/>
    </row>
    <row r="11" spans="1:5">
      <c r="A11" s="88" t="s">
        <v>169</v>
      </c>
      <c r="B11" s="9" t="s">
        <v>170</v>
      </c>
      <c r="C11" s="105">
        <f>C13-C12</f>
        <v>0.72</v>
      </c>
      <c r="D11" s="9" t="s">
        <v>171</v>
      </c>
      <c r="E11" s="88" t="s">
        <v>174</v>
      </c>
    </row>
    <row r="12" spans="1:5">
      <c r="A12" s="88" t="s">
        <v>211</v>
      </c>
      <c r="B12" s="9" t="s">
        <v>173</v>
      </c>
      <c r="C12" s="9">
        <v>0</v>
      </c>
      <c r="D12" s="9" t="s">
        <v>171</v>
      </c>
      <c r="E12" s="88" t="s">
        <v>213</v>
      </c>
    </row>
    <row r="13" spans="1:5">
      <c r="A13" s="88" t="s">
        <v>212</v>
      </c>
      <c r="B13" s="9" t="s">
        <v>176</v>
      </c>
      <c r="C13" s="478">
        <v>0.72</v>
      </c>
      <c r="D13" s="9" t="s">
        <v>171</v>
      </c>
      <c r="E13" s="88"/>
    </row>
    <row r="14" spans="1:5">
      <c r="A14" s="1"/>
      <c r="B14" s="1"/>
      <c r="C14" s="1"/>
      <c r="D14" s="1"/>
      <c r="E14" s="88"/>
    </row>
    <row r="15" spans="1:5" s="32" customFormat="1" ht="29">
      <c r="A15" s="128" t="s">
        <v>178</v>
      </c>
      <c r="B15" s="137" t="s">
        <v>146</v>
      </c>
      <c r="C15" s="137" t="s">
        <v>179</v>
      </c>
      <c r="D15" s="137" t="s">
        <v>148</v>
      </c>
      <c r="E15" s="139"/>
    </row>
    <row r="16" spans="1:5">
      <c r="A16" s="88" t="s">
        <v>180</v>
      </c>
      <c r="B16" s="9" t="s">
        <v>181</v>
      </c>
      <c r="C16" s="105">
        <f>ROUNDDOWN(C17*(1-C18)*C19,0)</f>
        <v>2773</v>
      </c>
      <c r="D16" s="9" t="s">
        <v>182</v>
      </c>
      <c r="E16" s="180"/>
    </row>
    <row r="17" spans="1:5">
      <c r="A17" s="88" t="s">
        <v>183</v>
      </c>
      <c r="B17" s="9" t="s">
        <v>184</v>
      </c>
      <c r="C17" s="9">
        <f>'GS7334 PTDs'!H7</f>
        <v>2919</v>
      </c>
      <c r="D17" s="9" t="s">
        <v>182</v>
      </c>
      <c r="E17" s="88" t="s">
        <v>228</v>
      </c>
    </row>
    <row r="18" spans="1:5">
      <c r="A18" s="88" t="s">
        <v>94</v>
      </c>
      <c r="B18" s="9" t="s">
        <v>186</v>
      </c>
      <c r="C18" s="106">
        <f>'GS7330 ER Calcs'!D4</f>
        <v>0</v>
      </c>
      <c r="D18" s="9" t="s">
        <v>151</v>
      </c>
      <c r="E18" s="88" t="s">
        <v>174</v>
      </c>
    </row>
    <row r="19" spans="1:5" ht="30">
      <c r="A19" s="88" t="s">
        <v>209</v>
      </c>
      <c r="B19" s="9" t="s">
        <v>166</v>
      </c>
      <c r="C19" s="173">
        <f>'GS7334 ER Calcs'!D28</f>
        <v>0.95</v>
      </c>
      <c r="D19" s="9" t="s">
        <v>151</v>
      </c>
      <c r="E19" s="85" t="s">
        <v>138</v>
      </c>
    </row>
    <row r="20" spans="1:5">
      <c r="A20" s="1"/>
      <c r="B20" s="1"/>
      <c r="C20" s="1"/>
      <c r="D20" s="1"/>
      <c r="E20" s="88"/>
    </row>
    <row r="21" spans="1:5" s="32" customFormat="1">
      <c r="A21" s="128" t="s">
        <v>187</v>
      </c>
      <c r="B21" s="137" t="s">
        <v>146</v>
      </c>
      <c r="C21" s="137"/>
      <c r="D21" s="137" t="s">
        <v>148</v>
      </c>
      <c r="E21" s="139"/>
    </row>
    <row r="22" spans="1:5">
      <c r="A22" s="88" t="s">
        <v>188</v>
      </c>
      <c r="B22" s="9" t="s">
        <v>189</v>
      </c>
      <c r="C22" s="108">
        <f>'GS7334 ER Calcs'!D37</f>
        <v>5486</v>
      </c>
      <c r="D22" s="9" t="s">
        <v>190</v>
      </c>
      <c r="E22" s="88" t="s">
        <v>191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3E36E-591A-49D1-84E4-4EE1142B4E8D}">
  <dimension ref="A1:P36"/>
  <sheetViews>
    <sheetView topLeftCell="A28" workbookViewId="0">
      <selection activeCell="D36" sqref="D36"/>
    </sheetView>
  </sheetViews>
  <sheetFormatPr defaultRowHeight="14.5"/>
  <cols>
    <col min="1" max="1" width="39" bestFit="1" customWidth="1"/>
    <col min="4" max="4" width="10.1796875" customWidth="1"/>
  </cols>
  <sheetData>
    <row r="1" spans="1:16" ht="37" customHeight="1" thickBot="1">
      <c r="A1" s="521" t="s">
        <v>244</v>
      </c>
      <c r="B1" s="522"/>
      <c r="C1" s="522"/>
      <c r="D1" s="522"/>
      <c r="E1" s="4"/>
      <c r="F1" s="4"/>
      <c r="G1" s="4"/>
      <c r="H1" s="521" t="s">
        <v>16</v>
      </c>
      <c r="I1" s="522"/>
      <c r="J1" s="522"/>
      <c r="K1" s="522"/>
      <c r="L1" s="522"/>
      <c r="M1" s="522"/>
      <c r="N1" s="522"/>
      <c r="O1" s="304"/>
      <c r="P1" s="2"/>
    </row>
    <row r="2" spans="1:16" ht="1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  <c r="O2" s="2"/>
      <c r="P2" s="2"/>
    </row>
    <row r="3" spans="1:16" ht="14.5" customHeight="1">
      <c r="A3" s="523" t="s">
        <v>17</v>
      </c>
      <c r="B3" s="524"/>
      <c r="C3" s="524"/>
      <c r="D3" s="524"/>
      <c r="E3" s="2"/>
      <c r="F3" s="4"/>
      <c r="G3" s="4"/>
      <c r="H3" s="528" t="s">
        <v>18</v>
      </c>
      <c r="I3" s="529"/>
      <c r="J3" s="529"/>
      <c r="K3" s="529"/>
      <c r="L3" s="529"/>
      <c r="M3" s="529"/>
      <c r="N3" s="529"/>
      <c r="O3" s="5"/>
      <c r="P3" s="2"/>
    </row>
    <row r="4" spans="1:16" ht="29">
      <c r="A4" s="518" t="s">
        <v>19</v>
      </c>
      <c r="B4" s="519"/>
      <c r="C4" s="519"/>
      <c r="D4" s="519"/>
      <c r="E4" s="2"/>
      <c r="F4" s="4"/>
      <c r="G4" s="4"/>
      <c r="H4" s="6" t="s">
        <v>20</v>
      </c>
      <c r="I4" s="7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6" t="s">
        <v>26</v>
      </c>
      <c r="O4" s="6" t="s">
        <v>27</v>
      </c>
      <c r="P4" s="2"/>
    </row>
    <row r="5" spans="1:16">
      <c r="A5" s="8" t="s">
        <v>28</v>
      </c>
      <c r="B5" s="9" t="s">
        <v>29</v>
      </c>
      <c r="C5" s="9" t="s">
        <v>30</v>
      </c>
      <c r="D5" s="10">
        <f>'GS7335 ER Calcs'!J26</f>
        <v>1934</v>
      </c>
      <c r="E5" s="2"/>
      <c r="F5" s="4"/>
      <c r="G5" s="4"/>
      <c r="H5" s="11">
        <v>2017</v>
      </c>
      <c r="I5" s="12" t="s">
        <v>352</v>
      </c>
      <c r="J5" s="13">
        <v>1863</v>
      </c>
      <c r="K5" s="13" t="s">
        <v>352</v>
      </c>
      <c r="L5" s="13"/>
      <c r="M5" s="13"/>
      <c r="O5" s="11">
        <f>SUM(J5:M5)</f>
        <v>1863</v>
      </c>
      <c r="P5" s="2"/>
    </row>
    <row r="6" spans="1:16">
      <c r="A6" s="8" t="s">
        <v>31</v>
      </c>
      <c r="B6" s="9" t="s">
        <v>32</v>
      </c>
      <c r="C6" s="9" t="s">
        <v>30</v>
      </c>
      <c r="D6" s="14">
        <f>'GS7335 ER Calcs'!J27</f>
        <v>0</v>
      </c>
      <c r="E6" s="2"/>
      <c r="F6" s="4"/>
      <c r="G6" s="4"/>
      <c r="H6" s="11">
        <v>2018</v>
      </c>
      <c r="I6" s="12" t="s">
        <v>352</v>
      </c>
      <c r="J6" s="12">
        <v>10000</v>
      </c>
      <c r="K6" s="13" t="s">
        <v>352</v>
      </c>
      <c r="L6" s="13"/>
      <c r="M6" s="13"/>
      <c r="O6" s="11">
        <f>SUM(J6:M6)</f>
        <v>10000</v>
      </c>
      <c r="P6" s="2" t="s">
        <v>334</v>
      </c>
    </row>
    <row r="7" spans="1:16">
      <c r="A7" s="8" t="s">
        <v>33</v>
      </c>
      <c r="B7" s="9" t="s">
        <v>34</v>
      </c>
      <c r="C7" s="9" t="s">
        <v>35</v>
      </c>
      <c r="D7" s="14">
        <f>'GS7335 ER Calcs'!J28</f>
        <v>0.95</v>
      </c>
      <c r="E7" s="2"/>
      <c r="F7" s="4"/>
      <c r="G7" s="4"/>
      <c r="H7" s="11">
        <v>2019</v>
      </c>
      <c r="I7" s="12" t="s">
        <v>352</v>
      </c>
      <c r="J7" s="12">
        <v>4137</v>
      </c>
      <c r="K7" s="12">
        <v>1589</v>
      </c>
      <c r="L7" s="12"/>
      <c r="M7" s="12"/>
      <c r="O7" s="11">
        <f>SUM(J7:M7)</f>
        <v>5726</v>
      </c>
      <c r="P7" s="2"/>
    </row>
    <row r="8" spans="1:16">
      <c r="A8" s="8" t="s">
        <v>36</v>
      </c>
      <c r="B8" s="9" t="s">
        <v>37</v>
      </c>
      <c r="C8" s="9" t="s">
        <v>30</v>
      </c>
      <c r="D8" s="14">
        <f>'GS7335 ER Calcs'!J29</f>
        <v>0</v>
      </c>
      <c r="E8" s="2"/>
      <c r="F8" s="4"/>
      <c r="G8" s="4"/>
      <c r="H8" s="11">
        <v>2020</v>
      </c>
      <c r="I8" s="12" t="s">
        <v>352</v>
      </c>
      <c r="J8" s="12" t="s">
        <v>352</v>
      </c>
      <c r="K8" s="12">
        <v>1128</v>
      </c>
      <c r="L8" s="237">
        <v>1504</v>
      </c>
      <c r="M8" s="237"/>
      <c r="O8" s="11">
        <f>SUM(J8:M8)</f>
        <v>2632</v>
      </c>
      <c r="P8" s="2"/>
    </row>
    <row r="9" spans="1:16">
      <c r="A9" s="8"/>
      <c r="B9" s="9"/>
      <c r="C9" s="9"/>
      <c r="D9" s="14"/>
      <c r="E9" s="2"/>
      <c r="F9" s="4"/>
      <c r="G9" s="4"/>
      <c r="H9" s="11">
        <v>2021</v>
      </c>
      <c r="I9" s="12"/>
      <c r="J9" s="12"/>
      <c r="K9" s="12"/>
      <c r="L9" s="237">
        <v>1069</v>
      </c>
      <c r="M9" s="237">
        <v>1598</v>
      </c>
      <c r="O9" s="11">
        <f>SUM(J9:M9)</f>
        <v>2667</v>
      </c>
      <c r="P9" s="2"/>
    </row>
    <row r="10" spans="1:16">
      <c r="A10" s="8"/>
      <c r="B10" s="9"/>
      <c r="C10" s="9"/>
      <c r="D10" s="14"/>
      <c r="E10" s="2"/>
      <c r="F10" s="4"/>
      <c r="G10" s="4"/>
      <c r="H10" s="11">
        <v>2022</v>
      </c>
      <c r="I10" s="12"/>
      <c r="J10" s="12"/>
      <c r="K10" s="12"/>
      <c r="L10" s="237"/>
      <c r="M10" s="237">
        <v>1128</v>
      </c>
      <c r="N10" s="366">
        <f>D33</f>
        <v>1837</v>
      </c>
      <c r="O10" s="11">
        <f>SUM(J10:N10)</f>
        <v>2965</v>
      </c>
      <c r="P10" s="2"/>
    </row>
    <row r="11" spans="1:16">
      <c r="A11" s="8" t="s">
        <v>38</v>
      </c>
      <c r="B11" s="9" t="s">
        <v>39</v>
      </c>
      <c r="C11" s="9" t="s">
        <v>30</v>
      </c>
      <c r="D11" s="10">
        <f>'GS7335 ER Calcs'!J30</f>
        <v>1837</v>
      </c>
      <c r="E11" s="2"/>
      <c r="F11" s="4"/>
      <c r="G11" s="4"/>
      <c r="H11" s="11">
        <v>2023</v>
      </c>
      <c r="N11" s="366">
        <f>D34</f>
        <v>2558</v>
      </c>
      <c r="O11" s="11">
        <f>SUM(J11:N11)</f>
        <v>2558</v>
      </c>
      <c r="P11" s="2"/>
    </row>
    <row r="12" spans="1:16">
      <c r="A12" s="518" t="s">
        <v>40</v>
      </c>
      <c r="B12" s="519"/>
      <c r="C12" s="519"/>
      <c r="D12" s="519"/>
      <c r="E12" s="2"/>
      <c r="F12" s="4"/>
      <c r="G12" s="4"/>
      <c r="H12" s="18" t="s">
        <v>13</v>
      </c>
      <c r="I12" s="18">
        <v>0</v>
      </c>
      <c r="J12" s="18">
        <f>SUM(J5:J10)</f>
        <v>16000</v>
      </c>
      <c r="K12" s="18">
        <f>SUM(K5:K10)</f>
        <v>2717</v>
      </c>
      <c r="L12" s="18">
        <f>SUM(L5:L10)</f>
        <v>2573</v>
      </c>
      <c r="M12" s="18">
        <f>SUM(M5:M11)</f>
        <v>2726</v>
      </c>
      <c r="N12" s="18">
        <f t="shared" ref="N12:O12" si="0">SUM(N5:N11)</f>
        <v>4395</v>
      </c>
      <c r="O12" s="18">
        <f t="shared" si="0"/>
        <v>28411</v>
      </c>
      <c r="P12" s="2"/>
    </row>
    <row r="13" spans="1:16">
      <c r="A13" s="15" t="s">
        <v>41</v>
      </c>
      <c r="B13" s="9"/>
      <c r="C13" s="16"/>
      <c r="D13" s="17">
        <f>'GS7335 ER Calcs'!J33</f>
        <v>1</v>
      </c>
      <c r="E13" s="2"/>
      <c r="F13" s="4"/>
      <c r="G13" s="4"/>
      <c r="H13" s="2"/>
      <c r="I13" s="18">
        <v>1</v>
      </c>
      <c r="J13" s="2"/>
      <c r="K13" s="2"/>
      <c r="L13" s="2"/>
      <c r="M13" s="2"/>
      <c r="N13" s="2"/>
      <c r="O13" s="305"/>
      <c r="P13" s="2"/>
    </row>
    <row r="14" spans="1:16">
      <c r="A14" s="15" t="s">
        <v>43</v>
      </c>
      <c r="B14" s="9" t="s">
        <v>42</v>
      </c>
      <c r="C14" s="16" t="s">
        <v>44</v>
      </c>
      <c r="D14" s="17">
        <f>'GS7335 ER Calcs'!J34</f>
        <v>0</v>
      </c>
      <c r="E14" s="2"/>
      <c r="F14" s="4"/>
      <c r="G14" s="4"/>
      <c r="H14" s="4"/>
      <c r="I14" s="4"/>
      <c r="J14" s="4"/>
      <c r="K14" s="4"/>
      <c r="L14" s="4"/>
      <c r="M14" s="4"/>
      <c r="N14" s="2"/>
      <c r="O14" s="2"/>
      <c r="P14" s="2"/>
    </row>
    <row r="15" spans="1:16" ht="15" thickBot="1">
      <c r="A15" s="21" t="s">
        <v>38</v>
      </c>
      <c r="B15" s="22" t="s">
        <v>39</v>
      </c>
      <c r="C15" s="22" t="s">
        <v>30</v>
      </c>
      <c r="D15" s="273">
        <f>'GS7335 ER Calcs'!J35</f>
        <v>1837</v>
      </c>
      <c r="E15" s="2"/>
      <c r="F15" s="4"/>
      <c r="G15" s="4"/>
      <c r="H15" s="4"/>
      <c r="I15" s="4"/>
      <c r="J15" s="4"/>
      <c r="K15" s="4"/>
      <c r="L15" s="4"/>
      <c r="M15" s="4"/>
      <c r="N15" s="2"/>
      <c r="O15" s="2"/>
      <c r="P15" s="2"/>
    </row>
    <row r="16" spans="1:16" ht="15" thickBot="1">
      <c r="A16" s="21" t="s">
        <v>45</v>
      </c>
      <c r="B16" s="22" t="s">
        <v>39</v>
      </c>
      <c r="C16" s="22" t="s">
        <v>30</v>
      </c>
      <c r="D16" s="23">
        <f>'GS7335 ER Calcs'!J37</f>
        <v>1837</v>
      </c>
      <c r="E16" s="2"/>
      <c r="F16" s="4"/>
      <c r="G16" s="4"/>
      <c r="H16" s="4"/>
      <c r="I16" s="4"/>
      <c r="J16" s="4"/>
      <c r="K16" s="4"/>
      <c r="L16" s="4"/>
      <c r="M16" s="4"/>
      <c r="N16" s="2"/>
      <c r="O16" s="2"/>
      <c r="P16" s="2"/>
    </row>
    <row r="17" spans="1:16" ht="15" thickBot="1">
      <c r="A17" s="4"/>
      <c r="B17" s="4"/>
      <c r="C17" s="4"/>
      <c r="D17" s="4"/>
      <c r="E17" s="2"/>
      <c r="F17" s="4"/>
      <c r="G17" s="4"/>
      <c r="H17" s="4"/>
      <c r="I17" s="4"/>
      <c r="J17" s="4"/>
      <c r="K17" s="4"/>
      <c r="L17" s="4"/>
      <c r="M17" s="4"/>
      <c r="N17" s="2"/>
      <c r="O17" s="2"/>
      <c r="P17" s="2"/>
    </row>
    <row r="18" spans="1:16" ht="14.5" customHeight="1">
      <c r="A18" s="523" t="s">
        <v>46</v>
      </c>
      <c r="B18" s="524"/>
      <c r="C18" s="524"/>
      <c r="D18" s="524"/>
      <c r="E18" s="4"/>
      <c r="F18" s="4"/>
      <c r="G18" s="4"/>
      <c r="H18" s="4"/>
      <c r="I18" s="4"/>
      <c r="J18" s="4"/>
      <c r="K18" s="4"/>
      <c r="L18" s="4"/>
      <c r="M18" s="4"/>
      <c r="N18" s="2"/>
      <c r="O18" s="2"/>
      <c r="P18" s="2"/>
    </row>
    <row r="19" spans="1:16">
      <c r="A19" s="518" t="s">
        <v>19</v>
      </c>
      <c r="B19" s="519"/>
      <c r="C19" s="519"/>
      <c r="D19" s="519"/>
      <c r="E19" s="4"/>
      <c r="F19" s="4"/>
      <c r="G19" s="4"/>
      <c r="H19" s="4"/>
      <c r="I19" s="4"/>
      <c r="J19" s="4"/>
      <c r="K19" s="4"/>
      <c r="L19" s="4"/>
      <c r="M19" s="4"/>
      <c r="N19" s="2"/>
      <c r="O19" s="2"/>
      <c r="P19" s="2"/>
    </row>
    <row r="20" spans="1:16">
      <c r="A20" s="8" t="s">
        <v>28</v>
      </c>
      <c r="B20" s="9" t="s">
        <v>29</v>
      </c>
      <c r="C20" s="9" t="s">
        <v>30</v>
      </c>
      <c r="D20" s="10">
        <f>'GS7335 ER Calcs'!O26</f>
        <v>2693</v>
      </c>
      <c r="E20" s="4"/>
      <c r="F20" s="4"/>
      <c r="G20" s="4"/>
      <c r="H20" s="4"/>
      <c r="I20" s="4"/>
      <c r="J20" s="4"/>
      <c r="K20" s="4"/>
      <c r="L20" s="4"/>
      <c r="M20" s="4"/>
      <c r="N20" s="2"/>
      <c r="O20" s="2"/>
      <c r="P20" s="2"/>
    </row>
    <row r="21" spans="1:16">
      <c r="A21" s="8" t="s">
        <v>31</v>
      </c>
      <c r="B21" s="9" t="s">
        <v>32</v>
      </c>
      <c r="C21" s="9" t="s">
        <v>30</v>
      </c>
      <c r="D21" s="14">
        <f>'GS7335 ER Calcs'!O27</f>
        <v>0</v>
      </c>
      <c r="E21" s="4"/>
      <c r="F21" s="4"/>
      <c r="G21" s="4"/>
      <c r="H21" s="4"/>
      <c r="I21" s="4"/>
      <c r="J21" s="4"/>
      <c r="K21" s="4"/>
      <c r="L21" s="4"/>
      <c r="M21" s="4"/>
      <c r="N21" s="2"/>
      <c r="O21" s="2"/>
      <c r="P21" s="2"/>
    </row>
    <row r="22" spans="1:16">
      <c r="A22" s="8" t="s">
        <v>33</v>
      </c>
      <c r="B22" s="9" t="s">
        <v>34</v>
      </c>
      <c r="C22" s="9" t="s">
        <v>35</v>
      </c>
      <c r="D22" s="14">
        <f>'GS7335 ER Calcs'!O28</f>
        <v>0.95</v>
      </c>
      <c r="E22" s="4"/>
      <c r="F22" s="4"/>
      <c r="G22" s="4"/>
      <c r="H22" s="4"/>
      <c r="I22" s="4"/>
      <c r="J22" s="4"/>
      <c r="K22" s="4"/>
      <c r="L22" s="4"/>
      <c r="M22" s="4"/>
      <c r="N22" s="2"/>
      <c r="O22" s="2"/>
      <c r="P22" s="2"/>
    </row>
    <row r="23" spans="1:16">
      <c r="A23" s="8" t="s">
        <v>36</v>
      </c>
      <c r="B23" s="9" t="s">
        <v>37</v>
      </c>
      <c r="C23" s="9" t="s">
        <v>30</v>
      </c>
      <c r="D23" s="14">
        <f>'GS7335 ER Calcs'!O29</f>
        <v>0</v>
      </c>
      <c r="E23" s="4"/>
      <c r="F23" s="4"/>
      <c r="G23" s="4"/>
      <c r="H23" s="4"/>
      <c r="I23" s="4"/>
      <c r="J23" s="4"/>
      <c r="K23" s="4"/>
      <c r="L23" s="4"/>
      <c r="M23" s="4"/>
      <c r="N23" s="2"/>
      <c r="O23" s="2"/>
      <c r="P23" s="2"/>
    </row>
    <row r="24" spans="1:16">
      <c r="A24" s="8" t="s">
        <v>38</v>
      </c>
      <c r="B24" s="9" t="s">
        <v>39</v>
      </c>
      <c r="C24" s="9" t="s">
        <v>30</v>
      </c>
      <c r="D24" s="10">
        <f>'GS7335 ER Calcs'!O30</f>
        <v>2558</v>
      </c>
      <c r="E24" s="4"/>
      <c r="F24" s="4"/>
      <c r="G24" s="4"/>
      <c r="H24" s="4"/>
      <c r="I24" s="4"/>
      <c r="J24" s="4"/>
      <c r="K24" s="4"/>
      <c r="L24" s="4"/>
      <c r="M24" s="4"/>
      <c r="N24" s="2"/>
      <c r="O24" s="2"/>
      <c r="P24" s="2"/>
    </row>
    <row r="25" spans="1:16">
      <c r="A25" s="518" t="s">
        <v>40</v>
      </c>
      <c r="B25" s="519"/>
      <c r="C25" s="519"/>
      <c r="D25" s="519"/>
      <c r="E25" s="4"/>
      <c r="F25" s="4"/>
      <c r="G25" s="4"/>
      <c r="H25" s="4"/>
      <c r="I25" s="4"/>
      <c r="J25" s="4"/>
      <c r="K25" s="4"/>
      <c r="L25" s="4"/>
      <c r="M25" s="4"/>
      <c r="N25" s="2"/>
      <c r="O25" s="2"/>
      <c r="P25" s="2"/>
    </row>
    <row r="26" spans="1:16">
      <c r="A26" s="15" t="s">
        <v>41</v>
      </c>
      <c r="B26" s="9"/>
      <c r="C26" s="16"/>
      <c r="D26" s="17">
        <f>'GS7335 ER Calcs'!O33</f>
        <v>1</v>
      </c>
      <c r="E26" s="4"/>
      <c r="F26" s="4"/>
      <c r="G26" s="4"/>
      <c r="H26" s="4"/>
      <c r="I26" s="4"/>
      <c r="J26" s="4"/>
      <c r="K26" s="4"/>
      <c r="L26" s="4"/>
      <c r="M26" s="4"/>
      <c r="N26" s="2"/>
      <c r="O26" s="2"/>
      <c r="P26" s="2"/>
    </row>
    <row r="27" spans="1:16">
      <c r="A27" s="15" t="s">
        <v>43</v>
      </c>
      <c r="B27" s="9" t="s">
        <v>42</v>
      </c>
      <c r="C27" s="16" t="s">
        <v>44</v>
      </c>
      <c r="D27" s="17">
        <f>'GS7335 ER Calcs'!O34</f>
        <v>0</v>
      </c>
      <c r="E27" s="4"/>
      <c r="F27" s="4"/>
      <c r="G27" s="4"/>
      <c r="H27" s="4"/>
      <c r="I27" s="4"/>
      <c r="J27" s="4"/>
      <c r="K27" s="4"/>
      <c r="L27" s="4"/>
      <c r="M27" s="4"/>
      <c r="N27" s="2"/>
      <c r="O27" s="2"/>
      <c r="P27" s="2"/>
    </row>
    <row r="28" spans="1:16" ht="15" thickBot="1">
      <c r="A28" s="21" t="s">
        <v>38</v>
      </c>
      <c r="B28" s="22" t="s">
        <v>39</v>
      </c>
      <c r="C28" s="22" t="s">
        <v>30</v>
      </c>
      <c r="D28" s="23">
        <f>'GS7335 ER Calcs'!O35</f>
        <v>2558</v>
      </c>
      <c r="E28" s="4"/>
      <c r="F28" s="4"/>
      <c r="G28" s="4"/>
      <c r="H28" s="4"/>
      <c r="I28" s="4"/>
      <c r="J28" s="4"/>
      <c r="K28" s="4"/>
      <c r="L28" s="4"/>
      <c r="M28" s="4"/>
      <c r="N28" s="2"/>
      <c r="O28" s="2"/>
      <c r="P28" s="2"/>
    </row>
    <row r="29" spans="1:16" ht="15" thickBot="1">
      <c r="A29" s="21" t="s">
        <v>45</v>
      </c>
      <c r="B29" s="22" t="s">
        <v>39</v>
      </c>
      <c r="C29" s="22" t="s">
        <v>30</v>
      </c>
      <c r="D29" s="275">
        <f>'GS7335 ER Calcs'!O37</f>
        <v>2558</v>
      </c>
      <c r="E29" s="4"/>
      <c r="F29" s="4"/>
      <c r="G29" s="4"/>
      <c r="H29" s="4"/>
      <c r="I29" s="4"/>
      <c r="J29" s="4"/>
      <c r="K29" s="4"/>
      <c r="L29" s="4"/>
      <c r="M29" s="4"/>
      <c r="N29" s="2"/>
      <c r="O29" s="2"/>
      <c r="P29" s="2"/>
    </row>
    <row r="30" spans="1:16" ht="15" thickBot="1">
      <c r="A30" s="2"/>
      <c r="B30" s="508"/>
      <c r="C30" s="508"/>
      <c r="D30" s="2"/>
      <c r="E30" s="4"/>
      <c r="F30" s="4"/>
      <c r="G30" s="4"/>
      <c r="H30" s="4"/>
      <c r="I30" s="4"/>
      <c r="J30" s="4"/>
      <c r="K30" s="4"/>
      <c r="L30" s="4"/>
      <c r="M30" s="4"/>
      <c r="N30" s="2"/>
      <c r="O30" s="2"/>
      <c r="P30" s="2"/>
    </row>
    <row r="31" spans="1:16" ht="15.65" customHeight="1">
      <c r="A31" s="509" t="s">
        <v>47</v>
      </c>
      <c r="B31" s="510"/>
      <c r="C31" s="510"/>
      <c r="D31" s="510"/>
      <c r="E31" s="2"/>
      <c r="F31" s="2"/>
      <c r="G31" s="507"/>
      <c r="H31" s="507"/>
      <c r="I31" s="2"/>
      <c r="J31" s="2"/>
      <c r="K31" s="2"/>
      <c r="L31" s="2"/>
      <c r="M31" s="2"/>
      <c r="N31" s="2"/>
      <c r="O31" s="2"/>
      <c r="P31" s="2"/>
    </row>
    <row r="32" spans="1:16">
      <c r="A32" s="511" t="s">
        <v>19</v>
      </c>
      <c r="B32" s="512"/>
      <c r="C32" s="512"/>
      <c r="D32" s="512"/>
      <c r="E32" s="2"/>
      <c r="F32" s="2"/>
      <c r="G32" s="507"/>
      <c r="H32" s="507"/>
      <c r="I32" s="2"/>
      <c r="J32" s="2"/>
      <c r="K32" s="2"/>
      <c r="L32" s="2"/>
      <c r="M32" s="2"/>
      <c r="N32" s="2"/>
      <c r="O32" s="2"/>
      <c r="P32" s="2"/>
    </row>
    <row r="33" spans="1:16" ht="14.5" customHeight="1">
      <c r="A33" s="513">
        <v>2022</v>
      </c>
      <c r="B33" s="514"/>
      <c r="C33" s="514"/>
      <c r="D33" s="25">
        <f>D16</f>
        <v>1837</v>
      </c>
      <c r="E33" s="2"/>
      <c r="F33" s="2"/>
      <c r="G33" s="507"/>
      <c r="H33" s="507"/>
      <c r="I33" s="2"/>
      <c r="J33" s="2"/>
      <c r="K33" s="2"/>
      <c r="L33" s="2"/>
      <c r="M33" s="2"/>
      <c r="N33" s="2"/>
      <c r="O33" s="2"/>
      <c r="P33" s="2"/>
    </row>
    <row r="34" spans="1:16" ht="15" thickBot="1">
      <c r="A34" s="515">
        <v>2023</v>
      </c>
      <c r="B34" s="516"/>
      <c r="C34" s="516"/>
      <c r="D34" s="26">
        <f>D29</f>
        <v>2558</v>
      </c>
      <c r="E34" s="2"/>
      <c r="F34" s="2"/>
      <c r="G34" s="507"/>
      <c r="H34" s="507"/>
      <c r="I34" s="2"/>
      <c r="J34" s="2"/>
      <c r="K34" s="2"/>
      <c r="L34" s="2"/>
      <c r="M34" s="2"/>
      <c r="N34" s="2"/>
      <c r="O34" s="2"/>
      <c r="P34" s="2"/>
    </row>
    <row r="35" spans="1:16" ht="15" thickBot="1">
      <c r="A35" s="27" t="s">
        <v>48</v>
      </c>
      <c r="B35" s="29"/>
      <c r="C35" s="30"/>
      <c r="D35" s="31">
        <f>SUM(D33:D34)</f>
        <v>4395</v>
      </c>
      <c r="E35" s="2"/>
      <c r="F35" s="2"/>
      <c r="G35" s="507"/>
      <c r="H35" s="507"/>
      <c r="I35" s="2"/>
      <c r="J35" s="2"/>
      <c r="K35" s="2"/>
      <c r="L35" s="2"/>
      <c r="M35" s="2"/>
      <c r="N35" s="2"/>
      <c r="O35" s="2"/>
      <c r="P35" s="2"/>
    </row>
    <row r="36" spans="1:16">
      <c r="A36" s="2"/>
      <c r="B36" s="517"/>
      <c r="C36" s="517"/>
      <c r="D36" s="2"/>
      <c r="E36" s="2"/>
      <c r="F36" s="2"/>
      <c r="G36" s="507"/>
      <c r="H36" s="507"/>
      <c r="I36" s="2"/>
      <c r="J36" s="2"/>
      <c r="K36" s="2"/>
      <c r="L36" s="2"/>
      <c r="M36" s="2"/>
      <c r="N36" s="2"/>
      <c r="O36" s="2"/>
      <c r="P36" s="2"/>
    </row>
  </sheetData>
  <mergeCells count="21">
    <mergeCell ref="G35:H35"/>
    <mergeCell ref="B36:C36"/>
    <mergeCell ref="G36:H36"/>
    <mergeCell ref="A32:D32"/>
    <mergeCell ref="G32:H32"/>
    <mergeCell ref="A33:C33"/>
    <mergeCell ref="G33:H33"/>
    <mergeCell ref="A34:C34"/>
    <mergeCell ref="G34:H34"/>
    <mergeCell ref="G31:H31"/>
    <mergeCell ref="A1:D1"/>
    <mergeCell ref="H1:N1"/>
    <mergeCell ref="A3:D3"/>
    <mergeCell ref="H3:N3"/>
    <mergeCell ref="A4:D4"/>
    <mergeCell ref="A12:D12"/>
    <mergeCell ref="A18:D18"/>
    <mergeCell ref="A19:D19"/>
    <mergeCell ref="A25:D25"/>
    <mergeCell ref="B30:C30"/>
    <mergeCell ref="A31:D31"/>
  </mergeCells>
  <phoneticPr fontId="15" type="noConversion"/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335D1-102E-441E-913F-2FCE53AF1207}">
  <dimension ref="A1:O23"/>
  <sheetViews>
    <sheetView topLeftCell="B1" workbookViewId="0">
      <selection activeCell="O7" sqref="O7"/>
    </sheetView>
  </sheetViews>
  <sheetFormatPr defaultRowHeight="14.5"/>
  <cols>
    <col min="1" max="1" width="26.54296875" customWidth="1"/>
    <col min="2" max="2" width="17.26953125" bestFit="1" customWidth="1"/>
    <col min="3" max="3" width="14.7265625" customWidth="1"/>
    <col min="4" max="4" width="22.81640625" customWidth="1"/>
    <col min="5" max="5" width="13.54296875" customWidth="1"/>
    <col min="6" max="6" width="17.1796875" bestFit="1" customWidth="1"/>
    <col min="7" max="7" width="15.1796875" bestFit="1" customWidth="1"/>
    <col min="8" max="8" width="13.7265625" customWidth="1"/>
    <col min="9" max="9" width="16.453125" customWidth="1"/>
    <col min="10" max="10" width="7.453125" customWidth="1"/>
    <col min="11" max="11" width="9" customWidth="1"/>
    <col min="12" max="12" width="9.81640625" customWidth="1"/>
    <col min="13" max="13" width="10.1796875" customWidth="1"/>
    <col min="14" max="14" width="9.26953125" customWidth="1"/>
    <col min="15" max="15" width="11" customWidth="1"/>
  </cols>
  <sheetData>
    <row r="1" spans="1:15" ht="43.5">
      <c r="A1" s="48" t="s">
        <v>0</v>
      </c>
      <c r="B1" s="49" t="s">
        <v>49</v>
      </c>
      <c r="C1" s="49" t="s">
        <v>50</v>
      </c>
      <c r="D1" s="49" t="s">
        <v>51</v>
      </c>
      <c r="E1" s="49" t="s">
        <v>52</v>
      </c>
      <c r="F1" s="49" t="s">
        <v>192</v>
      </c>
      <c r="G1" s="49" t="s">
        <v>53</v>
      </c>
      <c r="H1" s="50" t="s">
        <v>54</v>
      </c>
      <c r="I1" s="50" t="s">
        <v>11</v>
      </c>
      <c r="J1" s="2"/>
      <c r="K1" s="113" t="s">
        <v>335</v>
      </c>
      <c r="L1" s="48" t="s">
        <v>56</v>
      </c>
      <c r="M1" s="114" t="s">
        <v>336</v>
      </c>
      <c r="N1" s="49" t="s">
        <v>58</v>
      </c>
      <c r="O1" s="50" t="s">
        <v>59</v>
      </c>
    </row>
    <row r="2" spans="1:15" ht="15.5">
      <c r="A2" s="530" t="s">
        <v>404</v>
      </c>
      <c r="B2" s="9" t="s">
        <v>405</v>
      </c>
      <c r="C2" s="54" t="s">
        <v>406</v>
      </c>
      <c r="D2" s="9">
        <v>14.722989999999999</v>
      </c>
      <c r="E2" s="9">
        <v>39.472749999999998</v>
      </c>
      <c r="F2" s="55">
        <v>42668</v>
      </c>
      <c r="G2" s="9">
        <v>138</v>
      </c>
      <c r="H2" s="9">
        <v>510</v>
      </c>
      <c r="I2" s="476">
        <f>IF(H2&lt;361,H2,361)</f>
        <v>361</v>
      </c>
      <c r="J2" s="133"/>
      <c r="K2" s="233">
        <f>$E$19</f>
        <v>203.29999999999998</v>
      </c>
      <c r="L2" s="115">
        <f>I2*K2</f>
        <v>73391.299999999988</v>
      </c>
      <c r="M2" s="276">
        <f>$E$20</f>
        <v>283.09999999999997</v>
      </c>
      <c r="N2" s="116">
        <f>I2*M2</f>
        <v>102199.09999999999</v>
      </c>
      <c r="O2" s="117">
        <f>L2+N2</f>
        <v>175590.39999999997</v>
      </c>
    </row>
    <row r="3" spans="1:15" ht="15.5">
      <c r="A3" s="531"/>
      <c r="B3" s="9" t="s">
        <v>407</v>
      </c>
      <c r="C3" s="54" t="s">
        <v>408</v>
      </c>
      <c r="D3" s="9">
        <v>14.63448</v>
      </c>
      <c r="E3" s="9">
        <v>38.865090000000002</v>
      </c>
      <c r="F3" s="55">
        <v>42762</v>
      </c>
      <c r="G3" s="9">
        <v>182</v>
      </c>
      <c r="H3" s="9">
        <v>682</v>
      </c>
      <c r="I3" s="476">
        <f>IF(H3&lt;371,H3,371)</f>
        <v>371</v>
      </c>
      <c r="J3" s="133"/>
      <c r="K3" s="233">
        <f>$E$19</f>
        <v>203.29999999999998</v>
      </c>
      <c r="L3" s="115">
        <f t="shared" ref="L3:L6" si="0">I3*K3</f>
        <v>75424.299999999988</v>
      </c>
      <c r="M3" s="276">
        <f>$E$20</f>
        <v>283.09999999999997</v>
      </c>
      <c r="N3" s="116">
        <f t="shared" ref="N3:N6" si="1">I3*M3</f>
        <v>105030.09999999999</v>
      </c>
      <c r="O3" s="117">
        <f t="shared" ref="O3:O6" si="2">L3+N3</f>
        <v>180454.39999999997</v>
      </c>
    </row>
    <row r="4" spans="1:15" ht="15.5">
      <c r="A4" s="531"/>
      <c r="B4" s="9" t="s">
        <v>409</v>
      </c>
      <c r="C4" s="54" t="s">
        <v>410</v>
      </c>
      <c r="D4" s="9">
        <v>14.83629</v>
      </c>
      <c r="E4" s="9">
        <v>39.082630000000002</v>
      </c>
      <c r="F4" s="55">
        <v>42794</v>
      </c>
      <c r="G4" s="9">
        <v>162</v>
      </c>
      <c r="H4" s="9">
        <v>621</v>
      </c>
      <c r="I4" s="476">
        <f>IF(H4&lt;371,H4,371)</f>
        <v>371</v>
      </c>
      <c r="J4" s="133"/>
      <c r="K4" s="233">
        <f>$E$19</f>
        <v>203.29999999999998</v>
      </c>
      <c r="L4" s="115">
        <f t="shared" si="0"/>
        <v>75424.299999999988</v>
      </c>
      <c r="M4" s="276">
        <f>$E$20</f>
        <v>283.09999999999997</v>
      </c>
      <c r="N4" s="116">
        <f t="shared" si="1"/>
        <v>105030.09999999999</v>
      </c>
      <c r="O4" s="117">
        <f t="shared" si="2"/>
        <v>180454.39999999997</v>
      </c>
    </row>
    <row r="5" spans="1:15" ht="15.5">
      <c r="A5" s="531"/>
      <c r="B5" s="9" t="s">
        <v>411</v>
      </c>
      <c r="C5" s="54" t="s">
        <v>412</v>
      </c>
      <c r="D5" s="9">
        <v>14.55885</v>
      </c>
      <c r="E5" s="9">
        <v>38.512970000000003</v>
      </c>
      <c r="F5" s="55">
        <v>42815</v>
      </c>
      <c r="G5" s="9">
        <v>224</v>
      </c>
      <c r="H5" s="9">
        <v>899</v>
      </c>
      <c r="I5" s="476">
        <f>IF(H5&lt;326,H5,336)</f>
        <v>336</v>
      </c>
      <c r="J5" s="133"/>
      <c r="K5" s="233">
        <f>$E$19</f>
        <v>203.29999999999998</v>
      </c>
      <c r="L5" s="115">
        <f t="shared" si="0"/>
        <v>68308.799999999988</v>
      </c>
      <c r="M5" s="276">
        <f>$E$20</f>
        <v>283.09999999999997</v>
      </c>
      <c r="N5" s="116">
        <f t="shared" si="1"/>
        <v>95121.599999999991</v>
      </c>
      <c r="O5" s="117">
        <f t="shared" si="2"/>
        <v>163430.39999999997</v>
      </c>
    </row>
    <row r="6" spans="1:15" ht="15.5">
      <c r="A6" s="532"/>
      <c r="B6" s="9" t="s">
        <v>413</v>
      </c>
      <c r="C6" s="9" t="s">
        <v>414</v>
      </c>
      <c r="D6" s="9">
        <v>14.541930000000001</v>
      </c>
      <c r="E6" s="9">
        <v>38.512990000000002</v>
      </c>
      <c r="F6" s="55">
        <v>42816</v>
      </c>
      <c r="G6" s="9">
        <v>78</v>
      </c>
      <c r="H6" s="9">
        <v>283</v>
      </c>
      <c r="I6" s="476">
        <f>IF(H6&lt;371,H6,371)</f>
        <v>283</v>
      </c>
      <c r="J6" s="133"/>
      <c r="K6" s="233">
        <f>$E$19</f>
        <v>203.29999999999998</v>
      </c>
      <c r="L6" s="115">
        <f t="shared" si="0"/>
        <v>57533.899999999994</v>
      </c>
      <c r="M6" s="276">
        <f>$E$20</f>
        <v>283.09999999999997</v>
      </c>
      <c r="N6" s="116">
        <f t="shared" si="1"/>
        <v>80117.299999999988</v>
      </c>
      <c r="O6" s="117">
        <f t="shared" si="2"/>
        <v>137651.19999999998</v>
      </c>
    </row>
    <row r="7" spans="1:15" ht="15" thickBot="1">
      <c r="A7" s="118"/>
      <c r="B7" s="1"/>
      <c r="C7" s="2"/>
      <c r="D7" s="2"/>
      <c r="E7" s="2"/>
      <c r="F7" s="62"/>
      <c r="G7" s="174" t="s">
        <v>13</v>
      </c>
      <c r="H7" s="175">
        <f>SUM(H2:H6)</f>
        <v>2995</v>
      </c>
      <c r="I7" s="175">
        <f>SUM(I2:I6)</f>
        <v>1722</v>
      </c>
      <c r="J7" s="2"/>
      <c r="K7" s="2"/>
      <c r="L7" s="176">
        <f>SUM(L2:L6)</f>
        <v>350082.6</v>
      </c>
      <c r="M7" s="176"/>
      <c r="N7" s="176">
        <f t="shared" ref="N7:O7" si="3">SUM(N2:N6)</f>
        <v>487498.19999999995</v>
      </c>
      <c r="O7" s="176">
        <f t="shared" si="3"/>
        <v>837580.79999999981</v>
      </c>
    </row>
    <row r="8" spans="1:1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5" thickBo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43.5">
      <c r="C10" s="67"/>
      <c r="D10" s="2"/>
      <c r="E10" s="2"/>
      <c r="F10" s="2"/>
      <c r="G10" s="2"/>
      <c r="H10" s="2"/>
      <c r="I10" s="2"/>
      <c r="J10" s="2"/>
      <c r="K10" s="113" t="s">
        <v>335</v>
      </c>
      <c r="L10" s="48" t="s">
        <v>56</v>
      </c>
      <c r="M10" s="114" t="s">
        <v>336</v>
      </c>
      <c r="N10" s="49" t="s">
        <v>58</v>
      </c>
      <c r="O10" s="50" t="s">
        <v>59</v>
      </c>
    </row>
    <row r="11" spans="1:15" ht="19" thickBot="1">
      <c r="A11" s="2"/>
      <c r="B11" s="66" t="s">
        <v>76</v>
      </c>
      <c r="C11" s="2"/>
      <c r="D11" s="73"/>
      <c r="E11" s="2"/>
      <c r="F11" s="2"/>
      <c r="G11" s="2"/>
      <c r="H11" s="2"/>
      <c r="I11" s="2"/>
      <c r="J11" s="2"/>
      <c r="K11" s="233">
        <f>$E$19</f>
        <v>203.29999999999998</v>
      </c>
      <c r="L11" s="277">
        <f>K11*H2</f>
        <v>103682.99999999999</v>
      </c>
      <c r="M11" s="276">
        <f>$E$20</f>
        <v>283.09999999999997</v>
      </c>
      <c r="N11" s="278">
        <f>M11*H2</f>
        <v>144380.99999999997</v>
      </c>
      <c r="O11" s="279">
        <f>L11+N11</f>
        <v>248063.99999999994</v>
      </c>
    </row>
    <row r="12" spans="1:15" ht="57.65" customHeight="1">
      <c r="A12" s="350" t="s">
        <v>364</v>
      </c>
      <c r="B12" s="351">
        <v>44713</v>
      </c>
      <c r="C12" s="2"/>
      <c r="D12" s="541"/>
      <c r="E12" s="542"/>
      <c r="F12" s="543"/>
      <c r="G12" s="543"/>
      <c r="H12" s="525"/>
      <c r="I12" s="525"/>
      <c r="J12" s="24"/>
      <c r="K12" s="233">
        <f>$E$19</f>
        <v>203.29999999999998</v>
      </c>
      <c r="L12" s="277">
        <f t="shared" ref="L12:L15" si="4">K12*H3</f>
        <v>138650.59999999998</v>
      </c>
      <c r="M12" s="276">
        <f>$E$20</f>
        <v>283.09999999999997</v>
      </c>
      <c r="N12" s="278">
        <f t="shared" ref="N12:N15" si="5">M12*H3</f>
        <v>193074.19999999998</v>
      </c>
      <c r="O12" s="279">
        <f t="shared" ref="O12:O15" si="6">L12+N12</f>
        <v>331724.79999999993</v>
      </c>
    </row>
    <row r="13" spans="1:15">
      <c r="A13" s="352" t="s">
        <v>365</v>
      </c>
      <c r="B13" s="353">
        <v>45224</v>
      </c>
      <c r="C13" s="2"/>
      <c r="D13" s="541"/>
      <c r="E13" s="542"/>
      <c r="F13" s="543"/>
      <c r="G13" s="543"/>
      <c r="H13" s="525"/>
      <c r="I13" s="525"/>
      <c r="J13" s="24"/>
      <c r="K13" s="233">
        <f>$E$19</f>
        <v>203.29999999999998</v>
      </c>
      <c r="L13" s="277">
        <f t="shared" si="4"/>
        <v>126249.29999999999</v>
      </c>
      <c r="M13" s="276">
        <f>$E$20</f>
        <v>283.09999999999997</v>
      </c>
      <c r="N13" s="278">
        <f t="shared" si="5"/>
        <v>175805.09999999998</v>
      </c>
      <c r="O13" s="279">
        <f t="shared" si="6"/>
        <v>302054.39999999997</v>
      </c>
    </row>
    <row r="14" spans="1:15" ht="15" thickBot="1">
      <c r="A14" s="354" t="s">
        <v>79</v>
      </c>
      <c r="B14" s="355">
        <v>44926</v>
      </c>
      <c r="C14" s="2"/>
      <c r="D14" s="72"/>
      <c r="E14" s="67"/>
      <c r="J14" s="2"/>
      <c r="K14" s="233">
        <f>$E$19</f>
        <v>203.29999999999998</v>
      </c>
      <c r="L14" s="277">
        <f t="shared" si="4"/>
        <v>182766.69999999998</v>
      </c>
      <c r="M14" s="276">
        <f>$E$20</f>
        <v>283.09999999999997</v>
      </c>
      <c r="N14" s="278">
        <f t="shared" si="5"/>
        <v>254506.89999999997</v>
      </c>
      <c r="O14" s="279">
        <f t="shared" si="6"/>
        <v>437273.59999999998</v>
      </c>
    </row>
    <row r="15" spans="1:15">
      <c r="C15" s="2"/>
      <c r="D15" s="72"/>
      <c r="E15" s="67"/>
      <c r="J15" s="2"/>
      <c r="K15" s="233">
        <f>$E$19</f>
        <v>203.29999999999998</v>
      </c>
      <c r="L15" s="277">
        <f t="shared" si="4"/>
        <v>57533.899999999994</v>
      </c>
      <c r="M15" s="276">
        <f>$E$20</f>
        <v>283.09999999999997</v>
      </c>
      <c r="N15" s="278">
        <f t="shared" si="5"/>
        <v>80117.299999999988</v>
      </c>
      <c r="O15" s="279">
        <f t="shared" si="6"/>
        <v>137651.19999999998</v>
      </c>
    </row>
    <row r="16" spans="1:15" ht="15" thickBot="1">
      <c r="C16" s="2"/>
      <c r="D16" s="2"/>
      <c r="E16" s="67"/>
      <c r="J16" s="2"/>
      <c r="K16" s="2"/>
      <c r="L16" s="176">
        <f>SUM(L11:L15)</f>
        <v>608883.5</v>
      </c>
      <c r="M16" s="177"/>
      <c r="N16" s="178">
        <f>SUM(N11:N15)</f>
        <v>847884.5</v>
      </c>
      <c r="O16" s="179">
        <f>SUM(O11:O15)</f>
        <v>1456767.9999999998</v>
      </c>
    </row>
    <row r="17" spans="1:15">
      <c r="A17" s="197"/>
      <c r="B17" s="194" t="s">
        <v>81</v>
      </c>
      <c r="C17" s="57"/>
      <c r="D17" s="188"/>
      <c r="E17" s="224"/>
      <c r="F17" s="188"/>
      <c r="G17" s="2"/>
      <c r="H17" s="2"/>
      <c r="I17" s="2"/>
      <c r="J17" s="2"/>
      <c r="K17" s="2"/>
      <c r="L17" s="2"/>
      <c r="M17" s="2"/>
      <c r="N17" s="2"/>
      <c r="O17" s="2"/>
    </row>
    <row r="18" spans="1:15" ht="43.5">
      <c r="A18" s="195" t="s">
        <v>82</v>
      </c>
      <c r="B18" s="77">
        <v>27.4</v>
      </c>
      <c r="C18" s="57" t="s">
        <v>8</v>
      </c>
      <c r="D18" s="132" t="s">
        <v>83</v>
      </c>
      <c r="E18" s="56" t="s">
        <v>84</v>
      </c>
      <c r="F18" s="198" t="s">
        <v>226</v>
      </c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195" t="s">
        <v>86</v>
      </c>
      <c r="B19" s="77">
        <f>B14-B12+1</f>
        <v>214</v>
      </c>
      <c r="C19" s="248">
        <f>'Maintenance '!BI100/($B19*COUNTA(B2:B6))</f>
        <v>0</v>
      </c>
      <c r="D19" s="196">
        <v>0.95</v>
      </c>
      <c r="E19" s="235">
        <f>F19*D19</f>
        <v>203.29999999999998</v>
      </c>
      <c r="F19" s="57">
        <f>B19</f>
        <v>214</v>
      </c>
      <c r="G19" s="2"/>
      <c r="H19" s="2"/>
      <c r="I19" s="2"/>
      <c r="J19" s="2"/>
      <c r="K19" s="2"/>
      <c r="L19" s="2"/>
      <c r="M19" s="2"/>
      <c r="N19" s="2"/>
      <c r="O19" s="2"/>
    </row>
    <row r="20" spans="1:15">
      <c r="A20" s="195" t="s">
        <v>87</v>
      </c>
      <c r="B20" s="77">
        <f>B13-B14</f>
        <v>298</v>
      </c>
      <c r="C20" s="248">
        <f>'Maintenance '!BJ100/($B20*COUNTA(B2:B6))</f>
        <v>0</v>
      </c>
      <c r="D20" s="196">
        <v>0.95</v>
      </c>
      <c r="E20" s="235">
        <f>F20*D20</f>
        <v>283.09999999999997</v>
      </c>
      <c r="F20" s="57">
        <f>B20</f>
        <v>298</v>
      </c>
    </row>
    <row r="21" spans="1:15">
      <c r="A21" s="197" t="s">
        <v>88</v>
      </c>
      <c r="B21" s="144">
        <v>365</v>
      </c>
      <c r="C21" s="227">
        <f>SUM(C19:C20)</f>
        <v>0</v>
      </c>
      <c r="D21" s="57"/>
      <c r="E21" s="57"/>
      <c r="F21" s="57"/>
    </row>
    <row r="23" spans="1:15">
      <c r="A23" s="171" t="s">
        <v>350</v>
      </c>
      <c r="B23" s="223">
        <f>B21*COUNTA(B2:B6)</f>
        <v>1825</v>
      </c>
      <c r="C23" s="203">
        <f>'Maintenance '!BL100/B23</f>
        <v>0</v>
      </c>
    </row>
  </sheetData>
  <mergeCells count="7">
    <mergeCell ref="I12:I13"/>
    <mergeCell ref="A2:A6"/>
    <mergeCell ref="D12:D13"/>
    <mergeCell ref="E12:E13"/>
    <mergeCell ref="F12:F13"/>
    <mergeCell ref="G12:G13"/>
    <mergeCell ref="H12:H1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76141-35ED-4FBD-8EF4-EF694A80B940}">
  <dimension ref="A1:O39"/>
  <sheetViews>
    <sheetView topLeftCell="D10" workbookViewId="0">
      <selection activeCell="D37" sqref="D37"/>
    </sheetView>
  </sheetViews>
  <sheetFormatPr defaultRowHeight="14.5"/>
  <cols>
    <col min="1" max="1" width="77.1796875" bestFit="1" customWidth="1"/>
    <col min="2" max="2" width="15.7265625" bestFit="1" customWidth="1"/>
    <col min="3" max="3" width="10" bestFit="1" customWidth="1"/>
    <col min="4" max="4" width="11.81640625" bestFit="1" customWidth="1"/>
    <col min="5" max="5" width="26.7265625" bestFit="1" customWidth="1"/>
    <col min="7" max="7" width="77.1796875" bestFit="1" customWidth="1"/>
    <col min="8" max="8" width="15.7265625" bestFit="1" customWidth="1"/>
    <col min="9" max="9" width="10" bestFit="1" customWidth="1"/>
    <col min="10" max="10" width="11.81640625" bestFit="1" customWidth="1"/>
    <col min="12" max="12" width="77.1796875" bestFit="1" customWidth="1"/>
    <col min="13" max="13" width="15.7265625" bestFit="1" customWidth="1"/>
    <col min="14" max="14" width="10" bestFit="1" customWidth="1"/>
    <col min="15" max="15" width="11.81640625" bestFit="1" customWidth="1"/>
  </cols>
  <sheetData>
    <row r="1" spans="1:15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</row>
    <row r="4" spans="1:15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</row>
    <row r="5" spans="1:15" ht="29">
      <c r="A5" s="9" t="s">
        <v>96</v>
      </c>
      <c r="B5" s="9" t="s">
        <v>97</v>
      </c>
      <c r="C5" s="9"/>
      <c r="D5" s="87">
        <f>'GS7335 PTDs'!O7</f>
        <v>837580.79999999981</v>
      </c>
      <c r="E5" s="85" t="s">
        <v>207</v>
      </c>
      <c r="F5" s="2"/>
      <c r="G5" s="9" t="s">
        <v>96</v>
      </c>
      <c r="H5" s="9" t="s">
        <v>97</v>
      </c>
      <c r="I5" s="9"/>
      <c r="J5" s="87">
        <f>'GS7335 PTDs'!L7</f>
        <v>350082.6</v>
      </c>
      <c r="K5" s="2"/>
      <c r="L5" s="9" t="s">
        <v>96</v>
      </c>
      <c r="M5" s="9" t="s">
        <v>97</v>
      </c>
      <c r="N5" s="9"/>
      <c r="O5" s="87">
        <f>'GS7335 PTDs'!N7</f>
        <v>487498.19999999995</v>
      </c>
    </row>
    <row r="6" spans="1:15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</row>
    <row r="7" spans="1:15" ht="33.65" customHeight="1">
      <c r="A7" s="88" t="s">
        <v>103</v>
      </c>
      <c r="B7" s="9" t="s">
        <v>104</v>
      </c>
      <c r="C7" s="9" t="s">
        <v>105</v>
      </c>
      <c r="D7" s="86">
        <v>7.5</v>
      </c>
      <c r="E7" s="85" t="s">
        <v>106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</row>
    <row r="8" spans="1:15" ht="17.149999999999999" customHeight="1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</row>
    <row r="9" spans="1:15">
      <c r="A9" s="9" t="s">
        <v>110</v>
      </c>
      <c r="B9" s="9" t="s">
        <v>111</v>
      </c>
      <c r="C9" s="9" t="s">
        <v>112</v>
      </c>
      <c r="D9" s="86">
        <f>ROUNDDOWN((1-D4)*D5*D6*(D7+D8),0)</f>
        <v>2512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1050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1462</v>
      </c>
    </row>
    <row r="10" spans="1:15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</row>
    <row r="12" spans="1:15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</row>
    <row r="13" spans="1:15" ht="29">
      <c r="A13" s="9" t="s">
        <v>96</v>
      </c>
      <c r="B13" s="9" t="s">
        <v>97</v>
      </c>
      <c r="C13" s="9"/>
      <c r="D13" s="87">
        <f>D5</f>
        <v>837580.79999999981</v>
      </c>
      <c r="E13" s="85" t="s">
        <v>208</v>
      </c>
      <c r="F13" s="2"/>
      <c r="G13" s="9" t="s">
        <v>96</v>
      </c>
      <c r="H13" s="9" t="s">
        <v>97</v>
      </c>
      <c r="I13" s="9"/>
      <c r="J13" s="87">
        <f>J5</f>
        <v>350082.6</v>
      </c>
      <c r="K13" s="2"/>
      <c r="L13" s="9" t="s">
        <v>96</v>
      </c>
      <c r="M13" s="9" t="s">
        <v>97</v>
      </c>
      <c r="N13" s="9"/>
      <c r="O13" s="87">
        <f>O5</f>
        <v>487498.19999999995</v>
      </c>
    </row>
    <row r="14" spans="1:15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</row>
    <row r="15" spans="1:15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</row>
    <row r="16" spans="1:15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</row>
    <row r="17" spans="1:15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121</v>
      </c>
      <c r="M17" s="9" t="s">
        <v>122</v>
      </c>
      <c r="N17" s="9" t="s">
        <v>112</v>
      </c>
      <c r="O17" s="86">
        <f>ROUNDDOWN((1+O12)*O13*O14*(O16+O16),0)</f>
        <v>0</v>
      </c>
    </row>
    <row r="18" spans="1:15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</row>
    <row r="20" spans="1:15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</row>
    <row r="21" spans="1:15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</row>
    <row r="22" spans="1:15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D22</f>
        <v>9.4600000000000009</v>
      </c>
    </row>
    <row r="23" spans="1:15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</row>
    <row r="24" spans="1:15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</row>
    <row r="26" spans="1:15">
      <c r="A26" s="9" t="s">
        <v>28</v>
      </c>
      <c r="B26" s="9" t="s">
        <v>29</v>
      </c>
      <c r="C26" s="9" t="s">
        <v>30</v>
      </c>
      <c r="D26" s="87">
        <f>ROUNDDOWN(D9*((D20*D21)+D22)*D23,0)</f>
        <v>4628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1934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2693</v>
      </c>
    </row>
    <row r="27" spans="1:15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O17*((O20*O21)+O22)*O230</f>
        <v>0</v>
      </c>
    </row>
    <row r="28" spans="1:15" ht="29">
      <c r="A28" s="9" t="s">
        <v>33</v>
      </c>
      <c r="B28" s="9" t="s">
        <v>34</v>
      </c>
      <c r="C28" s="9" t="s">
        <v>35</v>
      </c>
      <c r="D28" s="86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6">
        <f>D28</f>
        <v>0.95</v>
      </c>
      <c r="K28" s="2"/>
      <c r="L28" s="9" t="s">
        <v>33</v>
      </c>
      <c r="M28" s="9" t="s">
        <v>34</v>
      </c>
      <c r="N28" s="9" t="s">
        <v>35</v>
      </c>
      <c r="O28" s="86">
        <f>D28</f>
        <v>0.95</v>
      </c>
    </row>
    <row r="29" spans="1:15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</row>
    <row r="30" spans="1:15">
      <c r="A30" s="9" t="s">
        <v>90</v>
      </c>
      <c r="B30" s="9" t="s">
        <v>39</v>
      </c>
      <c r="C30" s="9" t="s">
        <v>30</v>
      </c>
      <c r="D30" s="86">
        <f>ROUNDDOWN(((D26-D27)*D28)-D29,0)</f>
        <v>4396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1837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2558</v>
      </c>
    </row>
    <row r="31" spans="1:15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</row>
    <row r="33" spans="1:15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M33" s="9"/>
      <c r="N33" s="16"/>
      <c r="O33" s="91">
        <v>1</v>
      </c>
    </row>
    <row r="34" spans="1:15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</row>
    <row r="35" spans="1:15">
      <c r="A35" s="93" t="s">
        <v>140</v>
      </c>
      <c r="B35" s="94" t="s">
        <v>39</v>
      </c>
      <c r="C35" s="95" t="s">
        <v>30</v>
      </c>
      <c r="D35" s="246">
        <f>ROUNDDOWN(D30*(1-D34),0)</f>
        <v>4396</v>
      </c>
      <c r="E35" s="2"/>
      <c r="F35" s="2"/>
      <c r="G35" s="93" t="s">
        <v>140</v>
      </c>
      <c r="H35" s="94" t="s">
        <v>39</v>
      </c>
      <c r="I35" s="95" t="s">
        <v>30</v>
      </c>
      <c r="J35" s="246">
        <f>ROUNDDOWN(J30*(1-J34),0)</f>
        <v>1837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2558</v>
      </c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93" t="s">
        <v>141</v>
      </c>
      <c r="B37" s="94"/>
      <c r="C37" s="95" t="s">
        <v>30</v>
      </c>
      <c r="D37" s="96">
        <f>J37+O37</f>
        <v>4395</v>
      </c>
      <c r="E37" s="2"/>
      <c r="F37" s="2"/>
      <c r="G37" s="93" t="s">
        <v>141</v>
      </c>
      <c r="H37" s="94"/>
      <c r="I37" s="95" t="s">
        <v>30</v>
      </c>
      <c r="J37" s="96">
        <f>IF(J35&gt;'GS7335 PTDs'!B18*'GS7335 PTDs'!B19,'GS7335 PTDs'!B18*'GS7335 PTDs'!B19,'GS7335 ER Calcs'!J35)</f>
        <v>1837</v>
      </c>
      <c r="K37" s="2"/>
      <c r="L37" s="93" t="s">
        <v>141</v>
      </c>
      <c r="M37" s="94"/>
      <c r="N37" s="95" t="s">
        <v>30</v>
      </c>
      <c r="O37" s="96">
        <f>IF(O35&gt;'GS7335 PTDs'!B18*'GS7335 PTDs'!B20,'GS7335 PTDs'!B18*'GS7335 PTDs'!B20,'GS7335 ER Calcs'!O35)</f>
        <v>2558</v>
      </c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" t="s">
        <v>142</v>
      </c>
      <c r="B39" s="2"/>
      <c r="C39" s="2"/>
      <c r="D39" s="2"/>
      <c r="E39" s="2"/>
      <c r="F39" s="2"/>
      <c r="G39" s="1" t="s">
        <v>142</v>
      </c>
      <c r="H39" s="2"/>
      <c r="I39" s="2"/>
      <c r="J39" s="2"/>
      <c r="K39" s="2"/>
      <c r="L39" s="1" t="s">
        <v>142</v>
      </c>
      <c r="M39" s="2"/>
      <c r="N39" s="2"/>
      <c r="O39" s="2"/>
    </row>
  </sheetData>
  <mergeCells count="18">
    <mergeCell ref="A25:D25"/>
    <mergeCell ref="G25:J25"/>
    <mergeCell ref="L25:O25"/>
    <mergeCell ref="A32:D32"/>
    <mergeCell ref="G32:J32"/>
    <mergeCell ref="L32:O32"/>
    <mergeCell ref="A11:D11"/>
    <mergeCell ref="G11:J11"/>
    <mergeCell ref="L11:O11"/>
    <mergeCell ref="A19:D19"/>
    <mergeCell ref="G19:J19"/>
    <mergeCell ref="L19:O19"/>
    <mergeCell ref="A1:D1"/>
    <mergeCell ref="G1:J1"/>
    <mergeCell ref="L1:O1"/>
    <mergeCell ref="A3:D3"/>
    <mergeCell ref="G3:J3"/>
    <mergeCell ref="L3:O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FE6D4-EC0A-456B-B635-15743BEC2ECB}">
  <dimension ref="A1:O39"/>
  <sheetViews>
    <sheetView topLeftCell="A8" workbookViewId="0">
      <selection activeCell="E13" sqref="E13"/>
    </sheetView>
  </sheetViews>
  <sheetFormatPr defaultColWidth="16.26953125" defaultRowHeight="14.5"/>
  <cols>
    <col min="1" max="1" width="77.1796875" bestFit="1" customWidth="1"/>
    <col min="2" max="2" width="15.7265625" bestFit="1" customWidth="1"/>
    <col min="3" max="3" width="10" bestFit="1" customWidth="1"/>
    <col min="4" max="4" width="11.81640625" bestFit="1" customWidth="1"/>
    <col min="5" max="5" width="16" bestFit="1" customWidth="1"/>
    <col min="7" max="7" width="77.1796875" bestFit="1" customWidth="1"/>
    <col min="8" max="8" width="15.7265625" bestFit="1" customWidth="1"/>
    <col min="9" max="9" width="10" bestFit="1" customWidth="1"/>
    <col min="10" max="10" width="11.81640625" bestFit="1" customWidth="1"/>
    <col min="12" max="12" width="77.1796875" bestFit="1" customWidth="1"/>
    <col min="13" max="13" width="15.7265625" bestFit="1" customWidth="1"/>
    <col min="14" max="14" width="10" bestFit="1" customWidth="1"/>
    <col min="15" max="15" width="11.81640625" bestFit="1" customWidth="1"/>
  </cols>
  <sheetData>
    <row r="1" spans="1:15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</row>
    <row r="4" spans="1:15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</row>
    <row r="5" spans="1:15" ht="43.5">
      <c r="A5" s="9" t="s">
        <v>96</v>
      </c>
      <c r="B5" s="9" t="s">
        <v>97</v>
      </c>
      <c r="C5" s="9"/>
      <c r="D5" s="87">
        <f>'GS7335 PTDs'!O16</f>
        <v>1456767.9999999998</v>
      </c>
      <c r="E5" s="85" t="s">
        <v>207</v>
      </c>
      <c r="F5" s="2"/>
      <c r="G5" s="9" t="s">
        <v>96</v>
      </c>
      <c r="H5" s="9" t="s">
        <v>97</v>
      </c>
      <c r="I5" s="9"/>
      <c r="J5" s="87">
        <f>'GS7335 PTDs'!L16</f>
        <v>608883.5</v>
      </c>
      <c r="K5" s="2"/>
      <c r="L5" s="9" t="s">
        <v>96</v>
      </c>
      <c r="M5" s="9" t="s">
        <v>97</v>
      </c>
      <c r="N5" s="9"/>
      <c r="O5" s="87">
        <f>'GS7335 PTDs'!N16</f>
        <v>847884.5</v>
      </c>
    </row>
    <row r="6" spans="1:15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</row>
    <row r="7" spans="1:15" ht="43.5">
      <c r="A7" s="88" t="s">
        <v>103</v>
      </c>
      <c r="B7" s="9" t="s">
        <v>104</v>
      </c>
      <c r="C7" s="9" t="s">
        <v>105</v>
      </c>
      <c r="D7" s="86">
        <v>7.5</v>
      </c>
      <c r="E7" s="85" t="s">
        <v>106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</row>
    <row r="8" spans="1:15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</row>
    <row r="9" spans="1:15">
      <c r="A9" s="9" t="s">
        <v>110</v>
      </c>
      <c r="B9" s="9" t="s">
        <v>111</v>
      </c>
      <c r="C9" s="9" t="s">
        <v>112</v>
      </c>
      <c r="D9" s="86">
        <f>ROUNDDOWN((1-D4)*D5*D6*(D7+D8),0)</f>
        <v>4370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1826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2543</v>
      </c>
    </row>
    <row r="10" spans="1:15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</row>
    <row r="12" spans="1:15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</row>
    <row r="13" spans="1:15" ht="43.5">
      <c r="A13" s="9" t="s">
        <v>96</v>
      </c>
      <c r="B13" s="9" t="s">
        <v>97</v>
      </c>
      <c r="C13" s="9"/>
      <c r="D13" s="87">
        <f>D5</f>
        <v>1456767.9999999998</v>
      </c>
      <c r="E13" s="85" t="s">
        <v>208</v>
      </c>
      <c r="F13" s="2"/>
      <c r="G13" s="9" t="s">
        <v>96</v>
      </c>
      <c r="H13" s="9" t="s">
        <v>97</v>
      </c>
      <c r="I13" s="9"/>
      <c r="J13" s="87">
        <f>J5</f>
        <v>608883.5</v>
      </c>
      <c r="K13" s="2"/>
      <c r="L13" s="9" t="s">
        <v>96</v>
      </c>
      <c r="M13" s="9" t="s">
        <v>97</v>
      </c>
      <c r="N13" s="9"/>
      <c r="O13" s="87">
        <f>O5</f>
        <v>847884.5</v>
      </c>
    </row>
    <row r="14" spans="1:15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</row>
    <row r="15" spans="1:15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</row>
    <row r="16" spans="1:15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</row>
    <row r="17" spans="1:15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121</v>
      </c>
      <c r="M17" s="9" t="s">
        <v>122</v>
      </c>
      <c r="N17" s="9" t="s">
        <v>112</v>
      </c>
      <c r="O17" s="86">
        <f>ROUNDDOWN((1+O12)*O13*O14*(O16+O16),0)</f>
        <v>0</v>
      </c>
    </row>
    <row r="18" spans="1:15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</row>
    <row r="20" spans="1:15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</row>
    <row r="21" spans="1:15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</row>
    <row r="22" spans="1:15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D22</f>
        <v>9.4600000000000009</v>
      </c>
    </row>
    <row r="23" spans="1:15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</row>
    <row r="24" spans="1:15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</row>
    <row r="26" spans="1:15">
      <c r="A26" s="9" t="s">
        <v>28</v>
      </c>
      <c r="B26" s="9" t="s">
        <v>29</v>
      </c>
      <c r="C26" s="9" t="s">
        <v>30</v>
      </c>
      <c r="D26" s="87">
        <f>ROUNDDOWN(D9*((D20*D21)+D22)*D23,0)</f>
        <v>8051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3364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4685</v>
      </c>
    </row>
    <row r="27" spans="1:15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O17*((O20*O21)+O22)*O230</f>
        <v>0</v>
      </c>
    </row>
    <row r="28" spans="1:15" ht="43.5">
      <c r="A28" s="9" t="s">
        <v>33</v>
      </c>
      <c r="B28" s="9" t="s">
        <v>34</v>
      </c>
      <c r="C28" s="9" t="s">
        <v>35</v>
      </c>
      <c r="D28" s="86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6">
        <f>D28</f>
        <v>0.95</v>
      </c>
      <c r="K28" s="2"/>
      <c r="L28" s="9" t="s">
        <v>33</v>
      </c>
      <c r="M28" s="9" t="s">
        <v>34</v>
      </c>
      <c r="N28" s="9" t="s">
        <v>35</v>
      </c>
      <c r="O28" s="86">
        <f>D28</f>
        <v>0.95</v>
      </c>
    </row>
    <row r="29" spans="1:15" ht="29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</row>
    <row r="30" spans="1:15">
      <c r="A30" s="9" t="s">
        <v>90</v>
      </c>
      <c r="B30" s="9" t="s">
        <v>39</v>
      </c>
      <c r="C30" s="9" t="s">
        <v>30</v>
      </c>
      <c r="D30" s="86">
        <f>ROUNDDOWN(((D26-D27)*D28)-D29,0)</f>
        <v>7648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3195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4450</v>
      </c>
    </row>
    <row r="31" spans="1:15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</row>
    <row r="33" spans="1:15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M33" s="9"/>
      <c r="N33" s="16"/>
      <c r="O33" s="91">
        <v>1</v>
      </c>
    </row>
    <row r="34" spans="1:15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</row>
    <row r="35" spans="1:15">
      <c r="A35" s="93" t="s">
        <v>140</v>
      </c>
      <c r="B35" s="94" t="s">
        <v>39</v>
      </c>
      <c r="C35" s="95" t="s">
        <v>30</v>
      </c>
      <c r="D35" s="246">
        <f>ROUNDDOWN(D30*(1-D34),0)</f>
        <v>7648</v>
      </c>
      <c r="E35" s="2"/>
      <c r="F35" s="2"/>
      <c r="G35" s="93" t="s">
        <v>140</v>
      </c>
      <c r="H35" s="94" t="s">
        <v>39</v>
      </c>
      <c r="I35" s="95" t="s">
        <v>30</v>
      </c>
      <c r="J35" s="246">
        <f>ROUNDDOWN(J30*(1-J34),0)</f>
        <v>3195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4450</v>
      </c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93" t="s">
        <v>141</v>
      </c>
      <c r="B37" s="94"/>
      <c r="C37" s="95" t="s">
        <v>30</v>
      </c>
      <c r="D37" s="96">
        <f>J37+O37</f>
        <v>7645</v>
      </c>
      <c r="E37" s="2"/>
      <c r="F37" s="2"/>
      <c r="G37" s="93" t="s">
        <v>141</v>
      </c>
      <c r="H37" s="94"/>
      <c r="I37" s="95" t="s">
        <v>30</v>
      </c>
      <c r="J37" s="96">
        <f>J35</f>
        <v>3195</v>
      </c>
      <c r="K37" s="2"/>
      <c r="L37" s="93" t="s">
        <v>141</v>
      </c>
      <c r="M37" s="94"/>
      <c r="N37" s="95" t="s">
        <v>30</v>
      </c>
      <c r="O37" s="96">
        <f>O35</f>
        <v>4450</v>
      </c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"/>
      <c r="B39" s="2"/>
      <c r="C39" s="2"/>
      <c r="D39" s="2"/>
      <c r="E39" s="2"/>
      <c r="F39" s="2"/>
      <c r="G39" s="1"/>
      <c r="H39" s="2"/>
      <c r="I39" s="2"/>
      <c r="J39" s="2"/>
      <c r="K39" s="2"/>
      <c r="L39" s="1"/>
      <c r="M39" s="2"/>
      <c r="N39" s="2"/>
      <c r="O39" s="2"/>
    </row>
  </sheetData>
  <mergeCells count="18">
    <mergeCell ref="A25:D25"/>
    <mergeCell ref="G25:J25"/>
    <mergeCell ref="L25:O25"/>
    <mergeCell ref="A32:D32"/>
    <mergeCell ref="G32:J32"/>
    <mergeCell ref="L32:O32"/>
    <mergeCell ref="A11:D11"/>
    <mergeCell ref="G11:J11"/>
    <mergeCell ref="L11:O11"/>
    <mergeCell ref="A19:D19"/>
    <mergeCell ref="G19:J19"/>
    <mergeCell ref="L19:O19"/>
    <mergeCell ref="A1:D1"/>
    <mergeCell ref="G1:J1"/>
    <mergeCell ref="L1:O1"/>
    <mergeCell ref="A3:D3"/>
    <mergeCell ref="G3:J3"/>
    <mergeCell ref="L3:O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93E40-F9B1-4E20-AEF5-D5BD1C02D1C1}">
  <dimension ref="A1:E22"/>
  <sheetViews>
    <sheetView topLeftCell="A13" workbookViewId="0">
      <selection activeCell="C17" sqref="C17"/>
    </sheetView>
  </sheetViews>
  <sheetFormatPr defaultRowHeight="14.5"/>
  <cols>
    <col min="1" max="1" width="26" customWidth="1"/>
    <col min="2" max="2" width="63.54296875" customWidth="1"/>
    <col min="3" max="3" width="28.54296875" bestFit="1" customWidth="1"/>
    <col min="4" max="4" width="7.453125" customWidth="1"/>
    <col min="5" max="5" width="24.453125" customWidth="1"/>
  </cols>
  <sheetData>
    <row r="1" spans="1:5" s="32" customFormat="1" ht="29">
      <c r="A1" s="128" t="s">
        <v>145</v>
      </c>
      <c r="B1" s="137" t="s">
        <v>146</v>
      </c>
      <c r="C1" s="137" t="s">
        <v>147</v>
      </c>
      <c r="D1" s="137" t="s">
        <v>148</v>
      </c>
      <c r="E1" s="184" t="s">
        <v>92</v>
      </c>
    </row>
    <row r="2" spans="1:5">
      <c r="A2" s="100" t="s">
        <v>149</v>
      </c>
      <c r="B2" s="88" t="s">
        <v>150</v>
      </c>
      <c r="C2" s="129">
        <f>((C3-C4)/C3)*C8</f>
        <v>0.95</v>
      </c>
      <c r="D2" s="9" t="s">
        <v>151</v>
      </c>
      <c r="E2" s="88"/>
    </row>
    <row r="3" spans="1:5" ht="29">
      <c r="A3" s="9" t="s">
        <v>152</v>
      </c>
      <c r="B3" s="88" t="s">
        <v>153</v>
      </c>
      <c r="C3" s="54">
        <f>C5*C6</f>
        <v>3.0000000000000001E-3</v>
      </c>
      <c r="D3" s="9" t="s">
        <v>154</v>
      </c>
      <c r="E3" s="88"/>
    </row>
    <row r="4" spans="1:5" ht="29">
      <c r="A4" s="101" t="s">
        <v>155</v>
      </c>
      <c r="B4" s="88" t="s">
        <v>156</v>
      </c>
      <c r="C4" s="54">
        <f>C5*C7</f>
        <v>0</v>
      </c>
      <c r="D4" s="9" t="s">
        <v>154</v>
      </c>
      <c r="E4" s="88"/>
    </row>
    <row r="5" spans="1:5" ht="29">
      <c r="A5" s="9" t="s">
        <v>100</v>
      </c>
      <c r="B5" s="88" t="s">
        <v>158</v>
      </c>
      <c r="C5" s="54">
        <f>'GS7335 ER Calcs'!D6</f>
        <v>4.0000000000000002E-4</v>
      </c>
      <c r="D5" s="9" t="s">
        <v>159</v>
      </c>
      <c r="E5" s="85" t="s">
        <v>102</v>
      </c>
    </row>
    <row r="6" spans="1:5" ht="29">
      <c r="A6" s="9" t="s">
        <v>104</v>
      </c>
      <c r="B6" s="88" t="s">
        <v>160</v>
      </c>
      <c r="C6" s="54">
        <v>7.5</v>
      </c>
      <c r="D6" s="9" t="s">
        <v>161</v>
      </c>
      <c r="E6" s="85" t="s">
        <v>162</v>
      </c>
    </row>
    <row r="7" spans="1:5" ht="29">
      <c r="A7" s="9" t="s">
        <v>163</v>
      </c>
      <c r="B7" s="88" t="s">
        <v>164</v>
      </c>
      <c r="C7" s="54">
        <v>0</v>
      </c>
      <c r="D7" s="9" t="s">
        <v>161</v>
      </c>
      <c r="E7" s="85" t="s">
        <v>109</v>
      </c>
    </row>
    <row r="8" spans="1:5" ht="30">
      <c r="A8" s="9" t="s">
        <v>209</v>
      </c>
      <c r="B8" s="88" t="s">
        <v>166</v>
      </c>
      <c r="C8" s="172">
        <f>'GS7335 ER Calcs'!D28</f>
        <v>0.95</v>
      </c>
      <c r="D8" s="9" t="s">
        <v>151</v>
      </c>
      <c r="E8" s="85" t="s">
        <v>138</v>
      </c>
    </row>
    <row r="9" spans="1:5">
      <c r="A9" s="1"/>
      <c r="B9" s="1"/>
      <c r="C9" s="1"/>
      <c r="D9" s="1"/>
      <c r="E9" s="88"/>
    </row>
    <row r="10" spans="1:5" s="32" customFormat="1">
      <c r="A10" s="137" t="s">
        <v>167</v>
      </c>
      <c r="B10" s="137" t="s">
        <v>146</v>
      </c>
      <c r="C10" s="137" t="s">
        <v>168</v>
      </c>
      <c r="D10" s="137" t="s">
        <v>148</v>
      </c>
      <c r="E10" s="139"/>
    </row>
    <row r="11" spans="1:5">
      <c r="A11" s="88" t="s">
        <v>169</v>
      </c>
      <c r="B11" s="9" t="s">
        <v>170</v>
      </c>
      <c r="C11" s="105">
        <f>C13-C12</f>
        <v>0.72</v>
      </c>
      <c r="D11" s="9" t="s">
        <v>171</v>
      </c>
      <c r="E11" s="88" t="s">
        <v>174</v>
      </c>
    </row>
    <row r="12" spans="1:5">
      <c r="A12" s="88" t="s">
        <v>211</v>
      </c>
      <c r="B12" s="9" t="s">
        <v>173</v>
      </c>
      <c r="C12" s="9">
        <v>0</v>
      </c>
      <c r="D12" s="9" t="s">
        <v>171</v>
      </c>
      <c r="E12" s="88" t="s">
        <v>213</v>
      </c>
    </row>
    <row r="13" spans="1:5">
      <c r="A13" s="88" t="s">
        <v>212</v>
      </c>
      <c r="B13" s="9" t="s">
        <v>176</v>
      </c>
      <c r="C13" s="478">
        <v>0.72</v>
      </c>
      <c r="D13" s="9" t="s">
        <v>171</v>
      </c>
      <c r="E13" s="88"/>
    </row>
    <row r="14" spans="1:5">
      <c r="A14" s="1"/>
      <c r="B14" s="1"/>
      <c r="C14" s="1"/>
      <c r="D14" s="1"/>
      <c r="E14" s="88"/>
    </row>
    <row r="15" spans="1:5" s="32" customFormat="1" ht="29">
      <c r="A15" s="128" t="s">
        <v>178</v>
      </c>
      <c r="B15" s="137" t="s">
        <v>146</v>
      </c>
      <c r="C15" s="137" t="s">
        <v>179</v>
      </c>
      <c r="D15" s="137" t="s">
        <v>148</v>
      </c>
      <c r="E15" s="139"/>
    </row>
    <row r="16" spans="1:5">
      <c r="A16" s="88" t="s">
        <v>180</v>
      </c>
      <c r="B16" s="9" t="s">
        <v>181</v>
      </c>
      <c r="C16" s="105">
        <f>ROUNDDOWN(C17*(1-C18)*C19,0)</f>
        <v>2845</v>
      </c>
      <c r="D16" s="9" t="s">
        <v>182</v>
      </c>
      <c r="E16" s="88"/>
    </row>
    <row r="17" spans="1:5">
      <c r="A17" s="88" t="s">
        <v>183</v>
      </c>
      <c r="B17" s="9" t="s">
        <v>184</v>
      </c>
      <c r="C17" s="9">
        <f>'GS7335 PTDs'!H7</f>
        <v>2995</v>
      </c>
      <c r="D17" s="9" t="s">
        <v>182</v>
      </c>
      <c r="E17" s="88" t="s">
        <v>228</v>
      </c>
    </row>
    <row r="18" spans="1:5">
      <c r="A18" s="88" t="s">
        <v>94</v>
      </c>
      <c r="B18" s="9" t="s">
        <v>186</v>
      </c>
      <c r="C18" s="106">
        <f>'GS7330 ER Calcs'!D4</f>
        <v>0</v>
      </c>
      <c r="D18" s="9" t="s">
        <v>151</v>
      </c>
      <c r="E18" s="88" t="s">
        <v>174</v>
      </c>
    </row>
    <row r="19" spans="1:5" ht="30">
      <c r="A19" s="88" t="s">
        <v>209</v>
      </c>
      <c r="B19" s="9" t="s">
        <v>166</v>
      </c>
      <c r="C19" s="173">
        <f>'GS7335 ER Calcs'!D28</f>
        <v>0.95</v>
      </c>
      <c r="D19" s="9" t="s">
        <v>151</v>
      </c>
      <c r="E19" s="85" t="s">
        <v>138</v>
      </c>
    </row>
    <row r="20" spans="1:5">
      <c r="A20" s="1"/>
      <c r="B20" s="1"/>
      <c r="C20" s="1"/>
      <c r="D20" s="1"/>
      <c r="E20" s="88"/>
    </row>
    <row r="21" spans="1:5" s="32" customFormat="1">
      <c r="A21" s="128" t="s">
        <v>187</v>
      </c>
      <c r="B21" s="137" t="s">
        <v>146</v>
      </c>
      <c r="C21" s="137"/>
      <c r="D21" s="137" t="s">
        <v>148</v>
      </c>
      <c r="E21" s="139"/>
    </row>
    <row r="22" spans="1:5">
      <c r="A22" s="88" t="s">
        <v>188</v>
      </c>
      <c r="B22" s="9" t="s">
        <v>189</v>
      </c>
      <c r="C22" s="108">
        <f>'GS7335 ER Calcs'!D37</f>
        <v>4395</v>
      </c>
      <c r="D22" s="9" t="s">
        <v>190</v>
      </c>
      <c r="E22" s="88" t="s">
        <v>191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A53D3-D867-42BD-A24F-8F1091AE5858}">
  <dimension ref="A1:P35"/>
  <sheetViews>
    <sheetView topLeftCell="A6" workbookViewId="0">
      <selection activeCell="M10" sqref="M10"/>
    </sheetView>
  </sheetViews>
  <sheetFormatPr defaultRowHeight="14.5"/>
  <cols>
    <col min="1" max="1" width="39" bestFit="1" customWidth="1"/>
    <col min="4" max="4" width="11.1796875" customWidth="1"/>
  </cols>
  <sheetData>
    <row r="1" spans="1:16" ht="37" customHeight="1" thickBot="1">
      <c r="A1" s="521" t="s">
        <v>415</v>
      </c>
      <c r="B1" s="522"/>
      <c r="C1" s="522"/>
      <c r="D1" s="522"/>
      <c r="E1" s="4"/>
      <c r="F1" s="4"/>
      <c r="G1" s="4"/>
      <c r="H1" s="521" t="s">
        <v>16</v>
      </c>
      <c r="I1" s="522"/>
      <c r="J1" s="522"/>
      <c r="K1" s="522"/>
      <c r="L1" s="522"/>
      <c r="M1" s="522"/>
      <c r="N1" s="522"/>
      <c r="O1" s="304"/>
      <c r="P1" s="2"/>
    </row>
    <row r="2" spans="1:16" ht="1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  <c r="O2" s="2"/>
      <c r="P2" s="2"/>
    </row>
    <row r="3" spans="1:16" ht="14.5" customHeight="1">
      <c r="A3" s="523" t="s">
        <v>17</v>
      </c>
      <c r="B3" s="524"/>
      <c r="C3" s="524"/>
      <c r="D3" s="524"/>
      <c r="E3" s="2"/>
      <c r="F3" s="4"/>
      <c r="G3" s="4"/>
      <c r="H3" s="528" t="s">
        <v>18</v>
      </c>
      <c r="I3" s="529"/>
      <c r="J3" s="529"/>
      <c r="K3" s="529"/>
      <c r="L3" s="529"/>
      <c r="M3" s="529"/>
      <c r="N3" s="529"/>
      <c r="O3" s="5"/>
      <c r="P3" s="2"/>
    </row>
    <row r="4" spans="1:16" ht="29">
      <c r="A4" s="518" t="s">
        <v>19</v>
      </c>
      <c r="B4" s="519"/>
      <c r="C4" s="519"/>
      <c r="D4" s="519"/>
      <c r="E4" s="2"/>
      <c r="F4" s="4"/>
      <c r="G4" s="4"/>
      <c r="H4" s="6" t="s">
        <v>20</v>
      </c>
      <c r="I4" s="7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6" t="s">
        <v>26</v>
      </c>
      <c r="O4" s="6" t="s">
        <v>27</v>
      </c>
      <c r="P4" s="2"/>
    </row>
    <row r="5" spans="1:16">
      <c r="A5" s="8" t="s">
        <v>28</v>
      </c>
      <c r="B5" s="9" t="s">
        <v>29</v>
      </c>
      <c r="C5" s="9" t="s">
        <v>30</v>
      </c>
      <c r="D5" s="10">
        <f>'GS7336 ER Calcs'!J26</f>
        <v>1801</v>
      </c>
      <c r="E5" s="2"/>
      <c r="F5" s="4"/>
      <c r="G5" s="4"/>
      <c r="H5" s="11">
        <v>2017</v>
      </c>
      <c r="I5" s="12" t="s">
        <v>352</v>
      </c>
      <c r="J5" s="13">
        <v>1863</v>
      </c>
      <c r="K5" s="13" t="s">
        <v>352</v>
      </c>
      <c r="L5" s="13"/>
      <c r="M5" s="13"/>
      <c r="O5" s="11">
        <f>SUM(J5:M5)</f>
        <v>1863</v>
      </c>
      <c r="P5" s="2" t="s">
        <v>334</v>
      </c>
    </row>
    <row r="6" spans="1:16">
      <c r="A6" s="8" t="s">
        <v>31</v>
      </c>
      <c r="B6" s="9" t="s">
        <v>32</v>
      </c>
      <c r="C6" s="9" t="s">
        <v>30</v>
      </c>
      <c r="D6" s="14">
        <f>'GS7336 ER Calcs'!J27</f>
        <v>0</v>
      </c>
      <c r="E6" s="2"/>
      <c r="F6" s="4"/>
      <c r="G6" s="4"/>
      <c r="H6" s="11">
        <v>2018</v>
      </c>
      <c r="I6" s="12" t="s">
        <v>352</v>
      </c>
      <c r="J6" s="12">
        <v>10000</v>
      </c>
      <c r="K6" s="13" t="s">
        <v>352</v>
      </c>
      <c r="L6" s="13"/>
      <c r="M6" s="13"/>
      <c r="O6" s="11">
        <f>SUM(J6:M6)</f>
        <v>10000</v>
      </c>
      <c r="P6" s="2"/>
    </row>
    <row r="7" spans="1:16">
      <c r="A7" s="8" t="s">
        <v>33</v>
      </c>
      <c r="B7" s="9" t="s">
        <v>34</v>
      </c>
      <c r="C7" s="9" t="s">
        <v>35</v>
      </c>
      <c r="D7" s="14">
        <f>'GS7336 ER Calcs'!J28</f>
        <v>0.95</v>
      </c>
      <c r="E7" s="2"/>
      <c r="F7" s="4"/>
      <c r="G7" s="4"/>
      <c r="H7" s="11">
        <v>2019</v>
      </c>
      <c r="I7" s="12" t="s">
        <v>352</v>
      </c>
      <c r="J7" s="12">
        <v>4137</v>
      </c>
      <c r="K7" s="12">
        <v>1485</v>
      </c>
      <c r="L7" s="12"/>
      <c r="M7" s="12"/>
      <c r="O7" s="11">
        <f>SUM(J7:M7)</f>
        <v>5622</v>
      </c>
      <c r="P7" s="2"/>
    </row>
    <row r="8" spans="1:16">
      <c r="A8" s="8" t="s">
        <v>36</v>
      </c>
      <c r="B8" s="9" t="s">
        <v>37</v>
      </c>
      <c r="C8" s="9" t="s">
        <v>30</v>
      </c>
      <c r="D8" s="14">
        <f>'GS7336 ER Calcs'!J29</f>
        <v>0</v>
      </c>
      <c r="E8" s="2"/>
      <c r="F8" s="4"/>
      <c r="G8" s="4"/>
      <c r="H8" s="11">
        <v>2020</v>
      </c>
      <c r="I8" s="12" t="s">
        <v>352</v>
      </c>
      <c r="J8" s="12" t="s">
        <v>352</v>
      </c>
      <c r="K8" s="12">
        <v>1053</v>
      </c>
      <c r="L8" s="237">
        <v>1406</v>
      </c>
      <c r="M8" s="237"/>
      <c r="O8" s="11">
        <f>SUM(J8:M8)</f>
        <v>2459</v>
      </c>
      <c r="P8" s="2"/>
    </row>
    <row r="9" spans="1:16">
      <c r="A9" s="8"/>
      <c r="B9" s="9"/>
      <c r="C9" s="9"/>
      <c r="D9" s="14"/>
      <c r="E9" s="2"/>
      <c r="F9" s="4"/>
      <c r="G9" s="4"/>
      <c r="H9" s="11">
        <v>2021</v>
      </c>
      <c r="I9" s="12"/>
      <c r="J9" s="12"/>
      <c r="K9" s="12"/>
      <c r="L9" s="237">
        <v>998</v>
      </c>
      <c r="M9" s="237">
        <v>1494</v>
      </c>
      <c r="O9" s="11">
        <f>SUM(J9:N9)</f>
        <v>2492</v>
      </c>
      <c r="P9" s="2"/>
    </row>
    <row r="10" spans="1:16">
      <c r="A10" s="8"/>
      <c r="B10" s="9"/>
      <c r="C10" s="9"/>
      <c r="D10" s="14"/>
      <c r="E10" s="2"/>
      <c r="F10" s="4"/>
      <c r="G10" s="4"/>
      <c r="H10" s="11">
        <v>2022</v>
      </c>
      <c r="I10" s="12"/>
      <c r="J10" s="12"/>
      <c r="K10" s="12"/>
      <c r="L10" s="237"/>
      <c r="M10" s="237">
        <v>1053</v>
      </c>
      <c r="N10" s="366">
        <f>D33</f>
        <v>1710</v>
      </c>
      <c r="O10" s="11">
        <f t="shared" ref="O10:O11" si="0">SUM(J10:N10)</f>
        <v>2763</v>
      </c>
      <c r="P10" s="2"/>
    </row>
    <row r="11" spans="1:16">
      <c r="A11" s="8" t="s">
        <v>38</v>
      </c>
      <c r="B11" s="9" t="s">
        <v>39</v>
      </c>
      <c r="C11" s="9" t="s">
        <v>30</v>
      </c>
      <c r="D11" s="10">
        <f>'GS7336 ER Calcs'!J30</f>
        <v>1710</v>
      </c>
      <c r="E11" s="2"/>
      <c r="F11" s="4"/>
      <c r="G11" s="4"/>
      <c r="H11" s="11">
        <v>2023</v>
      </c>
      <c r="N11" s="366">
        <f>D34</f>
        <v>2903</v>
      </c>
      <c r="O11" s="11">
        <f t="shared" si="0"/>
        <v>2903</v>
      </c>
      <c r="P11" s="2"/>
    </row>
    <row r="12" spans="1:16">
      <c r="A12" s="518" t="s">
        <v>40</v>
      </c>
      <c r="B12" s="519"/>
      <c r="C12" s="519"/>
      <c r="D12" s="519"/>
      <c r="E12" s="2"/>
      <c r="F12" s="4"/>
      <c r="G12" s="4"/>
      <c r="H12" s="18" t="s">
        <v>13</v>
      </c>
      <c r="I12" s="18">
        <v>0</v>
      </c>
      <c r="J12" s="18">
        <f>SUM(J5:J10)</f>
        <v>16000</v>
      </c>
      <c r="K12" s="18">
        <f>SUM(K5:K10)</f>
        <v>2538</v>
      </c>
      <c r="L12" s="18">
        <f>SUM(L5:L10)</f>
        <v>2404</v>
      </c>
      <c r="M12" s="18">
        <f>SUM(M5:M11)</f>
        <v>2547</v>
      </c>
      <c r="N12" s="18">
        <f>SUM(N5:N11)</f>
        <v>4613</v>
      </c>
      <c r="O12" s="18">
        <f>SUM(J12:N12)</f>
        <v>28102</v>
      </c>
      <c r="P12" s="2"/>
    </row>
    <row r="13" spans="1:16">
      <c r="A13" s="15" t="s">
        <v>41</v>
      </c>
      <c r="B13" s="9"/>
      <c r="C13" s="16"/>
      <c r="D13" s="17">
        <f>'GS7336 ER Calcs'!J33</f>
        <v>1</v>
      </c>
      <c r="E13" s="2"/>
      <c r="F13" s="4"/>
      <c r="G13" s="4"/>
      <c r="H13" s="2"/>
      <c r="I13" s="18">
        <v>1</v>
      </c>
      <c r="J13" s="2"/>
      <c r="K13" s="2"/>
      <c r="L13" s="2"/>
      <c r="M13" s="2"/>
      <c r="N13" s="2"/>
      <c r="O13" s="305"/>
      <c r="P13" s="2"/>
    </row>
    <row r="14" spans="1:16">
      <c r="A14" s="15" t="s">
        <v>43</v>
      </c>
      <c r="B14" s="9" t="s">
        <v>42</v>
      </c>
      <c r="C14" s="16" t="s">
        <v>44</v>
      </c>
      <c r="D14" s="17">
        <f>'GS7336 ER Calcs'!J34</f>
        <v>0</v>
      </c>
      <c r="E14" s="2"/>
      <c r="F14" s="4"/>
      <c r="G14" s="4"/>
      <c r="H14" s="4"/>
      <c r="I14" s="4"/>
      <c r="J14" s="4"/>
      <c r="K14" s="4"/>
      <c r="L14" s="4"/>
      <c r="M14" s="4"/>
      <c r="N14" s="2"/>
      <c r="O14" s="2"/>
      <c r="P14" s="2"/>
    </row>
    <row r="15" spans="1:16" ht="15" thickBot="1">
      <c r="A15" s="21" t="s">
        <v>38</v>
      </c>
      <c r="B15" s="22" t="s">
        <v>39</v>
      </c>
      <c r="C15" s="22" t="s">
        <v>30</v>
      </c>
      <c r="D15" s="23">
        <f>'GS7336 ER Calcs'!J35</f>
        <v>1710</v>
      </c>
      <c r="E15" s="2"/>
      <c r="F15" s="4"/>
      <c r="G15" s="4"/>
      <c r="H15" s="4"/>
      <c r="I15" s="4"/>
      <c r="J15" s="4"/>
      <c r="K15" s="4"/>
      <c r="L15" s="4"/>
      <c r="M15" s="4"/>
      <c r="N15" s="2"/>
      <c r="O15" s="2"/>
      <c r="P15" s="2"/>
    </row>
    <row r="16" spans="1:16" ht="15" thickBot="1">
      <c r="A16" s="21" t="s">
        <v>45</v>
      </c>
      <c r="B16" s="22" t="s">
        <v>39</v>
      </c>
      <c r="C16" s="22" t="s">
        <v>30</v>
      </c>
      <c r="D16" s="23">
        <f>'GS7336 ER Calcs'!J37</f>
        <v>1710</v>
      </c>
      <c r="E16" s="2"/>
      <c r="F16" s="4"/>
      <c r="G16" s="4"/>
      <c r="H16" s="4"/>
      <c r="I16" s="4"/>
      <c r="J16" s="4"/>
      <c r="K16" s="4"/>
      <c r="L16" s="4"/>
      <c r="M16" s="4"/>
      <c r="N16" s="2"/>
      <c r="O16" s="2"/>
      <c r="P16" s="2"/>
    </row>
    <row r="17" spans="1:16" ht="15" thickBot="1">
      <c r="A17" s="4"/>
      <c r="B17" s="4"/>
      <c r="C17" s="4"/>
      <c r="D17" s="4"/>
      <c r="E17" s="2"/>
      <c r="F17" s="4"/>
      <c r="G17" s="4"/>
      <c r="H17" s="4"/>
      <c r="I17" s="4"/>
      <c r="J17" s="4"/>
      <c r="K17" s="4"/>
      <c r="L17" s="4"/>
      <c r="M17" s="4"/>
      <c r="N17" s="2"/>
      <c r="O17" s="2"/>
      <c r="P17" s="2"/>
    </row>
    <row r="18" spans="1:16" ht="14.5" customHeight="1">
      <c r="A18" s="523" t="s">
        <v>46</v>
      </c>
      <c r="B18" s="524"/>
      <c r="C18" s="524"/>
      <c r="D18" s="524"/>
      <c r="E18" s="4"/>
      <c r="F18" s="4"/>
      <c r="G18" s="4"/>
      <c r="H18" s="4"/>
      <c r="I18" s="4"/>
      <c r="J18" s="4"/>
      <c r="K18" s="4"/>
      <c r="L18" s="4"/>
      <c r="M18" s="4"/>
      <c r="N18" s="2"/>
      <c r="O18" s="2"/>
      <c r="P18" s="2"/>
    </row>
    <row r="19" spans="1:16">
      <c r="A19" s="518" t="s">
        <v>19</v>
      </c>
      <c r="B19" s="519"/>
      <c r="C19" s="519"/>
      <c r="D19" s="519"/>
      <c r="E19" s="4"/>
      <c r="F19" s="4"/>
      <c r="G19" s="4"/>
      <c r="H19" s="4"/>
      <c r="I19" s="4"/>
      <c r="J19" s="4"/>
      <c r="K19" s="4"/>
      <c r="L19" s="4"/>
      <c r="M19" s="4"/>
      <c r="N19" s="2"/>
      <c r="O19" s="2"/>
      <c r="P19" s="2"/>
    </row>
    <row r="20" spans="1:16">
      <c r="A20" s="8" t="s">
        <v>28</v>
      </c>
      <c r="B20" s="9" t="s">
        <v>29</v>
      </c>
      <c r="C20" s="9" t="s">
        <v>30</v>
      </c>
      <c r="D20" s="10">
        <f>'GS7336 ER Calcs'!O26</f>
        <v>3056</v>
      </c>
      <c r="E20" s="4"/>
      <c r="F20" s="4"/>
      <c r="G20" s="4"/>
      <c r="H20" s="4"/>
      <c r="I20" s="4"/>
      <c r="J20" s="4"/>
      <c r="K20" s="4"/>
      <c r="L20" s="4"/>
      <c r="M20" s="4"/>
      <c r="N20" s="2"/>
      <c r="O20" s="2"/>
      <c r="P20" s="2"/>
    </row>
    <row r="21" spans="1:16">
      <c r="A21" s="8" t="s">
        <v>31</v>
      </c>
      <c r="B21" s="9" t="s">
        <v>32</v>
      </c>
      <c r="C21" s="9" t="s">
        <v>30</v>
      </c>
      <c r="D21" s="14">
        <f>'GS7336 ER Calcs'!O27</f>
        <v>0</v>
      </c>
      <c r="E21" s="4"/>
      <c r="F21" s="4"/>
      <c r="G21" s="4"/>
      <c r="H21" s="4"/>
      <c r="I21" s="4"/>
      <c r="J21" s="4"/>
      <c r="K21" s="4"/>
      <c r="L21" s="4"/>
      <c r="M21" s="4"/>
      <c r="N21" s="2"/>
      <c r="O21" s="2"/>
      <c r="P21" s="2"/>
    </row>
    <row r="22" spans="1:16">
      <c r="A22" s="8" t="s">
        <v>33</v>
      </c>
      <c r="B22" s="9" t="s">
        <v>34</v>
      </c>
      <c r="C22" s="9" t="s">
        <v>35</v>
      </c>
      <c r="D22" s="14">
        <f>'GS7336 ER Calcs'!O28</f>
        <v>0.95</v>
      </c>
      <c r="E22" s="4"/>
      <c r="F22" s="4"/>
      <c r="G22" s="4"/>
      <c r="H22" s="4"/>
      <c r="I22" s="4"/>
      <c r="J22" s="4"/>
      <c r="K22" s="4"/>
      <c r="L22" s="4"/>
      <c r="M22" s="4"/>
      <c r="N22" s="2"/>
      <c r="O22" s="2"/>
      <c r="P22" s="2"/>
    </row>
    <row r="23" spans="1:16">
      <c r="A23" s="8" t="s">
        <v>36</v>
      </c>
      <c r="B23" s="9" t="s">
        <v>37</v>
      </c>
      <c r="C23" s="9" t="s">
        <v>30</v>
      </c>
      <c r="D23" s="14">
        <f>'GS7336 ER Calcs'!O29</f>
        <v>0</v>
      </c>
      <c r="E23" s="4"/>
      <c r="F23" s="4"/>
      <c r="G23" s="4"/>
      <c r="H23" s="4"/>
      <c r="I23" s="4"/>
      <c r="J23" s="4"/>
      <c r="K23" s="4"/>
      <c r="L23" s="4"/>
      <c r="M23" s="4"/>
      <c r="N23" s="2"/>
      <c r="O23" s="2"/>
      <c r="P23" s="2"/>
    </row>
    <row r="24" spans="1:16">
      <c r="A24" s="8" t="s">
        <v>38</v>
      </c>
      <c r="B24" s="9" t="s">
        <v>39</v>
      </c>
      <c r="C24" s="9" t="s">
        <v>30</v>
      </c>
      <c r="D24" s="10">
        <f>'GS7336 ER Calcs'!O30</f>
        <v>2903</v>
      </c>
      <c r="E24" s="4"/>
      <c r="F24" s="4"/>
      <c r="G24" s="4"/>
      <c r="H24" s="4"/>
      <c r="I24" s="4"/>
      <c r="J24" s="4"/>
      <c r="K24" s="4"/>
      <c r="L24" s="4"/>
      <c r="M24" s="4"/>
      <c r="N24" s="2"/>
      <c r="O24" s="2"/>
      <c r="P24" s="2"/>
    </row>
    <row r="25" spans="1:16">
      <c r="A25" s="518" t="s">
        <v>40</v>
      </c>
      <c r="B25" s="519"/>
      <c r="C25" s="519"/>
      <c r="D25" s="519"/>
      <c r="E25" s="4"/>
      <c r="F25" s="4"/>
      <c r="G25" s="4"/>
      <c r="H25" s="4"/>
      <c r="I25" s="4"/>
      <c r="J25" s="4"/>
      <c r="K25" s="4"/>
      <c r="L25" s="4"/>
      <c r="M25" s="4"/>
      <c r="N25" s="2"/>
      <c r="O25" s="2"/>
      <c r="P25" s="2"/>
    </row>
    <row r="26" spans="1:16">
      <c r="A26" s="15" t="s">
        <v>41</v>
      </c>
      <c r="B26" s="9"/>
      <c r="C26" s="16"/>
      <c r="D26" s="17">
        <f>'GS7336 ER Calcs'!O33</f>
        <v>1</v>
      </c>
      <c r="E26" s="4"/>
      <c r="F26" s="4"/>
      <c r="G26" s="4"/>
      <c r="H26" s="4"/>
      <c r="I26" s="4"/>
      <c r="J26" s="4"/>
      <c r="K26" s="4"/>
      <c r="L26" s="4"/>
      <c r="M26" s="4"/>
      <c r="N26" s="2"/>
      <c r="O26" s="2"/>
      <c r="P26" s="2"/>
    </row>
    <row r="27" spans="1:16">
      <c r="A27" s="15" t="s">
        <v>43</v>
      </c>
      <c r="B27" s="9" t="s">
        <v>42</v>
      </c>
      <c r="C27" s="16" t="s">
        <v>44</v>
      </c>
      <c r="D27" s="17">
        <f>'GS7336 ER Calcs'!O34</f>
        <v>0</v>
      </c>
      <c r="E27" s="4"/>
      <c r="F27" s="4"/>
      <c r="G27" s="4"/>
      <c r="H27" s="4"/>
      <c r="I27" s="4"/>
      <c r="J27" s="4"/>
      <c r="K27" s="4"/>
      <c r="L27" s="4"/>
      <c r="M27" s="4"/>
      <c r="N27" s="2"/>
      <c r="O27" s="2"/>
      <c r="P27" s="2"/>
    </row>
    <row r="28" spans="1:16" ht="15" thickBot="1">
      <c r="A28" s="21" t="s">
        <v>38</v>
      </c>
      <c r="B28" s="22" t="s">
        <v>39</v>
      </c>
      <c r="C28" s="22" t="s">
        <v>30</v>
      </c>
      <c r="D28" s="23">
        <f>'GS7336 ER Calcs'!O35</f>
        <v>2903</v>
      </c>
      <c r="E28" s="4"/>
      <c r="F28" s="4"/>
      <c r="G28" s="4"/>
      <c r="H28" s="4"/>
      <c r="I28" s="4"/>
      <c r="J28" s="4"/>
      <c r="K28" s="4"/>
      <c r="L28" s="4"/>
      <c r="M28" s="4"/>
      <c r="N28" s="2"/>
      <c r="O28" s="2"/>
      <c r="P28" s="2"/>
    </row>
    <row r="29" spans="1:16" ht="15" thickBot="1">
      <c r="A29" s="21" t="s">
        <v>45</v>
      </c>
      <c r="B29" s="22" t="s">
        <v>39</v>
      </c>
      <c r="C29" s="22" t="s">
        <v>30</v>
      </c>
      <c r="D29" s="23">
        <f>'GS7336 ER Calcs'!O37</f>
        <v>2903</v>
      </c>
      <c r="E29" s="4"/>
      <c r="F29" s="4"/>
      <c r="G29" s="4"/>
      <c r="H29" s="4"/>
      <c r="I29" s="4"/>
      <c r="J29" s="4"/>
      <c r="K29" s="4"/>
      <c r="L29" s="4"/>
      <c r="M29" s="4"/>
      <c r="N29" s="2"/>
      <c r="O29" s="2"/>
      <c r="P29" s="2"/>
    </row>
    <row r="30" spans="1:16" ht="15" thickBot="1">
      <c r="A30" s="2"/>
      <c r="B30" s="508"/>
      <c r="C30" s="508"/>
      <c r="D30" s="2"/>
      <c r="E30" s="4"/>
      <c r="F30" s="4"/>
      <c r="G30" s="4"/>
      <c r="H30" s="4"/>
      <c r="I30" s="4"/>
      <c r="J30" s="4"/>
      <c r="K30" s="4"/>
      <c r="L30" s="4"/>
      <c r="M30" s="4"/>
      <c r="N30" s="2"/>
      <c r="O30" s="2"/>
      <c r="P30" s="2"/>
    </row>
    <row r="31" spans="1:16" ht="15.65" customHeight="1">
      <c r="A31" s="509" t="s">
        <v>47</v>
      </c>
      <c r="B31" s="510"/>
      <c r="C31" s="510"/>
      <c r="D31" s="510"/>
      <c r="E31" s="2"/>
      <c r="F31" s="2"/>
      <c r="G31" s="507"/>
      <c r="H31" s="507"/>
      <c r="I31" s="2"/>
      <c r="J31" s="2"/>
      <c r="K31" s="2"/>
      <c r="L31" s="2"/>
      <c r="M31" s="2"/>
      <c r="N31" s="2"/>
      <c r="O31" s="2"/>
      <c r="P31" s="2"/>
    </row>
    <row r="32" spans="1:16">
      <c r="A32" s="511" t="s">
        <v>19</v>
      </c>
      <c r="B32" s="512"/>
      <c r="C32" s="512"/>
      <c r="D32" s="512"/>
      <c r="E32" s="2"/>
      <c r="F32" s="2"/>
      <c r="G32" s="507"/>
      <c r="H32" s="507"/>
      <c r="I32" s="2"/>
      <c r="J32" s="2"/>
      <c r="K32" s="2"/>
      <c r="L32" s="2"/>
      <c r="M32" s="2"/>
      <c r="N32" s="2"/>
      <c r="O32" s="2"/>
      <c r="P32" s="2"/>
    </row>
    <row r="33" spans="1:16" ht="14.5" customHeight="1">
      <c r="A33" s="513">
        <v>2022</v>
      </c>
      <c r="B33" s="514"/>
      <c r="C33" s="514"/>
      <c r="D33" s="25">
        <f>D16</f>
        <v>1710</v>
      </c>
      <c r="E33" s="2"/>
      <c r="F33" s="2"/>
      <c r="G33" s="507"/>
      <c r="H33" s="507"/>
      <c r="I33" s="2"/>
      <c r="J33" s="2"/>
      <c r="K33" s="2"/>
      <c r="L33" s="2"/>
      <c r="M33" s="2"/>
      <c r="N33" s="2"/>
      <c r="O33" s="2"/>
      <c r="P33" s="2"/>
    </row>
    <row r="34" spans="1:16" ht="15" thickBot="1">
      <c r="A34" s="515">
        <v>2023</v>
      </c>
      <c r="B34" s="516"/>
      <c r="C34" s="516"/>
      <c r="D34" s="26">
        <f>D29</f>
        <v>2903</v>
      </c>
      <c r="E34" s="2"/>
      <c r="F34" s="2"/>
      <c r="G34" s="507"/>
      <c r="H34" s="507"/>
      <c r="I34" s="2"/>
      <c r="J34" s="2"/>
      <c r="K34" s="2"/>
      <c r="L34" s="2"/>
      <c r="M34" s="2"/>
      <c r="N34" s="2"/>
      <c r="O34" s="2"/>
      <c r="P34" s="2"/>
    </row>
    <row r="35" spans="1:16" ht="15" thickBot="1">
      <c r="A35" s="27" t="s">
        <v>48</v>
      </c>
      <c r="B35" s="29"/>
      <c r="C35" s="30"/>
      <c r="D35" s="31">
        <f>SUM(D33:D34)</f>
        <v>4613</v>
      </c>
      <c r="E35" s="2"/>
      <c r="F35" s="2"/>
      <c r="G35" s="507"/>
      <c r="H35" s="507"/>
      <c r="I35" s="2"/>
      <c r="J35" s="2"/>
      <c r="K35" s="2"/>
      <c r="L35" s="2"/>
      <c r="M35" s="2"/>
      <c r="N35" s="2"/>
      <c r="O35" s="2"/>
      <c r="P35" s="2"/>
    </row>
  </sheetData>
  <mergeCells count="19">
    <mergeCell ref="G35:H35"/>
    <mergeCell ref="A32:D32"/>
    <mergeCell ref="G32:H32"/>
    <mergeCell ref="A33:C33"/>
    <mergeCell ref="G33:H33"/>
    <mergeCell ref="A34:C34"/>
    <mergeCell ref="G34:H34"/>
    <mergeCell ref="G31:H31"/>
    <mergeCell ref="A1:D1"/>
    <mergeCell ref="H1:N1"/>
    <mergeCell ref="A3:D3"/>
    <mergeCell ref="H3:N3"/>
    <mergeCell ref="A4:D4"/>
    <mergeCell ref="A12:D12"/>
    <mergeCell ref="A18:D18"/>
    <mergeCell ref="A19:D19"/>
    <mergeCell ref="A25:D25"/>
    <mergeCell ref="B30:C30"/>
    <mergeCell ref="A31:D31"/>
  </mergeCells>
  <phoneticPr fontId="15" type="noConversion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56E85-EC95-4A77-BBB8-F7DE12A0D360}">
  <dimension ref="A1:O23"/>
  <sheetViews>
    <sheetView topLeftCell="A14" workbookViewId="0">
      <selection activeCell="C19" sqref="C19"/>
    </sheetView>
  </sheetViews>
  <sheetFormatPr defaultRowHeight="14.5"/>
  <cols>
    <col min="1" max="1" width="25.54296875" bestFit="1" customWidth="1"/>
    <col min="2" max="2" width="17.26953125" bestFit="1" customWidth="1"/>
    <col min="3" max="3" width="14.26953125" customWidth="1"/>
    <col min="4" max="4" width="18.54296875" customWidth="1"/>
    <col min="5" max="5" width="13.453125" customWidth="1"/>
    <col min="6" max="6" width="17.1796875" bestFit="1" customWidth="1"/>
    <col min="7" max="7" width="15.1796875" bestFit="1" customWidth="1"/>
    <col min="8" max="8" width="14.26953125" customWidth="1"/>
    <col min="9" max="9" width="17.1796875" customWidth="1"/>
    <col min="11" max="11" width="11.1796875" customWidth="1"/>
    <col min="13" max="13" width="11.54296875" customWidth="1"/>
    <col min="15" max="15" width="12.453125" customWidth="1"/>
  </cols>
  <sheetData>
    <row r="1" spans="1:15" ht="43.5">
      <c r="A1" s="48" t="s">
        <v>0</v>
      </c>
      <c r="B1" s="49" t="s">
        <v>49</v>
      </c>
      <c r="C1" s="49" t="s">
        <v>50</v>
      </c>
      <c r="D1" s="49" t="s">
        <v>51</v>
      </c>
      <c r="E1" s="49" t="s">
        <v>52</v>
      </c>
      <c r="F1" s="49" t="s">
        <v>192</v>
      </c>
      <c r="G1" s="49" t="s">
        <v>53</v>
      </c>
      <c r="H1" s="50" t="s">
        <v>54</v>
      </c>
      <c r="I1" s="50" t="s">
        <v>11</v>
      </c>
      <c r="J1" s="2"/>
      <c r="K1" s="51" t="s">
        <v>55</v>
      </c>
      <c r="L1" s="52" t="s">
        <v>56</v>
      </c>
      <c r="M1" s="5" t="s">
        <v>57</v>
      </c>
      <c r="N1" s="53" t="s">
        <v>58</v>
      </c>
      <c r="O1" s="50" t="s">
        <v>59</v>
      </c>
    </row>
    <row r="2" spans="1:15" ht="15.5">
      <c r="A2" s="530" t="s">
        <v>416</v>
      </c>
      <c r="B2" s="9" t="s">
        <v>417</v>
      </c>
      <c r="C2" s="54" t="s">
        <v>418</v>
      </c>
      <c r="D2" s="9">
        <v>14.514799999999999</v>
      </c>
      <c r="E2" s="9">
        <v>38.680999999999997</v>
      </c>
      <c r="F2" s="55">
        <v>42733</v>
      </c>
      <c r="G2" s="9">
        <v>210</v>
      </c>
      <c r="H2" s="9">
        <v>799</v>
      </c>
      <c r="I2" s="476">
        <f>IF(H2&lt;371,H2,371)</f>
        <v>371</v>
      </c>
      <c r="J2" s="133"/>
      <c r="K2" s="233">
        <f>$E$19</f>
        <v>203.29999999999998</v>
      </c>
      <c r="L2" s="277">
        <f>K2*I2</f>
        <v>75424.299999999988</v>
      </c>
      <c r="M2" s="276">
        <f>$E$20</f>
        <v>344.84999999999997</v>
      </c>
      <c r="N2" s="278">
        <f>M2*I2</f>
        <v>127939.34999999999</v>
      </c>
      <c r="O2" s="279">
        <f>L2+N2</f>
        <v>203363.64999999997</v>
      </c>
    </row>
    <row r="3" spans="1:15" ht="15.5">
      <c r="A3" s="531"/>
      <c r="B3" s="9" t="s">
        <v>419</v>
      </c>
      <c r="C3" s="54" t="s">
        <v>420</v>
      </c>
      <c r="D3" s="9">
        <v>14.75765</v>
      </c>
      <c r="E3" s="9">
        <v>39.297879999999999</v>
      </c>
      <c r="F3" s="55">
        <v>42784</v>
      </c>
      <c r="G3" s="9">
        <v>198</v>
      </c>
      <c r="H3" s="9">
        <v>697</v>
      </c>
      <c r="I3" s="476">
        <f>IF(H3&lt;371,H3,371)</f>
        <v>371</v>
      </c>
      <c r="J3" s="133"/>
      <c r="K3" s="233">
        <f>$E$19</f>
        <v>203.29999999999998</v>
      </c>
      <c r="L3" s="277">
        <f t="shared" ref="L3:L6" si="0">K3*I3</f>
        <v>75424.299999999988</v>
      </c>
      <c r="M3" s="276">
        <f>$E$20</f>
        <v>344.84999999999997</v>
      </c>
      <c r="N3" s="278">
        <f t="shared" ref="N3:N6" si="1">M3*I3</f>
        <v>127939.34999999999</v>
      </c>
      <c r="O3" s="279">
        <f t="shared" ref="O3:O6" si="2">L3+N3</f>
        <v>203363.64999999997</v>
      </c>
    </row>
    <row r="4" spans="1:15" ht="15.5">
      <c r="A4" s="531"/>
      <c r="B4" s="9" t="s">
        <v>421</v>
      </c>
      <c r="C4" s="54" t="s">
        <v>422</v>
      </c>
      <c r="D4" s="9">
        <v>14.500529999999999</v>
      </c>
      <c r="E4" s="9">
        <v>39.279000000000003</v>
      </c>
      <c r="F4" s="55">
        <v>42791</v>
      </c>
      <c r="G4" s="57">
        <v>40</v>
      </c>
      <c r="H4" s="57">
        <v>120</v>
      </c>
      <c r="I4" s="476">
        <f>IF(H4&lt;371,H4,371)</f>
        <v>120</v>
      </c>
      <c r="J4" s="2"/>
      <c r="K4" s="233">
        <f>$E$19</f>
        <v>203.29999999999998</v>
      </c>
      <c r="L4" s="277">
        <f t="shared" si="0"/>
        <v>24395.999999999996</v>
      </c>
      <c r="M4" s="276">
        <f>$E$20</f>
        <v>344.84999999999997</v>
      </c>
      <c r="N4" s="278">
        <f t="shared" si="1"/>
        <v>41381.999999999993</v>
      </c>
      <c r="O4" s="279">
        <f t="shared" si="2"/>
        <v>65777.999999999985</v>
      </c>
    </row>
    <row r="5" spans="1:15" ht="15.5">
      <c r="A5" s="531"/>
      <c r="B5" s="9" t="s">
        <v>423</v>
      </c>
      <c r="C5" s="54" t="s">
        <v>424</v>
      </c>
      <c r="D5" s="9">
        <v>14.51118</v>
      </c>
      <c r="E5" s="9">
        <v>38.428269999999998</v>
      </c>
      <c r="F5" s="55">
        <v>42814</v>
      </c>
      <c r="G5" s="9">
        <v>203</v>
      </c>
      <c r="H5" s="9">
        <v>763</v>
      </c>
      <c r="I5" s="476">
        <f>IF(H5&lt;371,H5,371)</f>
        <v>371</v>
      </c>
      <c r="J5" s="133"/>
      <c r="K5" s="233">
        <f>$E$19</f>
        <v>203.29999999999998</v>
      </c>
      <c r="L5" s="277">
        <f t="shared" si="0"/>
        <v>75424.299999999988</v>
      </c>
      <c r="M5" s="276">
        <f>$E$20</f>
        <v>344.84999999999997</v>
      </c>
      <c r="N5" s="278">
        <f t="shared" si="1"/>
        <v>127939.34999999999</v>
      </c>
      <c r="O5" s="279">
        <f t="shared" si="2"/>
        <v>203363.64999999997</v>
      </c>
    </row>
    <row r="6" spans="1:15" ht="15.5">
      <c r="A6" s="532"/>
      <c r="B6" s="9" t="s">
        <v>425</v>
      </c>
      <c r="C6" s="9" t="s">
        <v>426</v>
      </c>
      <c r="D6" s="9">
        <v>14.53102</v>
      </c>
      <c r="E6" s="9">
        <v>38.556260000000002</v>
      </c>
      <c r="F6" s="55">
        <v>42817</v>
      </c>
      <c r="G6" s="9">
        <v>200</v>
      </c>
      <c r="H6" s="9">
        <v>788</v>
      </c>
      <c r="I6" s="476">
        <f>IF(H6&lt;371,H6,371)</f>
        <v>371</v>
      </c>
      <c r="J6" s="133"/>
      <c r="K6" s="233">
        <f>$E$19</f>
        <v>203.29999999999998</v>
      </c>
      <c r="L6" s="277">
        <f t="shared" si="0"/>
        <v>75424.299999999988</v>
      </c>
      <c r="M6" s="276">
        <f>$E$20</f>
        <v>344.84999999999997</v>
      </c>
      <c r="N6" s="278">
        <f t="shared" si="1"/>
        <v>127939.34999999999</v>
      </c>
      <c r="O6" s="279">
        <f t="shared" si="2"/>
        <v>203363.64999999997</v>
      </c>
    </row>
    <row r="7" spans="1:15" ht="15" thickBot="1">
      <c r="A7" s="118"/>
      <c r="B7" s="1"/>
      <c r="C7" s="2"/>
      <c r="D7" s="2"/>
      <c r="E7" s="2"/>
      <c r="F7" s="62"/>
      <c r="G7" s="174" t="s">
        <v>13</v>
      </c>
      <c r="H7" s="175">
        <f>SUM(H2:H6)</f>
        <v>3167</v>
      </c>
      <c r="I7" s="175">
        <f>SUM(I2:I6)</f>
        <v>1604</v>
      </c>
      <c r="J7" s="2"/>
      <c r="K7" s="282"/>
      <c r="L7" s="283">
        <f>SUM(L2:L6)</f>
        <v>326093.19999999995</v>
      </c>
      <c r="M7" s="284"/>
      <c r="N7" s="286">
        <f>SUM(N2:N6)</f>
        <v>553139.39999999991</v>
      </c>
      <c r="O7" s="286">
        <f>SUM(O2:O6)</f>
        <v>879232.59999999986</v>
      </c>
    </row>
    <row r="8" spans="1:15">
      <c r="C8" s="2"/>
      <c r="D8" s="2"/>
      <c r="E8" s="2"/>
      <c r="F8" s="2"/>
      <c r="G8" s="2"/>
      <c r="H8" s="2"/>
      <c r="I8" s="2"/>
      <c r="J8" s="2"/>
      <c r="K8" s="282"/>
      <c r="L8" s="282"/>
      <c r="M8" s="282"/>
      <c r="N8" s="282"/>
      <c r="O8" s="282"/>
    </row>
    <row r="9" spans="1:15" ht="15" thickBot="1">
      <c r="C9" s="2"/>
      <c r="D9" s="2"/>
      <c r="E9" s="2"/>
      <c r="F9" s="2"/>
      <c r="G9" s="2"/>
      <c r="H9" s="2"/>
      <c r="I9" s="2"/>
      <c r="J9" s="2"/>
      <c r="K9" s="282"/>
      <c r="L9" s="282"/>
      <c r="M9" s="282"/>
      <c r="N9" s="282"/>
      <c r="O9" s="282"/>
    </row>
    <row r="10" spans="1:15" ht="44.5">
      <c r="C10" s="67"/>
      <c r="D10" s="73"/>
      <c r="E10" s="2"/>
      <c r="F10" s="2"/>
      <c r="G10" s="2"/>
      <c r="H10" s="2"/>
      <c r="I10" s="2"/>
      <c r="J10" s="2"/>
      <c r="K10" s="51" t="s">
        <v>55</v>
      </c>
      <c r="L10" s="52" t="s">
        <v>56</v>
      </c>
      <c r="M10" s="5" t="s">
        <v>57</v>
      </c>
      <c r="N10" s="53" t="s">
        <v>58</v>
      </c>
      <c r="O10" s="288" t="s">
        <v>59</v>
      </c>
    </row>
    <row r="11" spans="1:15" ht="58" customHeight="1" thickBot="1">
      <c r="A11" s="2"/>
      <c r="B11" s="66" t="s">
        <v>76</v>
      </c>
      <c r="C11" s="2"/>
      <c r="D11" s="541"/>
      <c r="E11" s="542"/>
      <c r="F11" s="543"/>
      <c r="G11" s="543"/>
      <c r="H11" s="525"/>
      <c r="I11" s="525"/>
      <c r="J11" s="24"/>
      <c r="K11" s="233">
        <f>$E$19</f>
        <v>203.29999999999998</v>
      </c>
      <c r="L11" s="277">
        <f>K11*H2</f>
        <v>162436.69999999998</v>
      </c>
      <c r="M11" s="276">
        <f>$E$20</f>
        <v>344.84999999999997</v>
      </c>
      <c r="N11" s="278">
        <f>H2*M11</f>
        <v>275535.14999999997</v>
      </c>
      <c r="O11" s="279">
        <f>L11+N11</f>
        <v>437971.85</v>
      </c>
    </row>
    <row r="12" spans="1:15">
      <c r="A12" s="350" t="s">
        <v>364</v>
      </c>
      <c r="B12" s="351">
        <v>44713</v>
      </c>
      <c r="C12" s="2"/>
      <c r="D12" s="541"/>
      <c r="E12" s="542"/>
      <c r="F12" s="543"/>
      <c r="G12" s="543"/>
      <c r="H12" s="525"/>
      <c r="I12" s="525"/>
      <c r="J12" s="24"/>
      <c r="K12" s="233">
        <f>$E$19</f>
        <v>203.29999999999998</v>
      </c>
      <c r="L12" s="277">
        <f t="shared" ref="L12:L15" si="3">K12*H3</f>
        <v>141700.09999999998</v>
      </c>
      <c r="M12" s="276">
        <f>$E$20</f>
        <v>344.84999999999997</v>
      </c>
      <c r="N12" s="278">
        <f t="shared" ref="N12:N15" si="4">H3*M12</f>
        <v>240360.44999999998</v>
      </c>
      <c r="O12" s="279">
        <f t="shared" ref="O12:O15" si="5">L12+N12</f>
        <v>382060.54999999993</v>
      </c>
    </row>
    <row r="13" spans="1:15">
      <c r="A13" s="352" t="s">
        <v>365</v>
      </c>
      <c r="B13" s="353">
        <v>45289</v>
      </c>
      <c r="C13" s="2"/>
      <c r="D13" s="72"/>
      <c r="E13" s="67"/>
      <c r="J13" s="2"/>
      <c r="K13" s="233">
        <f>$E$19</f>
        <v>203.29999999999998</v>
      </c>
      <c r="L13" s="277">
        <f t="shared" si="3"/>
        <v>24395.999999999996</v>
      </c>
      <c r="M13" s="276">
        <f>$E$20</f>
        <v>344.84999999999997</v>
      </c>
      <c r="N13" s="278">
        <f t="shared" si="4"/>
        <v>41381.999999999993</v>
      </c>
      <c r="O13" s="279">
        <f t="shared" si="5"/>
        <v>65777.999999999985</v>
      </c>
    </row>
    <row r="14" spans="1:15" ht="15" thickBot="1">
      <c r="A14" s="354" t="s">
        <v>79</v>
      </c>
      <c r="B14" s="355">
        <v>44926</v>
      </c>
      <c r="C14" s="2"/>
      <c r="D14" s="72"/>
      <c r="E14" s="67"/>
      <c r="J14" s="2"/>
      <c r="K14" s="233">
        <f>$E$19</f>
        <v>203.29999999999998</v>
      </c>
      <c r="L14" s="277">
        <f t="shared" si="3"/>
        <v>155117.9</v>
      </c>
      <c r="M14" s="276">
        <f>$E$20</f>
        <v>344.84999999999997</v>
      </c>
      <c r="N14" s="278">
        <f t="shared" si="4"/>
        <v>263120.55</v>
      </c>
      <c r="O14" s="279">
        <f t="shared" si="5"/>
        <v>418238.44999999995</v>
      </c>
    </row>
    <row r="15" spans="1:15">
      <c r="C15" s="2"/>
      <c r="D15" s="2"/>
      <c r="E15" s="67"/>
      <c r="J15" s="2"/>
      <c r="K15" s="233">
        <f>$E$19</f>
        <v>203.29999999999998</v>
      </c>
      <c r="L15" s="277">
        <f t="shared" si="3"/>
        <v>160200.4</v>
      </c>
      <c r="M15" s="276">
        <f>$E$20</f>
        <v>344.84999999999997</v>
      </c>
      <c r="N15" s="278">
        <f t="shared" si="4"/>
        <v>271741.8</v>
      </c>
      <c r="O15" s="279">
        <f t="shared" si="5"/>
        <v>431942.19999999995</v>
      </c>
    </row>
    <row r="16" spans="1:15" ht="15" thickBot="1">
      <c r="C16" s="2"/>
      <c r="G16" s="2"/>
      <c r="H16" s="2"/>
      <c r="I16" s="2"/>
      <c r="J16" s="2"/>
      <c r="K16" s="282"/>
      <c r="L16" s="283">
        <f>SUM(L11:L15)</f>
        <v>643851.1</v>
      </c>
      <c r="M16" s="283"/>
      <c r="N16" s="283">
        <f t="shared" ref="N16:O16" si="6">SUM(N11:N15)</f>
        <v>1092139.95</v>
      </c>
      <c r="O16" s="283">
        <f t="shared" si="6"/>
        <v>1735991.0499999998</v>
      </c>
    </row>
    <row r="17" spans="1:15" ht="15" thickBot="1">
      <c r="A17" s="61"/>
      <c r="B17" s="66" t="s">
        <v>81</v>
      </c>
      <c r="C17" s="2"/>
      <c r="G17" s="2"/>
      <c r="H17" s="2"/>
      <c r="I17" s="2"/>
      <c r="J17" s="2"/>
      <c r="K17" s="282"/>
      <c r="L17" s="282"/>
      <c r="M17" s="282"/>
      <c r="N17" s="282"/>
      <c r="O17" s="282"/>
    </row>
    <row r="18" spans="1:15" ht="43.5">
      <c r="A18" s="68" t="s">
        <v>82</v>
      </c>
      <c r="B18" s="74">
        <v>27.4</v>
      </c>
      <c r="C18" s="57" t="s">
        <v>8</v>
      </c>
      <c r="D18" s="132" t="s">
        <v>83</v>
      </c>
      <c r="E18" s="338" t="s">
        <v>84</v>
      </c>
      <c r="F18" s="198" t="s">
        <v>226</v>
      </c>
      <c r="G18" s="2"/>
      <c r="H18" s="2"/>
      <c r="I18" s="2"/>
      <c r="J18" s="2"/>
      <c r="K18" s="282"/>
      <c r="L18" s="282"/>
      <c r="M18" s="282"/>
      <c r="N18" s="282"/>
      <c r="O18" s="282"/>
    </row>
    <row r="19" spans="1:15">
      <c r="A19" s="75" t="s">
        <v>86</v>
      </c>
      <c r="B19" s="76">
        <f>B14-B12+1</f>
        <v>214</v>
      </c>
      <c r="C19" s="57">
        <f>'Maintenance '!BI106/($B19*COUNTA(B2:B6))</f>
        <v>0</v>
      </c>
      <c r="D19" s="196">
        <v>0.95</v>
      </c>
      <c r="E19" s="235">
        <f>F19*D19</f>
        <v>203.29999999999998</v>
      </c>
      <c r="F19" s="57">
        <f>B19</f>
        <v>214</v>
      </c>
      <c r="G19" s="2"/>
      <c r="H19" s="2"/>
      <c r="I19" s="2"/>
      <c r="J19" s="2"/>
      <c r="K19" s="2"/>
      <c r="L19" s="2"/>
      <c r="M19" s="2"/>
      <c r="N19" s="2"/>
      <c r="O19" s="2"/>
    </row>
    <row r="20" spans="1:15" ht="15" thickBot="1">
      <c r="A20" s="78" t="s">
        <v>87</v>
      </c>
      <c r="B20" s="79">
        <f>B13-B14</f>
        <v>363</v>
      </c>
      <c r="C20" s="57">
        <f>'Maintenance '!BJ106/($B20*COUNTA(B2:B6))</f>
        <v>0</v>
      </c>
      <c r="D20" s="196">
        <v>0.95</v>
      </c>
      <c r="E20" s="235">
        <f>F20*D20</f>
        <v>344.84999999999997</v>
      </c>
      <c r="F20" s="57">
        <f>B20</f>
        <v>363</v>
      </c>
    </row>
    <row r="21" spans="1:15" ht="15" thickBot="1">
      <c r="A21" s="63" t="s">
        <v>88</v>
      </c>
      <c r="B21" s="80">
        <v>365</v>
      </c>
      <c r="C21" s="227">
        <f>SUM(C19:C20)</f>
        <v>0</v>
      </c>
      <c r="D21" s="57"/>
      <c r="E21" s="57"/>
      <c r="F21" s="57"/>
    </row>
    <row r="23" spans="1:15">
      <c r="A23" s="222" t="s">
        <v>350</v>
      </c>
      <c r="B23" s="223">
        <f>B21*COUNTA(B2:B6)</f>
        <v>1825</v>
      </c>
      <c r="C23" s="203">
        <f>'Maintenance '!BL106/B23</f>
        <v>0</v>
      </c>
    </row>
  </sheetData>
  <mergeCells count="7">
    <mergeCell ref="I11:I12"/>
    <mergeCell ref="A2:A6"/>
    <mergeCell ref="D11:D12"/>
    <mergeCell ref="E11:E12"/>
    <mergeCell ref="F11:F12"/>
    <mergeCell ref="G11:G12"/>
    <mergeCell ref="H11:H12"/>
  </mergeCells>
  <pageMargins left="0.7" right="0.7" top="0.75" bottom="0.75" header="0.3" footer="0.3"/>
  <pageSetup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0102-B992-484C-A427-0D74DFE8E838}">
  <dimension ref="A1:O39"/>
  <sheetViews>
    <sheetView workbookViewId="0">
      <selection activeCell="D37" sqref="D37"/>
    </sheetView>
  </sheetViews>
  <sheetFormatPr defaultRowHeight="14.5"/>
  <cols>
    <col min="1" max="1" width="77.1796875" customWidth="1"/>
    <col min="2" max="2" width="7.81640625" customWidth="1"/>
    <col min="3" max="3" width="7.453125" customWidth="1"/>
    <col min="4" max="4" width="8.1796875" customWidth="1"/>
    <col min="5" max="5" width="29.1796875" customWidth="1"/>
    <col min="7" max="7" width="77.1796875" bestFit="1" customWidth="1"/>
    <col min="8" max="8" width="15.7265625" bestFit="1" customWidth="1"/>
    <col min="9" max="9" width="10" bestFit="1" customWidth="1"/>
    <col min="10" max="10" width="7.81640625" bestFit="1" customWidth="1"/>
    <col min="12" max="12" width="77.1796875" bestFit="1" customWidth="1"/>
    <col min="13" max="13" width="15.7265625" bestFit="1" customWidth="1"/>
    <col min="14" max="14" width="10" bestFit="1" customWidth="1"/>
    <col min="15" max="15" width="7.81640625" bestFit="1" customWidth="1"/>
  </cols>
  <sheetData>
    <row r="1" spans="1:15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</row>
    <row r="4" spans="1:15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</row>
    <row r="5" spans="1:15" ht="29">
      <c r="A5" s="9" t="s">
        <v>96</v>
      </c>
      <c r="B5" s="9" t="s">
        <v>97</v>
      </c>
      <c r="C5" s="9"/>
      <c r="D5" s="87">
        <f>'GS7336 PTDs'!O7</f>
        <v>879232.59999999986</v>
      </c>
      <c r="E5" s="85" t="s">
        <v>98</v>
      </c>
      <c r="F5" s="2"/>
      <c r="G5" s="9" t="s">
        <v>96</v>
      </c>
      <c r="H5" s="9" t="s">
        <v>97</v>
      </c>
      <c r="I5" s="9"/>
      <c r="J5" s="87">
        <f>'GS7336 PTDs'!L7</f>
        <v>326093.19999999995</v>
      </c>
      <c r="K5" s="2"/>
      <c r="L5" s="9" t="s">
        <v>96</v>
      </c>
      <c r="M5" s="9" t="s">
        <v>97</v>
      </c>
      <c r="N5" s="9"/>
      <c r="O5" s="87">
        <f>'GS7336 PTDs'!N7</f>
        <v>553139.39999999991</v>
      </c>
    </row>
    <row r="6" spans="1:15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</row>
    <row r="7" spans="1:15" ht="29">
      <c r="A7" s="88" t="s">
        <v>103</v>
      </c>
      <c r="B7" s="9" t="s">
        <v>104</v>
      </c>
      <c r="C7" s="9" t="s">
        <v>105</v>
      </c>
      <c r="D7" s="86">
        <v>7.5</v>
      </c>
      <c r="E7" s="85" t="s">
        <v>106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</row>
    <row r="8" spans="1:15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</row>
    <row r="9" spans="1:15">
      <c r="A9" s="9" t="s">
        <v>110</v>
      </c>
      <c r="B9" s="9" t="s">
        <v>111</v>
      </c>
      <c r="C9" s="9" t="s">
        <v>112</v>
      </c>
      <c r="D9" s="86">
        <f>ROUNDDOWN((1-D4)*D5*D6*(D7+D8),0)</f>
        <v>2637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978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1659</v>
      </c>
    </row>
    <row r="10" spans="1:15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</row>
    <row r="12" spans="1:15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</row>
    <row r="13" spans="1:15" ht="29">
      <c r="A13" s="9" t="s">
        <v>427</v>
      </c>
      <c r="B13" s="9" t="s">
        <v>97</v>
      </c>
      <c r="C13" s="9"/>
      <c r="D13" s="87">
        <f>D5</f>
        <v>879232.59999999986</v>
      </c>
      <c r="E13" s="85" t="s">
        <v>115</v>
      </c>
      <c r="F13" s="2"/>
      <c r="G13" s="9" t="s">
        <v>96</v>
      </c>
      <c r="H13" s="9" t="s">
        <v>97</v>
      </c>
      <c r="I13" s="9"/>
      <c r="J13" s="87">
        <f>J5</f>
        <v>326093.19999999995</v>
      </c>
      <c r="K13" s="2"/>
      <c r="L13" s="9" t="s">
        <v>96</v>
      </c>
      <c r="M13" s="9" t="s">
        <v>97</v>
      </c>
      <c r="N13" s="9"/>
      <c r="O13" s="87">
        <f>O5</f>
        <v>553139.39999999991</v>
      </c>
    </row>
    <row r="14" spans="1:15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</row>
    <row r="15" spans="1:15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</row>
    <row r="16" spans="1:15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</row>
    <row r="17" spans="1:15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121</v>
      </c>
      <c r="M17" s="9" t="s">
        <v>122</v>
      </c>
      <c r="N17" s="9" t="s">
        <v>112</v>
      </c>
      <c r="O17" s="86">
        <f>ROUNDDOWN((1+O12)*O13*O14*(O16+O16),0)</f>
        <v>0</v>
      </c>
    </row>
    <row r="18" spans="1:15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</row>
    <row r="20" spans="1:15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</row>
    <row r="21" spans="1:15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</row>
    <row r="22" spans="1:15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D22</f>
        <v>9.4600000000000009</v>
      </c>
    </row>
    <row r="23" spans="1:15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</row>
    <row r="24" spans="1:15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</row>
    <row r="26" spans="1:15">
      <c r="A26" s="9" t="s">
        <v>28</v>
      </c>
      <c r="B26" s="9" t="s">
        <v>29</v>
      </c>
      <c r="C26" s="9" t="s">
        <v>30</v>
      </c>
      <c r="D26" s="87">
        <f>ROUNDDOWN(D9*((D20*D21)+D22)*D23,0)</f>
        <v>4858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1801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3056</v>
      </c>
    </row>
    <row r="27" spans="1:15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O17*((O20*O21)+O22)*O230</f>
        <v>0</v>
      </c>
    </row>
    <row r="28" spans="1:15" ht="29">
      <c r="A28" s="9" t="s">
        <v>33</v>
      </c>
      <c r="B28" s="9" t="s">
        <v>34</v>
      </c>
      <c r="C28" s="9" t="s">
        <v>35</v>
      </c>
      <c r="D28" s="86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6">
        <f>D28</f>
        <v>0.95</v>
      </c>
      <c r="K28" s="2"/>
      <c r="L28" s="9" t="s">
        <v>33</v>
      </c>
      <c r="M28" s="9" t="s">
        <v>34</v>
      </c>
      <c r="N28" s="9" t="s">
        <v>35</v>
      </c>
      <c r="O28" s="86">
        <f>D28</f>
        <v>0.95</v>
      </c>
    </row>
    <row r="29" spans="1:15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</row>
    <row r="30" spans="1:15">
      <c r="A30" s="9" t="s">
        <v>90</v>
      </c>
      <c r="B30" s="9" t="s">
        <v>39</v>
      </c>
      <c r="C30" s="9" t="s">
        <v>30</v>
      </c>
      <c r="D30" s="86">
        <f>ROUNDDOWN(((D26-D27)*D28)-D29,0)</f>
        <v>4615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1710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2903</v>
      </c>
    </row>
    <row r="31" spans="1:15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</row>
    <row r="33" spans="1:15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M33" s="9"/>
      <c r="N33" s="16"/>
      <c r="O33" s="91">
        <v>1</v>
      </c>
    </row>
    <row r="34" spans="1:15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</row>
    <row r="35" spans="1:15">
      <c r="A35" s="93" t="s">
        <v>140</v>
      </c>
      <c r="B35" s="94" t="s">
        <v>39</v>
      </c>
      <c r="C35" s="95" t="s">
        <v>30</v>
      </c>
      <c r="D35" s="246">
        <f>ROUNDDOWN(D30*(1-D34),0)</f>
        <v>4615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1710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2903</v>
      </c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93" t="s">
        <v>141</v>
      </c>
      <c r="B37" s="94"/>
      <c r="C37" s="95" t="s">
        <v>30</v>
      </c>
      <c r="D37" s="96">
        <f>J37+O37</f>
        <v>4613</v>
      </c>
      <c r="E37" s="2"/>
      <c r="F37" s="2"/>
      <c r="G37" s="93" t="s">
        <v>141</v>
      </c>
      <c r="H37" s="94"/>
      <c r="I37" s="95" t="s">
        <v>30</v>
      </c>
      <c r="J37" s="96">
        <f>IF(J35&gt;'GS7336 PTDs'!B18*'GS7336 PTDs'!B19,'GS7336 PTDs'!B18*'GS7336 PTDs'!B19,'GS7336 ER Calcs'!J35)</f>
        <v>1710</v>
      </c>
      <c r="K37" s="2"/>
      <c r="L37" s="93" t="s">
        <v>141</v>
      </c>
      <c r="M37" s="94"/>
      <c r="N37" s="95" t="s">
        <v>30</v>
      </c>
      <c r="O37" s="96">
        <f>IF(O35&gt;'GS7336 PTDs'!B18*'GS7336 PTDs'!B20,'GS7336 PTDs'!B18*'GS7336 PTDs'!B20,'GS7336 ER Calcs'!O35)</f>
        <v>2903</v>
      </c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" t="s">
        <v>142</v>
      </c>
      <c r="B39" s="2"/>
      <c r="C39" s="2"/>
      <c r="D39" s="2"/>
      <c r="E39" s="2"/>
      <c r="F39" s="2"/>
      <c r="G39" s="1" t="s">
        <v>142</v>
      </c>
      <c r="H39" s="2"/>
      <c r="I39" s="2"/>
      <c r="J39" s="2"/>
      <c r="K39" s="2"/>
      <c r="L39" s="1" t="s">
        <v>142</v>
      </c>
      <c r="M39" s="2"/>
      <c r="N39" s="2"/>
      <c r="O39" s="2"/>
    </row>
  </sheetData>
  <mergeCells count="18">
    <mergeCell ref="A25:D25"/>
    <mergeCell ref="G25:J25"/>
    <mergeCell ref="L25:O25"/>
    <mergeCell ref="A32:D32"/>
    <mergeCell ref="G32:J32"/>
    <mergeCell ref="L32:O32"/>
    <mergeCell ref="A11:D11"/>
    <mergeCell ref="G11:J11"/>
    <mergeCell ref="L11:O11"/>
    <mergeCell ref="A19:D19"/>
    <mergeCell ref="G19:J19"/>
    <mergeCell ref="L19:O19"/>
    <mergeCell ref="A1:D1"/>
    <mergeCell ref="G1:J1"/>
    <mergeCell ref="L1:O1"/>
    <mergeCell ref="A3:D3"/>
    <mergeCell ref="G3:J3"/>
    <mergeCell ref="L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397DC-F033-40A0-9D0E-64227E48093D}">
  <dimension ref="A1:P27"/>
  <sheetViews>
    <sheetView workbookViewId="0">
      <selection activeCell="F20" sqref="F20"/>
    </sheetView>
  </sheetViews>
  <sheetFormatPr defaultRowHeight="14.5"/>
  <cols>
    <col min="1" max="2" width="25.54296875" bestFit="1" customWidth="1"/>
    <col min="3" max="3" width="13.7265625" bestFit="1" customWidth="1"/>
    <col min="4" max="4" width="18.7265625" style="127" customWidth="1"/>
    <col min="5" max="5" width="15.81640625" customWidth="1"/>
    <col min="6" max="6" width="17.1796875" bestFit="1" customWidth="1"/>
    <col min="7" max="7" width="15.1796875" bestFit="1" customWidth="1"/>
    <col min="8" max="8" width="13.7265625" customWidth="1"/>
    <col min="9" max="9" width="17.453125" customWidth="1"/>
    <col min="11" max="11" width="10.81640625" customWidth="1"/>
    <col min="12" max="12" width="10.1796875" customWidth="1"/>
    <col min="13" max="13" width="10.54296875" customWidth="1"/>
    <col min="14" max="14" width="9.453125" bestFit="1" customWidth="1"/>
    <col min="15" max="15" width="8.81640625" bestFit="1" customWidth="1"/>
  </cols>
  <sheetData>
    <row r="1" spans="1:16" ht="43.5">
      <c r="A1" s="48" t="s">
        <v>0</v>
      </c>
      <c r="B1" s="49" t="s">
        <v>49</v>
      </c>
      <c r="C1" s="49" t="s">
        <v>50</v>
      </c>
      <c r="D1" s="126" t="s">
        <v>51</v>
      </c>
      <c r="E1" s="49" t="s">
        <v>52</v>
      </c>
      <c r="F1" s="49" t="s">
        <v>192</v>
      </c>
      <c r="G1" s="49" t="s">
        <v>53</v>
      </c>
      <c r="H1" s="50" t="s">
        <v>54</v>
      </c>
      <c r="I1" s="50" t="s">
        <v>193</v>
      </c>
      <c r="J1" s="112"/>
      <c r="K1" s="51" t="s">
        <v>55</v>
      </c>
      <c r="L1" s="52" t="s">
        <v>56</v>
      </c>
      <c r="M1" s="5" t="s">
        <v>57</v>
      </c>
      <c r="N1" s="53" t="s">
        <v>58</v>
      </c>
      <c r="O1" s="50" t="s">
        <v>59</v>
      </c>
    </row>
    <row r="2" spans="1:16" ht="15.5">
      <c r="A2" s="530" t="s">
        <v>194</v>
      </c>
      <c r="B2" s="9" t="s">
        <v>195</v>
      </c>
      <c r="C2" s="54" t="s">
        <v>196</v>
      </c>
      <c r="D2" s="54">
        <v>14.586130000000001</v>
      </c>
      <c r="E2" s="9">
        <v>39.395229999999998</v>
      </c>
      <c r="F2" s="55">
        <v>42663</v>
      </c>
      <c r="G2" s="9">
        <v>124</v>
      </c>
      <c r="H2" s="9">
        <v>477</v>
      </c>
      <c r="I2" s="476">
        <f>IF(H2&lt;371,H2,371)</f>
        <v>371</v>
      </c>
      <c r="J2" s="9"/>
      <c r="K2" s="233">
        <f>$E$19</f>
        <v>203.29999999999998</v>
      </c>
      <c r="L2" s="277">
        <f>K2*I2</f>
        <v>75424.299999999988</v>
      </c>
      <c r="M2" s="276">
        <f>$E$20</f>
        <v>278.34999999999997</v>
      </c>
      <c r="N2" s="278">
        <f>I2*M2</f>
        <v>103267.84999999999</v>
      </c>
      <c r="O2" s="279">
        <f>L2+N2</f>
        <v>178692.14999999997</v>
      </c>
    </row>
    <row r="3" spans="1:16" ht="15.5">
      <c r="A3" s="531"/>
      <c r="B3" s="9" t="s">
        <v>197</v>
      </c>
      <c r="C3" s="54" t="s">
        <v>198</v>
      </c>
      <c r="D3" s="54">
        <v>14.6051</v>
      </c>
      <c r="E3" s="9">
        <v>39.37565</v>
      </c>
      <c r="F3" s="55">
        <v>42664</v>
      </c>
      <c r="G3" s="9">
        <v>59</v>
      </c>
      <c r="H3" s="9">
        <v>232</v>
      </c>
      <c r="I3" s="476">
        <f>IF(H3&lt;326,H3,326)</f>
        <v>232</v>
      </c>
      <c r="J3" s="9"/>
      <c r="K3" s="233">
        <f>$E$19</f>
        <v>203.29999999999998</v>
      </c>
      <c r="L3" s="277">
        <f t="shared" ref="L3:L6" si="0">K3*I3</f>
        <v>47165.599999999999</v>
      </c>
      <c r="M3" s="276">
        <f>$E$20</f>
        <v>278.34999999999997</v>
      </c>
      <c r="N3" s="278">
        <f t="shared" ref="N3:N6" si="1">I3*M3</f>
        <v>64577.19999999999</v>
      </c>
      <c r="O3" s="279">
        <f t="shared" ref="O3:O6" si="2">L3+N3</f>
        <v>111742.79999999999</v>
      </c>
    </row>
    <row r="4" spans="1:16" ht="15.5">
      <c r="A4" s="531"/>
      <c r="B4" s="9" t="s">
        <v>199</v>
      </c>
      <c r="C4" s="9" t="s">
        <v>200</v>
      </c>
      <c r="D4" s="54">
        <v>14.57931</v>
      </c>
      <c r="E4" s="9">
        <v>39.381399999999999</v>
      </c>
      <c r="F4" s="55">
        <v>42664</v>
      </c>
      <c r="G4" s="9">
        <v>119</v>
      </c>
      <c r="H4" s="9">
        <v>483</v>
      </c>
      <c r="I4" s="476">
        <f>IF(H4&lt;340,H4,340)</f>
        <v>340</v>
      </c>
      <c r="J4" s="9"/>
      <c r="K4" s="233">
        <f>$E$19</f>
        <v>203.29999999999998</v>
      </c>
      <c r="L4" s="277">
        <f t="shared" si="0"/>
        <v>69122</v>
      </c>
      <c r="M4" s="276">
        <f>$E$20</f>
        <v>278.34999999999997</v>
      </c>
      <c r="N4" s="278">
        <f t="shared" si="1"/>
        <v>94638.999999999985</v>
      </c>
      <c r="O4" s="279">
        <f t="shared" si="2"/>
        <v>163761</v>
      </c>
    </row>
    <row r="5" spans="1:16" ht="15.5">
      <c r="A5" s="531"/>
      <c r="B5" s="9" t="s">
        <v>201</v>
      </c>
      <c r="C5" s="9" t="s">
        <v>202</v>
      </c>
      <c r="D5" s="54">
        <v>14.531459999999999</v>
      </c>
      <c r="E5" s="9">
        <v>39.486640000000001</v>
      </c>
      <c r="F5" s="55">
        <v>42667</v>
      </c>
      <c r="G5" s="9">
        <v>108</v>
      </c>
      <c r="H5" s="9">
        <v>352</v>
      </c>
      <c r="I5" s="476">
        <f>IF(H5&lt;371,H5,371)</f>
        <v>352</v>
      </c>
      <c r="J5" s="9"/>
      <c r="K5" s="233">
        <f>$E$19</f>
        <v>203.29999999999998</v>
      </c>
      <c r="L5" s="277">
        <f t="shared" si="0"/>
        <v>71561.599999999991</v>
      </c>
      <c r="M5" s="276">
        <f>$E$20</f>
        <v>278.34999999999997</v>
      </c>
      <c r="N5" s="278">
        <f t="shared" si="1"/>
        <v>97979.199999999983</v>
      </c>
      <c r="O5" s="279">
        <f t="shared" si="2"/>
        <v>169540.8</v>
      </c>
    </row>
    <row r="6" spans="1:16" ht="15.5">
      <c r="A6" s="532"/>
      <c r="B6" s="9" t="s">
        <v>203</v>
      </c>
      <c r="C6" s="9" t="s">
        <v>204</v>
      </c>
      <c r="D6" s="58">
        <v>14.557</v>
      </c>
      <c r="E6" s="58">
        <v>38.75309</v>
      </c>
      <c r="F6" s="55">
        <v>42729</v>
      </c>
      <c r="G6" s="9">
        <v>228</v>
      </c>
      <c r="H6" s="9">
        <v>787</v>
      </c>
      <c r="I6" s="476">
        <f>IF(H6&lt;323,H6,323)</f>
        <v>323</v>
      </c>
      <c r="J6" s="9"/>
      <c r="K6" s="233">
        <f>$E$19</f>
        <v>203.29999999999998</v>
      </c>
      <c r="L6" s="277">
        <f t="shared" si="0"/>
        <v>65665.899999999994</v>
      </c>
      <c r="M6" s="276">
        <f>$E$20</f>
        <v>278.34999999999997</v>
      </c>
      <c r="N6" s="278">
        <f t="shared" si="1"/>
        <v>89907.049999999988</v>
      </c>
      <c r="O6" s="279">
        <f t="shared" si="2"/>
        <v>155572.94999999998</v>
      </c>
    </row>
    <row r="7" spans="1:16" ht="15" thickBot="1">
      <c r="A7" s="118"/>
      <c r="B7" s="1"/>
      <c r="C7" s="2"/>
      <c r="D7" s="72"/>
      <c r="E7" s="2"/>
      <c r="F7" s="62"/>
      <c r="G7" s="63" t="s">
        <v>13</v>
      </c>
      <c r="H7" s="64">
        <f>SUM(H2:H6)</f>
        <v>2331</v>
      </c>
      <c r="I7" s="64">
        <f>SUM(I2:I6)</f>
        <v>1618</v>
      </c>
      <c r="J7" s="61"/>
      <c r="K7" s="297"/>
      <c r="L7" s="295">
        <f>SUM(L2:L6)</f>
        <v>328939.40000000002</v>
      </c>
      <c r="M7" s="293"/>
      <c r="N7" s="293">
        <f t="shared" ref="N7:O7" si="3">SUM(N2:N6)</f>
        <v>450370.3</v>
      </c>
      <c r="O7" s="294">
        <f t="shared" si="3"/>
        <v>779309.7</v>
      </c>
      <c r="P7" t="s">
        <v>205</v>
      </c>
    </row>
    <row r="8" spans="1:16">
      <c r="A8" s="2"/>
      <c r="C8" s="2"/>
      <c r="D8" s="7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6" ht="15" thickBot="1">
      <c r="C9" s="2"/>
      <c r="D9" s="7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6" ht="43.5">
      <c r="C10" s="67"/>
      <c r="D10" s="72"/>
      <c r="E10" s="2"/>
      <c r="F10" s="2"/>
      <c r="G10" s="2"/>
      <c r="H10" s="2"/>
      <c r="I10" s="2"/>
      <c r="J10" s="2"/>
      <c r="K10" s="51" t="s">
        <v>55</v>
      </c>
      <c r="L10" s="52" t="s">
        <v>56</v>
      </c>
      <c r="M10" s="5" t="s">
        <v>57</v>
      </c>
      <c r="N10" s="53" t="s">
        <v>58</v>
      </c>
      <c r="O10" s="50" t="s">
        <v>59</v>
      </c>
    </row>
    <row r="11" spans="1:16" ht="15" thickBot="1">
      <c r="B11" s="66" t="s">
        <v>76</v>
      </c>
      <c r="C11" s="2"/>
      <c r="D11" s="72"/>
      <c r="E11" s="2"/>
      <c r="F11" s="2"/>
      <c r="G11" s="2"/>
      <c r="H11" s="2"/>
      <c r="I11" s="2"/>
      <c r="J11" s="2"/>
      <c r="K11" s="233">
        <f>$E$19</f>
        <v>203.29999999999998</v>
      </c>
      <c r="L11" s="235">
        <f>K11*H2</f>
        <v>96974.099999999991</v>
      </c>
      <c r="M11" s="234">
        <f>$E$20</f>
        <v>278.34999999999997</v>
      </c>
      <c r="N11" s="235">
        <f>H2*M11</f>
        <v>132772.94999999998</v>
      </c>
      <c r="O11" s="235">
        <f>L11+N11</f>
        <v>229747.05</v>
      </c>
    </row>
    <row r="12" spans="1:16">
      <c r="A12" s="504" t="s">
        <v>77</v>
      </c>
      <c r="B12" s="69">
        <v>44713</v>
      </c>
      <c r="C12" s="2"/>
      <c r="D12" s="72"/>
      <c r="E12" s="2"/>
      <c r="F12" s="2"/>
      <c r="G12" s="2"/>
      <c r="H12" s="2"/>
      <c r="I12" s="2"/>
      <c r="J12" s="2"/>
      <c r="K12" s="233">
        <f>$E$19</f>
        <v>203.29999999999998</v>
      </c>
      <c r="L12" s="235">
        <f t="shared" ref="L12:L15" si="4">K12*H3</f>
        <v>47165.599999999999</v>
      </c>
      <c r="M12" s="234">
        <f>$E$20</f>
        <v>278.34999999999997</v>
      </c>
      <c r="N12" s="235">
        <f t="shared" ref="N12:N15" si="5">H3*M12</f>
        <v>64577.19999999999</v>
      </c>
      <c r="O12" s="235">
        <f t="shared" ref="O12:O15" si="6">L12+N12</f>
        <v>111742.79999999999</v>
      </c>
    </row>
    <row r="13" spans="1:16" ht="19" thickBot="1">
      <c r="A13" s="505" t="s">
        <v>78</v>
      </c>
      <c r="B13" s="310">
        <v>45219</v>
      </c>
      <c r="C13" s="1"/>
      <c r="D13" s="320"/>
      <c r="E13" s="1"/>
      <c r="F13" s="1"/>
      <c r="G13" s="1"/>
      <c r="H13" s="1"/>
      <c r="I13" s="1"/>
      <c r="J13" s="2"/>
      <c r="K13" s="233">
        <f>$E$19</f>
        <v>203.29999999999998</v>
      </c>
      <c r="L13" s="235">
        <f t="shared" si="4"/>
        <v>98193.9</v>
      </c>
      <c r="M13" s="234">
        <f>$E$20</f>
        <v>278.34999999999997</v>
      </c>
      <c r="N13" s="235">
        <f t="shared" si="5"/>
        <v>134443.04999999999</v>
      </c>
      <c r="O13" s="235">
        <f t="shared" si="6"/>
        <v>232636.94999999998</v>
      </c>
    </row>
    <row r="14" spans="1:16" ht="21.65" customHeight="1" thickBot="1">
      <c r="A14" s="123" t="s">
        <v>79</v>
      </c>
      <c r="B14" s="310">
        <v>44926</v>
      </c>
      <c r="C14" s="1"/>
      <c r="D14" s="538"/>
      <c r="E14" s="539"/>
      <c r="F14" s="540"/>
      <c r="G14" s="540"/>
      <c r="H14" s="537"/>
      <c r="I14" s="537"/>
      <c r="J14" s="24"/>
      <c r="K14" s="233">
        <f>$E$19</f>
        <v>203.29999999999998</v>
      </c>
      <c r="L14" s="235">
        <f t="shared" si="4"/>
        <v>71561.599999999991</v>
      </c>
      <c r="M14" s="234">
        <f>$E$20</f>
        <v>278.34999999999997</v>
      </c>
      <c r="N14" s="235">
        <f t="shared" si="5"/>
        <v>97979.199999999983</v>
      </c>
      <c r="O14" s="235">
        <f t="shared" si="6"/>
        <v>169540.8</v>
      </c>
    </row>
    <row r="15" spans="1:16" ht="15" thickBot="1">
      <c r="A15" s="321"/>
      <c r="B15" s="322"/>
      <c r="C15" s="1"/>
      <c r="D15" s="538"/>
      <c r="E15" s="539"/>
      <c r="F15" s="540"/>
      <c r="G15" s="540"/>
      <c r="H15" s="537"/>
      <c r="I15" s="537"/>
      <c r="J15" s="24"/>
      <c r="K15" s="233">
        <f>$E$19</f>
        <v>203.29999999999998</v>
      </c>
      <c r="L15" s="235">
        <f t="shared" si="4"/>
        <v>159997.09999999998</v>
      </c>
      <c r="M15" s="234">
        <f>$E$20</f>
        <v>278.34999999999997</v>
      </c>
      <c r="N15" s="235">
        <f t="shared" si="5"/>
        <v>219061.44999999998</v>
      </c>
      <c r="O15" s="298">
        <f t="shared" si="6"/>
        <v>379058.54999999993</v>
      </c>
    </row>
    <row r="16" spans="1:16" ht="15" thickBot="1">
      <c r="A16" s="321"/>
      <c r="B16" s="322"/>
      <c r="C16" s="1"/>
      <c r="D16" s="323"/>
      <c r="E16" s="322"/>
      <c r="F16" s="324"/>
      <c r="G16" s="325"/>
      <c r="H16" s="1"/>
      <c r="I16" s="1"/>
      <c r="J16" s="2"/>
      <c r="K16" s="297"/>
      <c r="L16" s="295">
        <f>SUM(L11:L15)</f>
        <v>473892.29999999993</v>
      </c>
      <c r="M16" s="293"/>
      <c r="N16" s="293">
        <f t="shared" ref="N16" si="7">SUM(N11:N15)</f>
        <v>648833.84999999986</v>
      </c>
      <c r="O16" s="294">
        <f t="shared" ref="O16" si="8">SUM(O11:O15)</f>
        <v>1122726.1499999999</v>
      </c>
      <c r="P16" t="s">
        <v>206</v>
      </c>
    </row>
    <row r="17" spans="1:15">
      <c r="A17" s="536" t="s">
        <v>81</v>
      </c>
      <c r="B17" s="536"/>
      <c r="C17" s="344"/>
      <c r="D17" s="306"/>
      <c r="M17" s="2"/>
      <c r="N17" s="2"/>
      <c r="O17" s="2"/>
    </row>
    <row r="18" spans="1:15" ht="43.5">
      <c r="A18" s="329" t="s">
        <v>82</v>
      </c>
      <c r="B18" s="345">
        <f>10000/365</f>
        <v>27.397260273972602</v>
      </c>
      <c r="C18" s="57" t="s">
        <v>8</v>
      </c>
      <c r="D18" s="132" t="s">
        <v>83</v>
      </c>
      <c r="E18" s="338" t="s">
        <v>84</v>
      </c>
      <c r="F18" s="198" t="s">
        <v>85</v>
      </c>
      <c r="G18" s="4"/>
      <c r="M18" s="2"/>
      <c r="N18" s="2"/>
      <c r="O18" s="2"/>
    </row>
    <row r="19" spans="1:15">
      <c r="A19" s="195" t="s">
        <v>86</v>
      </c>
      <c r="B19" s="77">
        <f>B14-B12+1</f>
        <v>214</v>
      </c>
      <c r="C19" s="313">
        <f>'Maintenance '!BI15/($B19*COUNTA(B2:B6))</f>
        <v>0</v>
      </c>
      <c r="D19" s="196">
        <v>0.95</v>
      </c>
      <c r="E19" s="343">
        <f>F19*D19</f>
        <v>203.29999999999998</v>
      </c>
      <c r="F19" s="198">
        <f>B19</f>
        <v>214</v>
      </c>
      <c r="G19" s="67"/>
      <c r="M19" s="2"/>
      <c r="N19" s="2"/>
      <c r="O19" s="2"/>
    </row>
    <row r="20" spans="1:15">
      <c r="A20" s="195" t="s">
        <v>87</v>
      </c>
      <c r="B20" s="77">
        <f>B13-B14</f>
        <v>293</v>
      </c>
      <c r="C20" s="313">
        <f>'Maintenance '!BJ15/($B20*COUNTA(B2:B6))</f>
        <v>0</v>
      </c>
      <c r="D20" s="196">
        <v>0.95</v>
      </c>
      <c r="E20" s="343">
        <f>F20*D20</f>
        <v>278.34999999999997</v>
      </c>
      <c r="F20" s="57">
        <f>B20</f>
        <v>293</v>
      </c>
      <c r="G20" s="67"/>
    </row>
    <row r="21" spans="1:15">
      <c r="A21" s="197" t="s">
        <v>88</v>
      </c>
      <c r="B21" s="144">
        <v>365</v>
      </c>
      <c r="C21" s="313"/>
      <c r="D21" s="188"/>
      <c r="E21" s="116"/>
      <c r="F21" s="57"/>
    </row>
    <row r="22" spans="1:15">
      <c r="A22" s="2"/>
      <c r="B22" s="2"/>
      <c r="C22" s="2"/>
      <c r="D22" s="2"/>
      <c r="E22" s="2"/>
      <c r="F22" s="2"/>
      <c r="G22" s="2"/>
    </row>
    <row r="23" spans="1:15">
      <c r="A23" s="199" t="s">
        <v>89</v>
      </c>
      <c r="B23" s="77">
        <f>(B19+B20)*COUNTA(B2:B6)</f>
        <v>2535</v>
      </c>
      <c r="C23" s="328">
        <f>'Maintenance '!BL15/B23</f>
        <v>0</v>
      </c>
      <c r="D23" s="2"/>
      <c r="E23" s="2"/>
      <c r="F23" s="2"/>
      <c r="G23" s="24"/>
    </row>
    <row r="24" spans="1:15">
      <c r="A24" s="2"/>
      <c r="D24" s="326"/>
    </row>
    <row r="25" spans="1:15">
      <c r="A25" s="2"/>
    </row>
    <row r="26" spans="1:15">
      <c r="A26" s="2"/>
    </row>
    <row r="27" spans="1:15">
      <c r="A27" s="61"/>
    </row>
  </sheetData>
  <mergeCells count="8">
    <mergeCell ref="A17:B17"/>
    <mergeCell ref="I14:I15"/>
    <mergeCell ref="A2:A6"/>
    <mergeCell ref="D14:D15"/>
    <mergeCell ref="E14:E15"/>
    <mergeCell ref="F14:F15"/>
    <mergeCell ref="G14:G15"/>
    <mergeCell ref="H14:H15"/>
  </mergeCells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B50AE-9EF4-42D1-A22A-F3C04903B42A}">
  <dimension ref="A1:O39"/>
  <sheetViews>
    <sheetView zoomScale="80" zoomScaleNormal="80" workbookViewId="0">
      <selection activeCell="C40" sqref="C40"/>
    </sheetView>
  </sheetViews>
  <sheetFormatPr defaultColWidth="17.7265625" defaultRowHeight="14.5"/>
  <cols>
    <col min="1" max="1" width="77.1796875" bestFit="1" customWidth="1"/>
    <col min="2" max="2" width="15.7265625" bestFit="1" customWidth="1"/>
    <col min="3" max="3" width="10" bestFit="1" customWidth="1"/>
    <col min="4" max="4" width="11.81640625" bestFit="1" customWidth="1"/>
    <col min="5" max="5" width="17.1796875" bestFit="1" customWidth="1"/>
    <col min="7" max="7" width="77.1796875" bestFit="1" customWidth="1"/>
    <col min="8" max="8" width="15.7265625" bestFit="1" customWidth="1"/>
    <col min="9" max="9" width="10" bestFit="1" customWidth="1"/>
    <col min="10" max="10" width="11.81640625" bestFit="1" customWidth="1"/>
    <col min="12" max="12" width="77.1796875" bestFit="1" customWidth="1"/>
    <col min="13" max="13" width="15.7265625" bestFit="1" customWidth="1"/>
    <col min="14" max="14" width="10" bestFit="1" customWidth="1"/>
    <col min="15" max="15" width="11.81640625" bestFit="1" customWidth="1"/>
  </cols>
  <sheetData>
    <row r="1" spans="1:15">
      <c r="A1" s="535" t="s">
        <v>90</v>
      </c>
      <c r="B1" s="535"/>
      <c r="C1" s="535"/>
      <c r="D1" s="535"/>
      <c r="E1" s="2"/>
      <c r="F1" s="2"/>
      <c r="G1" s="535" t="s">
        <v>305</v>
      </c>
      <c r="H1" s="535"/>
      <c r="I1" s="535"/>
      <c r="J1" s="535"/>
      <c r="K1" s="2"/>
      <c r="L1" s="535" t="s">
        <v>17</v>
      </c>
      <c r="M1" s="535"/>
      <c r="N1" s="535"/>
      <c r="O1" s="535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</row>
    <row r="4" spans="1:15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</row>
    <row r="5" spans="1:15" ht="43.5">
      <c r="A5" s="9" t="s">
        <v>96</v>
      </c>
      <c r="B5" s="9" t="s">
        <v>97</v>
      </c>
      <c r="C5" s="9"/>
      <c r="D5" s="87">
        <f>'GS7336 PTDs'!O16</f>
        <v>1735991.0499999998</v>
      </c>
      <c r="E5" s="85" t="s">
        <v>207</v>
      </c>
      <c r="F5" s="2"/>
      <c r="G5" s="9" t="s">
        <v>96</v>
      </c>
      <c r="H5" s="9" t="s">
        <v>97</v>
      </c>
      <c r="I5" s="9"/>
      <c r="J5" s="87">
        <f>'GS7336 PTDs'!L16</f>
        <v>643851.1</v>
      </c>
      <c r="K5" s="2"/>
      <c r="L5" s="9" t="s">
        <v>96</v>
      </c>
      <c r="M5" s="9" t="s">
        <v>97</v>
      </c>
      <c r="N5" s="9"/>
      <c r="O5" s="87">
        <f>'GS7336 PTDs'!N16</f>
        <v>1092139.95</v>
      </c>
    </row>
    <row r="6" spans="1:15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</row>
    <row r="7" spans="1:15" ht="29">
      <c r="A7" s="88" t="s">
        <v>103</v>
      </c>
      <c r="B7" s="9" t="s">
        <v>104</v>
      </c>
      <c r="C7" s="9" t="s">
        <v>105</v>
      </c>
      <c r="D7" s="86">
        <v>7.5</v>
      </c>
      <c r="E7" s="85" t="s">
        <v>106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</row>
    <row r="8" spans="1:15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</row>
    <row r="9" spans="1:15">
      <c r="A9" s="9" t="s">
        <v>110</v>
      </c>
      <c r="B9" s="9" t="s">
        <v>111</v>
      </c>
      <c r="C9" s="9" t="s">
        <v>112</v>
      </c>
      <c r="D9" s="86">
        <f>ROUNDDOWN((1-D4)*D5*D6*(D7+D8),0)</f>
        <v>5207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1931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3276</v>
      </c>
    </row>
    <row r="10" spans="1:15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</row>
    <row r="12" spans="1:15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</row>
    <row r="13" spans="1:15" ht="43.5">
      <c r="A13" s="9" t="s">
        <v>427</v>
      </c>
      <c r="B13" s="9" t="s">
        <v>97</v>
      </c>
      <c r="C13" s="9"/>
      <c r="D13" s="87">
        <f>D5</f>
        <v>1735991.0499999998</v>
      </c>
      <c r="E13" s="85" t="s">
        <v>208</v>
      </c>
      <c r="F13" s="2"/>
      <c r="G13" s="9" t="s">
        <v>96</v>
      </c>
      <c r="H13" s="9" t="s">
        <v>97</v>
      </c>
      <c r="I13" s="9"/>
      <c r="J13" s="87">
        <f>J5</f>
        <v>643851.1</v>
      </c>
      <c r="K13" s="2"/>
      <c r="L13" s="9" t="s">
        <v>96</v>
      </c>
      <c r="M13" s="9" t="s">
        <v>97</v>
      </c>
      <c r="N13" s="9"/>
      <c r="O13" s="87">
        <f>O5</f>
        <v>1092139.95</v>
      </c>
    </row>
    <row r="14" spans="1:15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</row>
    <row r="15" spans="1:15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</row>
    <row r="16" spans="1:15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</row>
    <row r="17" spans="1:15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f>ROUNDDOWN((1+J12)*J13*J14*(J16+J16),0)</f>
        <v>0</v>
      </c>
      <c r="K17" s="2"/>
      <c r="L17" s="9" t="s">
        <v>121</v>
      </c>
      <c r="M17" s="9" t="s">
        <v>122</v>
      </c>
      <c r="N17" s="9" t="s">
        <v>112</v>
      </c>
      <c r="O17" s="86">
        <f>ROUNDDOWN((1+O12)*O13*O14*(O16+O16),0)</f>
        <v>0</v>
      </c>
    </row>
    <row r="18" spans="1:15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</row>
    <row r="20" spans="1:15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</row>
    <row r="21" spans="1:15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</row>
    <row r="22" spans="1:15">
      <c r="A22" s="9" t="s">
        <v>131</v>
      </c>
      <c r="B22" s="9" t="s">
        <v>132</v>
      </c>
      <c r="C22" s="9" t="s">
        <v>133</v>
      </c>
      <c r="D22" s="86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41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86">
        <f>D22</f>
        <v>9.4600000000000009</v>
      </c>
    </row>
    <row r="23" spans="1:15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</row>
    <row r="24" spans="1:15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</row>
    <row r="26" spans="1:15">
      <c r="A26" s="9" t="s">
        <v>28</v>
      </c>
      <c r="B26" s="9" t="s">
        <v>29</v>
      </c>
      <c r="C26" s="9" t="s">
        <v>30</v>
      </c>
      <c r="D26" s="87">
        <f>ROUNDDOWN(D9*((D20*D21)+D22)*D23,0)</f>
        <v>9593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3557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6035</v>
      </c>
    </row>
    <row r="27" spans="1:15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O17*((O20*O21)+O22)*O230</f>
        <v>0</v>
      </c>
    </row>
    <row r="28" spans="1:15" ht="29">
      <c r="A28" s="9" t="s">
        <v>33</v>
      </c>
      <c r="B28" s="9" t="s">
        <v>34</v>
      </c>
      <c r="C28" s="9" t="s">
        <v>35</v>
      </c>
      <c r="D28" s="86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6">
        <f>D28</f>
        <v>0.95</v>
      </c>
      <c r="K28" s="2"/>
      <c r="L28" s="9" t="s">
        <v>33</v>
      </c>
      <c r="M28" s="9" t="s">
        <v>34</v>
      </c>
      <c r="N28" s="9" t="s">
        <v>35</v>
      </c>
      <c r="O28" s="86">
        <f>D28</f>
        <v>0.95</v>
      </c>
    </row>
    <row r="29" spans="1:15" ht="29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</row>
    <row r="30" spans="1:15">
      <c r="A30" s="9" t="s">
        <v>90</v>
      </c>
      <c r="B30" s="9" t="s">
        <v>39</v>
      </c>
      <c r="C30" s="9" t="s">
        <v>30</v>
      </c>
      <c r="D30" s="86">
        <f>ROUNDDOWN(((D26-D27)*D28)-D29,0)</f>
        <v>9113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3379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5733</v>
      </c>
    </row>
    <row r="31" spans="1:15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</row>
    <row r="33" spans="1:15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H33" s="9"/>
      <c r="I33" s="16"/>
      <c r="J33" s="91">
        <v>1</v>
      </c>
      <c r="K33" s="2"/>
      <c r="L33" s="90" t="s">
        <v>41</v>
      </c>
      <c r="M33" s="9"/>
      <c r="N33" s="16"/>
      <c r="O33" s="91">
        <v>1</v>
      </c>
    </row>
    <row r="34" spans="1:15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</row>
    <row r="35" spans="1:15">
      <c r="A35" s="93" t="s">
        <v>140</v>
      </c>
      <c r="B35" s="94" t="s">
        <v>39</v>
      </c>
      <c r="C35" s="95" t="s">
        <v>30</v>
      </c>
      <c r="D35" s="246">
        <f>ROUNDDOWN(D30*(1-D34),0)</f>
        <v>9113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3379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5733</v>
      </c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93" t="s">
        <v>141</v>
      </c>
      <c r="B37" s="94"/>
      <c r="C37" s="95" t="s">
        <v>30</v>
      </c>
      <c r="D37" s="96">
        <f>J37+O37</f>
        <v>9112</v>
      </c>
      <c r="E37" s="2"/>
      <c r="F37" s="2"/>
      <c r="G37" s="93" t="s">
        <v>141</v>
      </c>
      <c r="H37" s="94"/>
      <c r="I37" s="95" t="s">
        <v>30</v>
      </c>
      <c r="J37" s="96">
        <f>J35</f>
        <v>3379</v>
      </c>
      <c r="K37" s="2"/>
      <c r="L37" s="93" t="s">
        <v>141</v>
      </c>
      <c r="M37" s="94"/>
      <c r="N37" s="95" t="s">
        <v>30</v>
      </c>
      <c r="O37" s="96">
        <f>O35</f>
        <v>5733</v>
      </c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"/>
      <c r="B39" s="2"/>
      <c r="C39" s="2"/>
      <c r="D39" s="2"/>
      <c r="E39" s="2"/>
      <c r="F39" s="2"/>
      <c r="G39" s="1"/>
      <c r="H39" s="2"/>
      <c r="I39" s="2"/>
      <c r="J39" s="2"/>
      <c r="K39" s="2"/>
      <c r="L39" s="1"/>
      <c r="M39" s="2"/>
      <c r="N39" s="2"/>
      <c r="O39" s="2"/>
    </row>
  </sheetData>
  <mergeCells count="18">
    <mergeCell ref="A25:D25"/>
    <mergeCell ref="G25:J25"/>
    <mergeCell ref="L25:O25"/>
    <mergeCell ref="A32:D32"/>
    <mergeCell ref="G32:J32"/>
    <mergeCell ref="L32:O32"/>
    <mergeCell ref="A11:D11"/>
    <mergeCell ref="G11:J11"/>
    <mergeCell ref="L11:O11"/>
    <mergeCell ref="A19:D19"/>
    <mergeCell ref="G19:J19"/>
    <mergeCell ref="L19:O19"/>
    <mergeCell ref="A1:D1"/>
    <mergeCell ref="G1:J1"/>
    <mergeCell ref="L1:O1"/>
    <mergeCell ref="A3:D3"/>
    <mergeCell ref="G3:J3"/>
    <mergeCell ref="L3:O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0EC3C-467F-40EF-B770-B4FE77DA38B0}">
  <dimension ref="A1:E47"/>
  <sheetViews>
    <sheetView topLeftCell="A11" workbookViewId="0">
      <selection activeCell="C17" sqref="C17"/>
    </sheetView>
  </sheetViews>
  <sheetFormatPr defaultRowHeight="14.5"/>
  <cols>
    <col min="1" max="1" width="26" customWidth="1"/>
    <col min="2" max="2" width="64.54296875" customWidth="1"/>
    <col min="3" max="3" width="28.54296875" bestFit="1" customWidth="1"/>
    <col min="4" max="4" width="8.26953125" customWidth="1"/>
    <col min="5" max="5" width="14.54296875" customWidth="1"/>
  </cols>
  <sheetData>
    <row r="1" spans="1:5" s="32" customFormat="1" ht="29">
      <c r="A1" s="128" t="s">
        <v>145</v>
      </c>
      <c r="B1" s="137" t="s">
        <v>146</v>
      </c>
      <c r="C1" s="137" t="s">
        <v>147</v>
      </c>
      <c r="D1" s="137" t="s">
        <v>148</v>
      </c>
      <c r="E1" s="184" t="s">
        <v>92</v>
      </c>
    </row>
    <row r="2" spans="1:5">
      <c r="A2" s="100" t="s">
        <v>149</v>
      </c>
      <c r="B2" s="88" t="s">
        <v>150</v>
      </c>
      <c r="C2" s="129">
        <f>((C3-C4)/C3)*C8</f>
        <v>0.95</v>
      </c>
      <c r="D2" s="9" t="s">
        <v>151</v>
      </c>
      <c r="E2" s="88"/>
    </row>
    <row r="3" spans="1:5" ht="29">
      <c r="A3" s="9" t="s">
        <v>152</v>
      </c>
      <c r="B3" s="88" t="s">
        <v>153</v>
      </c>
      <c r="C3" s="54">
        <f>C5*C6</f>
        <v>3.0000000000000001E-3</v>
      </c>
      <c r="D3" s="9" t="s">
        <v>154</v>
      </c>
      <c r="E3" s="88"/>
    </row>
    <row r="4" spans="1:5" ht="29">
      <c r="A4" s="101" t="s">
        <v>155</v>
      </c>
      <c r="B4" s="88" t="s">
        <v>156</v>
      </c>
      <c r="C4" s="54">
        <f>C5*C7</f>
        <v>0</v>
      </c>
      <c r="D4" s="9" t="s">
        <v>154</v>
      </c>
      <c r="E4" s="88"/>
    </row>
    <row r="5" spans="1:5" ht="29">
      <c r="A5" s="9" t="s">
        <v>100</v>
      </c>
      <c r="B5" s="88" t="s">
        <v>158</v>
      </c>
      <c r="C5" s="54">
        <f>'GS7336 ER Calcs'!D6</f>
        <v>4.0000000000000002E-4</v>
      </c>
      <c r="D5" s="9" t="s">
        <v>159</v>
      </c>
      <c r="E5" s="85" t="s">
        <v>102</v>
      </c>
    </row>
    <row r="6" spans="1:5" ht="58">
      <c r="A6" s="9" t="s">
        <v>104</v>
      </c>
      <c r="B6" s="88" t="s">
        <v>160</v>
      </c>
      <c r="C6" s="54">
        <v>7.5</v>
      </c>
      <c r="D6" s="9" t="s">
        <v>161</v>
      </c>
      <c r="E6" s="85" t="s">
        <v>162</v>
      </c>
    </row>
    <row r="7" spans="1:5" ht="29">
      <c r="A7" s="9" t="s">
        <v>163</v>
      </c>
      <c r="B7" s="88" t="s">
        <v>164</v>
      </c>
      <c r="C7" s="54">
        <v>0</v>
      </c>
      <c r="D7" s="9" t="s">
        <v>161</v>
      </c>
      <c r="E7" s="85" t="s">
        <v>109</v>
      </c>
    </row>
    <row r="8" spans="1:5" ht="44.5">
      <c r="A8" s="9" t="s">
        <v>209</v>
      </c>
      <c r="B8" s="88" t="s">
        <v>166</v>
      </c>
      <c r="C8" s="172">
        <f>'GS7336 ER Calcs'!D28</f>
        <v>0.95</v>
      </c>
      <c r="D8" s="9" t="s">
        <v>151</v>
      </c>
      <c r="E8" s="85" t="s">
        <v>138</v>
      </c>
    </row>
    <row r="9" spans="1:5">
      <c r="A9" s="1"/>
      <c r="B9" s="1"/>
      <c r="C9" s="1"/>
      <c r="D9" s="1"/>
      <c r="E9" s="88"/>
    </row>
    <row r="10" spans="1:5" s="32" customFormat="1">
      <c r="A10" s="137" t="s">
        <v>167</v>
      </c>
      <c r="B10" s="137" t="s">
        <v>146</v>
      </c>
      <c r="C10" s="137" t="s">
        <v>168</v>
      </c>
      <c r="D10" s="137" t="s">
        <v>148</v>
      </c>
      <c r="E10" s="139"/>
    </row>
    <row r="11" spans="1:5">
      <c r="A11" s="88" t="s">
        <v>169</v>
      </c>
      <c r="B11" s="9" t="s">
        <v>170</v>
      </c>
      <c r="C11" s="105">
        <f>C13-C12</f>
        <v>0.72</v>
      </c>
      <c r="D11" s="9" t="s">
        <v>171</v>
      </c>
      <c r="E11" s="88" t="s">
        <v>174</v>
      </c>
    </row>
    <row r="12" spans="1:5">
      <c r="A12" s="88" t="s">
        <v>211</v>
      </c>
      <c r="B12" s="9" t="s">
        <v>173</v>
      </c>
      <c r="C12" s="9">
        <v>0</v>
      </c>
      <c r="D12" s="9" t="s">
        <v>171</v>
      </c>
      <c r="E12" s="88" t="s">
        <v>213</v>
      </c>
    </row>
    <row r="13" spans="1:5">
      <c r="A13" s="88" t="s">
        <v>212</v>
      </c>
      <c r="B13" s="9" t="s">
        <v>176</v>
      </c>
      <c r="C13" s="478">
        <v>0.72</v>
      </c>
      <c r="D13" s="9" t="s">
        <v>171</v>
      </c>
      <c r="E13" s="88"/>
    </row>
    <row r="14" spans="1:5">
      <c r="A14" s="1"/>
      <c r="B14" s="1"/>
      <c r="C14" s="1"/>
      <c r="D14" s="1"/>
      <c r="E14" s="88"/>
    </row>
    <row r="15" spans="1:5" s="32" customFormat="1" ht="29">
      <c r="A15" s="128" t="s">
        <v>178</v>
      </c>
      <c r="B15" s="137" t="s">
        <v>146</v>
      </c>
      <c r="C15" s="137" t="s">
        <v>179</v>
      </c>
      <c r="D15" s="137" t="s">
        <v>148</v>
      </c>
      <c r="E15" s="139"/>
    </row>
    <row r="16" spans="1:5">
      <c r="A16" s="88" t="s">
        <v>180</v>
      </c>
      <c r="B16" s="9" t="s">
        <v>181</v>
      </c>
      <c r="C16" s="575">
        <f>ROUNDDOWN(C17*(1-C18)*C19,0)</f>
        <v>3008</v>
      </c>
      <c r="D16" s="9" t="s">
        <v>182</v>
      </c>
      <c r="E16" s="180"/>
    </row>
    <row r="17" spans="1:5">
      <c r="A17" s="88" t="s">
        <v>183</v>
      </c>
      <c r="B17" s="9" t="s">
        <v>184</v>
      </c>
      <c r="C17" s="9">
        <f>'GS7336 PTDs'!H7</f>
        <v>3167</v>
      </c>
      <c r="D17" s="9" t="s">
        <v>182</v>
      </c>
      <c r="E17" s="88" t="s">
        <v>228</v>
      </c>
    </row>
    <row r="18" spans="1:5">
      <c r="A18" s="88" t="s">
        <v>94</v>
      </c>
      <c r="B18" s="9" t="s">
        <v>186</v>
      </c>
      <c r="C18" s="106">
        <f>'GS7330 ER Calcs'!D4</f>
        <v>0</v>
      </c>
      <c r="D18" s="9" t="s">
        <v>151</v>
      </c>
      <c r="E18" s="88" t="s">
        <v>174</v>
      </c>
    </row>
    <row r="19" spans="1:5" ht="44.5">
      <c r="A19" s="88" t="s">
        <v>209</v>
      </c>
      <c r="B19" s="9" t="s">
        <v>166</v>
      </c>
      <c r="C19" s="173">
        <f>'GS7336 ER Calcs'!D28</f>
        <v>0.95</v>
      </c>
      <c r="D19" s="9" t="s">
        <v>151</v>
      </c>
      <c r="E19" s="85" t="s">
        <v>138</v>
      </c>
    </row>
    <row r="20" spans="1:5">
      <c r="A20" s="1"/>
      <c r="B20" s="1"/>
      <c r="C20" s="1"/>
      <c r="D20" s="1"/>
      <c r="E20" s="88"/>
    </row>
    <row r="21" spans="1:5">
      <c r="A21" s="97" t="s">
        <v>187</v>
      </c>
      <c r="B21" s="98" t="s">
        <v>146</v>
      </c>
      <c r="C21" s="98"/>
      <c r="D21" s="98" t="s">
        <v>148</v>
      </c>
      <c r="E21" s="88"/>
    </row>
    <row r="22" spans="1:5">
      <c r="A22" s="88" t="s">
        <v>188</v>
      </c>
      <c r="B22" s="9" t="s">
        <v>189</v>
      </c>
      <c r="C22" s="108">
        <f>'GS7336 ER Calcs'!D37</f>
        <v>4613</v>
      </c>
      <c r="D22" s="9" t="s">
        <v>190</v>
      </c>
      <c r="E22" s="88" t="s">
        <v>191</v>
      </c>
    </row>
    <row r="23" spans="1:5">
      <c r="A23" s="1"/>
      <c r="B23" s="1"/>
      <c r="C23" s="1"/>
      <c r="D23" s="1"/>
      <c r="E23" s="180"/>
    </row>
    <row r="32" spans="1:5">
      <c r="B32" s="497"/>
    </row>
    <row r="33" spans="2:2">
      <c r="B33" s="497"/>
    </row>
    <row r="34" spans="2:2">
      <c r="B34" s="497"/>
    </row>
    <row r="35" spans="2:2">
      <c r="B35" s="497"/>
    </row>
    <row r="36" spans="2:2">
      <c r="B36" s="497"/>
    </row>
    <row r="37" spans="2:2">
      <c r="B37" s="497"/>
    </row>
    <row r="38" spans="2:2">
      <c r="B38" s="497"/>
    </row>
    <row r="39" spans="2:2">
      <c r="B39" s="497"/>
    </row>
    <row r="40" spans="2:2">
      <c r="B40" s="497"/>
    </row>
    <row r="41" spans="2:2">
      <c r="B41" s="497"/>
    </row>
    <row r="42" spans="2:2">
      <c r="B42" s="497"/>
    </row>
    <row r="43" spans="2:2">
      <c r="B43" s="497"/>
    </row>
    <row r="44" spans="2:2">
      <c r="B44" s="497"/>
    </row>
    <row r="45" spans="2:2">
      <c r="B45" s="497"/>
    </row>
    <row r="46" spans="2:2">
      <c r="B46" s="497"/>
    </row>
    <row r="47" spans="2:2">
      <c r="B47" s="497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C8BC8-DFFF-4738-84C5-8141E06204B0}">
  <dimension ref="A1:CI108"/>
  <sheetViews>
    <sheetView zoomScale="70" zoomScaleNormal="70" workbookViewId="0">
      <pane xSplit="3" ySplit="3" topLeftCell="CB4" activePane="bottomRight" state="frozen"/>
      <selection pane="topRight" activeCell="D1" sqref="D1"/>
      <selection pane="bottomLeft" activeCell="A4" sqref="A4"/>
      <selection pane="bottomRight" activeCell="AZ10" sqref="AZ10"/>
    </sheetView>
  </sheetViews>
  <sheetFormatPr defaultColWidth="19.54296875" defaultRowHeight="15" customHeight="1"/>
  <cols>
    <col min="1" max="3" width="19.54296875" style="191"/>
    <col min="4" max="12" width="19.54296875" style="191" customWidth="1"/>
    <col min="13" max="20" width="19.54296875" customWidth="1"/>
    <col min="21" max="21" width="19.54296875" style="316"/>
    <col min="22" max="50" width="19.54296875" style="191"/>
    <col min="51" max="51" width="19.453125" style="191" customWidth="1"/>
    <col min="52" max="16384" width="19.54296875" style="191"/>
  </cols>
  <sheetData>
    <row r="1" spans="1:81" s="212" customFormat="1" ht="15.65" customHeight="1" thickBot="1"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6" t="s">
        <v>428</v>
      </c>
      <c r="N1" s="556"/>
      <c r="O1" s="556"/>
      <c r="P1" s="556"/>
      <c r="Q1" s="556"/>
      <c r="R1" s="562" t="s">
        <v>429</v>
      </c>
      <c r="S1" s="563"/>
      <c r="T1" s="563"/>
      <c r="U1" s="563"/>
      <c r="V1" s="563"/>
      <c r="W1" s="564"/>
      <c r="X1" s="562" t="s">
        <v>430</v>
      </c>
      <c r="Y1" s="563"/>
      <c r="Z1" s="563"/>
      <c r="AA1" s="563"/>
      <c r="AB1" s="563"/>
      <c r="AC1" s="563"/>
      <c r="AD1" s="559" t="s">
        <v>431</v>
      </c>
      <c r="AE1" s="560"/>
      <c r="AF1" s="560"/>
      <c r="AG1" s="560"/>
      <c r="AH1" s="560"/>
      <c r="AI1" s="560"/>
      <c r="AJ1" s="559" t="s">
        <v>432</v>
      </c>
      <c r="AK1" s="560"/>
      <c r="AL1" s="560"/>
      <c r="AM1" s="560"/>
      <c r="AN1" s="560"/>
      <c r="AO1" s="561"/>
      <c r="AP1" s="559" t="s">
        <v>535</v>
      </c>
      <c r="AQ1" s="560"/>
      <c r="AR1" s="560"/>
      <c r="AS1" s="560"/>
      <c r="AT1" s="560"/>
      <c r="AU1" s="561"/>
      <c r="AV1" s="559" t="s">
        <v>536</v>
      </c>
      <c r="AW1" s="560"/>
      <c r="AX1" s="560"/>
      <c r="AY1" s="560"/>
      <c r="AZ1" s="560"/>
      <c r="BA1" s="561"/>
      <c r="BB1" s="559" t="s">
        <v>537</v>
      </c>
      <c r="BC1" s="560"/>
      <c r="BD1" s="560"/>
      <c r="BE1" s="560"/>
      <c r="BF1" s="560"/>
      <c r="BG1" s="561"/>
    </row>
    <row r="2" spans="1:81" s="411" customFormat="1" ht="57" customHeight="1" thickBot="1">
      <c r="B2" s="403" t="s">
        <v>433</v>
      </c>
      <c r="C2" s="403" t="s">
        <v>0</v>
      </c>
      <c r="D2" s="403" t="s">
        <v>434</v>
      </c>
      <c r="E2" s="403" t="s">
        <v>435</v>
      </c>
      <c r="F2" s="403" t="s">
        <v>436</v>
      </c>
      <c r="G2" s="403" t="s">
        <v>437</v>
      </c>
      <c r="H2" s="403" t="s">
        <v>52</v>
      </c>
      <c r="I2" s="403" t="s">
        <v>438</v>
      </c>
      <c r="J2" s="403" t="s">
        <v>439</v>
      </c>
      <c r="K2" s="403" t="s">
        <v>440</v>
      </c>
      <c r="L2" s="404" t="s">
        <v>441</v>
      </c>
      <c r="M2" s="403" t="s">
        <v>442</v>
      </c>
      <c r="N2" s="405" t="s">
        <v>443</v>
      </c>
      <c r="O2" s="405" t="s">
        <v>444</v>
      </c>
      <c r="P2" s="405" t="s">
        <v>445</v>
      </c>
      <c r="Q2" s="406" t="s">
        <v>446</v>
      </c>
      <c r="R2" s="407" t="s">
        <v>442</v>
      </c>
      <c r="S2" s="408" t="s">
        <v>443</v>
      </c>
      <c r="T2" s="409" t="s">
        <v>447</v>
      </c>
      <c r="U2" s="409" t="s">
        <v>448</v>
      </c>
      <c r="V2" s="410" t="s">
        <v>446</v>
      </c>
      <c r="W2" s="410" t="s">
        <v>449</v>
      </c>
      <c r="X2" s="407" t="s">
        <v>442</v>
      </c>
      <c r="Y2" s="408" t="s">
        <v>443</v>
      </c>
      <c r="Z2" s="409" t="s">
        <v>447</v>
      </c>
      <c r="AA2" s="409" t="s">
        <v>448</v>
      </c>
      <c r="AB2" s="410" t="s">
        <v>446</v>
      </c>
      <c r="AC2" s="452" t="s">
        <v>449</v>
      </c>
      <c r="AD2" s="453" t="s">
        <v>442</v>
      </c>
      <c r="AE2" s="408" t="s">
        <v>443</v>
      </c>
      <c r="AF2" s="409" t="s">
        <v>447</v>
      </c>
      <c r="AG2" s="409" t="s">
        <v>448</v>
      </c>
      <c r="AH2" s="410" t="s">
        <v>446</v>
      </c>
      <c r="AI2" s="452" t="s">
        <v>449</v>
      </c>
      <c r="AJ2" s="453" t="s">
        <v>442</v>
      </c>
      <c r="AK2" s="408" t="s">
        <v>443</v>
      </c>
      <c r="AL2" s="409" t="s">
        <v>447</v>
      </c>
      <c r="AM2" s="409" t="s">
        <v>448</v>
      </c>
      <c r="AN2" s="410" t="s">
        <v>446</v>
      </c>
      <c r="AO2" s="454" t="s">
        <v>449</v>
      </c>
      <c r="AP2" s="453" t="s">
        <v>442</v>
      </c>
      <c r="AQ2" s="408" t="s">
        <v>443</v>
      </c>
      <c r="AR2" s="409" t="s">
        <v>447</v>
      </c>
      <c r="AS2" s="409" t="s">
        <v>448</v>
      </c>
      <c r="AT2" s="410" t="s">
        <v>446</v>
      </c>
      <c r="AU2" s="454" t="s">
        <v>449</v>
      </c>
      <c r="AV2" s="453" t="s">
        <v>442</v>
      </c>
      <c r="AW2" s="408" t="s">
        <v>443</v>
      </c>
      <c r="AX2" s="409" t="s">
        <v>447</v>
      </c>
      <c r="AY2" s="409" t="s">
        <v>448</v>
      </c>
      <c r="AZ2" s="410" t="s">
        <v>446</v>
      </c>
      <c r="BA2" s="454" t="s">
        <v>449</v>
      </c>
      <c r="BB2" s="453" t="s">
        <v>442</v>
      </c>
      <c r="BC2" s="408" t="s">
        <v>443</v>
      </c>
      <c r="BD2" s="409" t="s">
        <v>447</v>
      </c>
      <c r="BE2" s="409" t="s">
        <v>448</v>
      </c>
      <c r="BF2" s="410" t="s">
        <v>446</v>
      </c>
      <c r="BG2" s="454" t="s">
        <v>449</v>
      </c>
      <c r="BH2" s="212"/>
      <c r="BI2" s="215" t="s">
        <v>450</v>
      </c>
      <c r="BJ2" s="475" t="s">
        <v>451</v>
      </c>
      <c r="BK2" s="475" t="s">
        <v>452</v>
      </c>
      <c r="BL2" s="214" t="s">
        <v>453</v>
      </c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1"/>
      <c r="CA2" s="191"/>
      <c r="CB2" s="191"/>
      <c r="CC2" s="191"/>
    </row>
    <row r="3" spans="1:81" s="412" customFormat="1" ht="26">
      <c r="B3" s="557" t="s">
        <v>454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R3" s="413"/>
      <c r="S3" s="414"/>
      <c r="T3" s="415"/>
      <c r="U3" s="415"/>
      <c r="V3" s="416"/>
      <c r="W3" s="417"/>
      <c r="X3" s="413"/>
      <c r="Y3" s="414"/>
      <c r="Z3" s="415"/>
      <c r="AA3" s="415"/>
      <c r="AB3" s="416"/>
      <c r="AC3" s="416"/>
      <c r="AD3" s="455"/>
      <c r="AE3" s="414"/>
      <c r="AF3" s="415"/>
      <c r="AG3" s="415"/>
      <c r="AH3" s="416"/>
      <c r="AI3" s="416"/>
      <c r="AJ3" s="455"/>
      <c r="AK3" s="414"/>
      <c r="AL3" s="415"/>
      <c r="AM3" s="415"/>
      <c r="AN3" s="416"/>
      <c r="AO3" s="456"/>
      <c r="AP3" s="455"/>
      <c r="AQ3" s="414"/>
      <c r="AR3" s="415"/>
      <c r="AS3" s="415"/>
      <c r="AT3" s="416"/>
      <c r="AU3" s="456"/>
      <c r="AV3" s="455"/>
      <c r="AW3" s="414"/>
      <c r="AX3" s="415"/>
      <c r="AY3" s="415"/>
      <c r="AZ3" s="416"/>
      <c r="BA3" s="456"/>
      <c r="BB3" s="455"/>
      <c r="BC3" s="414"/>
      <c r="BD3" s="415"/>
      <c r="BE3" s="415"/>
      <c r="BF3" s="416"/>
      <c r="BG3" s="456"/>
      <c r="BH3" s="450"/>
      <c r="BI3" s="192"/>
      <c r="BJ3" s="192"/>
      <c r="BK3" s="192"/>
      <c r="BL3" s="192"/>
      <c r="BM3" s="450"/>
      <c r="BN3" s="450"/>
      <c r="BO3" s="450"/>
      <c r="BP3" s="450"/>
      <c r="BQ3" s="450"/>
      <c r="BR3" s="450"/>
      <c r="BS3" s="450"/>
      <c r="BT3" s="450"/>
      <c r="BU3" s="450"/>
      <c r="BV3" s="450"/>
      <c r="BW3" s="450"/>
      <c r="BX3" s="450"/>
      <c r="BY3" s="450"/>
      <c r="BZ3" s="450"/>
      <c r="CA3" s="450"/>
      <c r="CB3" s="450"/>
      <c r="CC3" s="450"/>
    </row>
    <row r="4" spans="1:81" ht="14.5">
      <c r="A4" s="555" t="s">
        <v>60</v>
      </c>
      <c r="B4" s="9" t="s">
        <v>61</v>
      </c>
      <c r="C4" s="9">
        <v>5038</v>
      </c>
      <c r="D4" s="9">
        <v>65</v>
      </c>
      <c r="E4" s="9" t="s">
        <v>455</v>
      </c>
      <c r="F4" s="9" t="s">
        <v>62</v>
      </c>
      <c r="G4" s="54">
        <v>14.60234</v>
      </c>
      <c r="H4" s="54">
        <v>39.394750000000002</v>
      </c>
      <c r="I4" s="193" t="s">
        <v>456</v>
      </c>
      <c r="J4" s="193" t="s">
        <v>457</v>
      </c>
      <c r="K4" s="193">
        <v>42</v>
      </c>
      <c r="L4" s="90" t="s">
        <v>458</v>
      </c>
      <c r="M4" s="418"/>
      <c r="N4" s="418"/>
      <c r="O4" s="418"/>
      <c r="P4" s="418"/>
      <c r="Q4" s="418"/>
      <c r="R4" s="419"/>
      <c r="S4" s="420"/>
      <c r="T4" s="421"/>
      <c r="U4" s="421"/>
      <c r="V4" s="422"/>
      <c r="W4" s="423"/>
      <c r="X4" s="419"/>
      <c r="Y4" s="420"/>
      <c r="Z4" s="421"/>
      <c r="AA4" s="421"/>
      <c r="AB4" s="422"/>
      <c r="AC4" s="422"/>
      <c r="AD4" s="457"/>
      <c r="AE4" s="420"/>
      <c r="AF4" s="421"/>
      <c r="AG4" s="421"/>
      <c r="AH4" s="422"/>
      <c r="AI4" s="422"/>
      <c r="AJ4" s="457"/>
      <c r="AK4" s="420"/>
      <c r="AL4" s="421"/>
      <c r="AM4" s="421"/>
      <c r="AN4" s="422"/>
      <c r="AO4" s="458"/>
      <c r="AP4" s="457"/>
      <c r="AQ4" s="420"/>
      <c r="AR4" s="421"/>
      <c r="AS4" s="421"/>
      <c r="AT4" s="422"/>
      <c r="AU4" s="458"/>
      <c r="AV4" s="457"/>
      <c r="AW4" s="420"/>
      <c r="AX4" s="421"/>
      <c r="AY4" s="421"/>
      <c r="AZ4" s="422"/>
      <c r="BA4" s="458"/>
      <c r="BB4" s="457"/>
      <c r="BC4" s="420"/>
      <c r="BD4" s="421"/>
      <c r="BE4" s="421"/>
      <c r="BF4" s="422"/>
      <c r="BG4" s="458"/>
      <c r="BI4" s="317">
        <f>AB4+V4</f>
        <v>0</v>
      </c>
      <c r="BJ4" s="317">
        <f>AH4+AN4</f>
        <v>0</v>
      </c>
      <c r="BK4" s="317"/>
      <c r="BL4" s="221">
        <f>BI4+BJ4+BK4</f>
        <v>0</v>
      </c>
    </row>
    <row r="5" spans="1:81" ht="14.5">
      <c r="A5" s="555"/>
      <c r="B5" s="9" t="s">
        <v>64</v>
      </c>
      <c r="C5" s="9">
        <v>5038</v>
      </c>
      <c r="D5" s="9">
        <v>65</v>
      </c>
      <c r="E5" s="9" t="s">
        <v>455</v>
      </c>
      <c r="F5" s="9" t="s">
        <v>65</v>
      </c>
      <c r="G5" s="54">
        <v>14.731159999999999</v>
      </c>
      <c r="H5" s="54">
        <v>39.397089999999999</v>
      </c>
      <c r="I5" s="193" t="s">
        <v>459</v>
      </c>
      <c r="J5" s="193" t="s">
        <v>460</v>
      </c>
      <c r="K5" s="193">
        <v>10</v>
      </c>
      <c r="L5" s="90" t="s">
        <v>458</v>
      </c>
      <c r="M5" s="418"/>
      <c r="N5" s="418"/>
      <c r="O5" s="418"/>
      <c r="P5" s="418"/>
      <c r="Q5" s="418"/>
      <c r="R5" s="419"/>
      <c r="S5" s="420"/>
      <c r="T5" s="421"/>
      <c r="U5" s="421"/>
      <c r="V5" s="422"/>
      <c r="W5" s="423"/>
      <c r="X5" s="419"/>
      <c r="Y5" s="420"/>
      <c r="Z5" s="421"/>
      <c r="AA5" s="421"/>
      <c r="AB5" s="422"/>
      <c r="AC5" s="422"/>
      <c r="AD5" s="457"/>
      <c r="AE5" s="420"/>
      <c r="AF5" s="421"/>
      <c r="AG5" s="421"/>
      <c r="AH5" s="422"/>
      <c r="AI5" s="422"/>
      <c r="AJ5" s="457"/>
      <c r="AK5" s="420"/>
      <c r="AL5" s="421"/>
      <c r="AM5" s="421"/>
      <c r="AN5" s="422"/>
      <c r="AO5" s="458"/>
      <c r="AP5" s="457"/>
      <c r="AQ5" s="420"/>
      <c r="AR5" s="421"/>
      <c r="AS5" s="421"/>
      <c r="AT5" s="422"/>
      <c r="AU5" s="458"/>
      <c r="AV5" s="457"/>
      <c r="AW5" s="420"/>
      <c r="AX5" s="421"/>
      <c r="AY5" s="421"/>
      <c r="AZ5" s="422"/>
      <c r="BA5" s="458"/>
      <c r="BB5" s="457"/>
      <c r="BC5" s="420"/>
      <c r="BD5" s="421"/>
      <c r="BE5" s="421"/>
      <c r="BF5" s="422"/>
      <c r="BG5" s="458"/>
      <c r="BI5" s="317">
        <f>AB5+V5</f>
        <v>0</v>
      </c>
      <c r="BJ5" s="317">
        <f>AH5+AN5</f>
        <v>0</v>
      </c>
      <c r="BK5" s="317"/>
      <c r="BL5" s="221">
        <f>BI5+BJ5+BK5</f>
        <v>0</v>
      </c>
    </row>
    <row r="6" spans="1:81" ht="14.5">
      <c r="A6" s="555"/>
      <c r="B6" s="9" t="s">
        <v>67</v>
      </c>
      <c r="C6" s="9">
        <v>5038</v>
      </c>
      <c r="D6" s="9">
        <v>65</v>
      </c>
      <c r="E6" s="9" t="s">
        <v>461</v>
      </c>
      <c r="F6" s="9" t="s">
        <v>68</v>
      </c>
      <c r="G6" s="54">
        <v>14.52234</v>
      </c>
      <c r="H6" s="54">
        <v>38.807160000000003</v>
      </c>
      <c r="I6" s="193" t="s">
        <v>462</v>
      </c>
      <c r="J6" s="193" t="s">
        <v>457</v>
      </c>
      <c r="K6" s="193">
        <v>46</v>
      </c>
      <c r="L6" s="90" t="s">
        <v>458</v>
      </c>
      <c r="M6" s="418"/>
      <c r="N6" s="418"/>
      <c r="O6" s="418"/>
      <c r="P6" s="418"/>
      <c r="Q6" s="418"/>
      <c r="R6" s="419"/>
      <c r="S6" s="420"/>
      <c r="T6" s="421"/>
      <c r="U6" s="421"/>
      <c r="V6" s="422"/>
      <c r="W6" s="423"/>
      <c r="X6" s="419"/>
      <c r="Y6" s="420"/>
      <c r="Z6" s="421"/>
      <c r="AA6" s="421"/>
      <c r="AB6" s="422"/>
      <c r="AC6" s="422"/>
      <c r="AD6" s="457"/>
      <c r="AE6" s="420"/>
      <c r="AF6" s="421"/>
      <c r="AG6" s="421"/>
      <c r="AH6" s="422"/>
      <c r="AI6" s="422"/>
      <c r="AJ6" s="457"/>
      <c r="AK6" s="420"/>
      <c r="AL6" s="421"/>
      <c r="AM6" s="421"/>
      <c r="AN6" s="422"/>
      <c r="AO6" s="458"/>
      <c r="AP6" s="457"/>
      <c r="AQ6" s="420"/>
      <c r="AR6" s="421"/>
      <c r="AS6" s="421"/>
      <c r="AT6" s="422"/>
      <c r="AU6" s="458"/>
      <c r="AV6" s="457"/>
      <c r="AW6" s="420"/>
      <c r="AX6" s="421"/>
      <c r="AY6" s="421"/>
      <c r="AZ6" s="422"/>
      <c r="BA6" s="458"/>
      <c r="BB6" s="457"/>
      <c r="BC6" s="420"/>
      <c r="BD6" s="421"/>
      <c r="BE6" s="421"/>
      <c r="BF6" s="422"/>
      <c r="BG6" s="458"/>
      <c r="BI6" s="317">
        <f>AB6+V6</f>
        <v>0</v>
      </c>
      <c r="BJ6" s="317">
        <f>AH6+AN6</f>
        <v>0</v>
      </c>
      <c r="BK6" s="317"/>
      <c r="BL6" s="221">
        <f>BI6+BJ6+BK6</f>
        <v>0</v>
      </c>
    </row>
    <row r="7" spans="1:81" ht="14.5">
      <c r="A7" s="555"/>
      <c r="B7" s="9" t="s">
        <v>70</v>
      </c>
      <c r="C7" s="9">
        <v>5038</v>
      </c>
      <c r="D7" s="9">
        <v>65</v>
      </c>
      <c r="E7" s="9" t="s">
        <v>461</v>
      </c>
      <c r="F7" s="9" t="s">
        <v>71</v>
      </c>
      <c r="G7" s="54">
        <v>14.63129</v>
      </c>
      <c r="H7" s="54">
        <v>38.79645</v>
      </c>
      <c r="I7" s="193" t="s">
        <v>463</v>
      </c>
      <c r="J7" s="193" t="s">
        <v>460</v>
      </c>
      <c r="K7" s="193">
        <v>7.2</v>
      </c>
      <c r="L7" s="90" t="s">
        <v>458</v>
      </c>
      <c r="M7" s="418"/>
      <c r="N7" s="418"/>
      <c r="O7" s="418"/>
      <c r="P7" s="418"/>
      <c r="Q7" s="418"/>
      <c r="R7" s="419"/>
      <c r="S7" s="420"/>
      <c r="T7" s="424"/>
      <c r="U7" s="421"/>
      <c r="V7" s="422"/>
      <c r="W7" s="423"/>
      <c r="X7" s="419"/>
      <c r="Y7" s="420"/>
      <c r="Z7" s="424"/>
      <c r="AA7" s="421"/>
      <c r="AB7" s="422"/>
      <c r="AC7" s="422"/>
      <c r="AD7" s="457"/>
      <c r="AE7" s="420"/>
      <c r="AF7" s="424"/>
      <c r="AG7" s="421"/>
      <c r="AH7" s="422"/>
      <c r="AI7" s="422"/>
      <c r="AJ7" s="457"/>
      <c r="AK7" s="420"/>
      <c r="AL7" s="424"/>
      <c r="AM7" s="421"/>
      <c r="AN7" s="422"/>
      <c r="AO7" s="458"/>
      <c r="AP7" s="457"/>
      <c r="AQ7" s="420"/>
      <c r="AR7" s="424"/>
      <c r="AS7" s="421"/>
      <c r="AT7" s="422"/>
      <c r="AU7" s="458"/>
      <c r="AV7" s="457"/>
      <c r="AW7" s="420"/>
      <c r="AX7" s="424"/>
      <c r="AY7" s="421"/>
      <c r="AZ7" s="422"/>
      <c r="BA7" s="458"/>
      <c r="BB7" s="457"/>
      <c r="BC7" s="420"/>
      <c r="BD7" s="424"/>
      <c r="BE7" s="421"/>
      <c r="BF7" s="422"/>
      <c r="BG7" s="458"/>
      <c r="BI7" s="317">
        <f>AB7+V7</f>
        <v>0</v>
      </c>
      <c r="BJ7" s="317">
        <f>AH7+AN7</f>
        <v>0</v>
      </c>
      <c r="BK7" s="317"/>
      <c r="BL7" s="221">
        <f>BI7+BJ7+BK7</f>
        <v>0</v>
      </c>
    </row>
    <row r="8" spans="1:81" thickBot="1">
      <c r="A8" s="555"/>
      <c r="B8" s="9" t="s">
        <v>73</v>
      </c>
      <c r="C8" s="9">
        <v>5038</v>
      </c>
      <c r="D8" s="9">
        <v>65</v>
      </c>
      <c r="E8" s="9" t="s">
        <v>464</v>
      </c>
      <c r="F8" s="9" t="s">
        <v>74</v>
      </c>
      <c r="G8" s="54">
        <v>14.52966</v>
      </c>
      <c r="H8" s="54">
        <v>38.428649999999998</v>
      </c>
      <c r="I8" s="193" t="s">
        <v>465</v>
      </c>
      <c r="J8" s="193" t="s">
        <v>460</v>
      </c>
      <c r="K8" s="193">
        <v>7.8</v>
      </c>
      <c r="L8" s="90" t="s">
        <v>458</v>
      </c>
      <c r="M8" s="418"/>
      <c r="N8" s="418"/>
      <c r="O8" s="418"/>
      <c r="P8" s="418"/>
      <c r="Q8" s="418"/>
      <c r="R8" s="419"/>
      <c r="S8" s="420"/>
      <c r="T8" s="421"/>
      <c r="U8" s="421"/>
      <c r="V8" s="422"/>
      <c r="W8" s="423"/>
      <c r="X8" s="419"/>
      <c r="Y8" s="420"/>
      <c r="Z8" s="421"/>
      <c r="AA8" s="421"/>
      <c r="AB8" s="422"/>
      <c r="AC8" s="422"/>
      <c r="AD8" s="457"/>
      <c r="AE8" s="420"/>
      <c r="AF8" s="421"/>
      <c r="AG8" s="421"/>
      <c r="AH8" s="422"/>
      <c r="AI8" s="422"/>
      <c r="AJ8" s="457"/>
      <c r="AK8" s="420"/>
      <c r="AL8" s="421"/>
      <c r="AM8" s="421"/>
      <c r="AN8" s="422"/>
      <c r="AO8" s="458"/>
      <c r="AP8" s="457"/>
      <c r="AQ8" s="420"/>
      <c r="AR8" s="421"/>
      <c r="AS8" s="421"/>
      <c r="AT8" s="422"/>
      <c r="AU8" s="458"/>
      <c r="AV8" s="457"/>
      <c r="AW8" s="420"/>
      <c r="AX8" s="421"/>
      <c r="AY8" s="421"/>
      <c r="AZ8" s="422"/>
      <c r="BA8" s="458"/>
      <c r="BB8" s="457"/>
      <c r="BC8" s="420"/>
      <c r="BD8" s="421"/>
      <c r="BE8" s="421"/>
      <c r="BF8" s="422"/>
      <c r="BG8" s="458"/>
      <c r="BI8" s="317">
        <f>AB8+V8</f>
        <v>0</v>
      </c>
      <c r="BJ8" s="317">
        <f>AH8+AN8</f>
        <v>0</v>
      </c>
      <c r="BK8" s="317"/>
      <c r="BL8" s="221">
        <f>BI8+BJ8+BK8</f>
        <v>0</v>
      </c>
    </row>
    <row r="9" spans="1:81" s="443" customFormat="1" thickBot="1">
      <c r="B9" s="205"/>
      <c r="C9" s="205"/>
      <c r="D9" s="205"/>
      <c r="E9" s="205"/>
      <c r="F9" s="205"/>
      <c r="G9" s="206"/>
      <c r="H9" s="206"/>
      <c r="I9" s="207"/>
      <c r="J9" s="207"/>
      <c r="K9" s="207"/>
      <c r="L9" s="208"/>
      <c r="M9" s="209"/>
      <c r="N9" s="209"/>
      <c r="O9" s="209"/>
      <c r="P9" s="209"/>
      <c r="Q9" s="210"/>
      <c r="R9" s="444"/>
      <c r="S9" s="445"/>
      <c r="T9" s="446"/>
      <c r="U9" s="446"/>
      <c r="V9" s="447"/>
      <c r="W9" s="448"/>
      <c r="X9" s="444"/>
      <c r="Y9" s="445"/>
      <c r="Z9" s="446"/>
      <c r="AA9" s="446"/>
      <c r="AB9" s="447"/>
      <c r="AC9" s="447"/>
      <c r="AD9" s="459"/>
      <c r="AE9" s="445"/>
      <c r="AF9" s="446"/>
      <c r="AG9" s="446"/>
      <c r="AH9" s="447"/>
      <c r="AI9" s="447"/>
      <c r="AJ9" s="459"/>
      <c r="AK9" s="445"/>
      <c r="AL9" s="446"/>
      <c r="AM9" s="446"/>
      <c r="AN9" s="447"/>
      <c r="AO9" s="460"/>
      <c r="AP9" s="459"/>
      <c r="AQ9" s="445"/>
      <c r="AR9" s="446"/>
      <c r="AS9" s="446"/>
      <c r="AT9" s="447"/>
      <c r="AU9" s="460"/>
      <c r="AV9" s="459"/>
      <c r="AW9" s="445"/>
      <c r="AX9" s="446"/>
      <c r="AY9" s="446"/>
      <c r="AZ9" s="447"/>
      <c r="BA9" s="460"/>
      <c r="BB9" s="459"/>
      <c r="BC9" s="445"/>
      <c r="BD9" s="446"/>
      <c r="BE9" s="446"/>
      <c r="BF9" s="447"/>
      <c r="BG9" s="460"/>
      <c r="BH9" s="191"/>
      <c r="BI9" s="213">
        <f t="shared" ref="BI9" si="0">SUM(BI4:BI8)</f>
        <v>0</v>
      </c>
      <c r="BJ9" s="213">
        <f t="shared" ref="BJ9" si="1">SUM(BJ4:BJ8)</f>
        <v>0</v>
      </c>
      <c r="BK9" s="213"/>
      <c r="BL9" s="213">
        <f t="shared" ref="BL9" si="2">SUM(BL4:BL8)</f>
        <v>0</v>
      </c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</row>
    <row r="10" spans="1:81" ht="14.5">
      <c r="A10" s="555" t="s">
        <v>194</v>
      </c>
      <c r="B10" s="9" t="s">
        <v>466</v>
      </c>
      <c r="C10" s="9">
        <v>5039</v>
      </c>
      <c r="D10" s="9">
        <v>66</v>
      </c>
      <c r="E10" s="9" t="s">
        <v>455</v>
      </c>
      <c r="F10" s="9" t="s">
        <v>196</v>
      </c>
      <c r="G10" s="54">
        <v>14.586130000000001</v>
      </c>
      <c r="H10" s="54">
        <v>39.395229999999998</v>
      </c>
      <c r="I10" s="193" t="s">
        <v>456</v>
      </c>
      <c r="J10" s="193" t="s">
        <v>457</v>
      </c>
      <c r="K10" s="193">
        <v>40</v>
      </c>
      <c r="L10" s="90" t="s">
        <v>458</v>
      </c>
      <c r="M10" s="418"/>
      <c r="N10" s="418"/>
      <c r="O10" s="425"/>
      <c r="P10" s="425"/>
      <c r="Q10" s="418"/>
      <c r="R10" s="419"/>
      <c r="S10" s="420"/>
      <c r="T10" s="424"/>
      <c r="U10" s="421"/>
      <c r="V10" s="422"/>
      <c r="W10" s="423"/>
      <c r="X10" s="419"/>
      <c r="Y10" s="420"/>
      <c r="Z10" s="424"/>
      <c r="AA10" s="424"/>
      <c r="AB10" s="426"/>
      <c r="AC10" s="422"/>
      <c r="AD10" s="457"/>
      <c r="AE10" s="420"/>
      <c r="AF10" s="424"/>
      <c r="AG10" s="424"/>
      <c r="AH10" s="426"/>
      <c r="AI10" s="422"/>
      <c r="AJ10" s="457"/>
      <c r="AK10" s="420"/>
      <c r="AL10" s="424"/>
      <c r="AM10" s="424"/>
      <c r="AN10" s="426"/>
      <c r="AO10" s="458"/>
      <c r="AP10" s="457"/>
      <c r="AQ10" s="420"/>
      <c r="AR10" s="424"/>
      <c r="AS10" s="424"/>
      <c r="AT10" s="426"/>
      <c r="AU10" s="458"/>
      <c r="AV10" s="457"/>
      <c r="AW10" s="420"/>
      <c r="AX10" s="424"/>
      <c r="AY10" s="424"/>
      <c r="AZ10" s="426"/>
      <c r="BA10" s="458"/>
      <c r="BB10" s="457"/>
      <c r="BC10" s="420"/>
      <c r="BD10" s="424"/>
      <c r="BE10" s="424"/>
      <c r="BF10" s="426"/>
      <c r="BG10" s="458"/>
      <c r="BI10" s="317">
        <f>AB10+V10</f>
        <v>0</v>
      </c>
      <c r="BJ10" s="317">
        <f>AH10+AN10</f>
        <v>0</v>
      </c>
      <c r="BK10" s="317"/>
      <c r="BL10" s="221">
        <f>BI10+BJ10+BK10</f>
        <v>0</v>
      </c>
    </row>
    <row r="11" spans="1:81" ht="14.5">
      <c r="A11" s="555"/>
      <c r="B11" s="9" t="s">
        <v>467</v>
      </c>
      <c r="C11" s="9">
        <v>5039</v>
      </c>
      <c r="D11" s="9">
        <v>66</v>
      </c>
      <c r="E11" s="9" t="s">
        <v>455</v>
      </c>
      <c r="F11" s="9" t="s">
        <v>198</v>
      </c>
      <c r="G11" s="54">
        <v>14.6051</v>
      </c>
      <c r="H11" s="54">
        <v>39.37565</v>
      </c>
      <c r="I11" s="193" t="s">
        <v>468</v>
      </c>
      <c r="J11" s="193" t="s">
        <v>457</v>
      </c>
      <c r="K11" s="193">
        <v>39</v>
      </c>
      <c r="L11" s="90" t="s">
        <v>458</v>
      </c>
      <c r="M11" s="418"/>
      <c r="N11" s="418"/>
      <c r="O11" s="425"/>
      <c r="P11" s="425"/>
      <c r="Q11" s="418"/>
      <c r="R11" s="419"/>
      <c r="S11" s="420"/>
      <c r="T11" s="424"/>
      <c r="U11" s="421"/>
      <c r="V11" s="422"/>
      <c r="W11" s="423"/>
      <c r="X11" s="419"/>
      <c r="Y11" s="420"/>
      <c r="Z11" s="424"/>
      <c r="AA11" s="421"/>
      <c r="AB11" s="422"/>
      <c r="AC11" s="422"/>
      <c r="AD11" s="457"/>
      <c r="AE11" s="420"/>
      <c r="AF11" s="424"/>
      <c r="AG11" s="421"/>
      <c r="AH11" s="422"/>
      <c r="AI11" s="422"/>
      <c r="AJ11" s="457"/>
      <c r="AK11" s="420"/>
      <c r="AL11" s="424"/>
      <c r="AM11" s="421"/>
      <c r="AN11" s="422"/>
      <c r="AO11" s="458"/>
      <c r="AP11" s="457"/>
      <c r="AQ11" s="420"/>
      <c r="AR11" s="424"/>
      <c r="AS11" s="421"/>
      <c r="AT11" s="422"/>
      <c r="AU11" s="458"/>
      <c r="AV11" s="457"/>
      <c r="AW11" s="420"/>
      <c r="AX11" s="424"/>
      <c r="AY11" s="421"/>
      <c r="AZ11" s="422"/>
      <c r="BA11" s="458"/>
      <c r="BB11" s="457"/>
      <c r="BC11" s="420"/>
      <c r="BD11" s="424"/>
      <c r="BE11" s="421"/>
      <c r="BF11" s="422"/>
      <c r="BG11" s="458"/>
      <c r="BI11" s="317">
        <f>AB11+V11</f>
        <v>0</v>
      </c>
      <c r="BJ11" s="317">
        <f>AH11+AN11</f>
        <v>0</v>
      </c>
      <c r="BK11" s="317"/>
      <c r="BL11" s="221">
        <f>BI11+BJ11+BK11</f>
        <v>0</v>
      </c>
    </row>
    <row r="12" spans="1:81" ht="14.5">
      <c r="A12" s="555"/>
      <c r="B12" s="9" t="s">
        <v>469</v>
      </c>
      <c r="C12" s="9">
        <v>5039</v>
      </c>
      <c r="D12" s="9">
        <v>66</v>
      </c>
      <c r="E12" s="9" t="s">
        <v>455</v>
      </c>
      <c r="F12" s="9" t="s">
        <v>200</v>
      </c>
      <c r="G12" s="54">
        <v>14.57931</v>
      </c>
      <c r="H12" s="54">
        <v>39.381399999999999</v>
      </c>
      <c r="I12" s="193" t="s">
        <v>468</v>
      </c>
      <c r="J12" s="193" t="s">
        <v>460</v>
      </c>
      <c r="K12" s="193">
        <v>8</v>
      </c>
      <c r="L12" s="90" t="s">
        <v>458</v>
      </c>
      <c r="M12" s="418"/>
      <c r="N12" s="418"/>
      <c r="O12" s="425"/>
      <c r="P12" s="425"/>
      <c r="Q12" s="418"/>
      <c r="R12" s="419"/>
      <c r="S12" s="420"/>
      <c r="T12" s="421"/>
      <c r="U12" s="421"/>
      <c r="V12" s="422"/>
      <c r="W12" s="423"/>
      <c r="X12" s="419"/>
      <c r="Y12" s="420"/>
      <c r="Z12" s="421"/>
      <c r="AA12" s="421"/>
      <c r="AB12" s="422"/>
      <c r="AC12" s="422"/>
      <c r="AD12" s="457"/>
      <c r="AE12" s="420"/>
      <c r="AF12" s="421"/>
      <c r="AG12" s="421"/>
      <c r="AH12" s="422"/>
      <c r="AI12" s="422"/>
      <c r="AJ12" s="457"/>
      <c r="AK12" s="420"/>
      <c r="AL12" s="421"/>
      <c r="AM12" s="421"/>
      <c r="AN12" s="422"/>
      <c r="AO12" s="458"/>
      <c r="AP12" s="457"/>
      <c r="AQ12" s="420"/>
      <c r="AR12" s="421"/>
      <c r="AS12" s="421"/>
      <c r="AT12" s="422"/>
      <c r="AU12" s="458"/>
      <c r="AV12" s="457"/>
      <c r="AW12" s="420"/>
      <c r="AX12" s="421"/>
      <c r="AY12" s="421"/>
      <c r="AZ12" s="422"/>
      <c r="BA12" s="458"/>
      <c r="BB12" s="457"/>
      <c r="BC12" s="420"/>
      <c r="BD12" s="421"/>
      <c r="BE12" s="421"/>
      <c r="BF12" s="422"/>
      <c r="BG12" s="458"/>
      <c r="BI12" s="317">
        <f>AB12+V12</f>
        <v>0</v>
      </c>
      <c r="BJ12" s="317">
        <f>AH12+AN12</f>
        <v>0</v>
      </c>
      <c r="BK12" s="317"/>
      <c r="BL12" s="221">
        <f>BI12+BJ12+BK12</f>
        <v>0</v>
      </c>
    </row>
    <row r="13" spans="1:81" ht="14.5">
      <c r="A13" s="555"/>
      <c r="B13" s="9" t="s">
        <v>470</v>
      </c>
      <c r="C13" s="9">
        <v>5039</v>
      </c>
      <c r="D13" s="9">
        <v>66</v>
      </c>
      <c r="E13" s="9" t="s">
        <v>455</v>
      </c>
      <c r="F13" s="9" t="s">
        <v>202</v>
      </c>
      <c r="G13" s="54">
        <v>14.531459999999999</v>
      </c>
      <c r="H13" s="54">
        <v>39.486640000000001</v>
      </c>
      <c r="I13" s="193" t="s">
        <v>471</v>
      </c>
      <c r="J13" s="193" t="s">
        <v>457</v>
      </c>
      <c r="K13" s="193">
        <v>45</v>
      </c>
      <c r="L13" s="90" t="s">
        <v>458</v>
      </c>
      <c r="M13" s="418"/>
      <c r="N13" s="418"/>
      <c r="O13" s="418"/>
      <c r="P13" s="418"/>
      <c r="Q13" s="418"/>
      <c r="R13" s="419"/>
      <c r="S13" s="420"/>
      <c r="T13" s="424"/>
      <c r="U13" s="421"/>
      <c r="V13" s="422"/>
      <c r="W13" s="423"/>
      <c r="X13" s="419"/>
      <c r="Y13" s="420"/>
      <c r="Z13" s="424"/>
      <c r="AA13" s="421"/>
      <c r="AB13" s="422"/>
      <c r="AC13" s="422"/>
      <c r="AD13" s="457"/>
      <c r="AE13" s="420"/>
      <c r="AF13" s="424"/>
      <c r="AG13" s="421"/>
      <c r="AH13" s="422"/>
      <c r="AI13" s="422"/>
      <c r="AJ13" s="457"/>
      <c r="AK13" s="420"/>
      <c r="AL13" s="424"/>
      <c r="AM13" s="421"/>
      <c r="AN13" s="422"/>
      <c r="AO13" s="458"/>
      <c r="AP13" s="457"/>
      <c r="AQ13" s="420"/>
      <c r="AR13" s="424"/>
      <c r="AS13" s="421"/>
      <c r="AT13" s="422"/>
      <c r="AU13" s="458"/>
      <c r="AV13" s="457"/>
      <c r="AW13" s="420"/>
      <c r="AX13" s="424"/>
      <c r="AY13" s="421"/>
      <c r="AZ13" s="422"/>
      <c r="BA13" s="458"/>
      <c r="BB13" s="457"/>
      <c r="BC13" s="420"/>
      <c r="BD13" s="424"/>
      <c r="BE13" s="421"/>
      <c r="BF13" s="422"/>
      <c r="BG13" s="458"/>
      <c r="BI13" s="317">
        <f>AB13+V13</f>
        <v>0</v>
      </c>
      <c r="BJ13" s="317">
        <f>AH13+AN13</f>
        <v>0</v>
      </c>
      <c r="BK13" s="317"/>
      <c r="BL13" s="221">
        <f>BI13+BJ13+BK13</f>
        <v>0</v>
      </c>
    </row>
    <row r="14" spans="1:81" thickBot="1">
      <c r="A14" s="555"/>
      <c r="B14" s="9" t="s">
        <v>472</v>
      </c>
      <c r="C14" s="9">
        <v>5039</v>
      </c>
      <c r="D14" s="9">
        <v>66</v>
      </c>
      <c r="E14" s="9" t="s">
        <v>461</v>
      </c>
      <c r="F14" s="9" t="s">
        <v>473</v>
      </c>
      <c r="G14" s="54">
        <v>14.557</v>
      </c>
      <c r="H14" s="54">
        <v>38.75309</v>
      </c>
      <c r="I14" s="193" t="s">
        <v>474</v>
      </c>
      <c r="J14" s="193" t="s">
        <v>475</v>
      </c>
      <c r="K14" s="193">
        <v>50</v>
      </c>
      <c r="L14" s="90" t="s">
        <v>458</v>
      </c>
      <c r="M14" s="418"/>
      <c r="N14" s="418"/>
      <c r="O14" s="418"/>
      <c r="P14" s="418"/>
      <c r="Q14" s="418"/>
      <c r="R14" s="419"/>
      <c r="S14" s="420"/>
      <c r="T14" s="421"/>
      <c r="U14" s="421"/>
      <c r="V14" s="422"/>
      <c r="W14" s="423"/>
      <c r="X14" s="419"/>
      <c r="Y14" s="420"/>
      <c r="Z14" s="421"/>
      <c r="AA14" s="421"/>
      <c r="AB14" s="422"/>
      <c r="AC14" s="422"/>
      <c r="AD14" s="457"/>
      <c r="AE14" s="420"/>
      <c r="AF14" s="421"/>
      <c r="AG14" s="421"/>
      <c r="AH14" s="422"/>
      <c r="AI14" s="422"/>
      <c r="AJ14" s="457"/>
      <c r="AK14" s="420"/>
      <c r="AL14" s="421"/>
      <c r="AM14" s="421"/>
      <c r="AN14" s="422"/>
      <c r="AO14" s="458"/>
      <c r="AP14" s="457"/>
      <c r="AQ14" s="420"/>
      <c r="AR14" s="421"/>
      <c r="AS14" s="421"/>
      <c r="AT14" s="422"/>
      <c r="AU14" s="458"/>
      <c r="AV14" s="457"/>
      <c r="AW14" s="420"/>
      <c r="AX14" s="421"/>
      <c r="AY14" s="421"/>
      <c r="AZ14" s="422"/>
      <c r="BA14" s="458"/>
      <c r="BB14" s="457"/>
      <c r="BC14" s="420"/>
      <c r="BD14" s="421"/>
      <c r="BE14" s="421"/>
      <c r="BF14" s="422"/>
      <c r="BG14" s="458"/>
      <c r="BI14" s="317">
        <f>AB14+V14</f>
        <v>0</v>
      </c>
      <c r="BJ14" s="317">
        <f>AH14+AN14</f>
        <v>0</v>
      </c>
      <c r="BK14" s="317"/>
      <c r="BL14" s="221">
        <f>BI14+BJ14+BK14</f>
        <v>0</v>
      </c>
    </row>
    <row r="15" spans="1:81" s="443" customFormat="1" thickBot="1">
      <c r="B15" s="205"/>
      <c r="C15" s="205"/>
      <c r="D15" s="205"/>
      <c r="E15" s="205"/>
      <c r="F15" s="205"/>
      <c r="G15" s="206"/>
      <c r="H15" s="206"/>
      <c r="I15" s="207"/>
      <c r="J15" s="207"/>
      <c r="K15" s="207"/>
      <c r="L15" s="208"/>
      <c r="M15" s="209"/>
      <c r="N15" s="209"/>
      <c r="O15" s="209"/>
      <c r="P15" s="209"/>
      <c r="Q15" s="210"/>
      <c r="R15" s="444"/>
      <c r="S15" s="445"/>
      <c r="T15" s="449"/>
      <c r="U15" s="446"/>
      <c r="V15" s="447"/>
      <c r="W15" s="448"/>
      <c r="X15" s="444"/>
      <c r="Y15" s="445"/>
      <c r="Z15" s="449"/>
      <c r="AA15" s="446"/>
      <c r="AB15" s="447"/>
      <c r="AC15" s="447"/>
      <c r="AD15" s="459"/>
      <c r="AE15" s="445"/>
      <c r="AF15" s="449"/>
      <c r="AG15" s="446"/>
      <c r="AH15" s="447"/>
      <c r="AI15" s="447"/>
      <c r="AJ15" s="459"/>
      <c r="AK15" s="445"/>
      <c r="AL15" s="449"/>
      <c r="AM15" s="446"/>
      <c r="AN15" s="447"/>
      <c r="AO15" s="460"/>
      <c r="AP15" s="459"/>
      <c r="AQ15" s="445"/>
      <c r="AR15" s="449"/>
      <c r="AS15" s="446"/>
      <c r="AT15" s="447"/>
      <c r="AU15" s="460"/>
      <c r="AV15" s="459"/>
      <c r="AW15" s="445"/>
      <c r="AX15" s="449"/>
      <c r="AY15" s="446"/>
      <c r="AZ15" s="447"/>
      <c r="BA15" s="460"/>
      <c r="BB15" s="459"/>
      <c r="BC15" s="445"/>
      <c r="BD15" s="449"/>
      <c r="BE15" s="446"/>
      <c r="BF15" s="447"/>
      <c r="BG15" s="460"/>
      <c r="BH15" s="191"/>
      <c r="BI15" s="213">
        <f t="shared" ref="BI15" si="3">SUM(BI10:BI14)</f>
        <v>0</v>
      </c>
      <c r="BJ15" s="213">
        <f t="shared" ref="BJ15" si="4">SUM(BJ10:BJ14)</f>
        <v>0</v>
      </c>
      <c r="BK15" s="213"/>
      <c r="BL15" s="213">
        <f t="shared" ref="BL15" si="5">SUM(BL10:BL14)</f>
        <v>0</v>
      </c>
      <c r="BM15" s="191"/>
      <c r="BN15" s="191"/>
      <c r="BO15" s="191"/>
      <c r="BP15" s="191"/>
      <c r="BQ15" s="191"/>
      <c r="BR15" s="191"/>
      <c r="BS15" s="191"/>
      <c r="BT15" s="191"/>
      <c r="BU15" s="191"/>
      <c r="BV15" s="191"/>
      <c r="BW15" s="191"/>
      <c r="BX15" s="191"/>
      <c r="BY15" s="191"/>
      <c r="BZ15" s="191"/>
      <c r="CA15" s="191"/>
      <c r="CB15" s="191"/>
      <c r="CC15" s="191"/>
    </row>
    <row r="16" spans="1:81" ht="14.5">
      <c r="A16" s="555" t="s">
        <v>215</v>
      </c>
      <c r="B16" s="9" t="s">
        <v>216</v>
      </c>
      <c r="C16" s="9">
        <v>5040</v>
      </c>
      <c r="D16" s="9">
        <v>67</v>
      </c>
      <c r="E16" s="9" t="s">
        <v>455</v>
      </c>
      <c r="F16" s="9" t="s">
        <v>217</v>
      </c>
      <c r="G16" s="54">
        <v>14.600440000000001</v>
      </c>
      <c r="H16" s="54">
        <v>39.464060000000003</v>
      </c>
      <c r="I16" s="193" t="s">
        <v>476</v>
      </c>
      <c r="J16" s="193" t="s">
        <v>457</v>
      </c>
      <c r="K16" s="193">
        <v>45</v>
      </c>
      <c r="L16" s="90" t="s">
        <v>458</v>
      </c>
      <c r="M16" s="418"/>
      <c r="N16" s="418"/>
      <c r="O16" s="418"/>
      <c r="P16" s="418"/>
      <c r="Q16" s="418"/>
      <c r="R16" s="419"/>
      <c r="S16" s="420"/>
      <c r="T16" s="421"/>
      <c r="U16" s="421"/>
      <c r="V16" s="422"/>
      <c r="W16" s="423"/>
      <c r="X16" s="419"/>
      <c r="Y16" s="420"/>
      <c r="Z16" s="421"/>
      <c r="AA16" s="421"/>
      <c r="AB16" s="422"/>
      <c r="AC16" s="422"/>
      <c r="AD16" s="457"/>
      <c r="AE16" s="420"/>
      <c r="AF16" s="421"/>
      <c r="AG16" s="421"/>
      <c r="AH16" s="422"/>
      <c r="AI16" s="422"/>
      <c r="AJ16" s="457"/>
      <c r="AK16" s="420"/>
      <c r="AL16" s="421"/>
      <c r="AM16" s="421"/>
      <c r="AN16" s="422"/>
      <c r="AO16" s="458"/>
      <c r="AP16" s="457"/>
      <c r="AQ16" s="420"/>
      <c r="AR16" s="421"/>
      <c r="AS16" s="421"/>
      <c r="AT16" s="422"/>
      <c r="AU16" s="458"/>
      <c r="AV16" s="457"/>
      <c r="AW16" s="420"/>
      <c r="AX16" s="421"/>
      <c r="AY16" s="421"/>
      <c r="AZ16" s="422"/>
      <c r="BA16" s="458"/>
      <c r="BB16" s="457"/>
      <c r="BC16" s="420"/>
      <c r="BD16" s="421"/>
      <c r="BE16" s="421"/>
      <c r="BF16" s="422"/>
      <c r="BG16" s="458"/>
      <c r="BI16" s="317">
        <f>AB16+V16</f>
        <v>0</v>
      </c>
      <c r="BJ16" s="317">
        <f>AH16+AN16</f>
        <v>0</v>
      </c>
      <c r="BK16" s="317"/>
      <c r="BL16" s="221">
        <f>BI16+BJ16+BK16</f>
        <v>0</v>
      </c>
    </row>
    <row r="17" spans="1:81" ht="14.5">
      <c r="A17" s="555"/>
      <c r="B17" s="9" t="s">
        <v>218</v>
      </c>
      <c r="C17" s="9">
        <v>5040</v>
      </c>
      <c r="D17" s="9">
        <v>67</v>
      </c>
      <c r="E17" s="9" t="s">
        <v>455</v>
      </c>
      <c r="F17" s="9" t="s">
        <v>219</v>
      </c>
      <c r="G17" s="54">
        <v>14.619160000000001</v>
      </c>
      <c r="H17" s="54">
        <v>39.45731</v>
      </c>
      <c r="I17" s="193" t="s">
        <v>477</v>
      </c>
      <c r="J17" s="193" t="s">
        <v>457</v>
      </c>
      <c r="K17" s="193">
        <v>52</v>
      </c>
      <c r="L17" s="90" t="s">
        <v>458</v>
      </c>
      <c r="M17" s="418"/>
      <c r="N17" s="418"/>
      <c r="O17" s="418"/>
      <c r="P17" s="418"/>
      <c r="Q17" s="418"/>
      <c r="R17" s="419"/>
      <c r="S17" s="420"/>
      <c r="T17" s="421"/>
      <c r="U17" s="421"/>
      <c r="V17" s="422"/>
      <c r="W17" s="423"/>
      <c r="X17" s="419"/>
      <c r="Y17" s="420"/>
      <c r="Z17" s="421"/>
      <c r="AA17" s="421"/>
      <c r="AB17" s="422"/>
      <c r="AC17" s="422"/>
      <c r="AD17" s="457"/>
      <c r="AE17" s="420"/>
      <c r="AF17" s="421"/>
      <c r="AG17" s="421"/>
      <c r="AH17" s="422"/>
      <c r="AI17" s="422"/>
      <c r="AJ17" s="457"/>
      <c r="AK17" s="420"/>
      <c r="AL17" s="421"/>
      <c r="AM17" s="421"/>
      <c r="AN17" s="422"/>
      <c r="AO17" s="458"/>
      <c r="AP17" s="457"/>
      <c r="AQ17" s="420"/>
      <c r="AR17" s="421"/>
      <c r="AS17" s="421"/>
      <c r="AT17" s="422"/>
      <c r="AU17" s="458"/>
      <c r="AV17" s="457"/>
      <c r="AW17" s="420"/>
      <c r="AX17" s="421"/>
      <c r="AY17" s="421"/>
      <c r="AZ17" s="422"/>
      <c r="BA17" s="458"/>
      <c r="BB17" s="457"/>
      <c r="BC17" s="420"/>
      <c r="BD17" s="421"/>
      <c r="BE17" s="421"/>
      <c r="BF17" s="422"/>
      <c r="BG17" s="458"/>
      <c r="BI17" s="317">
        <f>AB17+V17</f>
        <v>0</v>
      </c>
      <c r="BJ17" s="317">
        <f>AH17+AN17</f>
        <v>0</v>
      </c>
      <c r="BK17" s="317"/>
      <c r="BL17" s="221">
        <f>BI17+BJ17+BK17</f>
        <v>0</v>
      </c>
    </row>
    <row r="18" spans="1:81" ht="14.5">
      <c r="A18" s="555"/>
      <c r="B18" s="9" t="s">
        <v>220</v>
      </c>
      <c r="C18" s="9">
        <v>5040</v>
      </c>
      <c r="D18" s="9">
        <v>67</v>
      </c>
      <c r="E18" s="9" t="s">
        <v>461</v>
      </c>
      <c r="F18" s="9" t="s">
        <v>221</v>
      </c>
      <c r="G18" s="54">
        <v>14.521739999999999</v>
      </c>
      <c r="H18" s="54">
        <v>38.788469999999997</v>
      </c>
      <c r="I18" s="193" t="s">
        <v>462</v>
      </c>
      <c r="J18" s="193" t="s">
        <v>457</v>
      </c>
      <c r="K18" s="193">
        <v>40</v>
      </c>
      <c r="L18" s="90" t="s">
        <v>458</v>
      </c>
      <c r="M18" s="418"/>
      <c r="N18" s="418"/>
      <c r="O18" s="418"/>
      <c r="P18" s="418"/>
      <c r="Q18" s="418"/>
      <c r="R18" s="419"/>
      <c r="S18" s="420"/>
      <c r="T18" s="427"/>
      <c r="U18" s="427"/>
      <c r="V18" s="428"/>
      <c r="W18" s="423"/>
      <c r="X18" s="419"/>
      <c r="Y18" s="420"/>
      <c r="Z18" s="421"/>
      <c r="AA18" s="421"/>
      <c r="AB18" s="422"/>
      <c r="AC18" s="422"/>
      <c r="AD18" s="457"/>
      <c r="AE18" s="420"/>
      <c r="AF18" s="421"/>
      <c r="AG18" s="421"/>
      <c r="AH18" s="422"/>
      <c r="AI18" s="422"/>
      <c r="AJ18" s="457"/>
      <c r="AK18" s="420"/>
      <c r="AL18" s="421"/>
      <c r="AM18" s="421"/>
      <c r="AN18" s="422"/>
      <c r="AO18" s="458"/>
      <c r="AP18" s="457"/>
      <c r="AQ18" s="420"/>
      <c r="AR18" s="421"/>
      <c r="AS18" s="421"/>
      <c r="AT18" s="422"/>
      <c r="AU18" s="458"/>
      <c r="AV18" s="457"/>
      <c r="AW18" s="420"/>
      <c r="AX18" s="421"/>
      <c r="AY18" s="421"/>
      <c r="AZ18" s="422"/>
      <c r="BA18" s="458"/>
      <c r="BB18" s="457"/>
      <c r="BC18" s="420"/>
      <c r="BD18" s="421"/>
      <c r="BE18" s="421"/>
      <c r="BF18" s="422"/>
      <c r="BG18" s="458"/>
      <c r="BI18" s="317">
        <f>AB18+V18</f>
        <v>0</v>
      </c>
      <c r="BJ18" s="317">
        <f>AH18+AN18</f>
        <v>0</v>
      </c>
      <c r="BK18" s="317"/>
      <c r="BL18" s="221">
        <f>BI18+BJ18+BK18</f>
        <v>0</v>
      </c>
    </row>
    <row r="19" spans="1:81" ht="14.5">
      <c r="A19" s="555"/>
      <c r="B19" s="9" t="s">
        <v>222</v>
      </c>
      <c r="C19" s="9">
        <v>5040</v>
      </c>
      <c r="D19" s="9">
        <v>67</v>
      </c>
      <c r="E19" s="9" t="s">
        <v>461</v>
      </c>
      <c r="F19" s="9" t="s">
        <v>223</v>
      </c>
      <c r="G19" s="54">
        <v>14.536250000000001</v>
      </c>
      <c r="H19" s="54">
        <v>38.711190000000002</v>
      </c>
      <c r="I19" s="193" t="s">
        <v>478</v>
      </c>
      <c r="J19" s="193" t="s">
        <v>460</v>
      </c>
      <c r="K19" s="193">
        <v>7.5</v>
      </c>
      <c r="L19" s="90" t="s">
        <v>458</v>
      </c>
      <c r="M19" s="418"/>
      <c r="N19" s="418"/>
      <c r="O19" s="418"/>
      <c r="P19" s="418"/>
      <c r="Q19" s="418"/>
      <c r="R19" s="419"/>
      <c r="S19" s="420"/>
      <c r="T19" s="427"/>
      <c r="U19" s="427"/>
      <c r="V19" s="428"/>
      <c r="W19" s="423"/>
      <c r="X19" s="419"/>
      <c r="Y19" s="420"/>
      <c r="Z19" s="424"/>
      <c r="AA19" s="421"/>
      <c r="AB19" s="422"/>
      <c r="AC19" s="422"/>
      <c r="AD19" s="457"/>
      <c r="AE19" s="420"/>
      <c r="AF19" s="424"/>
      <c r="AG19" s="421"/>
      <c r="AH19" s="422"/>
      <c r="AI19" s="422"/>
      <c r="AJ19" s="457"/>
      <c r="AK19" s="420"/>
      <c r="AL19" s="424"/>
      <c r="AM19" s="421"/>
      <c r="AN19" s="422"/>
      <c r="AO19" s="458"/>
      <c r="AP19" s="457"/>
      <c r="AQ19" s="420"/>
      <c r="AR19" s="424"/>
      <c r="AS19" s="421"/>
      <c r="AT19" s="422"/>
      <c r="AU19" s="458"/>
      <c r="AV19" s="457"/>
      <c r="AW19" s="420"/>
      <c r="AX19" s="424"/>
      <c r="AY19" s="421"/>
      <c r="AZ19" s="422"/>
      <c r="BA19" s="458"/>
      <c r="BB19" s="457"/>
      <c r="BC19" s="420"/>
      <c r="BD19" s="424"/>
      <c r="BE19" s="421"/>
      <c r="BF19" s="422"/>
      <c r="BG19" s="458"/>
      <c r="BI19" s="317">
        <f>AB19+V19</f>
        <v>0</v>
      </c>
      <c r="BJ19" s="317">
        <f>AH19+AN19</f>
        <v>0</v>
      </c>
      <c r="BK19" s="317"/>
      <c r="BL19" s="221">
        <f>BI19+BJ19+BK19</f>
        <v>0</v>
      </c>
    </row>
    <row r="20" spans="1:81" thickBot="1">
      <c r="A20" s="555"/>
      <c r="B20" s="9" t="s">
        <v>224</v>
      </c>
      <c r="C20" s="9">
        <v>5040</v>
      </c>
      <c r="D20" s="9">
        <v>67</v>
      </c>
      <c r="E20" s="9" t="s">
        <v>461</v>
      </c>
      <c r="F20" s="9" t="s">
        <v>225</v>
      </c>
      <c r="G20" s="54">
        <v>14.70787</v>
      </c>
      <c r="H20" s="54">
        <v>38.847749999999998</v>
      </c>
      <c r="I20" s="193" t="s">
        <v>479</v>
      </c>
      <c r="J20" s="193" t="s">
        <v>460</v>
      </c>
      <c r="K20" s="193">
        <v>9</v>
      </c>
      <c r="L20" s="90" t="s">
        <v>458</v>
      </c>
      <c r="M20" s="418"/>
      <c r="N20" s="418"/>
      <c r="O20" s="418"/>
      <c r="P20" s="418"/>
      <c r="Q20" s="418"/>
      <c r="R20" s="419"/>
      <c r="S20" s="420"/>
      <c r="T20" s="421"/>
      <c r="U20" s="421"/>
      <c r="V20" s="422"/>
      <c r="W20" s="423"/>
      <c r="X20" s="419"/>
      <c r="Y20" s="420"/>
      <c r="Z20" s="421"/>
      <c r="AA20" s="421"/>
      <c r="AB20" s="422"/>
      <c r="AC20" s="422"/>
      <c r="AD20" s="457"/>
      <c r="AE20" s="420"/>
      <c r="AF20" s="421"/>
      <c r="AG20" s="421"/>
      <c r="AH20" s="422"/>
      <c r="AI20" s="422"/>
      <c r="AJ20" s="457"/>
      <c r="AK20" s="420"/>
      <c r="AL20" s="421"/>
      <c r="AM20" s="421"/>
      <c r="AN20" s="422"/>
      <c r="AO20" s="458"/>
      <c r="AP20" s="457"/>
      <c r="AQ20" s="420"/>
      <c r="AR20" s="421"/>
      <c r="AS20" s="421"/>
      <c r="AT20" s="422"/>
      <c r="AU20" s="458"/>
      <c r="AV20" s="457"/>
      <c r="AW20" s="420"/>
      <c r="AX20" s="421"/>
      <c r="AY20" s="421"/>
      <c r="AZ20" s="422"/>
      <c r="BA20" s="458"/>
      <c r="BB20" s="457"/>
      <c r="BC20" s="420"/>
      <c r="BD20" s="421"/>
      <c r="BE20" s="421"/>
      <c r="BF20" s="422"/>
      <c r="BG20" s="458"/>
      <c r="BI20" s="317">
        <f>AB20+V20</f>
        <v>0</v>
      </c>
      <c r="BJ20" s="317">
        <f>AH20+AN20</f>
        <v>0</v>
      </c>
      <c r="BK20" s="317"/>
      <c r="BL20" s="221">
        <f>BI20+BJ20+BK20</f>
        <v>0</v>
      </c>
    </row>
    <row r="21" spans="1:81" s="443" customFormat="1" thickBot="1">
      <c r="B21" s="205"/>
      <c r="C21" s="205"/>
      <c r="D21" s="205"/>
      <c r="E21" s="205"/>
      <c r="F21" s="205"/>
      <c r="G21" s="206"/>
      <c r="H21" s="206"/>
      <c r="I21" s="207"/>
      <c r="J21" s="207"/>
      <c r="K21" s="207"/>
      <c r="L21" s="208"/>
      <c r="M21" s="209"/>
      <c r="N21" s="209"/>
      <c r="O21" s="209"/>
      <c r="P21" s="209"/>
      <c r="Q21" s="210"/>
      <c r="R21" s="444"/>
      <c r="S21" s="445"/>
      <c r="T21" s="446"/>
      <c r="U21" s="446"/>
      <c r="V21" s="447"/>
      <c r="W21" s="448"/>
      <c r="X21" s="444"/>
      <c r="Y21" s="445"/>
      <c r="Z21" s="446"/>
      <c r="AA21" s="446"/>
      <c r="AB21" s="447"/>
      <c r="AC21" s="447"/>
      <c r="AD21" s="459"/>
      <c r="AE21" s="445"/>
      <c r="AF21" s="446"/>
      <c r="AG21" s="446"/>
      <c r="AH21" s="447"/>
      <c r="AI21" s="447"/>
      <c r="AJ21" s="459"/>
      <c r="AK21" s="445"/>
      <c r="AL21" s="446"/>
      <c r="AM21" s="446"/>
      <c r="AN21" s="447"/>
      <c r="AO21" s="460"/>
      <c r="AP21" s="459"/>
      <c r="AQ21" s="445"/>
      <c r="AR21" s="446"/>
      <c r="AS21" s="446"/>
      <c r="AT21" s="447"/>
      <c r="AU21" s="460"/>
      <c r="AV21" s="459"/>
      <c r="AW21" s="445"/>
      <c r="AX21" s="446"/>
      <c r="AY21" s="446"/>
      <c r="AZ21" s="447"/>
      <c r="BA21" s="460"/>
      <c r="BB21" s="459"/>
      <c r="BC21" s="445"/>
      <c r="BD21" s="446"/>
      <c r="BE21" s="446"/>
      <c r="BF21" s="447"/>
      <c r="BG21" s="460"/>
      <c r="BH21" s="191"/>
      <c r="BI21" s="213">
        <f t="shared" ref="BI21" si="6">SUM(BI16:BI20)</f>
        <v>0</v>
      </c>
      <c r="BJ21" s="213">
        <f t="shared" ref="BJ21" si="7">SUM(BJ16:BJ20)</f>
        <v>0</v>
      </c>
      <c r="BK21" s="213"/>
      <c r="BL21" s="213">
        <f t="shared" ref="BL21" si="8">SUM(BL16:BL20)</f>
        <v>0</v>
      </c>
      <c r="BM21" s="191"/>
      <c r="BN21" s="191"/>
      <c r="BO21" s="191"/>
      <c r="BP21" s="191"/>
      <c r="BQ21" s="191"/>
      <c r="BR21" s="191"/>
      <c r="BS21" s="191"/>
      <c r="BT21" s="191"/>
      <c r="BU21" s="191"/>
      <c r="BV21" s="191"/>
      <c r="BW21" s="191"/>
      <c r="BX21" s="191"/>
      <c r="BY21" s="191"/>
      <c r="BZ21" s="191"/>
      <c r="CA21" s="191"/>
      <c r="CB21" s="191"/>
      <c r="CC21" s="191"/>
    </row>
    <row r="22" spans="1:81" ht="14.5">
      <c r="A22" s="555" t="s">
        <v>230</v>
      </c>
      <c r="B22" s="9" t="s">
        <v>231</v>
      </c>
      <c r="C22" s="9">
        <v>5041</v>
      </c>
      <c r="D22" s="9">
        <v>68</v>
      </c>
      <c r="E22" s="9" t="s">
        <v>455</v>
      </c>
      <c r="F22" s="9" t="s">
        <v>232</v>
      </c>
      <c r="G22" s="54">
        <v>14.61063</v>
      </c>
      <c r="H22" s="54">
        <v>39.47063</v>
      </c>
      <c r="I22" s="193" t="s">
        <v>476</v>
      </c>
      <c r="J22" s="193" t="s">
        <v>457</v>
      </c>
      <c r="K22" s="193">
        <v>47</v>
      </c>
      <c r="L22" s="90" t="s">
        <v>458</v>
      </c>
      <c r="M22" s="418"/>
      <c r="N22" s="418"/>
      <c r="O22" s="418"/>
      <c r="P22" s="418"/>
      <c r="Q22" s="418"/>
      <c r="R22" s="419"/>
      <c r="S22" s="420"/>
      <c r="T22" s="421"/>
      <c r="U22" s="421"/>
      <c r="V22" s="422"/>
      <c r="W22" s="423"/>
      <c r="X22" s="419"/>
      <c r="Y22" s="420"/>
      <c r="Z22" s="421"/>
      <c r="AA22" s="421"/>
      <c r="AB22" s="422"/>
      <c r="AC22" s="422"/>
      <c r="AD22" s="457"/>
      <c r="AE22" s="420"/>
      <c r="AF22" s="421"/>
      <c r="AG22" s="421"/>
      <c r="AH22" s="422"/>
      <c r="AI22" s="422"/>
      <c r="AJ22" s="457"/>
      <c r="AK22" s="420"/>
      <c r="AL22" s="421"/>
      <c r="AM22" s="421"/>
      <c r="AN22" s="422"/>
      <c r="AO22" s="458"/>
      <c r="AP22" s="457"/>
      <c r="AQ22" s="420"/>
      <c r="AR22" s="421"/>
      <c r="AS22" s="421"/>
      <c r="AT22" s="422"/>
      <c r="AU22" s="458"/>
      <c r="AV22" s="457"/>
      <c r="AW22" s="420"/>
      <c r="AX22" s="421"/>
      <c r="AY22" s="421"/>
      <c r="AZ22" s="422"/>
      <c r="BA22" s="458"/>
      <c r="BB22" s="457"/>
      <c r="BC22" s="420"/>
      <c r="BD22" s="421"/>
      <c r="BE22" s="421"/>
      <c r="BF22" s="422"/>
      <c r="BG22" s="458"/>
      <c r="BI22" s="317">
        <f>AB22+V22</f>
        <v>0</v>
      </c>
      <c r="BJ22" s="317">
        <f>AH22+AN22</f>
        <v>0</v>
      </c>
      <c r="BK22" s="317"/>
      <c r="BL22" s="221">
        <f>BI22+BJ22+BK22</f>
        <v>0</v>
      </c>
    </row>
    <row r="23" spans="1:81" ht="14.5">
      <c r="A23" s="555"/>
      <c r="B23" s="9" t="s">
        <v>233</v>
      </c>
      <c r="C23" s="9">
        <v>5041</v>
      </c>
      <c r="D23" s="9">
        <v>68</v>
      </c>
      <c r="E23" s="9" t="s">
        <v>455</v>
      </c>
      <c r="F23" s="9" t="s">
        <v>234</v>
      </c>
      <c r="G23" s="54">
        <v>14.55251</v>
      </c>
      <c r="H23" s="54">
        <v>39.342959999999998</v>
      </c>
      <c r="I23" s="193" t="s">
        <v>480</v>
      </c>
      <c r="J23" s="193" t="s">
        <v>460</v>
      </c>
      <c r="K23" s="193">
        <v>6.8</v>
      </c>
      <c r="L23" s="90" t="s">
        <v>458</v>
      </c>
      <c r="M23" s="418"/>
      <c r="N23" s="418"/>
      <c r="O23" s="418"/>
      <c r="P23" s="418"/>
      <c r="Q23" s="418"/>
      <c r="R23" s="419"/>
      <c r="S23" s="420"/>
      <c r="T23" s="421"/>
      <c r="U23" s="421"/>
      <c r="V23" s="422"/>
      <c r="W23" s="423"/>
      <c r="X23" s="419"/>
      <c r="Y23" s="420"/>
      <c r="Z23" s="421"/>
      <c r="AA23" s="421"/>
      <c r="AB23" s="422"/>
      <c r="AC23" s="422"/>
      <c r="AD23" s="457"/>
      <c r="AE23" s="420"/>
      <c r="AF23" s="421"/>
      <c r="AG23" s="421"/>
      <c r="AH23" s="422"/>
      <c r="AI23" s="422"/>
      <c r="AJ23" s="457"/>
      <c r="AK23" s="420"/>
      <c r="AL23" s="421"/>
      <c r="AM23" s="421"/>
      <c r="AN23" s="422"/>
      <c r="AO23" s="458"/>
      <c r="AP23" s="457"/>
      <c r="AQ23" s="420"/>
      <c r="AR23" s="421"/>
      <c r="AS23" s="421"/>
      <c r="AT23" s="422"/>
      <c r="AU23" s="458"/>
      <c r="AV23" s="457"/>
      <c r="AW23" s="420"/>
      <c r="AX23" s="421"/>
      <c r="AY23" s="421"/>
      <c r="AZ23" s="422"/>
      <c r="BA23" s="458"/>
      <c r="BB23" s="457"/>
      <c r="BC23" s="420"/>
      <c r="BD23" s="421"/>
      <c r="BE23" s="421"/>
      <c r="BF23" s="422"/>
      <c r="BG23" s="458"/>
      <c r="BI23" s="317">
        <f>AB23+V23</f>
        <v>0</v>
      </c>
      <c r="BJ23" s="317">
        <f>AH23+AN23</f>
        <v>0</v>
      </c>
      <c r="BK23" s="317"/>
      <c r="BL23" s="221">
        <f>BI23+BJ23+BK23</f>
        <v>0</v>
      </c>
    </row>
    <row r="24" spans="1:81" ht="14.5">
      <c r="A24" s="555"/>
      <c r="B24" s="9" t="s">
        <v>235</v>
      </c>
      <c r="C24" s="9">
        <v>5041</v>
      </c>
      <c r="D24" s="9">
        <v>68</v>
      </c>
      <c r="E24" s="9" t="s">
        <v>461</v>
      </c>
      <c r="F24" s="9" t="s">
        <v>236</v>
      </c>
      <c r="G24" s="54">
        <v>14.560320000000001</v>
      </c>
      <c r="H24" s="54">
        <v>38.755769999999998</v>
      </c>
      <c r="I24" s="193" t="s">
        <v>474</v>
      </c>
      <c r="J24" s="193" t="s">
        <v>457</v>
      </c>
      <c r="K24" s="193">
        <v>43</v>
      </c>
      <c r="L24" s="90" t="s">
        <v>458</v>
      </c>
      <c r="M24" s="418"/>
      <c r="N24" s="418"/>
      <c r="O24" s="418"/>
      <c r="P24" s="418"/>
      <c r="Q24" s="418"/>
      <c r="R24" s="419"/>
      <c r="S24" s="420"/>
      <c r="T24" s="421"/>
      <c r="U24" s="421"/>
      <c r="V24" s="422"/>
      <c r="W24" s="423"/>
      <c r="X24" s="419"/>
      <c r="Y24" s="420"/>
      <c r="Z24" s="421"/>
      <c r="AA24" s="421"/>
      <c r="AB24" s="422"/>
      <c r="AC24" s="422"/>
      <c r="AD24" s="457"/>
      <c r="AE24" s="420"/>
      <c r="AF24" s="421"/>
      <c r="AG24" s="421"/>
      <c r="AH24" s="422"/>
      <c r="AI24" s="422"/>
      <c r="AJ24" s="457"/>
      <c r="AK24" s="420"/>
      <c r="AL24" s="421"/>
      <c r="AM24" s="421"/>
      <c r="AN24" s="422"/>
      <c r="AO24" s="458"/>
      <c r="AP24" s="457"/>
      <c r="AQ24" s="420"/>
      <c r="AR24" s="421"/>
      <c r="AS24" s="421"/>
      <c r="AT24" s="422"/>
      <c r="AU24" s="458"/>
      <c r="AV24" s="457"/>
      <c r="AW24" s="420"/>
      <c r="AX24" s="421"/>
      <c r="AY24" s="421"/>
      <c r="AZ24" s="422"/>
      <c r="BA24" s="458"/>
      <c r="BB24" s="457"/>
      <c r="BC24" s="420"/>
      <c r="BD24" s="421"/>
      <c r="BE24" s="421"/>
      <c r="BF24" s="422"/>
      <c r="BG24" s="458"/>
      <c r="BI24" s="317">
        <f>AB24+V24</f>
        <v>0</v>
      </c>
      <c r="BJ24" s="317">
        <f>AH24+AN24</f>
        <v>0</v>
      </c>
      <c r="BK24" s="317"/>
      <c r="BL24" s="221">
        <f>BI24+BJ24+BK24</f>
        <v>0</v>
      </c>
    </row>
    <row r="25" spans="1:81" ht="14.5">
      <c r="A25" s="555"/>
      <c r="B25" s="9" t="s">
        <v>239</v>
      </c>
      <c r="C25" s="9">
        <v>5041</v>
      </c>
      <c r="D25" s="9">
        <v>68</v>
      </c>
      <c r="E25" s="9" t="s">
        <v>461</v>
      </c>
      <c r="F25" s="9" t="s">
        <v>240</v>
      </c>
      <c r="G25" s="54">
        <v>14.582929999999999</v>
      </c>
      <c r="H25" s="54">
        <v>38.85257</v>
      </c>
      <c r="I25" s="193" t="s">
        <v>481</v>
      </c>
      <c r="J25" s="193" t="s">
        <v>457</v>
      </c>
      <c r="K25" s="193">
        <v>48</v>
      </c>
      <c r="L25" s="90" t="s">
        <v>458</v>
      </c>
      <c r="M25" s="418"/>
      <c r="N25" s="418"/>
      <c r="O25" s="418"/>
      <c r="P25" s="418"/>
      <c r="Q25" s="418"/>
      <c r="R25" s="419"/>
      <c r="S25" s="420"/>
      <c r="T25" s="421"/>
      <c r="U25" s="421"/>
      <c r="V25" s="422"/>
      <c r="W25" s="423"/>
      <c r="X25" s="419"/>
      <c r="Y25" s="420"/>
      <c r="Z25" s="421"/>
      <c r="AA25" s="421"/>
      <c r="AB25" s="422"/>
      <c r="AC25" s="422"/>
      <c r="AD25" s="457"/>
      <c r="AE25" s="420"/>
      <c r="AF25" s="421"/>
      <c r="AG25" s="421"/>
      <c r="AH25" s="422"/>
      <c r="AI25" s="422"/>
      <c r="AJ25" s="457"/>
      <c r="AK25" s="420"/>
      <c r="AL25" s="421"/>
      <c r="AM25" s="421"/>
      <c r="AN25" s="422"/>
      <c r="AO25" s="458"/>
      <c r="AP25" s="457"/>
      <c r="AQ25" s="420"/>
      <c r="AR25" s="421"/>
      <c r="AS25" s="421"/>
      <c r="AT25" s="422"/>
      <c r="AU25" s="458"/>
      <c r="AV25" s="457"/>
      <c r="AW25" s="420"/>
      <c r="AX25" s="421"/>
      <c r="AY25" s="421"/>
      <c r="AZ25" s="422"/>
      <c r="BA25" s="458"/>
      <c r="BB25" s="457"/>
      <c r="BC25" s="420"/>
      <c r="BD25" s="421"/>
      <c r="BE25" s="421"/>
      <c r="BF25" s="422"/>
      <c r="BG25" s="458"/>
      <c r="BI25" s="317">
        <f>AB25+V25</f>
        <v>0</v>
      </c>
      <c r="BJ25" s="317">
        <f>AH25+AN25</f>
        <v>0</v>
      </c>
      <c r="BK25" s="317"/>
      <c r="BL25" s="221">
        <f>BI25+BJ25+BK25</f>
        <v>0</v>
      </c>
    </row>
    <row r="26" spans="1:81" thickBot="1">
      <c r="A26" s="555"/>
      <c r="B26" s="9" t="s">
        <v>237</v>
      </c>
      <c r="C26" s="9">
        <v>5041</v>
      </c>
      <c r="D26" s="9">
        <v>68</v>
      </c>
      <c r="E26" s="9" t="s">
        <v>482</v>
      </c>
      <c r="F26" s="9" t="s">
        <v>238</v>
      </c>
      <c r="G26" s="54">
        <v>14.777710000000001</v>
      </c>
      <c r="H26" s="54">
        <v>39.129069999999999</v>
      </c>
      <c r="I26" s="193" t="s">
        <v>483</v>
      </c>
      <c r="J26" s="193" t="s">
        <v>457</v>
      </c>
      <c r="K26" s="193">
        <v>30</v>
      </c>
      <c r="L26" s="90" t="s">
        <v>458</v>
      </c>
      <c r="M26" s="418"/>
      <c r="N26" s="418"/>
      <c r="O26" s="418"/>
      <c r="P26" s="418"/>
      <c r="Q26" s="418"/>
      <c r="R26" s="419"/>
      <c r="S26" s="420"/>
      <c r="T26" s="421"/>
      <c r="U26" s="421"/>
      <c r="V26" s="422"/>
      <c r="W26" s="423"/>
      <c r="X26" s="419"/>
      <c r="Y26" s="420"/>
      <c r="Z26" s="421"/>
      <c r="AA26" s="421"/>
      <c r="AB26" s="422"/>
      <c r="AC26" s="422"/>
      <c r="AD26" s="457"/>
      <c r="AE26" s="420"/>
      <c r="AF26" s="421"/>
      <c r="AG26" s="421"/>
      <c r="AH26" s="422"/>
      <c r="AI26" s="422"/>
      <c r="AJ26" s="457"/>
      <c r="AK26" s="420"/>
      <c r="AL26" s="421"/>
      <c r="AM26" s="421"/>
      <c r="AN26" s="422"/>
      <c r="AO26" s="458"/>
      <c r="AP26" s="457"/>
      <c r="AQ26" s="420"/>
      <c r="AR26" s="421"/>
      <c r="AS26" s="421"/>
      <c r="AT26" s="422"/>
      <c r="AU26" s="458"/>
      <c r="AV26" s="457"/>
      <c r="AW26" s="420"/>
      <c r="AX26" s="421"/>
      <c r="AY26" s="421"/>
      <c r="AZ26" s="422"/>
      <c r="BA26" s="458"/>
      <c r="BB26" s="457"/>
      <c r="BC26" s="420"/>
      <c r="BD26" s="421"/>
      <c r="BE26" s="421"/>
      <c r="BF26" s="422"/>
      <c r="BG26" s="458"/>
      <c r="BI26" s="317">
        <f>AB26+V26</f>
        <v>0</v>
      </c>
      <c r="BJ26" s="317">
        <f>AH26+AN26</f>
        <v>0</v>
      </c>
      <c r="BK26" s="317"/>
      <c r="BL26" s="221">
        <f>BI26+BJ26+BK26</f>
        <v>0</v>
      </c>
    </row>
    <row r="27" spans="1:81" s="443" customFormat="1" thickBot="1">
      <c r="B27" s="205"/>
      <c r="C27" s="205"/>
      <c r="D27" s="205"/>
      <c r="E27" s="205"/>
      <c r="F27" s="205"/>
      <c r="G27" s="206"/>
      <c r="H27" s="206"/>
      <c r="I27" s="207"/>
      <c r="J27" s="207"/>
      <c r="K27" s="207"/>
      <c r="L27" s="208"/>
      <c r="M27" s="209"/>
      <c r="N27" s="209"/>
      <c r="O27" s="209"/>
      <c r="P27" s="209"/>
      <c r="Q27" s="210"/>
      <c r="R27" s="444"/>
      <c r="S27" s="445"/>
      <c r="T27" s="446"/>
      <c r="U27" s="446"/>
      <c r="V27" s="447"/>
      <c r="W27" s="448"/>
      <c r="X27" s="444"/>
      <c r="Y27" s="445"/>
      <c r="Z27" s="446"/>
      <c r="AA27" s="446"/>
      <c r="AB27" s="447"/>
      <c r="AC27" s="447"/>
      <c r="AD27" s="459"/>
      <c r="AE27" s="445"/>
      <c r="AF27" s="446"/>
      <c r="AG27" s="446"/>
      <c r="AH27" s="447"/>
      <c r="AI27" s="447"/>
      <c r="AJ27" s="459"/>
      <c r="AK27" s="445"/>
      <c r="AL27" s="446"/>
      <c r="AM27" s="446"/>
      <c r="AN27" s="447"/>
      <c r="AO27" s="460"/>
      <c r="AP27" s="459"/>
      <c r="AQ27" s="445"/>
      <c r="AR27" s="446"/>
      <c r="AS27" s="446"/>
      <c r="AT27" s="447"/>
      <c r="AU27" s="460"/>
      <c r="AV27" s="459"/>
      <c r="AW27" s="445"/>
      <c r="AX27" s="446"/>
      <c r="AY27" s="446"/>
      <c r="AZ27" s="447"/>
      <c r="BA27" s="460"/>
      <c r="BB27" s="459"/>
      <c r="BC27" s="445"/>
      <c r="BD27" s="446"/>
      <c r="BE27" s="446"/>
      <c r="BF27" s="447"/>
      <c r="BG27" s="460"/>
      <c r="BH27" s="191"/>
      <c r="BI27" s="213">
        <f t="shared" ref="BI27" si="9">SUM(BI22:BI26)</f>
        <v>0</v>
      </c>
      <c r="BJ27" s="213">
        <f t="shared" ref="BJ27" si="10">SUM(BJ22:BJ26)</f>
        <v>0</v>
      </c>
      <c r="BK27" s="213"/>
      <c r="BL27" s="213">
        <f t="shared" ref="BL27" si="11">SUM(BL22:BL26)</f>
        <v>0</v>
      </c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</row>
    <row r="28" spans="1:81" ht="14.5">
      <c r="A28" s="555" t="s">
        <v>246</v>
      </c>
      <c r="B28" s="9" t="s">
        <v>247</v>
      </c>
      <c r="C28" s="9">
        <v>5042</v>
      </c>
      <c r="D28" s="9">
        <v>69</v>
      </c>
      <c r="E28" s="9" t="s">
        <v>455</v>
      </c>
      <c r="F28" s="9" t="s">
        <v>248</v>
      </c>
      <c r="G28" s="54">
        <v>14.721270000000001</v>
      </c>
      <c r="H28" s="54">
        <v>39.503900000000002</v>
      </c>
      <c r="I28" s="193" t="s">
        <v>484</v>
      </c>
      <c r="J28" s="193" t="s">
        <v>460</v>
      </c>
      <c r="K28" s="193">
        <v>3.1</v>
      </c>
      <c r="L28" s="90" t="s">
        <v>458</v>
      </c>
      <c r="M28" s="418"/>
      <c r="N28" s="418"/>
      <c r="O28" s="418"/>
      <c r="P28" s="418"/>
      <c r="Q28" s="418"/>
      <c r="R28" s="419"/>
      <c r="S28" s="420"/>
      <c r="T28" s="421"/>
      <c r="U28" s="421"/>
      <c r="V28" s="422"/>
      <c r="W28" s="423"/>
      <c r="X28" s="419"/>
      <c r="Y28" s="420"/>
      <c r="Z28" s="421"/>
      <c r="AA28" s="421"/>
      <c r="AB28" s="422"/>
      <c r="AC28" s="422"/>
      <c r="AD28" s="457"/>
      <c r="AE28" s="420"/>
      <c r="AF28" s="421"/>
      <c r="AG28" s="421"/>
      <c r="AH28" s="422"/>
      <c r="AI28" s="422"/>
      <c r="AJ28" s="457"/>
      <c r="AK28" s="420"/>
      <c r="AL28" s="421"/>
      <c r="AM28" s="421"/>
      <c r="AN28" s="422"/>
      <c r="AO28" s="458"/>
      <c r="AP28" s="457"/>
      <c r="AQ28" s="420"/>
      <c r="AR28" s="421"/>
      <c r="AS28" s="421"/>
      <c r="AT28" s="422"/>
      <c r="AU28" s="458"/>
      <c r="AV28" s="457"/>
      <c r="AW28" s="420"/>
      <c r="AX28" s="421"/>
      <c r="AY28" s="421"/>
      <c r="AZ28" s="422"/>
      <c r="BA28" s="458"/>
      <c r="BB28" s="457"/>
      <c r="BC28" s="420"/>
      <c r="BD28" s="421"/>
      <c r="BE28" s="421"/>
      <c r="BF28" s="422"/>
      <c r="BG28" s="458"/>
      <c r="BI28" s="317">
        <f>AB28+V28</f>
        <v>0</v>
      </c>
      <c r="BJ28" s="317">
        <f>AH28+AN28</f>
        <v>0</v>
      </c>
      <c r="BK28" s="317"/>
      <c r="BL28" s="221">
        <f>BI28+BJ28+BK28</f>
        <v>0</v>
      </c>
    </row>
    <row r="29" spans="1:81" ht="14.5">
      <c r="A29" s="555"/>
      <c r="B29" s="9" t="s">
        <v>249</v>
      </c>
      <c r="C29" s="9">
        <v>5042</v>
      </c>
      <c r="D29" s="9">
        <v>69</v>
      </c>
      <c r="E29" s="9" t="s">
        <v>455</v>
      </c>
      <c r="F29" s="9" t="s">
        <v>250</v>
      </c>
      <c r="G29" s="54">
        <v>14.72284</v>
      </c>
      <c r="H29" s="54">
        <v>39.409480000000002</v>
      </c>
      <c r="I29" s="193" t="s">
        <v>459</v>
      </c>
      <c r="J29" s="1" t="s">
        <v>457</v>
      </c>
      <c r="K29" s="193">
        <v>42</v>
      </c>
      <c r="L29" s="90" t="s">
        <v>458</v>
      </c>
      <c r="M29" s="418"/>
      <c r="N29" s="418"/>
      <c r="O29" s="418"/>
      <c r="P29" s="418"/>
      <c r="Q29" s="418"/>
      <c r="R29" s="419"/>
      <c r="S29" s="420"/>
      <c r="T29" s="421"/>
      <c r="U29" s="421"/>
      <c r="V29" s="422"/>
      <c r="W29" s="423"/>
      <c r="X29" s="419"/>
      <c r="Y29" s="420"/>
      <c r="Z29" s="421"/>
      <c r="AA29" s="421"/>
      <c r="AB29" s="422"/>
      <c r="AC29" s="422"/>
      <c r="AD29" s="457"/>
      <c r="AE29" s="420"/>
      <c r="AF29" s="421"/>
      <c r="AG29" s="421"/>
      <c r="AH29" s="422"/>
      <c r="AI29" s="422"/>
      <c r="AJ29" s="457"/>
      <c r="AK29" s="420"/>
      <c r="AL29" s="421"/>
      <c r="AM29" s="421"/>
      <c r="AN29" s="422"/>
      <c r="AO29" s="458"/>
      <c r="AP29" s="457"/>
      <c r="AQ29" s="420"/>
      <c r="AR29" s="421"/>
      <c r="AS29" s="421"/>
      <c r="AT29" s="422"/>
      <c r="AU29" s="458"/>
      <c r="AV29" s="457"/>
      <c r="AW29" s="420"/>
      <c r="AX29" s="421"/>
      <c r="AY29" s="421"/>
      <c r="AZ29" s="422"/>
      <c r="BA29" s="458"/>
      <c r="BB29" s="457"/>
      <c r="BC29" s="420"/>
      <c r="BD29" s="421"/>
      <c r="BE29" s="421"/>
      <c r="BF29" s="422"/>
      <c r="BG29" s="458"/>
      <c r="BI29" s="317">
        <f>AB29+V29</f>
        <v>0</v>
      </c>
      <c r="BJ29" s="317">
        <f>AH29+AN29</f>
        <v>0</v>
      </c>
      <c r="BK29" s="317"/>
      <c r="BL29" s="221">
        <f>BI29+BJ29+BK29</f>
        <v>0</v>
      </c>
    </row>
    <row r="30" spans="1:81" ht="14.5">
      <c r="A30" s="555"/>
      <c r="B30" s="9" t="s">
        <v>251</v>
      </c>
      <c r="C30" s="9">
        <v>5042</v>
      </c>
      <c r="D30" s="9">
        <v>69</v>
      </c>
      <c r="E30" s="9" t="s">
        <v>461</v>
      </c>
      <c r="F30" s="9" t="s">
        <v>252</v>
      </c>
      <c r="G30" s="54">
        <v>14.555580000000001</v>
      </c>
      <c r="H30" s="54">
        <v>38.773980000000002</v>
      </c>
      <c r="I30" s="193" t="s">
        <v>478</v>
      </c>
      <c r="J30" s="193" t="s">
        <v>457</v>
      </c>
      <c r="K30" s="193">
        <v>43</v>
      </c>
      <c r="L30" s="90" t="s">
        <v>458</v>
      </c>
      <c r="M30" s="418"/>
      <c r="N30" s="418"/>
      <c r="O30" s="418"/>
      <c r="P30" s="418"/>
      <c r="Q30" s="418"/>
      <c r="R30" s="419"/>
      <c r="S30" s="420"/>
      <c r="T30" s="427"/>
      <c r="U30" s="427"/>
      <c r="V30" s="428"/>
      <c r="W30" s="423"/>
      <c r="X30" s="419"/>
      <c r="Y30" s="420"/>
      <c r="Z30" s="424"/>
      <c r="AA30" s="421"/>
      <c r="AB30" s="422"/>
      <c r="AC30" s="422"/>
      <c r="AD30" s="457"/>
      <c r="AE30" s="420"/>
      <c r="AF30" s="424"/>
      <c r="AG30" s="421"/>
      <c r="AH30" s="422"/>
      <c r="AI30" s="422"/>
      <c r="AJ30" s="457" t="s">
        <v>485</v>
      </c>
      <c r="AK30" s="420" t="s">
        <v>486</v>
      </c>
      <c r="AL30" s="424">
        <v>45040</v>
      </c>
      <c r="AM30" s="424">
        <v>45042</v>
      </c>
      <c r="AN30" s="422">
        <f>AM30-AL30+1</f>
        <v>3</v>
      </c>
      <c r="AO30" s="458" t="s">
        <v>487</v>
      </c>
      <c r="AP30" s="457"/>
      <c r="AQ30" s="420"/>
      <c r="AR30" s="424"/>
      <c r="AS30" s="424"/>
      <c r="AT30" s="422"/>
      <c r="AU30" s="458"/>
      <c r="AV30" s="457"/>
      <c r="AW30" s="420"/>
      <c r="AX30" s="424"/>
      <c r="AY30" s="424"/>
      <c r="AZ30" s="422"/>
      <c r="BA30" s="458"/>
      <c r="BB30" s="457"/>
      <c r="BC30" s="420"/>
      <c r="BD30" s="424"/>
      <c r="BE30" s="424"/>
      <c r="BF30" s="422"/>
      <c r="BG30" s="458"/>
      <c r="BI30" s="317">
        <f>AB30+V30</f>
        <v>0</v>
      </c>
      <c r="BJ30" s="317">
        <f>AH30+AN30</f>
        <v>3</v>
      </c>
      <c r="BK30" s="317"/>
      <c r="BL30" s="221">
        <f>BI30+BJ30+BK30</f>
        <v>3</v>
      </c>
    </row>
    <row r="31" spans="1:81" ht="14.5">
      <c r="A31" s="555"/>
      <c r="B31" s="9" t="s">
        <v>253</v>
      </c>
      <c r="C31" s="9">
        <v>5042</v>
      </c>
      <c r="D31" s="9">
        <v>69</v>
      </c>
      <c r="E31" s="9" t="s">
        <v>464</v>
      </c>
      <c r="F31" s="9" t="s">
        <v>254</v>
      </c>
      <c r="G31" s="54">
        <v>14.53337</v>
      </c>
      <c r="H31" s="54">
        <v>38.504800000000003</v>
      </c>
      <c r="I31" s="193" t="s">
        <v>488</v>
      </c>
      <c r="J31" s="193" t="s">
        <v>460</v>
      </c>
      <c r="K31" s="193">
        <v>9</v>
      </c>
      <c r="L31" s="90" t="s">
        <v>458</v>
      </c>
      <c r="M31" s="418"/>
      <c r="N31" s="418"/>
      <c r="O31" s="418"/>
      <c r="P31" s="418"/>
      <c r="Q31" s="418"/>
      <c r="R31" s="429"/>
      <c r="S31" s="430"/>
      <c r="T31" s="188"/>
      <c r="U31" s="188"/>
      <c r="V31" s="431"/>
      <c r="W31" s="432"/>
      <c r="X31" s="429"/>
      <c r="Y31" s="430"/>
      <c r="Z31" s="188"/>
      <c r="AA31" s="188"/>
      <c r="AB31" s="431"/>
      <c r="AC31" s="431"/>
      <c r="AD31" s="461"/>
      <c r="AE31" s="430"/>
      <c r="AF31" s="188"/>
      <c r="AG31" s="188"/>
      <c r="AH31" s="431"/>
      <c r="AI31" s="431"/>
      <c r="AJ31" s="461"/>
      <c r="AK31" s="430"/>
      <c r="AL31" s="188"/>
      <c r="AM31" s="188"/>
      <c r="AN31" s="431"/>
      <c r="AO31" s="462"/>
      <c r="AP31" s="461"/>
      <c r="AQ31" s="430"/>
      <c r="AR31" s="188"/>
      <c r="AS31" s="188"/>
      <c r="AT31" s="431"/>
      <c r="AU31" s="462"/>
      <c r="AV31" s="461"/>
      <c r="AW31" s="430"/>
      <c r="AX31" s="188"/>
      <c r="AY31" s="188"/>
      <c r="AZ31" s="431"/>
      <c r="BA31" s="462"/>
      <c r="BB31" s="461"/>
      <c r="BC31" s="430"/>
      <c r="BD31" s="188"/>
      <c r="BE31" s="188"/>
      <c r="BF31" s="431"/>
      <c r="BG31" s="462"/>
      <c r="BI31" s="317">
        <f>AB31+V31</f>
        <v>0</v>
      </c>
      <c r="BJ31" s="317">
        <f>AH31+AN31</f>
        <v>0</v>
      </c>
      <c r="BK31" s="317"/>
      <c r="BL31" s="221">
        <f>BI31+BJ31+BK31</f>
        <v>0</v>
      </c>
    </row>
    <row r="32" spans="1:81" thickBot="1">
      <c r="A32" s="555"/>
      <c r="B32" s="9" t="s">
        <v>255</v>
      </c>
      <c r="C32" s="9">
        <v>5042</v>
      </c>
      <c r="D32" s="9">
        <v>69</v>
      </c>
      <c r="E32" s="9" t="s">
        <v>464</v>
      </c>
      <c r="F32" s="9" t="s">
        <v>256</v>
      </c>
      <c r="G32" s="54">
        <v>14.554040000000001</v>
      </c>
      <c r="H32" s="54">
        <v>38.546280000000003</v>
      </c>
      <c r="I32" s="193" t="s">
        <v>489</v>
      </c>
      <c r="J32" s="193" t="s">
        <v>460</v>
      </c>
      <c r="K32" s="193">
        <v>6.8</v>
      </c>
      <c r="L32" s="90" t="s">
        <v>458</v>
      </c>
      <c r="M32" s="418"/>
      <c r="N32" s="418"/>
      <c r="O32" s="418"/>
      <c r="P32" s="418"/>
      <c r="Q32" s="418"/>
      <c r="R32" s="419"/>
      <c r="S32" s="420"/>
      <c r="T32" s="421"/>
      <c r="U32" s="421"/>
      <c r="V32" s="422"/>
      <c r="W32" s="423"/>
      <c r="X32" s="419"/>
      <c r="Y32" s="420"/>
      <c r="Z32" s="421"/>
      <c r="AA32" s="421"/>
      <c r="AB32" s="422"/>
      <c r="AC32" s="422"/>
      <c r="AD32" s="457"/>
      <c r="AE32" s="420"/>
      <c r="AF32" s="421"/>
      <c r="AG32" s="421"/>
      <c r="AH32" s="422"/>
      <c r="AI32" s="422"/>
      <c r="AJ32" s="457"/>
      <c r="AK32" s="420"/>
      <c r="AL32" s="421"/>
      <c r="AM32" s="421"/>
      <c r="AN32" s="422"/>
      <c r="AO32" s="458"/>
      <c r="AP32" s="457"/>
      <c r="AQ32" s="420"/>
      <c r="AR32" s="421"/>
      <c r="AS32" s="421"/>
      <c r="AT32" s="422"/>
      <c r="AU32" s="458"/>
      <c r="AV32" s="457"/>
      <c r="AW32" s="420"/>
      <c r="AX32" s="421"/>
      <c r="AY32" s="421"/>
      <c r="AZ32" s="422"/>
      <c r="BA32" s="458"/>
      <c r="BB32" s="457"/>
      <c r="BC32" s="420"/>
      <c r="BD32" s="421"/>
      <c r="BE32" s="421"/>
      <c r="BF32" s="422"/>
      <c r="BG32" s="458"/>
      <c r="BI32" s="317">
        <f>AB32+V32</f>
        <v>0</v>
      </c>
      <c r="BJ32" s="317">
        <f>AH32+AN32</f>
        <v>0</v>
      </c>
      <c r="BK32" s="317"/>
      <c r="BL32" s="221">
        <f>BI32+BJ32+BK32</f>
        <v>0</v>
      </c>
    </row>
    <row r="33" spans="1:81" s="443" customFormat="1" thickBot="1">
      <c r="B33" s="205"/>
      <c r="C33" s="205"/>
      <c r="D33" s="205"/>
      <c r="E33" s="205"/>
      <c r="F33" s="205"/>
      <c r="G33" s="206"/>
      <c r="H33" s="206"/>
      <c r="I33" s="207"/>
      <c r="J33" s="207"/>
      <c r="K33" s="207"/>
      <c r="L33" s="208"/>
      <c r="M33" s="209"/>
      <c r="N33" s="209"/>
      <c r="O33" s="209"/>
      <c r="P33" s="209"/>
      <c r="Q33" s="210"/>
      <c r="R33" s="444"/>
      <c r="S33" s="445"/>
      <c r="T33" s="446"/>
      <c r="U33" s="446"/>
      <c r="V33" s="447"/>
      <c r="W33" s="448"/>
      <c r="X33" s="444"/>
      <c r="Y33" s="445"/>
      <c r="Z33" s="446"/>
      <c r="AA33" s="446"/>
      <c r="AB33" s="447"/>
      <c r="AC33" s="447"/>
      <c r="AD33" s="459"/>
      <c r="AE33" s="445"/>
      <c r="AF33" s="446"/>
      <c r="AG33" s="446"/>
      <c r="AH33" s="447"/>
      <c r="AI33" s="447"/>
      <c r="AJ33" s="459"/>
      <c r="AK33" s="445"/>
      <c r="AL33" s="446"/>
      <c r="AM33" s="446"/>
      <c r="AN33" s="447"/>
      <c r="AO33" s="460"/>
      <c r="AP33" s="459"/>
      <c r="AQ33" s="445"/>
      <c r="AR33" s="446"/>
      <c r="AS33" s="446"/>
      <c r="AT33" s="447"/>
      <c r="AU33" s="460"/>
      <c r="AV33" s="459"/>
      <c r="AW33" s="445"/>
      <c r="AX33" s="446"/>
      <c r="AY33" s="446"/>
      <c r="AZ33" s="447"/>
      <c r="BA33" s="460"/>
      <c r="BB33" s="459"/>
      <c r="BC33" s="445"/>
      <c r="BD33" s="446"/>
      <c r="BE33" s="446"/>
      <c r="BF33" s="447"/>
      <c r="BG33" s="460"/>
      <c r="BH33" s="191"/>
      <c r="BI33" s="213">
        <f t="shared" ref="BI33" si="12">SUM(BI28:BI32)</f>
        <v>0</v>
      </c>
      <c r="BJ33" s="213">
        <f t="shared" ref="BJ33" si="13">SUM(BJ28:BJ32)</f>
        <v>3</v>
      </c>
      <c r="BK33" s="213"/>
      <c r="BL33" s="213">
        <f t="shared" ref="BL33" si="14">SUM(BL28:BL32)</f>
        <v>3</v>
      </c>
      <c r="BM33" s="191"/>
      <c r="BN33" s="191"/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</row>
    <row r="34" spans="1:81" ht="14.5">
      <c r="A34" s="555" t="s">
        <v>261</v>
      </c>
      <c r="B34" s="9" t="s">
        <v>262</v>
      </c>
      <c r="C34" s="9">
        <v>5043</v>
      </c>
      <c r="D34" s="9">
        <v>70</v>
      </c>
      <c r="E34" s="9" t="s">
        <v>455</v>
      </c>
      <c r="F34" s="9" t="s">
        <v>263</v>
      </c>
      <c r="G34" s="54">
        <v>14.6357</v>
      </c>
      <c r="H34" s="54">
        <v>39.411099999999998</v>
      </c>
      <c r="I34" s="193" t="s">
        <v>468</v>
      </c>
      <c r="J34" s="193" t="s">
        <v>457</v>
      </c>
      <c r="K34" s="193">
        <v>48</v>
      </c>
      <c r="L34" s="90" t="s">
        <v>458</v>
      </c>
      <c r="M34" s="418"/>
      <c r="N34" s="418"/>
      <c r="O34" s="418"/>
      <c r="P34" s="418"/>
      <c r="Q34" s="418"/>
      <c r="R34" s="419"/>
      <c r="S34" s="420"/>
      <c r="T34" s="421"/>
      <c r="U34" s="421"/>
      <c r="V34" s="422"/>
      <c r="W34" s="423"/>
      <c r="X34" s="419"/>
      <c r="Y34" s="420"/>
      <c r="Z34" s="421"/>
      <c r="AA34" s="421"/>
      <c r="AB34" s="422"/>
      <c r="AC34" s="422"/>
      <c r="AD34" s="457"/>
      <c r="AE34" s="420"/>
      <c r="AF34" s="421"/>
      <c r="AG34" s="421"/>
      <c r="AH34" s="422"/>
      <c r="AI34" s="422"/>
      <c r="AJ34" s="457"/>
      <c r="AK34" s="420"/>
      <c r="AL34" s="421"/>
      <c r="AM34" s="421"/>
      <c r="AN34" s="422"/>
      <c r="AO34" s="458"/>
      <c r="AP34" s="457"/>
      <c r="AQ34" s="420"/>
      <c r="AR34" s="421"/>
      <c r="AS34" s="421"/>
      <c r="AT34" s="422"/>
      <c r="AU34" s="458"/>
      <c r="AV34" s="457"/>
      <c r="AW34" s="420"/>
      <c r="AX34" s="421"/>
      <c r="AY34" s="421"/>
      <c r="AZ34" s="422"/>
      <c r="BA34" s="458"/>
      <c r="BB34" s="457"/>
      <c r="BC34" s="420"/>
      <c r="BD34" s="421"/>
      <c r="BE34" s="421"/>
      <c r="BF34" s="422"/>
      <c r="BG34" s="458"/>
      <c r="BI34" s="317">
        <f>AB34+V34</f>
        <v>0</v>
      </c>
      <c r="BJ34" s="317">
        <f>AH34+AN34</f>
        <v>0</v>
      </c>
      <c r="BK34" s="317"/>
      <c r="BL34" s="221">
        <f>BI34+BJ34+BK34</f>
        <v>0</v>
      </c>
    </row>
    <row r="35" spans="1:81" ht="14.5">
      <c r="A35" s="555"/>
      <c r="B35" s="9" t="s">
        <v>264</v>
      </c>
      <c r="C35" s="9">
        <v>5043</v>
      </c>
      <c r="D35" s="9">
        <v>70</v>
      </c>
      <c r="E35" s="9" t="s">
        <v>455</v>
      </c>
      <c r="F35" s="9" t="s">
        <v>265</v>
      </c>
      <c r="G35" s="54">
        <v>14.526899999999999</v>
      </c>
      <c r="H35" s="54">
        <v>39.365600000000001</v>
      </c>
      <c r="I35" s="193" t="s">
        <v>480</v>
      </c>
      <c r="J35" s="193" t="s">
        <v>457</v>
      </c>
      <c r="K35" s="193">
        <v>42</v>
      </c>
      <c r="L35" s="90" t="s">
        <v>458</v>
      </c>
      <c r="M35" s="418"/>
      <c r="N35" s="418"/>
      <c r="O35" s="418"/>
      <c r="P35" s="418"/>
      <c r="Q35" s="418"/>
      <c r="R35" s="419"/>
      <c r="S35" s="420"/>
      <c r="T35" s="421"/>
      <c r="U35" s="421"/>
      <c r="V35" s="422"/>
      <c r="W35" s="423"/>
      <c r="X35" s="419"/>
      <c r="Y35" s="420"/>
      <c r="Z35" s="421"/>
      <c r="AA35" s="421"/>
      <c r="AB35" s="422"/>
      <c r="AC35" s="422"/>
      <c r="AD35" s="457"/>
      <c r="AE35" s="420"/>
      <c r="AF35" s="421"/>
      <c r="AG35" s="421"/>
      <c r="AH35" s="422"/>
      <c r="AI35" s="422"/>
      <c r="AJ35" s="457"/>
      <c r="AK35" s="420"/>
      <c r="AL35" s="421"/>
      <c r="AM35" s="421"/>
      <c r="AN35" s="422"/>
      <c r="AO35" s="458"/>
      <c r="AP35" s="457"/>
      <c r="AQ35" s="420"/>
      <c r="AR35" s="421"/>
      <c r="AS35" s="421"/>
      <c r="AT35" s="422"/>
      <c r="AU35" s="458"/>
      <c r="AV35" s="457"/>
      <c r="AW35" s="420"/>
      <c r="AX35" s="421"/>
      <c r="AY35" s="421"/>
      <c r="AZ35" s="422"/>
      <c r="BA35" s="458"/>
      <c r="BB35" s="457"/>
      <c r="BC35" s="420"/>
      <c r="BD35" s="421"/>
      <c r="BE35" s="421"/>
      <c r="BF35" s="422"/>
      <c r="BG35" s="458"/>
      <c r="BI35" s="317">
        <f>AB35+V35</f>
        <v>0</v>
      </c>
      <c r="BJ35" s="317">
        <f>AH35+AN35</f>
        <v>0</v>
      </c>
      <c r="BK35" s="317"/>
      <c r="BL35" s="221">
        <f>BI35+BJ35+BK35</f>
        <v>0</v>
      </c>
    </row>
    <row r="36" spans="1:81" ht="14.5">
      <c r="A36" s="555"/>
      <c r="B36" s="9" t="s">
        <v>266</v>
      </c>
      <c r="C36" s="9">
        <v>5043</v>
      </c>
      <c r="D36" s="9">
        <v>70</v>
      </c>
      <c r="E36" s="9" t="s">
        <v>461</v>
      </c>
      <c r="F36" s="9" t="s">
        <v>267</v>
      </c>
      <c r="G36" s="54">
        <v>14.56879</v>
      </c>
      <c r="H36" s="54">
        <v>38.671120000000002</v>
      </c>
      <c r="I36" s="433">
        <v>42826</v>
      </c>
      <c r="J36" s="193" t="s">
        <v>457</v>
      </c>
      <c r="K36" s="193">
        <v>45</v>
      </c>
      <c r="L36" s="90" t="s">
        <v>458</v>
      </c>
      <c r="M36" s="418"/>
      <c r="N36" s="418"/>
      <c r="O36" s="418"/>
      <c r="P36" s="418"/>
      <c r="Q36" s="418"/>
      <c r="R36" s="419"/>
      <c r="S36" s="420"/>
      <c r="T36" s="421"/>
      <c r="U36" s="421"/>
      <c r="V36" s="422"/>
      <c r="W36" s="423"/>
      <c r="X36" s="419"/>
      <c r="Y36" s="420"/>
      <c r="Z36" s="421"/>
      <c r="AA36" s="421"/>
      <c r="AB36" s="422"/>
      <c r="AC36" s="422"/>
      <c r="AD36" s="457"/>
      <c r="AE36" s="420"/>
      <c r="AF36" s="421"/>
      <c r="AG36" s="421"/>
      <c r="AH36" s="422"/>
      <c r="AI36" s="422"/>
      <c r="AJ36" s="457"/>
      <c r="AK36" s="420"/>
      <c r="AL36" s="421"/>
      <c r="AM36" s="421"/>
      <c r="AN36" s="422"/>
      <c r="AO36" s="458"/>
      <c r="AP36" s="457"/>
      <c r="AQ36" s="420"/>
      <c r="AR36" s="421"/>
      <c r="AS36" s="421"/>
      <c r="AT36" s="422"/>
      <c r="AU36" s="458"/>
      <c r="AV36" s="457"/>
      <c r="AW36" s="420"/>
      <c r="AX36" s="421"/>
      <c r="AY36" s="421"/>
      <c r="AZ36" s="422"/>
      <c r="BA36" s="458"/>
      <c r="BB36" s="457"/>
      <c r="BC36" s="420"/>
      <c r="BD36" s="421"/>
      <c r="BE36" s="421"/>
      <c r="BF36" s="422"/>
      <c r="BG36" s="458"/>
      <c r="BI36" s="317">
        <f>AB36+V36</f>
        <v>0</v>
      </c>
      <c r="BJ36" s="317">
        <f>AH36+AN36</f>
        <v>0</v>
      </c>
      <c r="BK36" s="317"/>
      <c r="BL36" s="221">
        <f>BI36+BJ36+BK36</f>
        <v>0</v>
      </c>
    </row>
    <row r="37" spans="1:81" ht="14.5">
      <c r="A37" s="555"/>
      <c r="B37" s="9" t="s">
        <v>490</v>
      </c>
      <c r="C37" s="9">
        <v>5043</v>
      </c>
      <c r="D37" s="9">
        <v>70</v>
      </c>
      <c r="E37" s="9" t="s">
        <v>482</v>
      </c>
      <c r="F37" s="9" t="s">
        <v>268</v>
      </c>
      <c r="G37" s="54">
        <v>15.015169999999999</v>
      </c>
      <c r="H37" s="54">
        <v>39.309179999999998</v>
      </c>
      <c r="I37" s="193" t="s">
        <v>491</v>
      </c>
      <c r="J37" s="193" t="s">
        <v>457</v>
      </c>
      <c r="K37" s="193">
        <v>45</v>
      </c>
      <c r="L37" s="90" t="s">
        <v>458</v>
      </c>
      <c r="M37" s="9"/>
      <c r="N37" s="9"/>
      <c r="O37" s="9"/>
      <c r="P37" s="9"/>
      <c r="Q37" s="9"/>
      <c r="R37" s="419"/>
      <c r="S37" s="420"/>
      <c r="T37" s="421"/>
      <c r="U37" s="421"/>
      <c r="V37" s="422"/>
      <c r="W37" s="423"/>
      <c r="X37" s="419"/>
      <c r="Y37" s="420"/>
      <c r="Z37" s="421"/>
      <c r="AA37" s="421"/>
      <c r="AB37" s="422"/>
      <c r="AC37" s="422"/>
      <c r="AD37" s="457"/>
      <c r="AE37" s="420"/>
      <c r="AF37" s="421"/>
      <c r="AG37" s="421"/>
      <c r="AH37" s="422"/>
      <c r="AI37" s="422"/>
      <c r="AJ37" s="457"/>
      <c r="AK37" s="420"/>
      <c r="AL37" s="421"/>
      <c r="AM37" s="421"/>
      <c r="AN37" s="422"/>
      <c r="AO37" s="458"/>
      <c r="AP37" s="457"/>
      <c r="AQ37" s="420"/>
      <c r="AR37" s="421"/>
      <c r="AS37" s="421"/>
      <c r="AT37" s="422"/>
      <c r="AU37" s="458"/>
      <c r="AV37" s="457"/>
      <c r="AW37" s="420"/>
      <c r="AX37" s="421"/>
      <c r="AY37" s="421"/>
      <c r="AZ37" s="422"/>
      <c r="BA37" s="458"/>
      <c r="BB37" s="457"/>
      <c r="BC37" s="420"/>
      <c r="BD37" s="421"/>
      <c r="BE37" s="421"/>
      <c r="BF37" s="422"/>
      <c r="BG37" s="458"/>
      <c r="BI37" s="317">
        <f>AB37+V37</f>
        <v>0</v>
      </c>
      <c r="BJ37" s="317">
        <f>AH37+AN37</f>
        <v>0</v>
      </c>
      <c r="BK37" s="317"/>
      <c r="BL37" s="221">
        <f>BI37+BJ37+BK37</f>
        <v>0</v>
      </c>
    </row>
    <row r="38" spans="1:81" thickBot="1">
      <c r="A38" s="555"/>
      <c r="B38" s="9" t="s">
        <v>492</v>
      </c>
      <c r="C38" s="9">
        <v>5043</v>
      </c>
      <c r="D38" s="9">
        <v>70</v>
      </c>
      <c r="E38" s="9" t="s">
        <v>464</v>
      </c>
      <c r="F38" s="9" t="s">
        <v>269</v>
      </c>
      <c r="G38" s="54">
        <v>14.533060000000001</v>
      </c>
      <c r="H38" s="54">
        <v>38.554209999999998</v>
      </c>
      <c r="I38" s="193" t="s">
        <v>493</v>
      </c>
      <c r="J38" s="193" t="s">
        <v>460</v>
      </c>
      <c r="K38" s="193">
        <v>11</v>
      </c>
      <c r="L38" s="90" t="s">
        <v>458</v>
      </c>
      <c r="M38" s="418"/>
      <c r="N38" s="418"/>
      <c r="O38" s="418"/>
      <c r="P38" s="418"/>
      <c r="Q38" s="418"/>
      <c r="R38" s="419"/>
      <c r="S38" s="420"/>
      <c r="T38" s="421"/>
      <c r="U38" s="421"/>
      <c r="V38" s="422"/>
      <c r="W38" s="423"/>
      <c r="X38" s="419"/>
      <c r="Y38" s="420"/>
      <c r="Z38" s="421"/>
      <c r="AA38" s="421"/>
      <c r="AB38" s="422"/>
      <c r="AC38" s="422"/>
      <c r="AD38" s="457"/>
      <c r="AE38" s="420"/>
      <c r="AF38" s="421"/>
      <c r="AG38" s="421"/>
      <c r="AH38" s="422"/>
      <c r="AI38" s="422"/>
      <c r="AJ38" s="457"/>
      <c r="AK38" s="420"/>
      <c r="AL38" s="421"/>
      <c r="AM38" s="421"/>
      <c r="AN38" s="422"/>
      <c r="AO38" s="458"/>
      <c r="AP38" s="457"/>
      <c r="AQ38" s="420"/>
      <c r="AR38" s="421"/>
      <c r="AS38" s="421"/>
      <c r="AT38" s="422"/>
      <c r="AU38" s="458"/>
      <c r="AV38" s="457"/>
      <c r="AW38" s="420"/>
      <c r="AX38" s="421"/>
      <c r="AY38" s="421"/>
      <c r="AZ38" s="422"/>
      <c r="BA38" s="458"/>
      <c r="BB38" s="457"/>
      <c r="BC38" s="420"/>
      <c r="BD38" s="421"/>
      <c r="BE38" s="421"/>
      <c r="BF38" s="422"/>
      <c r="BG38" s="458"/>
      <c r="BI38" s="317">
        <f>AB38+V38</f>
        <v>0</v>
      </c>
      <c r="BJ38" s="317">
        <f>AH38+AN38</f>
        <v>0</v>
      </c>
      <c r="BK38" s="317"/>
      <c r="BL38" s="221">
        <f>BI38+BJ38+BK38</f>
        <v>0</v>
      </c>
    </row>
    <row r="39" spans="1:81" s="443" customFormat="1" thickBot="1">
      <c r="B39" s="205"/>
      <c r="C39" s="205"/>
      <c r="D39" s="205"/>
      <c r="E39" s="205"/>
      <c r="F39" s="205"/>
      <c r="G39" s="206"/>
      <c r="H39" s="206"/>
      <c r="I39" s="207"/>
      <c r="J39" s="207"/>
      <c r="K39" s="207"/>
      <c r="L39" s="208"/>
      <c r="M39" s="209"/>
      <c r="N39" s="209"/>
      <c r="O39" s="209"/>
      <c r="P39" s="209"/>
      <c r="Q39" s="210"/>
      <c r="R39" s="444"/>
      <c r="S39" s="445"/>
      <c r="T39" s="446"/>
      <c r="U39" s="446"/>
      <c r="V39" s="447"/>
      <c r="W39" s="448"/>
      <c r="X39" s="444"/>
      <c r="Y39" s="445"/>
      <c r="Z39" s="446"/>
      <c r="AA39" s="446"/>
      <c r="AB39" s="447"/>
      <c r="AC39" s="447"/>
      <c r="AD39" s="459"/>
      <c r="AE39" s="445"/>
      <c r="AF39" s="446"/>
      <c r="AG39" s="446"/>
      <c r="AH39" s="447"/>
      <c r="AI39" s="447"/>
      <c r="AJ39" s="459"/>
      <c r="AK39" s="445"/>
      <c r="AL39" s="446"/>
      <c r="AM39" s="446"/>
      <c r="AN39" s="447"/>
      <c r="AO39" s="460"/>
      <c r="AP39" s="459"/>
      <c r="AQ39" s="445"/>
      <c r="AR39" s="446"/>
      <c r="AS39" s="446"/>
      <c r="AT39" s="447"/>
      <c r="AU39" s="460"/>
      <c r="AV39" s="459"/>
      <c r="AW39" s="445"/>
      <c r="AX39" s="446"/>
      <c r="AY39" s="446"/>
      <c r="AZ39" s="447"/>
      <c r="BA39" s="460"/>
      <c r="BB39" s="459"/>
      <c r="BC39" s="445"/>
      <c r="BD39" s="446"/>
      <c r="BE39" s="446"/>
      <c r="BF39" s="447"/>
      <c r="BG39" s="460"/>
      <c r="BH39" s="191"/>
      <c r="BI39" s="213">
        <f t="shared" ref="BI39" si="15">SUM(BI34:BI38)</f>
        <v>0</v>
      </c>
      <c r="BJ39" s="213">
        <f t="shared" ref="BJ39" si="16">SUM(BJ34:BJ38)</f>
        <v>0</v>
      </c>
      <c r="BK39" s="213"/>
      <c r="BL39" s="213">
        <f t="shared" ref="BL39" si="17">SUM(BL34:BL38)</f>
        <v>0</v>
      </c>
      <c r="BM39" s="191"/>
      <c r="BN39" s="191"/>
      <c r="BO39" s="191"/>
      <c r="BP39" s="191"/>
      <c r="BQ39" s="191"/>
      <c r="BR39" s="191"/>
      <c r="BS39" s="191"/>
      <c r="BT39" s="191"/>
      <c r="BU39" s="191"/>
      <c r="BV39" s="191"/>
      <c r="BW39" s="191"/>
      <c r="BX39" s="191"/>
      <c r="BY39" s="191"/>
      <c r="BZ39" s="191"/>
      <c r="CA39" s="191"/>
      <c r="CB39" s="191"/>
      <c r="CC39" s="191"/>
    </row>
    <row r="40" spans="1:81" ht="14.5">
      <c r="A40" s="555" t="s">
        <v>281</v>
      </c>
      <c r="B40" s="9" t="s">
        <v>282</v>
      </c>
      <c r="C40" s="9">
        <v>5825</v>
      </c>
      <c r="D40" s="9">
        <v>119</v>
      </c>
      <c r="E40" s="9" t="s">
        <v>312</v>
      </c>
      <c r="F40" s="9" t="s">
        <v>283</v>
      </c>
      <c r="G40" s="54">
        <v>14.86439</v>
      </c>
      <c r="H40" s="54">
        <v>38.541249999999998</v>
      </c>
      <c r="I40" s="433">
        <v>42921</v>
      </c>
      <c r="J40" s="193" t="s">
        <v>460</v>
      </c>
      <c r="K40" s="193">
        <v>7.6</v>
      </c>
      <c r="L40" s="90" t="s">
        <v>458</v>
      </c>
      <c r="M40" s="418"/>
      <c r="N40" s="418"/>
      <c r="O40" s="418"/>
      <c r="P40" s="418"/>
      <c r="Q40" s="418"/>
      <c r="R40" s="419"/>
      <c r="S40" s="420"/>
      <c r="T40" s="421"/>
      <c r="U40" s="421"/>
      <c r="V40" s="422"/>
      <c r="W40" s="423"/>
      <c r="X40" s="419"/>
      <c r="Y40" s="420"/>
      <c r="Z40" s="421"/>
      <c r="AA40" s="421"/>
      <c r="AB40" s="422"/>
      <c r="AC40" s="422"/>
      <c r="AD40" s="457"/>
      <c r="AE40" s="420"/>
      <c r="AF40" s="421"/>
      <c r="AG40" s="421"/>
      <c r="AH40" s="422"/>
      <c r="AI40" s="422"/>
      <c r="AJ40" s="457"/>
      <c r="AK40" s="420"/>
      <c r="AL40" s="421"/>
      <c r="AM40" s="421"/>
      <c r="AN40" s="422"/>
      <c r="AO40" s="458"/>
      <c r="AP40" s="457"/>
      <c r="AQ40" s="420"/>
      <c r="AR40" s="421"/>
      <c r="AS40" s="421"/>
      <c r="AT40" s="422"/>
      <c r="AU40" s="458"/>
      <c r="AV40" s="457"/>
      <c r="AW40" s="420"/>
      <c r="AX40" s="421"/>
      <c r="AY40" s="421"/>
      <c r="AZ40" s="422"/>
      <c r="BA40" s="458"/>
      <c r="BB40" s="457"/>
      <c r="BC40" s="420"/>
      <c r="BD40" s="421"/>
      <c r="BE40" s="421"/>
      <c r="BF40" s="422"/>
      <c r="BG40" s="458"/>
      <c r="BI40" s="317">
        <f t="shared" ref="BI40:BI46" si="18">AB40+V40</f>
        <v>0</v>
      </c>
      <c r="BJ40" s="317">
        <f t="shared" ref="BJ40:BJ46" si="19">AH40+AN40</f>
        <v>0</v>
      </c>
      <c r="BK40" s="317"/>
      <c r="BL40" s="221">
        <f t="shared" ref="BL40:BL46" si="20">BI40+BJ40+BK40</f>
        <v>0</v>
      </c>
    </row>
    <row r="41" spans="1:81" ht="14.5">
      <c r="A41" s="555"/>
      <c r="B41" s="9" t="s">
        <v>284</v>
      </c>
      <c r="C41" s="9">
        <v>5825</v>
      </c>
      <c r="D41" s="9">
        <v>119</v>
      </c>
      <c r="E41" s="9" t="s">
        <v>312</v>
      </c>
      <c r="F41" s="9" t="s">
        <v>285</v>
      </c>
      <c r="G41" s="54">
        <v>15.022740000000001</v>
      </c>
      <c r="H41" s="54">
        <v>38.571109999999997</v>
      </c>
      <c r="I41" s="433">
        <v>43013</v>
      </c>
      <c r="J41" s="193" t="s">
        <v>460</v>
      </c>
      <c r="K41" s="193">
        <v>10</v>
      </c>
      <c r="L41" s="90" t="s">
        <v>458</v>
      </c>
      <c r="M41" s="418"/>
      <c r="N41" s="418"/>
      <c r="O41" s="418"/>
      <c r="P41" s="418"/>
      <c r="Q41" s="418"/>
      <c r="R41" s="429"/>
      <c r="S41" s="430"/>
      <c r="T41" s="188"/>
      <c r="U41" s="188"/>
      <c r="V41" s="431"/>
      <c r="W41" s="432"/>
      <c r="X41" s="429"/>
      <c r="Y41" s="430"/>
      <c r="Z41" s="188"/>
      <c r="AA41" s="188"/>
      <c r="AB41" s="431"/>
      <c r="AC41" s="431"/>
      <c r="AD41" s="461"/>
      <c r="AE41" s="430"/>
      <c r="AF41" s="188"/>
      <c r="AG41" s="188"/>
      <c r="AH41" s="431"/>
      <c r="AI41" s="431"/>
      <c r="AJ41" s="461"/>
      <c r="AK41" s="430"/>
      <c r="AL41" s="188"/>
      <c r="AM41" s="188"/>
      <c r="AN41" s="431"/>
      <c r="AO41" s="462"/>
      <c r="AP41" s="461"/>
      <c r="AQ41" s="430"/>
      <c r="AR41" s="188"/>
      <c r="AS41" s="188"/>
      <c r="AT41" s="431"/>
      <c r="AU41" s="462"/>
      <c r="AV41" s="461"/>
      <c r="AW41" s="430"/>
      <c r="AX41" s="188"/>
      <c r="AY41" s="188"/>
      <c r="AZ41" s="431"/>
      <c r="BA41" s="462"/>
      <c r="BB41" s="461"/>
      <c r="BC41" s="430"/>
      <c r="BD41" s="188"/>
      <c r="BE41" s="188"/>
      <c r="BF41" s="431"/>
      <c r="BG41" s="462"/>
      <c r="BI41" s="317">
        <f t="shared" si="18"/>
        <v>0</v>
      </c>
      <c r="BJ41" s="317">
        <f t="shared" si="19"/>
        <v>0</v>
      </c>
      <c r="BK41" s="317"/>
      <c r="BL41" s="221">
        <f t="shared" si="20"/>
        <v>0</v>
      </c>
    </row>
    <row r="42" spans="1:81" ht="14.5">
      <c r="A42" s="555"/>
      <c r="B42" s="9" t="s">
        <v>286</v>
      </c>
      <c r="C42" s="9">
        <v>5825</v>
      </c>
      <c r="D42" s="9">
        <v>119</v>
      </c>
      <c r="E42" s="9" t="s">
        <v>312</v>
      </c>
      <c r="F42" s="9" t="s">
        <v>287</v>
      </c>
      <c r="G42" s="54">
        <v>14.86234</v>
      </c>
      <c r="H42" s="54">
        <v>38.658090000000001</v>
      </c>
      <c r="I42" s="193" t="s">
        <v>494</v>
      </c>
      <c r="J42" s="193" t="s">
        <v>460</v>
      </c>
      <c r="K42" s="193">
        <v>8</v>
      </c>
      <c r="L42" s="90" t="s">
        <v>458</v>
      </c>
      <c r="M42" s="418"/>
      <c r="N42" s="418"/>
      <c r="O42" s="418"/>
      <c r="P42" s="418"/>
      <c r="Q42" s="418"/>
      <c r="R42" s="419"/>
      <c r="S42" s="420"/>
      <c r="T42" s="421"/>
      <c r="U42" s="421"/>
      <c r="V42" s="422"/>
      <c r="W42" s="423"/>
      <c r="X42" s="419"/>
      <c r="Y42" s="420"/>
      <c r="Z42" s="421"/>
      <c r="AA42" s="421"/>
      <c r="AB42" s="422"/>
      <c r="AC42" s="422"/>
      <c r="AD42" s="457"/>
      <c r="AE42" s="420"/>
      <c r="AF42" s="421"/>
      <c r="AG42" s="421"/>
      <c r="AH42" s="422"/>
      <c r="AI42" s="422"/>
      <c r="AJ42" s="457"/>
      <c r="AK42" s="420"/>
      <c r="AL42" s="421"/>
      <c r="AM42" s="421"/>
      <c r="AN42" s="422"/>
      <c r="AO42" s="458"/>
      <c r="AP42" s="457"/>
      <c r="AQ42" s="420"/>
      <c r="AR42" s="421"/>
      <c r="AS42" s="421"/>
      <c r="AT42" s="422"/>
      <c r="AU42" s="458"/>
      <c r="AV42" s="457"/>
      <c r="AW42" s="420"/>
      <c r="AX42" s="421"/>
      <c r="AY42" s="421"/>
      <c r="AZ42" s="422"/>
      <c r="BA42" s="458"/>
      <c r="BB42" s="457"/>
      <c r="BC42" s="420"/>
      <c r="BD42" s="421"/>
      <c r="BE42" s="421"/>
      <c r="BF42" s="422"/>
      <c r="BG42" s="458"/>
      <c r="BI42" s="317">
        <f t="shared" si="18"/>
        <v>0</v>
      </c>
      <c r="BJ42" s="317">
        <f t="shared" si="19"/>
        <v>0</v>
      </c>
      <c r="BK42" s="317"/>
      <c r="BL42" s="221">
        <f t="shared" si="20"/>
        <v>0</v>
      </c>
    </row>
    <row r="43" spans="1:81" ht="14.5">
      <c r="A43" s="555"/>
      <c r="B43" s="9" t="s">
        <v>288</v>
      </c>
      <c r="C43" s="9">
        <v>5825</v>
      </c>
      <c r="D43" s="9">
        <v>119</v>
      </c>
      <c r="E43" s="9" t="s">
        <v>461</v>
      </c>
      <c r="F43" s="9" t="s">
        <v>289</v>
      </c>
      <c r="G43" s="54">
        <v>14.63533</v>
      </c>
      <c r="H43" s="54">
        <v>38.797040000000003</v>
      </c>
      <c r="I43" s="433">
        <v>43020</v>
      </c>
      <c r="J43" s="193" t="s">
        <v>460</v>
      </c>
      <c r="K43" s="193">
        <v>6.9</v>
      </c>
      <c r="L43" s="90" t="s">
        <v>458</v>
      </c>
      <c r="M43" s="418"/>
      <c r="N43" s="418"/>
      <c r="O43" s="418"/>
      <c r="P43" s="418"/>
      <c r="Q43" s="418"/>
      <c r="R43" s="419"/>
      <c r="S43" s="420"/>
      <c r="T43" s="421"/>
      <c r="U43" s="421"/>
      <c r="V43" s="422"/>
      <c r="W43" s="423"/>
      <c r="X43" s="419"/>
      <c r="Y43" s="420"/>
      <c r="Z43" s="421"/>
      <c r="AA43" s="421"/>
      <c r="AB43" s="422"/>
      <c r="AC43" s="422"/>
      <c r="AD43" s="457"/>
      <c r="AE43" s="420"/>
      <c r="AF43" s="421"/>
      <c r="AG43" s="421"/>
      <c r="AH43" s="422"/>
      <c r="AI43" s="422"/>
      <c r="AJ43" s="457"/>
      <c r="AK43" s="420"/>
      <c r="AL43" s="421"/>
      <c r="AM43" s="421"/>
      <c r="AN43" s="422"/>
      <c r="AO43" s="458"/>
      <c r="AP43" s="457"/>
      <c r="AQ43" s="420"/>
      <c r="AR43" s="421"/>
      <c r="AS43" s="421"/>
      <c r="AT43" s="422"/>
      <c r="AU43" s="458"/>
      <c r="AV43" s="457"/>
      <c r="AW43" s="420"/>
      <c r="AX43" s="421"/>
      <c r="AY43" s="421"/>
      <c r="AZ43" s="422"/>
      <c r="BA43" s="458"/>
      <c r="BB43" s="457"/>
      <c r="BC43" s="420"/>
      <c r="BD43" s="421"/>
      <c r="BE43" s="421"/>
      <c r="BF43" s="422"/>
      <c r="BG43" s="458"/>
      <c r="BI43" s="317">
        <f t="shared" si="18"/>
        <v>0</v>
      </c>
      <c r="BJ43" s="317">
        <f t="shared" si="19"/>
        <v>0</v>
      </c>
      <c r="BK43" s="317"/>
      <c r="BL43" s="221">
        <f t="shared" si="20"/>
        <v>0</v>
      </c>
    </row>
    <row r="44" spans="1:81" ht="14.5">
      <c r="A44" s="555"/>
      <c r="B44" s="9" t="s">
        <v>290</v>
      </c>
      <c r="C44" s="9">
        <v>5825</v>
      </c>
      <c r="D44" s="9">
        <v>119</v>
      </c>
      <c r="E44" s="9" t="s">
        <v>312</v>
      </c>
      <c r="F44" s="9" t="s">
        <v>291</v>
      </c>
      <c r="G44" s="54">
        <v>14.9778</v>
      </c>
      <c r="H44" s="54">
        <v>38.586419999999997</v>
      </c>
      <c r="I44" s="193" t="s">
        <v>495</v>
      </c>
      <c r="J44" s="193" t="s">
        <v>460</v>
      </c>
      <c r="K44" s="193">
        <v>7.3</v>
      </c>
      <c r="L44" s="90" t="s">
        <v>458</v>
      </c>
      <c r="M44" s="418"/>
      <c r="N44" s="418"/>
      <c r="O44" s="418"/>
      <c r="P44" s="418"/>
      <c r="Q44" s="418"/>
      <c r="R44" s="419"/>
      <c r="S44" s="420"/>
      <c r="T44" s="421"/>
      <c r="U44" s="421"/>
      <c r="V44" s="422"/>
      <c r="W44" s="423"/>
      <c r="X44" s="419"/>
      <c r="Y44" s="420"/>
      <c r="Z44" s="421"/>
      <c r="AA44" s="421"/>
      <c r="AB44" s="422"/>
      <c r="AC44" s="422"/>
      <c r="AD44" s="457"/>
      <c r="AE44" s="420"/>
      <c r="AF44" s="421"/>
      <c r="AG44" s="421"/>
      <c r="AH44" s="422"/>
      <c r="AI44" s="422"/>
      <c r="AJ44" s="457"/>
      <c r="AK44" s="420"/>
      <c r="AL44" s="421"/>
      <c r="AM44" s="421"/>
      <c r="AN44" s="422"/>
      <c r="AO44" s="458"/>
      <c r="AP44" s="457"/>
      <c r="AQ44" s="420"/>
      <c r="AR44" s="421"/>
      <c r="AS44" s="421"/>
      <c r="AT44" s="422"/>
      <c r="AU44" s="458"/>
      <c r="AV44" s="457"/>
      <c r="AW44" s="420"/>
      <c r="AX44" s="421"/>
      <c r="AY44" s="421"/>
      <c r="AZ44" s="422"/>
      <c r="BA44" s="458"/>
      <c r="BB44" s="457"/>
      <c r="BC44" s="420"/>
      <c r="BD44" s="421"/>
      <c r="BE44" s="421"/>
      <c r="BF44" s="422"/>
      <c r="BG44" s="458"/>
      <c r="BI44" s="317">
        <f t="shared" si="18"/>
        <v>0</v>
      </c>
      <c r="BJ44" s="317">
        <f t="shared" si="19"/>
        <v>0</v>
      </c>
      <c r="BK44" s="317"/>
      <c r="BL44" s="221">
        <f t="shared" si="20"/>
        <v>0</v>
      </c>
    </row>
    <row r="45" spans="1:81" ht="14.5">
      <c r="A45" s="555"/>
      <c r="B45" s="9" t="s">
        <v>292</v>
      </c>
      <c r="C45" s="9">
        <v>5825</v>
      </c>
      <c r="D45" s="9">
        <v>119</v>
      </c>
      <c r="E45" s="9" t="s">
        <v>455</v>
      </c>
      <c r="F45" s="9" t="s">
        <v>293</v>
      </c>
      <c r="G45" s="54">
        <v>14.54391</v>
      </c>
      <c r="H45" s="54">
        <v>39.445729999999998</v>
      </c>
      <c r="I45" s="193" t="s">
        <v>496</v>
      </c>
      <c r="J45" s="193" t="s">
        <v>460</v>
      </c>
      <c r="K45" s="193">
        <v>11.8</v>
      </c>
      <c r="L45" s="90" t="s">
        <v>458</v>
      </c>
      <c r="M45" s="418"/>
      <c r="N45" s="418"/>
      <c r="O45" s="418"/>
      <c r="P45" s="418"/>
      <c r="Q45" s="418"/>
      <c r="R45" s="419"/>
      <c r="S45" s="420"/>
      <c r="T45" s="421"/>
      <c r="U45" s="421"/>
      <c r="V45" s="422"/>
      <c r="W45" s="423"/>
      <c r="X45" s="419"/>
      <c r="Y45" s="420"/>
      <c r="Z45" s="424"/>
      <c r="AA45" s="424"/>
      <c r="AB45" s="426"/>
      <c r="AC45" s="422"/>
      <c r="AD45" s="457"/>
      <c r="AE45" s="420"/>
      <c r="AF45" s="424"/>
      <c r="AG45" s="424"/>
      <c r="AH45" s="426"/>
      <c r="AI45" s="422"/>
      <c r="AJ45" s="457"/>
      <c r="AK45" s="420"/>
      <c r="AL45" s="424"/>
      <c r="AM45" s="424"/>
      <c r="AN45" s="426"/>
      <c r="AO45" s="458"/>
      <c r="AP45" s="457"/>
      <c r="AQ45" s="420"/>
      <c r="AR45" s="424"/>
      <c r="AS45" s="424"/>
      <c r="AT45" s="426"/>
      <c r="AU45" s="458"/>
      <c r="AV45" s="457"/>
      <c r="AW45" s="420"/>
      <c r="AX45" s="424"/>
      <c r="AY45" s="424"/>
      <c r="AZ45" s="426"/>
      <c r="BA45" s="458"/>
      <c r="BB45" s="457"/>
      <c r="BC45" s="420"/>
      <c r="BD45" s="424"/>
      <c r="BE45" s="424"/>
      <c r="BF45" s="426"/>
      <c r="BG45" s="458"/>
      <c r="BI45" s="317">
        <f t="shared" si="18"/>
        <v>0</v>
      </c>
      <c r="BJ45" s="317">
        <f t="shared" si="19"/>
        <v>0</v>
      </c>
      <c r="BK45" s="317"/>
      <c r="BL45" s="221">
        <f t="shared" si="20"/>
        <v>0</v>
      </c>
    </row>
    <row r="46" spans="1:81" thickBot="1">
      <c r="A46" s="555"/>
      <c r="B46" s="9" t="s">
        <v>294</v>
      </c>
      <c r="C46" s="9">
        <v>5825</v>
      </c>
      <c r="D46" s="9">
        <v>119</v>
      </c>
      <c r="E46" s="9" t="s">
        <v>455</v>
      </c>
      <c r="F46" s="9" t="s">
        <v>295</v>
      </c>
      <c r="G46" s="54">
        <v>14.555199999999999</v>
      </c>
      <c r="H46" s="54">
        <v>39.37903</v>
      </c>
      <c r="I46" s="193" t="s">
        <v>497</v>
      </c>
      <c r="J46" s="193" t="s">
        <v>460</v>
      </c>
      <c r="K46" s="193">
        <v>15</v>
      </c>
      <c r="L46" s="90" t="s">
        <v>458</v>
      </c>
      <c r="M46" s="418"/>
      <c r="N46" s="418"/>
      <c r="O46" s="425"/>
      <c r="P46" s="425"/>
      <c r="Q46" s="418"/>
      <c r="R46" s="419"/>
      <c r="S46" s="420"/>
      <c r="T46" s="421"/>
      <c r="U46" s="421"/>
      <c r="V46" s="422"/>
      <c r="W46" s="423"/>
      <c r="X46" s="419"/>
      <c r="Y46" s="420"/>
      <c r="Z46" s="421"/>
      <c r="AA46" s="421"/>
      <c r="AB46" s="422"/>
      <c r="AC46" s="422"/>
      <c r="AD46" s="457"/>
      <c r="AE46" s="420"/>
      <c r="AF46" s="421"/>
      <c r="AG46" s="421"/>
      <c r="AH46" s="422"/>
      <c r="AI46" s="422"/>
      <c r="AJ46" s="457"/>
      <c r="AK46" s="420"/>
      <c r="AL46" s="421"/>
      <c r="AM46" s="421"/>
      <c r="AN46" s="422"/>
      <c r="AO46" s="458"/>
      <c r="AP46" s="457"/>
      <c r="AQ46" s="420"/>
      <c r="AR46" s="421"/>
      <c r="AS46" s="421"/>
      <c r="AT46" s="422"/>
      <c r="AU46" s="458"/>
      <c r="AV46" s="457"/>
      <c r="AW46" s="420"/>
      <c r="AX46" s="421"/>
      <c r="AY46" s="421"/>
      <c r="AZ46" s="422"/>
      <c r="BA46" s="458"/>
      <c r="BB46" s="457"/>
      <c r="BC46" s="420"/>
      <c r="BD46" s="421"/>
      <c r="BE46" s="421"/>
      <c r="BF46" s="422"/>
      <c r="BG46" s="458"/>
      <c r="BI46" s="317">
        <f t="shared" si="18"/>
        <v>0</v>
      </c>
      <c r="BJ46" s="317">
        <f t="shared" si="19"/>
        <v>0</v>
      </c>
      <c r="BK46" s="317"/>
      <c r="BL46" s="221">
        <f t="shared" si="20"/>
        <v>0</v>
      </c>
    </row>
    <row r="47" spans="1:81" s="443" customFormat="1" thickBot="1">
      <c r="B47" s="205"/>
      <c r="C47" s="205"/>
      <c r="D47" s="205"/>
      <c r="E47" s="205"/>
      <c r="F47" s="205"/>
      <c r="G47" s="206"/>
      <c r="H47" s="206"/>
      <c r="I47" s="207"/>
      <c r="J47" s="207"/>
      <c r="K47" s="207"/>
      <c r="L47" s="208"/>
      <c r="M47" s="209"/>
      <c r="N47" s="209"/>
      <c r="O47" s="209"/>
      <c r="P47" s="209"/>
      <c r="Q47" s="210"/>
      <c r="R47" s="444"/>
      <c r="S47" s="445"/>
      <c r="T47" s="446"/>
      <c r="U47" s="446"/>
      <c r="V47" s="447"/>
      <c r="W47" s="448"/>
      <c r="X47" s="444"/>
      <c r="Y47" s="445"/>
      <c r="Z47" s="446"/>
      <c r="AA47" s="446"/>
      <c r="AB47" s="447"/>
      <c r="AC47" s="447"/>
      <c r="AD47" s="459"/>
      <c r="AE47" s="445"/>
      <c r="AF47" s="446"/>
      <c r="AG47" s="446"/>
      <c r="AH47" s="447"/>
      <c r="AI47" s="447"/>
      <c r="AJ47" s="459"/>
      <c r="AK47" s="445"/>
      <c r="AL47" s="446"/>
      <c r="AM47" s="446"/>
      <c r="AN47" s="447"/>
      <c r="AO47" s="460"/>
      <c r="AP47" s="459"/>
      <c r="AQ47" s="445"/>
      <c r="AR47" s="446"/>
      <c r="AS47" s="446"/>
      <c r="AT47" s="447"/>
      <c r="AU47" s="460"/>
      <c r="AV47" s="459"/>
      <c r="AW47" s="445"/>
      <c r="AX47" s="446"/>
      <c r="AY47" s="446"/>
      <c r="AZ47" s="447"/>
      <c r="BA47" s="460"/>
      <c r="BB47" s="459"/>
      <c r="BC47" s="445"/>
      <c r="BD47" s="446"/>
      <c r="BE47" s="446"/>
      <c r="BF47" s="447"/>
      <c r="BG47" s="460"/>
      <c r="BH47" s="191"/>
      <c r="BI47" s="213">
        <f t="shared" ref="BI47:BL47" si="21">SUM(BI$40:BI$46)</f>
        <v>0</v>
      </c>
      <c r="BJ47" s="213">
        <f t="shared" si="21"/>
        <v>0</v>
      </c>
      <c r="BK47" s="213"/>
      <c r="BL47" s="213">
        <f t="shared" si="21"/>
        <v>0</v>
      </c>
      <c r="BM47" s="191"/>
      <c r="BN47" s="191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191"/>
      <c r="CC47" s="191"/>
    </row>
    <row r="48" spans="1:81" ht="14.5">
      <c r="A48" s="555" t="s">
        <v>306</v>
      </c>
      <c r="B48" s="9" t="s">
        <v>307</v>
      </c>
      <c r="C48" s="9">
        <v>5826</v>
      </c>
      <c r="D48" s="9">
        <v>120</v>
      </c>
      <c r="E48" s="9" t="s">
        <v>312</v>
      </c>
      <c r="F48" s="9" t="s">
        <v>308</v>
      </c>
      <c r="G48" s="54">
        <v>14.865790000000001</v>
      </c>
      <c r="H48" s="54">
        <v>38.424160000000001</v>
      </c>
      <c r="I48" s="433">
        <v>42830</v>
      </c>
      <c r="J48" s="193" t="s">
        <v>460</v>
      </c>
      <c r="K48" s="193">
        <v>15</v>
      </c>
      <c r="L48" s="90" t="s">
        <v>458</v>
      </c>
      <c r="M48" s="418"/>
      <c r="N48" s="418"/>
      <c r="O48" s="418"/>
      <c r="P48" s="418"/>
      <c r="Q48" s="418"/>
      <c r="R48" s="419"/>
      <c r="S48" s="420"/>
      <c r="T48" s="421"/>
      <c r="U48" s="421"/>
      <c r="V48" s="422"/>
      <c r="W48" s="423"/>
      <c r="X48" s="419"/>
      <c r="Y48" s="420"/>
      <c r="Z48" s="421"/>
      <c r="AA48" s="421"/>
      <c r="AB48" s="422"/>
      <c r="AC48" s="422"/>
      <c r="AD48" s="457"/>
      <c r="AE48" s="420"/>
      <c r="AF48" s="421"/>
      <c r="AG48" s="421"/>
      <c r="AH48" s="422"/>
      <c r="AI48" s="422"/>
      <c r="AJ48" s="457"/>
      <c r="AK48" s="420"/>
      <c r="AL48" s="421"/>
      <c r="AM48" s="421"/>
      <c r="AN48" s="422"/>
      <c r="AO48" s="458"/>
      <c r="AP48" s="457"/>
      <c r="AQ48" s="420"/>
      <c r="AR48" s="421"/>
      <c r="AS48" s="421"/>
      <c r="AT48" s="422"/>
      <c r="AU48" s="458"/>
      <c r="AV48" s="457"/>
      <c r="AW48" s="420"/>
      <c r="AX48" s="421"/>
      <c r="AY48" s="421"/>
      <c r="AZ48" s="422"/>
      <c r="BA48" s="458"/>
      <c r="BB48" s="457"/>
      <c r="BC48" s="420"/>
      <c r="BD48" s="421"/>
      <c r="BE48" s="421"/>
      <c r="BF48" s="422"/>
      <c r="BG48" s="458"/>
      <c r="BI48" s="317">
        <f t="shared" ref="BI48:BI53" si="22">AB48+V48</f>
        <v>0</v>
      </c>
      <c r="BJ48" s="317">
        <f t="shared" ref="BJ48:BJ53" si="23">AH48+AN48</f>
        <v>0</v>
      </c>
      <c r="BK48" s="317"/>
      <c r="BL48" s="221">
        <f t="shared" ref="BL48:BL53" si="24">BI48+BJ48+BK48</f>
        <v>0</v>
      </c>
    </row>
    <row r="49" spans="1:87" ht="14.5">
      <c r="A49" s="555"/>
      <c r="B49" s="9" t="s">
        <v>309</v>
      </c>
      <c r="C49" s="9">
        <v>5826</v>
      </c>
      <c r="D49" s="9">
        <v>120</v>
      </c>
      <c r="E49" s="9" t="s">
        <v>312</v>
      </c>
      <c r="F49" s="9" t="s">
        <v>310</v>
      </c>
      <c r="G49" s="54">
        <v>15.02267</v>
      </c>
      <c r="H49" s="54">
        <v>38.571019999999997</v>
      </c>
      <c r="I49" s="433">
        <v>43044</v>
      </c>
      <c r="J49" s="193" t="s">
        <v>460</v>
      </c>
      <c r="K49" s="193">
        <v>10</v>
      </c>
      <c r="L49" s="90" t="s">
        <v>458</v>
      </c>
      <c r="M49" s="9"/>
      <c r="N49" s="9"/>
      <c r="O49" s="9"/>
      <c r="P49" s="9"/>
      <c r="Q49" s="9"/>
      <c r="R49" s="419"/>
      <c r="S49" s="420"/>
      <c r="T49" s="421"/>
      <c r="U49" s="421"/>
      <c r="V49" s="422"/>
      <c r="W49" s="423"/>
      <c r="X49" s="419"/>
      <c r="Y49" s="420"/>
      <c r="Z49" s="424"/>
      <c r="AA49" s="424"/>
      <c r="AB49" s="426"/>
      <c r="AC49" s="422"/>
      <c r="AD49" s="457"/>
      <c r="AE49" s="420"/>
      <c r="AF49" s="424"/>
      <c r="AG49" s="424"/>
      <c r="AH49" s="426"/>
      <c r="AI49" s="422"/>
      <c r="AJ49" s="457"/>
      <c r="AK49" s="420"/>
      <c r="AL49" s="424"/>
      <c r="AM49" s="424"/>
      <c r="AN49" s="426"/>
      <c r="AO49" s="458"/>
      <c r="AP49" s="457"/>
      <c r="AQ49" s="420"/>
      <c r="AR49" s="424"/>
      <c r="AS49" s="424"/>
      <c r="AT49" s="426"/>
      <c r="AU49" s="458"/>
      <c r="AV49" s="457"/>
      <c r="AW49" s="420"/>
      <c r="AX49" s="424"/>
      <c r="AY49" s="424"/>
      <c r="AZ49" s="426"/>
      <c r="BA49" s="458"/>
      <c r="BB49" s="457"/>
      <c r="BC49" s="420"/>
      <c r="BD49" s="424"/>
      <c r="BE49" s="424"/>
      <c r="BF49" s="426"/>
      <c r="BG49" s="458"/>
      <c r="BI49" s="317">
        <f t="shared" si="22"/>
        <v>0</v>
      </c>
      <c r="BJ49" s="317">
        <f t="shared" si="23"/>
        <v>0</v>
      </c>
      <c r="BK49" s="317"/>
      <c r="BL49" s="221">
        <f t="shared" si="24"/>
        <v>0</v>
      </c>
    </row>
    <row r="50" spans="1:87" ht="14.5">
      <c r="A50" s="555"/>
      <c r="B50" s="9" t="s">
        <v>498</v>
      </c>
      <c r="C50" s="9">
        <v>5826</v>
      </c>
      <c r="D50" s="9">
        <v>120</v>
      </c>
      <c r="E50" s="9" t="s">
        <v>312</v>
      </c>
      <c r="F50" s="9" t="s">
        <v>312</v>
      </c>
      <c r="G50" s="54">
        <v>14.92754</v>
      </c>
      <c r="H50" s="54">
        <v>38.562739999999998</v>
      </c>
      <c r="I50" s="193" t="s">
        <v>499</v>
      </c>
      <c r="J50" s="193" t="s">
        <v>457</v>
      </c>
      <c r="K50" s="193">
        <v>60</v>
      </c>
      <c r="L50" s="90" t="s">
        <v>458</v>
      </c>
      <c r="M50" s="418"/>
      <c r="N50" s="418"/>
      <c r="O50" s="418"/>
      <c r="P50" s="418"/>
      <c r="Q50" s="418"/>
      <c r="R50" s="419"/>
      <c r="S50" s="420"/>
      <c r="T50" s="421"/>
      <c r="U50" s="421"/>
      <c r="V50" s="422"/>
      <c r="W50" s="423"/>
      <c r="X50" s="419"/>
      <c r="Y50" s="420"/>
      <c r="Z50" s="421"/>
      <c r="AA50" s="421"/>
      <c r="AB50" s="422"/>
      <c r="AC50" s="422"/>
      <c r="AD50" s="457"/>
      <c r="AE50" s="420"/>
      <c r="AF50" s="421"/>
      <c r="AG50" s="421"/>
      <c r="AH50" s="422"/>
      <c r="AI50" s="422"/>
      <c r="AJ50" s="457"/>
      <c r="AK50" s="420"/>
      <c r="AL50" s="421"/>
      <c r="AM50" s="421"/>
      <c r="AN50" s="422"/>
      <c r="AO50" s="458"/>
      <c r="AP50" s="457"/>
      <c r="AQ50" s="420"/>
      <c r="AR50" s="421"/>
      <c r="AS50" s="421"/>
      <c r="AT50" s="422"/>
      <c r="AU50" s="458"/>
      <c r="AV50" s="457"/>
      <c r="AW50" s="420"/>
      <c r="AX50" s="421"/>
      <c r="AY50" s="421"/>
      <c r="AZ50" s="422"/>
      <c r="BA50" s="458"/>
      <c r="BB50" s="457"/>
      <c r="BC50" s="420"/>
      <c r="BD50" s="421"/>
      <c r="BE50" s="421"/>
      <c r="BF50" s="422"/>
      <c r="BG50" s="458"/>
      <c r="BI50" s="317">
        <f t="shared" si="22"/>
        <v>0</v>
      </c>
      <c r="BJ50" s="317">
        <f t="shared" si="23"/>
        <v>0</v>
      </c>
      <c r="BK50" s="317"/>
      <c r="BL50" s="221">
        <f t="shared" si="24"/>
        <v>0</v>
      </c>
    </row>
    <row r="51" spans="1:87" ht="14.5">
      <c r="A51" s="555"/>
      <c r="B51" s="9" t="s">
        <v>313</v>
      </c>
      <c r="C51" s="9">
        <v>5826</v>
      </c>
      <c r="D51" s="9">
        <v>120</v>
      </c>
      <c r="E51" s="9" t="s">
        <v>312</v>
      </c>
      <c r="F51" s="9" t="s">
        <v>314</v>
      </c>
      <c r="G51" s="54">
        <v>14.94946</v>
      </c>
      <c r="H51" s="54">
        <v>38.614620000000002</v>
      </c>
      <c r="I51" s="193" t="s">
        <v>500</v>
      </c>
      <c r="J51" s="193" t="s">
        <v>460</v>
      </c>
      <c r="K51" s="193">
        <v>7.2</v>
      </c>
      <c r="L51" s="90" t="s">
        <v>458</v>
      </c>
      <c r="M51" s="418"/>
      <c r="N51" s="418"/>
      <c r="O51" s="418"/>
      <c r="P51" s="418"/>
      <c r="Q51" s="418"/>
      <c r="R51" s="419"/>
      <c r="S51" s="420"/>
      <c r="T51" s="421"/>
      <c r="U51" s="421"/>
      <c r="V51" s="422"/>
      <c r="W51" s="423"/>
      <c r="X51" s="419"/>
      <c r="Y51" s="420"/>
      <c r="Z51" s="421"/>
      <c r="AA51" s="421"/>
      <c r="AB51" s="422"/>
      <c r="AC51" s="422"/>
      <c r="AD51" s="457"/>
      <c r="AE51" s="420"/>
      <c r="AF51" s="421"/>
      <c r="AG51" s="421"/>
      <c r="AH51" s="422"/>
      <c r="AI51" s="422"/>
      <c r="AJ51" s="457"/>
      <c r="AK51" s="420"/>
      <c r="AL51" s="421"/>
      <c r="AM51" s="421"/>
      <c r="AN51" s="422"/>
      <c r="AO51" s="458"/>
      <c r="AP51" s="457"/>
      <c r="AQ51" s="420"/>
      <c r="AR51" s="421"/>
      <c r="AS51" s="421"/>
      <c r="AT51" s="422"/>
      <c r="AU51" s="458"/>
      <c r="AV51" s="457"/>
      <c r="AW51" s="420"/>
      <c r="AX51" s="421"/>
      <c r="AY51" s="421"/>
      <c r="AZ51" s="422"/>
      <c r="BA51" s="458"/>
      <c r="BB51" s="457"/>
      <c r="BC51" s="420"/>
      <c r="BD51" s="421"/>
      <c r="BE51" s="421"/>
      <c r="BF51" s="422"/>
      <c r="BG51" s="458"/>
      <c r="BI51" s="317">
        <f t="shared" si="22"/>
        <v>0</v>
      </c>
      <c r="BJ51" s="317">
        <f t="shared" si="23"/>
        <v>0</v>
      </c>
      <c r="BK51" s="317"/>
      <c r="BL51" s="221">
        <f t="shared" si="24"/>
        <v>0</v>
      </c>
    </row>
    <row r="52" spans="1:87" ht="14.5">
      <c r="A52" s="555"/>
      <c r="B52" s="9" t="s">
        <v>315</v>
      </c>
      <c r="C52" s="9">
        <v>5826</v>
      </c>
      <c r="D52" s="9">
        <v>120</v>
      </c>
      <c r="E52" s="9" t="s">
        <v>312</v>
      </c>
      <c r="F52" s="9" t="s">
        <v>316</v>
      </c>
      <c r="G52" s="54">
        <v>14.81237</v>
      </c>
      <c r="H52" s="54">
        <v>38.418190000000003</v>
      </c>
      <c r="I52" s="193" t="s">
        <v>501</v>
      </c>
      <c r="J52" s="193" t="s">
        <v>460</v>
      </c>
      <c r="K52" s="193">
        <v>7.5</v>
      </c>
      <c r="L52" s="90" t="s">
        <v>458</v>
      </c>
      <c r="M52" s="418"/>
      <c r="N52" s="418"/>
      <c r="O52" s="418"/>
      <c r="P52" s="418"/>
      <c r="Q52" s="418"/>
      <c r="R52" s="419"/>
      <c r="S52" s="420"/>
      <c r="T52" s="421"/>
      <c r="U52" s="421"/>
      <c r="V52" s="422"/>
      <c r="W52" s="423"/>
      <c r="X52" s="419"/>
      <c r="Y52" s="420"/>
      <c r="Z52" s="421"/>
      <c r="AA52" s="421"/>
      <c r="AB52" s="422"/>
      <c r="AC52" s="422"/>
      <c r="AD52" s="457"/>
      <c r="AE52" s="420"/>
      <c r="AF52" s="421"/>
      <c r="AG52" s="421"/>
      <c r="AH52" s="422"/>
      <c r="AI52" s="422"/>
      <c r="AJ52" s="457"/>
      <c r="AK52" s="420"/>
      <c r="AL52" s="421"/>
      <c r="AM52" s="421"/>
      <c r="AN52" s="422"/>
      <c r="AO52" s="458"/>
      <c r="AP52" s="457"/>
      <c r="AQ52" s="420"/>
      <c r="AR52" s="421"/>
      <c r="AS52" s="421"/>
      <c r="AT52" s="422"/>
      <c r="AU52" s="458"/>
      <c r="AV52" s="457"/>
      <c r="AW52" s="420"/>
      <c r="AX52" s="421"/>
      <c r="AY52" s="421"/>
      <c r="AZ52" s="422"/>
      <c r="BA52" s="458"/>
      <c r="BB52" s="457"/>
      <c r="BC52" s="420"/>
      <c r="BD52" s="421"/>
      <c r="BE52" s="421"/>
      <c r="BF52" s="422"/>
      <c r="BG52" s="458"/>
      <c r="BI52" s="317">
        <f t="shared" si="22"/>
        <v>0</v>
      </c>
      <c r="BJ52" s="317">
        <f t="shared" si="23"/>
        <v>0</v>
      </c>
      <c r="BK52" s="317"/>
      <c r="BL52" s="221">
        <f t="shared" si="24"/>
        <v>0</v>
      </c>
    </row>
    <row r="53" spans="1:87" thickBot="1">
      <c r="A53" s="555"/>
      <c r="B53" s="9" t="s">
        <v>317</v>
      </c>
      <c r="C53" s="9">
        <v>5826</v>
      </c>
      <c r="D53" s="9">
        <v>120</v>
      </c>
      <c r="E53" s="9" t="s">
        <v>455</v>
      </c>
      <c r="F53" s="9" t="s">
        <v>318</v>
      </c>
      <c r="G53" s="54">
        <v>14.566839999999999</v>
      </c>
      <c r="H53" s="54">
        <v>39.479410000000001</v>
      </c>
      <c r="I53" s="433">
        <v>43406</v>
      </c>
      <c r="J53" s="193" t="s">
        <v>457</v>
      </c>
      <c r="K53" s="193">
        <v>50</v>
      </c>
      <c r="L53" s="90" t="s">
        <v>458</v>
      </c>
      <c r="M53" s="418"/>
      <c r="N53" s="418"/>
      <c r="O53" s="418"/>
      <c r="P53" s="418"/>
      <c r="Q53" s="418"/>
      <c r="R53" s="419"/>
      <c r="S53" s="420"/>
      <c r="T53" s="421"/>
      <c r="U53" s="421"/>
      <c r="V53" s="422"/>
      <c r="W53" s="423"/>
      <c r="X53" s="419"/>
      <c r="Y53" s="420"/>
      <c r="Z53" s="421"/>
      <c r="AA53" s="421"/>
      <c r="AB53" s="422"/>
      <c r="AC53" s="422"/>
      <c r="AD53" s="457"/>
      <c r="AE53" s="420"/>
      <c r="AF53" s="421"/>
      <c r="AG53" s="421"/>
      <c r="AH53" s="422"/>
      <c r="AI53" s="422"/>
      <c r="AJ53" s="457"/>
      <c r="AK53" s="420"/>
      <c r="AL53" s="421"/>
      <c r="AM53" s="421"/>
      <c r="AN53" s="422"/>
      <c r="AO53" s="458"/>
      <c r="AP53" s="457"/>
      <c r="AQ53" s="420"/>
      <c r="AR53" s="421"/>
      <c r="AS53" s="421"/>
      <c r="AT53" s="422"/>
      <c r="AU53" s="458"/>
      <c r="AV53" s="457"/>
      <c r="AW53" s="420"/>
      <c r="AX53" s="421"/>
      <c r="AY53" s="421"/>
      <c r="AZ53" s="422"/>
      <c r="BA53" s="458"/>
      <c r="BB53" s="457"/>
      <c r="BC53" s="420"/>
      <c r="BD53" s="421"/>
      <c r="BE53" s="421"/>
      <c r="BF53" s="422"/>
      <c r="BG53" s="458"/>
      <c r="BI53" s="317">
        <f t="shared" si="22"/>
        <v>0</v>
      </c>
      <c r="BJ53" s="317">
        <f t="shared" si="23"/>
        <v>0</v>
      </c>
      <c r="BK53" s="317"/>
      <c r="BL53" s="221">
        <f t="shared" si="24"/>
        <v>0</v>
      </c>
    </row>
    <row r="54" spans="1:87" s="443" customFormat="1" thickBot="1">
      <c r="B54" s="205"/>
      <c r="C54" s="205"/>
      <c r="D54" s="205"/>
      <c r="E54" s="205"/>
      <c r="F54" s="205"/>
      <c r="G54" s="206"/>
      <c r="H54" s="206"/>
      <c r="I54" s="211"/>
      <c r="J54" s="207"/>
      <c r="K54" s="207"/>
      <c r="L54" s="208"/>
      <c r="M54" s="209"/>
      <c r="N54" s="209"/>
      <c r="O54" s="209"/>
      <c r="P54" s="209"/>
      <c r="Q54" s="210"/>
      <c r="R54" s="444"/>
      <c r="S54" s="445"/>
      <c r="T54" s="446"/>
      <c r="U54" s="446"/>
      <c r="V54" s="447"/>
      <c r="W54" s="448"/>
      <c r="X54" s="444"/>
      <c r="Y54" s="445"/>
      <c r="Z54" s="446"/>
      <c r="AA54" s="446"/>
      <c r="AB54" s="447"/>
      <c r="AC54" s="447"/>
      <c r="AD54" s="459"/>
      <c r="AE54" s="445"/>
      <c r="AF54" s="446"/>
      <c r="AG54" s="446"/>
      <c r="AH54" s="447"/>
      <c r="AI54" s="447"/>
      <c r="AJ54" s="459"/>
      <c r="AK54" s="445"/>
      <c r="AL54" s="446"/>
      <c r="AM54" s="446"/>
      <c r="AN54" s="447"/>
      <c r="AO54" s="460"/>
      <c r="AP54" s="459"/>
      <c r="AQ54" s="445"/>
      <c r="AR54" s="446"/>
      <c r="AS54" s="446"/>
      <c r="AT54" s="447"/>
      <c r="AU54" s="460"/>
      <c r="AV54" s="459"/>
      <c r="AW54" s="445"/>
      <c r="AX54" s="446"/>
      <c r="AY54" s="446"/>
      <c r="AZ54" s="447"/>
      <c r="BA54" s="460"/>
      <c r="BB54" s="459"/>
      <c r="BC54" s="445"/>
      <c r="BD54" s="446"/>
      <c r="BE54" s="446"/>
      <c r="BF54" s="447"/>
      <c r="BG54" s="460"/>
      <c r="BH54" s="191"/>
      <c r="BI54" s="213">
        <f>SUM(BI$48:BI$53)</f>
        <v>0</v>
      </c>
      <c r="BJ54" s="213">
        <f>SUM(BK$48:BK$53)</f>
        <v>0</v>
      </c>
      <c r="BK54" s="213">
        <f>SUM(BK$48:BK$53)</f>
        <v>0</v>
      </c>
      <c r="BL54" s="213">
        <f t="shared" ref="BL54" si="25">SUM(BL$48:BL$53)</f>
        <v>0</v>
      </c>
      <c r="BM54" s="191"/>
      <c r="BN54" s="191"/>
      <c r="BO54" s="191"/>
      <c r="BP54" s="191"/>
      <c r="BQ54" s="191"/>
      <c r="BR54" s="191"/>
      <c r="BS54" s="191"/>
      <c r="BT54" s="191"/>
      <c r="BU54" s="191"/>
      <c r="BV54" s="191"/>
      <c r="BW54" s="191"/>
      <c r="BX54" s="191"/>
      <c r="BY54" s="191"/>
      <c r="BZ54" s="191"/>
      <c r="CA54" s="191"/>
      <c r="CB54" s="191"/>
      <c r="CC54" s="191"/>
    </row>
    <row r="55" spans="1:87" ht="14.5">
      <c r="A55" s="555" t="s">
        <v>319</v>
      </c>
      <c r="B55" s="9" t="s">
        <v>320</v>
      </c>
      <c r="C55" s="9">
        <v>5827</v>
      </c>
      <c r="D55" s="9">
        <v>121</v>
      </c>
      <c r="E55" s="9" t="s">
        <v>312</v>
      </c>
      <c r="F55" s="9" t="s">
        <v>321</v>
      </c>
      <c r="G55" s="54" t="s">
        <v>322</v>
      </c>
      <c r="H55" s="54">
        <v>38.409970000000001</v>
      </c>
      <c r="I55" s="433">
        <v>42830</v>
      </c>
      <c r="J55" s="193" t="s">
        <v>460</v>
      </c>
      <c r="K55" s="193">
        <v>9</v>
      </c>
      <c r="L55" s="90" t="s">
        <v>458</v>
      </c>
      <c r="M55" s="418"/>
      <c r="N55" s="418"/>
      <c r="O55" s="418"/>
      <c r="P55" s="418"/>
      <c r="Q55" s="418"/>
      <c r="R55" s="419"/>
      <c r="S55" s="420"/>
      <c r="T55" s="421"/>
      <c r="U55" s="421"/>
      <c r="V55" s="422"/>
      <c r="W55" s="423"/>
      <c r="X55" s="419"/>
      <c r="Y55" s="420"/>
      <c r="Z55" s="421"/>
      <c r="AA55" s="421"/>
      <c r="AB55" s="422"/>
      <c r="AC55" s="422"/>
      <c r="AD55" s="457"/>
      <c r="AE55" s="420"/>
      <c r="AF55" s="421"/>
      <c r="AG55" s="421"/>
      <c r="AH55" s="422"/>
      <c r="AI55" s="422"/>
      <c r="AJ55" s="457"/>
      <c r="AK55" s="420"/>
      <c r="AL55" s="421"/>
      <c r="AM55" s="421"/>
      <c r="AN55" s="422"/>
      <c r="AO55" s="458"/>
      <c r="AP55" s="457"/>
      <c r="AQ55" s="420"/>
      <c r="AR55" s="421"/>
      <c r="AS55" s="421"/>
      <c r="AT55" s="422"/>
      <c r="AU55" s="458"/>
      <c r="AV55" s="457"/>
      <c r="AW55" s="420"/>
      <c r="AX55" s="421"/>
      <c r="AY55" s="421"/>
      <c r="AZ55" s="422"/>
      <c r="BA55" s="458"/>
      <c r="BB55" s="457"/>
      <c r="BC55" s="420"/>
      <c r="BD55" s="421"/>
      <c r="BE55" s="421"/>
      <c r="BF55" s="422"/>
      <c r="BG55" s="458"/>
      <c r="BI55" s="317">
        <f t="shared" ref="BI55:BI60" si="26">AB55+V55</f>
        <v>0</v>
      </c>
      <c r="BJ55" s="317">
        <f t="shared" ref="BJ55:BJ60" si="27">AH55+AN55</f>
        <v>0</v>
      </c>
      <c r="BK55" s="317"/>
      <c r="BL55" s="221">
        <v>0</v>
      </c>
    </row>
    <row r="56" spans="1:87" ht="14.5">
      <c r="A56" s="555"/>
      <c r="B56" s="9" t="s">
        <v>323</v>
      </c>
      <c r="C56" s="9">
        <v>5827</v>
      </c>
      <c r="D56" s="9">
        <v>121</v>
      </c>
      <c r="E56" s="9" t="s">
        <v>312</v>
      </c>
      <c r="F56" s="9" t="s">
        <v>324</v>
      </c>
      <c r="G56" s="54">
        <v>15.00224</v>
      </c>
      <c r="H56" s="54">
        <v>38.578159999999997</v>
      </c>
      <c r="I56" s="433">
        <v>42983</v>
      </c>
      <c r="J56" s="193" t="s">
        <v>460</v>
      </c>
      <c r="K56" s="193">
        <v>7</v>
      </c>
      <c r="L56" s="90" t="s">
        <v>458</v>
      </c>
      <c r="M56" s="418"/>
      <c r="N56" s="418"/>
      <c r="O56" s="418"/>
      <c r="P56" s="418"/>
      <c r="Q56" s="418"/>
      <c r="R56" s="419"/>
      <c r="S56" s="420"/>
      <c r="T56" s="421"/>
      <c r="U56" s="421"/>
      <c r="V56" s="422"/>
      <c r="W56" s="423"/>
      <c r="X56" s="419"/>
      <c r="Y56" s="420"/>
      <c r="Z56" s="421"/>
      <c r="AA56" s="421"/>
      <c r="AB56" s="422"/>
      <c r="AC56" s="422"/>
      <c r="AD56" s="457"/>
      <c r="AE56" s="420"/>
      <c r="AF56" s="421"/>
      <c r="AG56" s="421"/>
      <c r="AH56" s="422"/>
      <c r="AI56" s="422"/>
      <c r="AJ56" s="457"/>
      <c r="AK56" s="420"/>
      <c r="AL56" s="421"/>
      <c r="AM56" s="421"/>
      <c r="AN56" s="422"/>
      <c r="AO56" s="458"/>
      <c r="AP56" s="457"/>
      <c r="AQ56" s="420"/>
      <c r="AR56" s="421"/>
      <c r="AS56" s="421"/>
      <c r="AT56" s="422"/>
      <c r="AU56" s="458"/>
      <c r="AV56" s="457"/>
      <c r="AW56" s="420"/>
      <c r="AX56" s="421"/>
      <c r="AY56" s="421"/>
      <c r="AZ56" s="422"/>
      <c r="BA56" s="458"/>
      <c r="BB56" s="457"/>
      <c r="BC56" s="420"/>
      <c r="BD56" s="421"/>
      <c r="BE56" s="421"/>
      <c r="BF56" s="422"/>
      <c r="BG56" s="458"/>
      <c r="BI56" s="317">
        <f t="shared" si="26"/>
        <v>0</v>
      </c>
      <c r="BJ56" s="317">
        <f t="shared" si="27"/>
        <v>0</v>
      </c>
      <c r="BK56" s="317"/>
      <c r="BL56" s="221">
        <v>0</v>
      </c>
    </row>
    <row r="57" spans="1:87" ht="14.5">
      <c r="A57" s="555"/>
      <c r="B57" s="9" t="s">
        <v>325</v>
      </c>
      <c r="C57" s="9">
        <v>5827</v>
      </c>
      <c r="D57" s="9">
        <v>121</v>
      </c>
      <c r="E57" s="9" t="s">
        <v>312</v>
      </c>
      <c r="F57" s="9" t="s">
        <v>326</v>
      </c>
      <c r="G57" s="54">
        <v>14.94407</v>
      </c>
      <c r="H57" s="54">
        <v>38.667740000000002</v>
      </c>
      <c r="I57" s="193" t="s">
        <v>502</v>
      </c>
      <c r="J57" s="193" t="s">
        <v>460</v>
      </c>
      <c r="K57" s="193">
        <v>9</v>
      </c>
      <c r="L57" s="90" t="s">
        <v>458</v>
      </c>
      <c r="M57" s="418"/>
      <c r="N57" s="418"/>
      <c r="O57" s="418"/>
      <c r="P57" s="418"/>
      <c r="Q57" s="418"/>
      <c r="R57" s="419"/>
      <c r="S57" s="420"/>
      <c r="T57" s="421"/>
      <c r="U57" s="421"/>
      <c r="V57" s="422"/>
      <c r="W57" s="423"/>
      <c r="X57" s="419"/>
      <c r="Y57" s="420"/>
      <c r="Z57" s="421"/>
      <c r="AA57" s="421"/>
      <c r="AB57" s="422"/>
      <c r="AC57" s="422"/>
      <c r="AD57" s="457"/>
      <c r="AE57" s="420"/>
      <c r="AF57" s="421"/>
      <c r="AG57" s="421"/>
      <c r="AH57" s="422"/>
      <c r="AI57" s="422"/>
      <c r="AJ57" s="457"/>
      <c r="AK57" s="420"/>
      <c r="AL57" s="421"/>
      <c r="AM57" s="421"/>
      <c r="AN57" s="422"/>
      <c r="AO57" s="458"/>
      <c r="AP57" s="457"/>
      <c r="AQ57" s="420"/>
      <c r="AR57" s="421"/>
      <c r="AS57" s="421"/>
      <c r="AT57" s="422"/>
      <c r="AU57" s="458"/>
      <c r="AV57" s="457"/>
      <c r="AW57" s="420"/>
      <c r="AX57" s="421"/>
      <c r="AY57" s="421"/>
      <c r="AZ57" s="422"/>
      <c r="BA57" s="458"/>
      <c r="BB57" s="457"/>
      <c r="BC57" s="420"/>
      <c r="BD57" s="421"/>
      <c r="BE57" s="421"/>
      <c r="BF57" s="422"/>
      <c r="BG57" s="458"/>
      <c r="BI57" s="317">
        <f t="shared" si="26"/>
        <v>0</v>
      </c>
      <c r="BJ57" s="317">
        <f t="shared" si="27"/>
        <v>0</v>
      </c>
      <c r="BK57" s="317"/>
      <c r="BL57" s="221">
        <v>0</v>
      </c>
    </row>
    <row r="58" spans="1:87" ht="14.5">
      <c r="A58" s="555"/>
      <c r="B58" s="9" t="s">
        <v>327</v>
      </c>
      <c r="C58" s="9">
        <v>5827</v>
      </c>
      <c r="D58" s="9">
        <v>121</v>
      </c>
      <c r="E58" s="9" t="s">
        <v>312</v>
      </c>
      <c r="F58" s="9" t="s">
        <v>328</v>
      </c>
      <c r="G58" s="54">
        <v>14.932219999999999</v>
      </c>
      <c r="H58" s="54">
        <v>38.58708</v>
      </c>
      <c r="I58" s="193" t="s">
        <v>503</v>
      </c>
      <c r="J58" s="193" t="s">
        <v>457</v>
      </c>
      <c r="K58" s="193">
        <v>46</v>
      </c>
      <c r="L58" s="90" t="s">
        <v>458</v>
      </c>
      <c r="M58" s="418"/>
      <c r="N58" s="418"/>
      <c r="O58" s="418"/>
      <c r="P58" s="418"/>
      <c r="Q58" s="418"/>
      <c r="R58" s="419"/>
      <c r="S58" s="420"/>
      <c r="T58" s="424"/>
      <c r="U58" s="421"/>
      <c r="V58" s="422"/>
      <c r="W58" s="423"/>
      <c r="X58" s="419"/>
      <c r="Y58" s="420"/>
      <c r="Z58" s="424"/>
      <c r="AA58" s="421"/>
      <c r="AB58" s="422"/>
      <c r="AC58" s="422"/>
      <c r="AD58" s="457"/>
      <c r="AE58" s="420"/>
      <c r="AF58" s="424"/>
      <c r="AG58" s="421"/>
      <c r="AH58" s="422"/>
      <c r="AI58" s="422"/>
      <c r="AJ58" s="457"/>
      <c r="AK58" s="420"/>
      <c r="AL58" s="424"/>
      <c r="AM58" s="421"/>
      <c r="AN58" s="422"/>
      <c r="AO58" s="458"/>
      <c r="AP58" s="457"/>
      <c r="AQ58" s="420"/>
      <c r="AR58" s="424"/>
      <c r="AS58" s="421"/>
      <c r="AT58" s="422"/>
      <c r="AU58" s="458"/>
      <c r="AV58" s="457"/>
      <c r="AW58" s="420"/>
      <c r="AX58" s="424"/>
      <c r="AY58" s="421"/>
      <c r="AZ58" s="422"/>
      <c r="BA58" s="458"/>
      <c r="BB58" s="457"/>
      <c r="BC58" s="420"/>
      <c r="BD58" s="424"/>
      <c r="BE58" s="421"/>
      <c r="BF58" s="422"/>
      <c r="BG58" s="458"/>
      <c r="BI58" s="317">
        <f t="shared" si="26"/>
        <v>0</v>
      </c>
      <c r="BJ58" s="317">
        <f t="shared" si="27"/>
        <v>0</v>
      </c>
      <c r="BK58" s="317"/>
      <c r="BL58" s="221">
        <v>0</v>
      </c>
    </row>
    <row r="59" spans="1:87" ht="14.5">
      <c r="A59" s="555"/>
      <c r="B59" s="9" t="s">
        <v>329</v>
      </c>
      <c r="C59" s="9">
        <v>5827</v>
      </c>
      <c r="D59" s="9">
        <v>121</v>
      </c>
      <c r="E59" s="9" t="s">
        <v>455</v>
      </c>
      <c r="F59" s="9" t="s">
        <v>330</v>
      </c>
      <c r="G59" s="54">
        <v>14.538869999999999</v>
      </c>
      <c r="H59" s="54">
        <v>39.436430000000001</v>
      </c>
      <c r="I59" s="193" t="s">
        <v>504</v>
      </c>
      <c r="J59" s="193" t="s">
        <v>460</v>
      </c>
      <c r="K59" s="193">
        <v>8</v>
      </c>
      <c r="L59" s="90" t="s">
        <v>458</v>
      </c>
      <c r="M59" s="418"/>
      <c r="N59" s="418"/>
      <c r="O59" s="418"/>
      <c r="P59" s="418"/>
      <c r="Q59" s="418"/>
      <c r="R59" s="419"/>
      <c r="S59" s="420"/>
      <c r="T59" s="421"/>
      <c r="U59" s="421"/>
      <c r="V59" s="422"/>
      <c r="W59" s="423"/>
      <c r="X59" s="419"/>
      <c r="Y59" s="420"/>
      <c r="Z59" s="421"/>
      <c r="AA59" s="421"/>
      <c r="AB59" s="422"/>
      <c r="AC59" s="422"/>
      <c r="AD59" s="457"/>
      <c r="AE59" s="420"/>
      <c r="AF59" s="421"/>
      <c r="AG59" s="421"/>
      <c r="AH59" s="422"/>
      <c r="AI59" s="422"/>
      <c r="AJ59" s="457"/>
      <c r="AK59" s="420"/>
      <c r="AL59" s="421"/>
      <c r="AM59" s="421"/>
      <c r="AN59" s="422"/>
      <c r="AO59" s="458"/>
      <c r="AP59" s="457"/>
      <c r="AQ59" s="420"/>
      <c r="AR59" s="421"/>
      <c r="AS59" s="421"/>
      <c r="AT59" s="422"/>
      <c r="AU59" s="458"/>
      <c r="AV59" s="457"/>
      <c r="AW59" s="420"/>
      <c r="AX59" s="421"/>
      <c r="AY59" s="421"/>
      <c r="AZ59" s="422"/>
      <c r="BA59" s="458"/>
      <c r="BB59" s="457"/>
      <c r="BC59" s="420"/>
      <c r="BD59" s="421"/>
      <c r="BE59" s="421"/>
      <c r="BF59" s="422"/>
      <c r="BG59" s="458"/>
      <c r="BI59" s="317">
        <f t="shared" si="26"/>
        <v>0</v>
      </c>
      <c r="BJ59" s="317">
        <f t="shared" si="27"/>
        <v>0</v>
      </c>
      <c r="BK59" s="317"/>
      <c r="BL59" s="221">
        <v>0</v>
      </c>
    </row>
    <row r="60" spans="1:87" thickBot="1">
      <c r="A60" s="555"/>
      <c r="B60" s="9" t="s">
        <v>331</v>
      </c>
      <c r="C60" s="9">
        <v>5827</v>
      </c>
      <c r="D60" s="9">
        <v>121</v>
      </c>
      <c r="E60" s="9" t="s">
        <v>455</v>
      </c>
      <c r="F60" s="9" t="s">
        <v>332</v>
      </c>
      <c r="G60" s="54">
        <v>14.617190000000001</v>
      </c>
      <c r="H60" s="54">
        <v>39.3782</v>
      </c>
      <c r="I60" s="433">
        <v>43134</v>
      </c>
      <c r="J60" s="193" t="s">
        <v>457</v>
      </c>
      <c r="K60" s="193">
        <v>41</v>
      </c>
      <c r="L60" s="90" t="s">
        <v>458</v>
      </c>
      <c r="M60" s="418"/>
      <c r="N60" s="418"/>
      <c r="O60" s="418"/>
      <c r="P60" s="418"/>
      <c r="Q60" s="418"/>
      <c r="R60" s="419"/>
      <c r="S60" s="420"/>
      <c r="T60" s="421"/>
      <c r="U60" s="421"/>
      <c r="V60" s="422"/>
      <c r="W60" s="423"/>
      <c r="X60" s="419"/>
      <c r="Y60" s="420"/>
      <c r="Z60" s="421"/>
      <c r="AA60" s="421"/>
      <c r="AB60" s="422"/>
      <c r="AC60" s="422"/>
      <c r="AD60" s="457"/>
      <c r="AE60" s="420"/>
      <c r="AF60" s="421"/>
      <c r="AG60" s="421"/>
      <c r="AH60" s="422"/>
      <c r="AI60" s="422"/>
      <c r="AJ60" s="457"/>
      <c r="AK60" s="420"/>
      <c r="AL60" s="421"/>
      <c r="AM60" s="421"/>
      <c r="AN60" s="422"/>
      <c r="AO60" s="458"/>
      <c r="AP60" s="457"/>
      <c r="AQ60" s="420"/>
      <c r="AR60" s="421"/>
      <c r="AS60" s="421"/>
      <c r="AT60" s="422"/>
      <c r="AU60" s="458"/>
      <c r="AV60" s="457"/>
      <c r="AW60" s="420"/>
      <c r="AX60" s="421"/>
      <c r="AY60" s="421"/>
      <c r="AZ60" s="422"/>
      <c r="BA60" s="458"/>
      <c r="BB60" s="457"/>
      <c r="BC60" s="420"/>
      <c r="BD60" s="421"/>
      <c r="BE60" s="421"/>
      <c r="BF60" s="422"/>
      <c r="BG60" s="458"/>
      <c r="BI60" s="317">
        <f t="shared" si="26"/>
        <v>0</v>
      </c>
      <c r="BJ60" s="317">
        <f t="shared" si="27"/>
        <v>0</v>
      </c>
      <c r="BK60" s="317"/>
      <c r="BL60" s="221">
        <v>0</v>
      </c>
    </row>
    <row r="61" spans="1:87" s="443" customFormat="1" thickBot="1">
      <c r="B61" s="205"/>
      <c r="C61" s="205"/>
      <c r="D61" s="205"/>
      <c r="E61" s="205"/>
      <c r="F61" s="205"/>
      <c r="G61" s="206"/>
      <c r="H61" s="206"/>
      <c r="I61" s="211"/>
      <c r="J61" s="207"/>
      <c r="K61" s="207"/>
      <c r="L61" s="208"/>
      <c r="M61" s="209"/>
      <c r="N61" s="209"/>
      <c r="O61" s="209"/>
      <c r="P61" s="209"/>
      <c r="Q61" s="210"/>
      <c r="R61" s="444"/>
      <c r="S61" s="445"/>
      <c r="T61" s="446"/>
      <c r="U61" s="446"/>
      <c r="V61" s="447"/>
      <c r="W61" s="448"/>
      <c r="X61" s="444"/>
      <c r="Y61" s="445"/>
      <c r="Z61" s="446"/>
      <c r="AA61" s="446"/>
      <c r="AB61" s="447"/>
      <c r="AC61" s="447"/>
      <c r="AD61" s="459"/>
      <c r="AE61" s="445"/>
      <c r="AF61" s="446"/>
      <c r="AG61" s="446"/>
      <c r="AH61" s="447"/>
      <c r="AI61" s="447"/>
      <c r="AJ61" s="459"/>
      <c r="AK61" s="445"/>
      <c r="AL61" s="446"/>
      <c r="AM61" s="446"/>
      <c r="AN61" s="447"/>
      <c r="AO61" s="460"/>
      <c r="AP61" s="459"/>
      <c r="AQ61" s="445"/>
      <c r="AR61" s="446"/>
      <c r="AS61" s="446"/>
      <c r="AT61" s="447"/>
      <c r="AU61" s="460"/>
      <c r="AV61" s="459"/>
      <c r="AW61" s="445"/>
      <c r="AX61" s="446"/>
      <c r="AY61" s="446"/>
      <c r="AZ61" s="447"/>
      <c r="BA61" s="460"/>
      <c r="BB61" s="459"/>
      <c r="BC61" s="445"/>
      <c r="BD61" s="446"/>
      <c r="BE61" s="446"/>
      <c r="BF61" s="447"/>
      <c r="BG61" s="460"/>
      <c r="BH61" s="191"/>
      <c r="BI61" s="213">
        <f t="shared" ref="BI61:BL61" si="28">SUM(BI$48:BI$53)</f>
        <v>0</v>
      </c>
      <c r="BJ61" s="213">
        <f t="shared" si="28"/>
        <v>0</v>
      </c>
      <c r="BK61" s="213"/>
      <c r="BL61" s="213">
        <f t="shared" si="28"/>
        <v>0</v>
      </c>
      <c r="BM61" s="191"/>
      <c r="BN61" s="191"/>
      <c r="BO61" s="191"/>
      <c r="BP61" s="191"/>
      <c r="BQ61" s="191"/>
      <c r="BR61" s="191"/>
      <c r="BS61" s="191"/>
      <c r="BT61" s="191"/>
      <c r="BU61" s="191"/>
      <c r="BV61" s="191"/>
      <c r="BW61" s="191"/>
      <c r="BX61" s="191"/>
      <c r="BY61" s="191"/>
      <c r="BZ61" s="191"/>
      <c r="CA61" s="191"/>
      <c r="CB61" s="191"/>
      <c r="CC61" s="191"/>
      <c r="CD61" s="191"/>
      <c r="CE61" s="191"/>
      <c r="CF61" s="191"/>
      <c r="CG61" s="191"/>
      <c r="CH61" s="191"/>
      <c r="CI61" s="191"/>
    </row>
    <row r="62" spans="1:87" ht="14.5">
      <c r="A62" s="555" t="s">
        <v>337</v>
      </c>
      <c r="B62" s="9" t="s">
        <v>338</v>
      </c>
      <c r="C62" s="9">
        <v>7330</v>
      </c>
      <c r="D62" s="9">
        <v>176</v>
      </c>
      <c r="E62" s="9" t="s">
        <v>455</v>
      </c>
      <c r="F62" s="9" t="s">
        <v>339</v>
      </c>
      <c r="G62" s="54">
        <v>14.646710000000001</v>
      </c>
      <c r="H62" s="54">
        <v>39.46481</v>
      </c>
      <c r="I62" s="193" t="s">
        <v>505</v>
      </c>
      <c r="J62" s="193" t="s">
        <v>457</v>
      </c>
      <c r="K62" s="193">
        <v>40</v>
      </c>
      <c r="L62" s="90" t="s">
        <v>458</v>
      </c>
      <c r="M62" s="418"/>
      <c r="N62" s="418"/>
      <c r="O62" s="418"/>
      <c r="P62" s="418"/>
      <c r="Q62" s="418"/>
      <c r="R62" s="419"/>
      <c r="S62" s="420"/>
      <c r="T62" s="421"/>
      <c r="U62" s="421"/>
      <c r="V62" s="422"/>
      <c r="W62" s="423"/>
      <c r="X62" s="419"/>
      <c r="Y62" s="420"/>
      <c r="Z62" s="421"/>
      <c r="AA62" s="421"/>
      <c r="AB62" s="422"/>
      <c r="AC62" s="422"/>
      <c r="AD62" s="457"/>
      <c r="AE62" s="420"/>
      <c r="AF62" s="421"/>
      <c r="AG62" s="421"/>
      <c r="AH62" s="422"/>
      <c r="AI62" s="422"/>
      <c r="AJ62" s="457"/>
      <c r="AK62" s="420"/>
      <c r="AL62" s="421"/>
      <c r="AM62" s="421"/>
      <c r="AN62" s="422"/>
      <c r="AO62" s="458"/>
      <c r="AP62" s="457"/>
      <c r="AQ62" s="420"/>
      <c r="AR62" s="421"/>
      <c r="AS62" s="421"/>
      <c r="AT62" s="422"/>
      <c r="AU62" s="458"/>
      <c r="AV62" s="457"/>
      <c r="AW62" s="420"/>
      <c r="AX62" s="421"/>
      <c r="AY62" s="421"/>
      <c r="AZ62" s="422"/>
      <c r="BA62" s="458"/>
      <c r="BB62" s="457"/>
      <c r="BC62" s="420"/>
      <c r="BD62" s="421"/>
      <c r="BE62" s="421"/>
      <c r="BF62" s="422"/>
      <c r="BG62" s="458"/>
      <c r="BI62" s="317">
        <f t="shared" ref="BI62:BI67" si="29">AB62+V62</f>
        <v>0</v>
      </c>
      <c r="BJ62" s="317">
        <f t="shared" ref="BJ62:BJ67" si="30">AH62+AN62</f>
        <v>0</v>
      </c>
      <c r="BK62" s="317"/>
      <c r="BL62" s="221">
        <f t="shared" ref="BL62:BL67" si="31">BI62+BJ62+BK62</f>
        <v>0</v>
      </c>
    </row>
    <row r="63" spans="1:87" ht="14.5">
      <c r="A63" s="555"/>
      <c r="B63" s="9" t="s">
        <v>340</v>
      </c>
      <c r="C63" s="9">
        <v>7330</v>
      </c>
      <c r="D63" s="9">
        <v>176</v>
      </c>
      <c r="E63" s="9" t="s">
        <v>461</v>
      </c>
      <c r="F63" s="9" t="s">
        <v>341</v>
      </c>
      <c r="G63" s="54">
        <v>14.61149</v>
      </c>
      <c r="H63" s="54">
        <v>38.874110000000002</v>
      </c>
      <c r="I63" s="193" t="s">
        <v>506</v>
      </c>
      <c r="J63" s="193" t="s">
        <v>457</v>
      </c>
      <c r="K63" s="193">
        <v>35</v>
      </c>
      <c r="L63" s="90" t="s">
        <v>458</v>
      </c>
      <c r="M63" s="418"/>
      <c r="N63" s="418"/>
      <c r="O63" s="418"/>
      <c r="P63" s="418"/>
      <c r="Q63" s="418"/>
      <c r="R63" s="419"/>
      <c r="S63" s="420"/>
      <c r="T63" s="424"/>
      <c r="U63" s="421"/>
      <c r="V63" s="422"/>
      <c r="W63" s="423"/>
      <c r="X63" s="419"/>
      <c r="Y63" s="420"/>
      <c r="Z63" s="424"/>
      <c r="AA63" s="421"/>
      <c r="AB63" s="422"/>
      <c r="AC63" s="422"/>
      <c r="AD63" s="457"/>
      <c r="AE63" s="420"/>
      <c r="AF63" s="424"/>
      <c r="AG63" s="421"/>
      <c r="AH63" s="422"/>
      <c r="AI63" s="422"/>
      <c r="AJ63" s="457"/>
      <c r="AK63" s="420"/>
      <c r="AL63" s="424"/>
      <c r="AM63" s="421"/>
      <c r="AN63" s="422"/>
      <c r="AO63" s="458"/>
      <c r="AP63" s="457"/>
      <c r="AQ63" s="420"/>
      <c r="AR63" s="424"/>
      <c r="AS63" s="421"/>
      <c r="AT63" s="422"/>
      <c r="AU63" s="458"/>
      <c r="AV63" s="457"/>
      <c r="AW63" s="420"/>
      <c r="AX63" s="424"/>
      <c r="AY63" s="421"/>
      <c r="AZ63" s="422"/>
      <c r="BA63" s="458"/>
      <c r="BB63" s="457"/>
      <c r="BC63" s="420"/>
      <c r="BD63" s="424"/>
      <c r="BE63" s="421"/>
      <c r="BF63" s="422"/>
      <c r="BG63" s="458"/>
      <c r="BI63" s="317">
        <f t="shared" si="29"/>
        <v>0</v>
      </c>
      <c r="BJ63" s="317">
        <f t="shared" si="30"/>
        <v>0</v>
      </c>
      <c r="BK63" s="317"/>
      <c r="BL63" s="221">
        <f t="shared" si="31"/>
        <v>0</v>
      </c>
    </row>
    <row r="64" spans="1:87" ht="14.5">
      <c r="A64" s="555"/>
      <c r="B64" s="9" t="s">
        <v>342</v>
      </c>
      <c r="C64" s="9">
        <v>7330</v>
      </c>
      <c r="D64" s="9">
        <v>176</v>
      </c>
      <c r="E64" s="9" t="s">
        <v>507</v>
      </c>
      <c r="F64" s="9" t="s">
        <v>343</v>
      </c>
      <c r="G64" s="54">
        <v>14.750730000000001</v>
      </c>
      <c r="H64" s="54">
        <v>39.2851</v>
      </c>
      <c r="I64" s="193" t="s">
        <v>508</v>
      </c>
      <c r="J64" s="193" t="s">
        <v>457</v>
      </c>
      <c r="K64" s="193">
        <v>50</v>
      </c>
      <c r="L64" s="90" t="s">
        <v>458</v>
      </c>
      <c r="M64" s="418"/>
      <c r="N64" s="418"/>
      <c r="O64" s="418"/>
      <c r="P64" s="418"/>
      <c r="Q64" s="418"/>
      <c r="R64" s="419"/>
      <c r="S64" s="420"/>
      <c r="T64" s="427"/>
      <c r="U64" s="427"/>
      <c r="V64" s="428"/>
      <c r="W64" s="423"/>
      <c r="X64" s="419"/>
      <c r="Y64" s="420"/>
      <c r="Z64" s="421"/>
      <c r="AA64" s="421"/>
      <c r="AB64" s="422"/>
      <c r="AC64" s="422"/>
      <c r="AD64" s="461"/>
      <c r="AE64" s="188"/>
      <c r="AF64" s="188"/>
      <c r="AG64" s="188"/>
      <c r="AH64" s="188"/>
      <c r="AI64" s="431"/>
      <c r="AJ64" s="457"/>
      <c r="AK64" s="420"/>
      <c r="AL64" s="421"/>
      <c r="AM64" s="421"/>
      <c r="AN64" s="422"/>
      <c r="AO64" s="458"/>
      <c r="AP64" s="457"/>
      <c r="AQ64" s="420"/>
      <c r="AR64" s="421"/>
      <c r="AS64" s="421"/>
      <c r="AT64" s="422"/>
      <c r="AU64" s="458"/>
      <c r="AV64" s="457"/>
      <c r="AW64" s="420"/>
      <c r="AX64" s="421"/>
      <c r="AY64" s="421"/>
      <c r="AZ64" s="422"/>
      <c r="BA64" s="458"/>
      <c r="BB64" s="457"/>
      <c r="BC64" s="420"/>
      <c r="BD64" s="421"/>
      <c r="BE64" s="421"/>
      <c r="BF64" s="422"/>
      <c r="BG64" s="458"/>
      <c r="BI64" s="317">
        <f t="shared" si="29"/>
        <v>0</v>
      </c>
      <c r="BJ64" s="317">
        <f t="shared" si="30"/>
        <v>0</v>
      </c>
      <c r="BK64" s="317"/>
      <c r="BL64" s="221">
        <f t="shared" si="31"/>
        <v>0</v>
      </c>
    </row>
    <row r="65" spans="1:81" ht="14.5">
      <c r="A65" s="555"/>
      <c r="B65" s="9" t="s">
        <v>344</v>
      </c>
      <c r="C65" s="9">
        <v>7330</v>
      </c>
      <c r="D65" s="9">
        <v>176</v>
      </c>
      <c r="E65" s="9" t="s">
        <v>507</v>
      </c>
      <c r="F65" s="9" t="s">
        <v>345</v>
      </c>
      <c r="G65" s="54">
        <v>14.639060000000001</v>
      </c>
      <c r="H65" s="54">
        <v>39.255009999999999</v>
      </c>
      <c r="I65" s="193" t="s">
        <v>509</v>
      </c>
      <c r="J65" s="193" t="s">
        <v>457</v>
      </c>
      <c r="K65" s="193">
        <v>45</v>
      </c>
      <c r="L65" s="90" t="s">
        <v>458</v>
      </c>
      <c r="M65" s="418"/>
      <c r="N65" s="418"/>
      <c r="O65" s="418"/>
      <c r="P65" s="418"/>
      <c r="Q65" s="418"/>
      <c r="R65" s="419"/>
      <c r="S65" s="420"/>
      <c r="T65" s="421"/>
      <c r="U65" s="421"/>
      <c r="V65" s="422"/>
      <c r="W65" s="423"/>
      <c r="X65" s="419"/>
      <c r="Y65" s="420"/>
      <c r="Z65" s="421"/>
      <c r="AA65" s="421"/>
      <c r="AB65" s="422"/>
      <c r="AC65" s="422"/>
      <c r="AD65" s="457"/>
      <c r="AE65" s="420"/>
      <c r="AF65" s="421"/>
      <c r="AG65" s="421"/>
      <c r="AH65" s="422"/>
      <c r="AI65" s="422"/>
      <c r="AJ65" s="457"/>
      <c r="AK65" s="420"/>
      <c r="AL65" s="421"/>
      <c r="AM65" s="421"/>
      <c r="AN65" s="422"/>
      <c r="AO65" s="458"/>
      <c r="AP65" s="457"/>
      <c r="AQ65" s="420"/>
      <c r="AR65" s="421"/>
      <c r="AS65" s="421"/>
      <c r="AT65" s="422"/>
      <c r="AU65" s="458"/>
      <c r="AV65" s="457"/>
      <c r="AW65" s="420"/>
      <c r="AX65" s="421"/>
      <c r="AY65" s="421"/>
      <c r="AZ65" s="422"/>
      <c r="BA65" s="458"/>
      <c r="BB65" s="457"/>
      <c r="BC65" s="420"/>
      <c r="BD65" s="421"/>
      <c r="BE65" s="421"/>
      <c r="BF65" s="422"/>
      <c r="BG65" s="458"/>
      <c r="BI65" s="317">
        <f t="shared" si="29"/>
        <v>0</v>
      </c>
      <c r="BJ65" s="317">
        <f t="shared" si="30"/>
        <v>0</v>
      </c>
      <c r="BK65" s="317"/>
      <c r="BL65" s="221">
        <f t="shared" si="31"/>
        <v>0</v>
      </c>
    </row>
    <row r="66" spans="1:81" ht="14.5">
      <c r="A66" s="555"/>
      <c r="B66" s="9" t="s">
        <v>346</v>
      </c>
      <c r="C66" s="9">
        <v>7330</v>
      </c>
      <c r="D66" s="9">
        <v>176</v>
      </c>
      <c r="E66" s="9" t="s">
        <v>464</v>
      </c>
      <c r="F66" s="9" t="s">
        <v>347</v>
      </c>
      <c r="G66" s="54">
        <v>14.547169999999999</v>
      </c>
      <c r="H66" s="54">
        <v>38.493180000000002</v>
      </c>
      <c r="I66" s="193" t="s">
        <v>510</v>
      </c>
      <c r="J66" s="193" t="s">
        <v>457</v>
      </c>
      <c r="K66" s="193">
        <v>40</v>
      </c>
      <c r="L66" s="90" t="s">
        <v>458</v>
      </c>
      <c r="M66" s="418"/>
      <c r="N66" s="418"/>
      <c r="O66" s="418"/>
      <c r="P66" s="418"/>
      <c r="Q66" s="418"/>
      <c r="R66" s="419"/>
      <c r="S66" s="420"/>
      <c r="T66" s="421"/>
      <c r="U66" s="421"/>
      <c r="V66" s="422"/>
      <c r="W66" s="423"/>
      <c r="X66" s="419"/>
      <c r="Y66" s="420"/>
      <c r="Z66" s="421"/>
      <c r="AA66" s="421"/>
      <c r="AB66" s="422"/>
      <c r="AC66" s="422"/>
      <c r="AD66" s="457"/>
      <c r="AE66" s="420"/>
      <c r="AF66" s="421"/>
      <c r="AG66" s="421"/>
      <c r="AH66" s="422"/>
      <c r="AI66" s="422"/>
      <c r="AJ66" s="457"/>
      <c r="AK66" s="420"/>
      <c r="AL66" s="421"/>
      <c r="AM66" s="421"/>
      <c r="AN66" s="422"/>
      <c r="AO66" s="458"/>
      <c r="AP66" s="457"/>
      <c r="AQ66" s="420"/>
      <c r="AR66" s="421"/>
      <c r="AS66" s="421"/>
      <c r="AT66" s="422"/>
      <c r="AU66" s="458"/>
      <c r="AV66" s="457"/>
      <c r="AW66" s="420"/>
      <c r="AX66" s="421"/>
      <c r="AY66" s="421"/>
      <c r="AZ66" s="422"/>
      <c r="BA66" s="458"/>
      <c r="BB66" s="457"/>
      <c r="BC66" s="420"/>
      <c r="BD66" s="421"/>
      <c r="BE66" s="421"/>
      <c r="BF66" s="422"/>
      <c r="BG66" s="458"/>
      <c r="BI66" s="317">
        <f t="shared" si="29"/>
        <v>0</v>
      </c>
      <c r="BJ66" s="317">
        <f t="shared" si="30"/>
        <v>0</v>
      </c>
      <c r="BK66" s="317"/>
      <c r="BL66" s="221">
        <f t="shared" si="31"/>
        <v>0</v>
      </c>
    </row>
    <row r="67" spans="1:81" thickBot="1">
      <c r="A67" s="555"/>
      <c r="B67" s="9" t="s">
        <v>348</v>
      </c>
      <c r="C67" s="9">
        <v>7330</v>
      </c>
      <c r="D67" s="9">
        <v>176</v>
      </c>
      <c r="E67" s="9" t="s">
        <v>464</v>
      </c>
      <c r="F67" s="9" t="s">
        <v>349</v>
      </c>
      <c r="G67" s="54">
        <v>14.51071</v>
      </c>
      <c r="H67" s="54">
        <v>38.428849999999997</v>
      </c>
      <c r="I67" s="193" t="s">
        <v>511</v>
      </c>
      <c r="J67" s="193" t="s">
        <v>460</v>
      </c>
      <c r="K67" s="193">
        <v>9</v>
      </c>
      <c r="L67" s="90" t="s">
        <v>458</v>
      </c>
      <c r="M67" s="418"/>
      <c r="N67" s="418"/>
      <c r="O67" s="418"/>
      <c r="P67" s="418"/>
      <c r="Q67" s="418"/>
      <c r="R67" s="419"/>
      <c r="S67" s="420"/>
      <c r="T67" s="427"/>
      <c r="U67" s="427"/>
      <c r="V67" s="428"/>
      <c r="W67" s="423"/>
      <c r="X67" s="419"/>
      <c r="Y67" s="420"/>
      <c r="Z67" s="421"/>
      <c r="AA67" s="421"/>
      <c r="AB67" s="422"/>
      <c r="AC67" s="422"/>
      <c r="AD67" s="457"/>
      <c r="AE67" s="420"/>
      <c r="AF67" s="421"/>
      <c r="AG67" s="421"/>
      <c r="AH67" s="422"/>
      <c r="AI67" s="422"/>
      <c r="AJ67" s="457"/>
      <c r="AK67" s="420"/>
      <c r="AL67" s="421"/>
      <c r="AM67" s="421"/>
      <c r="AN67" s="422"/>
      <c r="AO67" s="458"/>
      <c r="AP67" s="457"/>
      <c r="AQ67" s="420"/>
      <c r="AR67" s="421"/>
      <c r="AS67" s="421"/>
      <c r="AT67" s="422"/>
      <c r="AU67" s="458"/>
      <c r="AV67" s="457"/>
      <c r="AW67" s="420"/>
      <c r="AX67" s="421"/>
      <c r="AY67" s="421"/>
      <c r="AZ67" s="422"/>
      <c r="BA67" s="458"/>
      <c r="BB67" s="457"/>
      <c r="BC67" s="420"/>
      <c r="BD67" s="421"/>
      <c r="BE67" s="421"/>
      <c r="BF67" s="422"/>
      <c r="BG67" s="458"/>
      <c r="BI67" s="317">
        <f t="shared" si="29"/>
        <v>0</v>
      </c>
      <c r="BJ67" s="317">
        <f t="shared" si="30"/>
        <v>0</v>
      </c>
      <c r="BK67" s="317"/>
      <c r="BL67" s="221">
        <f t="shared" si="31"/>
        <v>0</v>
      </c>
    </row>
    <row r="68" spans="1:81" s="443" customFormat="1" thickBot="1">
      <c r="B68" s="205"/>
      <c r="C68" s="205"/>
      <c r="D68" s="205"/>
      <c r="E68" s="205"/>
      <c r="F68" s="205"/>
      <c r="G68" s="206"/>
      <c r="H68" s="206"/>
      <c r="I68" s="207"/>
      <c r="J68" s="207"/>
      <c r="K68" s="207"/>
      <c r="L68" s="208"/>
      <c r="M68" s="209"/>
      <c r="N68" s="209"/>
      <c r="O68" s="209"/>
      <c r="P68" s="209"/>
      <c r="Q68" s="210"/>
      <c r="R68" s="444"/>
      <c r="S68" s="445"/>
      <c r="T68" s="446"/>
      <c r="U68" s="446"/>
      <c r="V68" s="447"/>
      <c r="W68" s="448"/>
      <c r="X68" s="444"/>
      <c r="Y68" s="445"/>
      <c r="Z68" s="446"/>
      <c r="AA68" s="446"/>
      <c r="AB68" s="447"/>
      <c r="AC68" s="447"/>
      <c r="AD68" s="459"/>
      <c r="AE68" s="445"/>
      <c r="AF68" s="446"/>
      <c r="AG68" s="446"/>
      <c r="AH68" s="447"/>
      <c r="AI68" s="447"/>
      <c r="AJ68" s="459"/>
      <c r="AK68" s="445"/>
      <c r="AL68" s="446"/>
      <c r="AM68" s="446"/>
      <c r="AN68" s="447"/>
      <c r="AO68" s="460"/>
      <c r="AP68" s="459"/>
      <c r="AQ68" s="445"/>
      <c r="AR68" s="446"/>
      <c r="AS68" s="446"/>
      <c r="AT68" s="447"/>
      <c r="AU68" s="460"/>
      <c r="AV68" s="459"/>
      <c r="AW68" s="445"/>
      <c r="AX68" s="446"/>
      <c r="AY68" s="446"/>
      <c r="AZ68" s="447"/>
      <c r="BA68" s="460"/>
      <c r="BB68" s="459"/>
      <c r="BC68" s="445"/>
      <c r="BD68" s="446"/>
      <c r="BE68" s="446"/>
      <c r="BF68" s="447"/>
      <c r="BG68" s="460"/>
      <c r="BH68" s="191"/>
      <c r="BI68" s="213">
        <f t="shared" ref="BI68:BL68" si="32">SUM(BI$48:BI$53)</f>
        <v>0</v>
      </c>
      <c r="BJ68" s="213">
        <f t="shared" si="32"/>
        <v>0</v>
      </c>
      <c r="BK68" s="213"/>
      <c r="BL68" s="213">
        <f t="shared" si="32"/>
        <v>0</v>
      </c>
      <c r="BM68" s="191"/>
      <c r="BN68" s="191"/>
      <c r="BO68" s="191"/>
      <c r="BP68" s="191"/>
      <c r="BQ68" s="191"/>
      <c r="BR68" s="191"/>
      <c r="BS68" s="191"/>
      <c r="BT68" s="191"/>
      <c r="BU68" s="191"/>
      <c r="BV68" s="191"/>
      <c r="BW68" s="191"/>
      <c r="BX68" s="191"/>
      <c r="BY68" s="191"/>
      <c r="BZ68" s="191"/>
      <c r="CA68" s="191"/>
      <c r="CB68" s="191"/>
      <c r="CC68" s="191"/>
    </row>
    <row r="69" spans="1:81" ht="14.5">
      <c r="A69" s="555" t="s">
        <v>353</v>
      </c>
      <c r="B69" s="9" t="s">
        <v>354</v>
      </c>
      <c r="C69" s="9">
        <v>7331</v>
      </c>
      <c r="D69" s="9">
        <v>177</v>
      </c>
      <c r="E69" s="9" t="s">
        <v>461</v>
      </c>
      <c r="F69" s="9" t="s">
        <v>355</v>
      </c>
      <c r="G69" s="54">
        <v>14.511049999999999</v>
      </c>
      <c r="H69" s="54">
        <v>38.636510000000001</v>
      </c>
      <c r="I69" s="433">
        <v>42795</v>
      </c>
      <c r="J69" s="193" t="s">
        <v>460</v>
      </c>
      <c r="K69" s="193">
        <v>7.2</v>
      </c>
      <c r="L69" s="90" t="s">
        <v>458</v>
      </c>
      <c r="M69" s="418"/>
      <c r="N69" s="418"/>
      <c r="O69" s="418"/>
      <c r="P69" s="418"/>
      <c r="Q69" s="418"/>
      <c r="R69" s="419"/>
      <c r="S69" s="420"/>
      <c r="T69" s="421"/>
      <c r="U69" s="421"/>
      <c r="V69" s="422"/>
      <c r="W69" s="423"/>
      <c r="X69" s="419"/>
      <c r="Y69" s="420"/>
      <c r="Z69" s="421"/>
      <c r="AA69" s="421"/>
      <c r="AB69" s="422"/>
      <c r="AC69" s="422"/>
      <c r="AD69" s="457"/>
      <c r="AE69" s="420"/>
      <c r="AF69" s="421"/>
      <c r="AG69" s="421"/>
      <c r="AH69" s="422"/>
      <c r="AI69" s="422"/>
      <c r="AJ69" s="457"/>
      <c r="AK69" s="420"/>
      <c r="AL69" s="421"/>
      <c r="AM69" s="421"/>
      <c r="AN69" s="422"/>
      <c r="AO69" s="458"/>
      <c r="AP69" s="457"/>
      <c r="AQ69" s="420"/>
      <c r="AR69" s="421"/>
      <c r="AS69" s="421"/>
      <c r="AT69" s="422"/>
      <c r="AU69" s="458"/>
      <c r="AV69" s="457"/>
      <c r="AW69" s="420"/>
      <c r="AX69" s="421"/>
      <c r="AY69" s="421"/>
      <c r="AZ69" s="422"/>
      <c r="BA69" s="458"/>
      <c r="BB69" s="457"/>
      <c r="BC69" s="420"/>
      <c r="BD69" s="421"/>
      <c r="BE69" s="421"/>
      <c r="BF69" s="422"/>
      <c r="BG69" s="458"/>
      <c r="BI69" s="317">
        <f>AB69+V69</f>
        <v>0</v>
      </c>
      <c r="BJ69" s="317">
        <f>AH69+AN69</f>
        <v>0</v>
      </c>
      <c r="BK69" s="317"/>
      <c r="BL69" s="221">
        <f>BI69+BJ69+BK69</f>
        <v>0</v>
      </c>
    </row>
    <row r="70" spans="1:81" ht="14.5">
      <c r="A70" s="555"/>
      <c r="B70" s="9" t="s">
        <v>356</v>
      </c>
      <c r="C70" s="9">
        <v>7331</v>
      </c>
      <c r="D70" s="9">
        <v>177</v>
      </c>
      <c r="E70" s="9" t="s">
        <v>482</v>
      </c>
      <c r="F70" s="9" t="s">
        <v>357</v>
      </c>
      <c r="G70" s="54">
        <v>14.776439999999999</v>
      </c>
      <c r="H70" s="54">
        <v>39.156959999999998</v>
      </c>
      <c r="I70" s="193" t="s">
        <v>483</v>
      </c>
      <c r="J70" s="193" t="s">
        <v>457</v>
      </c>
      <c r="K70" s="193">
        <v>30</v>
      </c>
      <c r="L70" s="90" t="s">
        <v>458</v>
      </c>
      <c r="M70" s="418"/>
      <c r="N70" s="418"/>
      <c r="O70" s="418"/>
      <c r="P70" s="418"/>
      <c r="Q70" s="418"/>
      <c r="R70" s="419"/>
      <c r="S70" s="420"/>
      <c r="T70" s="421"/>
      <c r="U70" s="421"/>
      <c r="V70" s="422"/>
      <c r="W70" s="423"/>
      <c r="X70" s="419"/>
      <c r="Y70" s="420"/>
      <c r="Z70" s="421"/>
      <c r="AA70" s="421"/>
      <c r="AB70" s="422"/>
      <c r="AC70" s="422"/>
      <c r="AD70" s="457"/>
      <c r="AE70" s="420"/>
      <c r="AF70" s="421"/>
      <c r="AG70" s="421"/>
      <c r="AH70" s="422"/>
      <c r="AI70" s="422"/>
      <c r="AJ70" s="457"/>
      <c r="AK70" s="420"/>
      <c r="AL70" s="421"/>
      <c r="AM70" s="421"/>
      <c r="AN70" s="422"/>
      <c r="AO70" s="458"/>
      <c r="AP70" s="457"/>
      <c r="AQ70" s="420"/>
      <c r="AR70" s="421"/>
      <c r="AS70" s="421"/>
      <c r="AT70" s="422"/>
      <c r="AU70" s="458"/>
      <c r="AV70" s="457"/>
      <c r="AW70" s="420"/>
      <c r="AX70" s="421"/>
      <c r="AY70" s="421"/>
      <c r="AZ70" s="422"/>
      <c r="BA70" s="458"/>
      <c r="BB70" s="457"/>
      <c r="BC70" s="420"/>
      <c r="BD70" s="421"/>
      <c r="BE70" s="421"/>
      <c r="BF70" s="422"/>
      <c r="BG70" s="458"/>
      <c r="BI70" s="317">
        <f>AB70+V70</f>
        <v>0</v>
      </c>
      <c r="BJ70" s="317">
        <f>AH70+AN70</f>
        <v>0</v>
      </c>
      <c r="BK70" s="317"/>
      <c r="BL70" s="221">
        <f>BI70+BJ70+BK70</f>
        <v>0</v>
      </c>
    </row>
    <row r="71" spans="1:81" ht="14.5">
      <c r="A71" s="555"/>
      <c r="B71" s="9" t="s">
        <v>358</v>
      </c>
      <c r="C71" s="9">
        <v>7331</v>
      </c>
      <c r="D71" s="9">
        <v>177</v>
      </c>
      <c r="E71" s="9" t="s">
        <v>464</v>
      </c>
      <c r="F71" s="9" t="s">
        <v>359</v>
      </c>
      <c r="G71" s="54">
        <v>14.53787</v>
      </c>
      <c r="H71" s="54">
        <v>38.453530000000001</v>
      </c>
      <c r="I71" s="193" t="s">
        <v>511</v>
      </c>
      <c r="J71" s="193" t="s">
        <v>460</v>
      </c>
      <c r="K71" s="193">
        <v>12</v>
      </c>
      <c r="L71" s="90" t="s">
        <v>458</v>
      </c>
      <c r="M71" s="418"/>
      <c r="N71" s="418"/>
      <c r="O71" s="418"/>
      <c r="P71" s="418"/>
      <c r="Q71" s="418"/>
      <c r="R71" s="419"/>
      <c r="S71" s="420"/>
      <c r="T71" s="427"/>
      <c r="U71" s="427"/>
      <c r="V71" s="428"/>
      <c r="W71" s="423"/>
      <c r="X71" s="419"/>
      <c r="Y71" s="420"/>
      <c r="Z71" s="421"/>
      <c r="AA71" s="421"/>
      <c r="AB71" s="422"/>
      <c r="AC71" s="422"/>
      <c r="AD71" s="457"/>
      <c r="AE71" s="420"/>
      <c r="AF71" s="421"/>
      <c r="AG71" s="421"/>
      <c r="AH71" s="422"/>
      <c r="AI71" s="422"/>
      <c r="AJ71" s="457"/>
      <c r="AK71" s="420"/>
      <c r="AL71" s="421"/>
      <c r="AM71" s="421"/>
      <c r="AN71" s="422"/>
      <c r="AO71" s="458"/>
      <c r="AP71" s="457"/>
      <c r="AQ71" s="420"/>
      <c r="AR71" s="421"/>
      <c r="AS71" s="421"/>
      <c r="AT71" s="422"/>
      <c r="AU71" s="458"/>
      <c r="AV71" s="457"/>
      <c r="AW71" s="420"/>
      <c r="AX71" s="421"/>
      <c r="AY71" s="421"/>
      <c r="AZ71" s="422"/>
      <c r="BA71" s="458"/>
      <c r="BB71" s="457"/>
      <c r="BC71" s="420"/>
      <c r="BD71" s="421"/>
      <c r="BE71" s="421"/>
      <c r="BF71" s="422"/>
      <c r="BG71" s="458"/>
      <c r="BI71" s="317">
        <f>AB71+V71</f>
        <v>0</v>
      </c>
      <c r="BJ71" s="317">
        <f>AH71+AN71</f>
        <v>0</v>
      </c>
      <c r="BK71" s="317"/>
      <c r="BL71" s="221">
        <f>BI71+BJ71+BK71</f>
        <v>0</v>
      </c>
    </row>
    <row r="72" spans="1:81" ht="14.5">
      <c r="A72" s="555"/>
      <c r="B72" s="9" t="s">
        <v>360</v>
      </c>
      <c r="C72" s="9">
        <v>7331</v>
      </c>
      <c r="D72" s="9">
        <v>177</v>
      </c>
      <c r="E72" s="9" t="s">
        <v>464</v>
      </c>
      <c r="F72" s="9" t="s">
        <v>361</v>
      </c>
      <c r="G72" s="54">
        <v>14.547230000000001</v>
      </c>
      <c r="H72" s="54">
        <v>38.514009999999999</v>
      </c>
      <c r="I72" s="193" t="s">
        <v>512</v>
      </c>
      <c r="J72" s="193" t="s">
        <v>460</v>
      </c>
      <c r="K72" s="193">
        <v>8</v>
      </c>
      <c r="L72" s="90" t="s">
        <v>458</v>
      </c>
      <c r="M72" s="418"/>
      <c r="N72" s="418"/>
      <c r="O72" s="418"/>
      <c r="P72" s="418"/>
      <c r="Q72" s="418"/>
      <c r="R72" s="429"/>
      <c r="S72" s="430"/>
      <c r="T72" s="188"/>
      <c r="U72" s="188"/>
      <c r="V72" s="431"/>
      <c r="W72" s="432"/>
      <c r="X72" s="429"/>
      <c r="Y72" s="430"/>
      <c r="Z72" s="188"/>
      <c r="AA72" s="188"/>
      <c r="AB72" s="431"/>
      <c r="AC72" s="431"/>
      <c r="AD72" s="461"/>
      <c r="AE72" s="430"/>
      <c r="AF72" s="188"/>
      <c r="AG72" s="188"/>
      <c r="AH72" s="431"/>
      <c r="AI72" s="431"/>
      <c r="AJ72" s="461"/>
      <c r="AK72" s="430"/>
      <c r="AL72" s="188"/>
      <c r="AM72" s="188"/>
      <c r="AN72" s="431"/>
      <c r="AO72" s="462"/>
      <c r="AP72" s="461"/>
      <c r="AQ72" s="430"/>
      <c r="AR72" s="188"/>
      <c r="AS72" s="188"/>
      <c r="AT72" s="431"/>
      <c r="AU72" s="462"/>
      <c r="AV72" s="461"/>
      <c r="AW72" s="430"/>
      <c r="AX72" s="188"/>
      <c r="AY72" s="188"/>
      <c r="AZ72" s="431"/>
      <c r="BA72" s="462"/>
      <c r="BB72" s="461"/>
      <c r="BC72" s="430"/>
      <c r="BD72" s="188"/>
      <c r="BE72" s="188"/>
      <c r="BF72" s="431"/>
      <c r="BG72" s="462"/>
      <c r="BI72" s="317">
        <f>AB72+V72</f>
        <v>0</v>
      </c>
      <c r="BJ72" s="317">
        <f>AH72+AN72</f>
        <v>0</v>
      </c>
      <c r="BK72" s="317"/>
      <c r="BL72" s="221">
        <f>BI72+BJ72+BK72</f>
        <v>0</v>
      </c>
    </row>
    <row r="73" spans="1:81" thickBot="1">
      <c r="A73" s="555"/>
      <c r="B73" s="9" t="s">
        <v>362</v>
      </c>
      <c r="C73" s="9">
        <v>7331</v>
      </c>
      <c r="D73" s="9">
        <v>177</v>
      </c>
      <c r="E73" s="9" t="s">
        <v>464</v>
      </c>
      <c r="F73" s="9" t="s">
        <v>363</v>
      </c>
      <c r="G73" s="54">
        <v>14.527329999999999</v>
      </c>
      <c r="H73" s="54">
        <v>38.55903</v>
      </c>
      <c r="I73" s="193" t="s">
        <v>513</v>
      </c>
      <c r="J73" s="193" t="s">
        <v>460</v>
      </c>
      <c r="K73" s="193">
        <v>7.4</v>
      </c>
      <c r="L73" s="90" t="s">
        <v>458</v>
      </c>
      <c r="M73" s="418"/>
      <c r="N73" s="418"/>
      <c r="O73" s="418"/>
      <c r="P73" s="418"/>
      <c r="Q73" s="418"/>
      <c r="R73" s="429"/>
      <c r="S73" s="430"/>
      <c r="T73" s="188"/>
      <c r="U73" s="188"/>
      <c r="V73" s="431"/>
      <c r="W73" s="432"/>
      <c r="X73" s="429"/>
      <c r="Y73" s="430"/>
      <c r="Z73" s="188"/>
      <c r="AA73" s="188"/>
      <c r="AB73" s="431"/>
      <c r="AC73" s="431"/>
      <c r="AD73" s="461"/>
      <c r="AE73" s="430"/>
      <c r="AF73" s="188"/>
      <c r="AG73" s="188"/>
      <c r="AH73" s="431"/>
      <c r="AI73" s="431"/>
      <c r="AJ73" s="461"/>
      <c r="AK73" s="430"/>
      <c r="AL73" s="188"/>
      <c r="AM73" s="188"/>
      <c r="AN73" s="431"/>
      <c r="AO73" s="462"/>
      <c r="AP73" s="461"/>
      <c r="AQ73" s="430"/>
      <c r="AR73" s="188"/>
      <c r="AS73" s="188"/>
      <c r="AT73" s="431"/>
      <c r="AU73" s="462"/>
      <c r="AV73" s="461"/>
      <c r="AW73" s="430"/>
      <c r="AX73" s="188"/>
      <c r="AY73" s="188"/>
      <c r="AZ73" s="431"/>
      <c r="BA73" s="462"/>
      <c r="BB73" s="461"/>
      <c r="BC73" s="430"/>
      <c r="BD73" s="188"/>
      <c r="BE73" s="188"/>
      <c r="BF73" s="431"/>
      <c r="BG73" s="462"/>
      <c r="BI73" s="317">
        <f>AB73+V73</f>
        <v>0</v>
      </c>
      <c r="BJ73" s="317">
        <f>AH73+AN73</f>
        <v>0</v>
      </c>
      <c r="BK73" s="317"/>
      <c r="BL73" s="221">
        <f>BI73+BJ73+BK73</f>
        <v>0</v>
      </c>
    </row>
    <row r="74" spans="1:81" s="443" customFormat="1" thickBot="1">
      <c r="B74" s="205"/>
      <c r="C74" s="205"/>
      <c r="D74" s="205"/>
      <c r="E74" s="205"/>
      <c r="F74" s="205"/>
      <c r="G74" s="206"/>
      <c r="H74" s="206"/>
      <c r="I74" s="207"/>
      <c r="J74" s="207"/>
      <c r="K74" s="207"/>
      <c r="L74" s="208"/>
      <c r="M74" s="209"/>
      <c r="N74" s="209"/>
      <c r="O74" s="209"/>
      <c r="P74" s="209"/>
      <c r="Q74" s="210"/>
      <c r="R74" s="439"/>
      <c r="S74" s="440"/>
      <c r="T74" s="220"/>
      <c r="U74" s="220"/>
      <c r="V74" s="441"/>
      <c r="W74" s="442"/>
      <c r="X74" s="439"/>
      <c r="Y74" s="440"/>
      <c r="Z74" s="220"/>
      <c r="AA74" s="220"/>
      <c r="AB74" s="441"/>
      <c r="AC74" s="441"/>
      <c r="AD74" s="463"/>
      <c r="AE74" s="440"/>
      <c r="AF74" s="220"/>
      <c r="AG74" s="220"/>
      <c r="AH74" s="441"/>
      <c r="AI74" s="441"/>
      <c r="AJ74" s="463"/>
      <c r="AK74" s="440"/>
      <c r="AL74" s="220"/>
      <c r="AM74" s="220"/>
      <c r="AN74" s="441"/>
      <c r="AO74" s="464"/>
      <c r="AP74" s="463"/>
      <c r="AQ74" s="440"/>
      <c r="AR74" s="220"/>
      <c r="AS74" s="220"/>
      <c r="AT74" s="441"/>
      <c r="AU74" s="464"/>
      <c r="AV74" s="463"/>
      <c r="AW74" s="440"/>
      <c r="AX74" s="220"/>
      <c r="AY74" s="220"/>
      <c r="AZ74" s="441"/>
      <c r="BA74" s="464"/>
      <c r="BB74" s="463"/>
      <c r="BC74" s="440"/>
      <c r="BD74" s="220"/>
      <c r="BE74" s="220"/>
      <c r="BF74" s="441"/>
      <c r="BG74" s="464"/>
      <c r="BH74" s="191"/>
      <c r="BI74" s="213">
        <f t="shared" ref="BI74" si="33">SUM(BI69:BI73)</f>
        <v>0</v>
      </c>
      <c r="BJ74" s="213">
        <f t="shared" ref="BJ74" si="34">SUM(BJ69:BJ73)</f>
        <v>0</v>
      </c>
      <c r="BK74" s="213">
        <f>SUM(BK69:BK73)</f>
        <v>0</v>
      </c>
      <c r="BL74" s="213">
        <f t="shared" ref="BL74" si="35">SUM(BL69:BL73)</f>
        <v>0</v>
      </c>
      <c r="BM74" s="191"/>
      <c r="BN74" s="191"/>
      <c r="BO74" s="191"/>
      <c r="BP74" s="191"/>
      <c r="BQ74" s="191"/>
      <c r="BR74" s="191"/>
      <c r="BS74" s="191"/>
      <c r="BT74" s="191"/>
      <c r="BU74" s="191"/>
      <c r="BV74" s="191"/>
      <c r="BW74" s="191"/>
      <c r="BX74" s="191"/>
      <c r="BY74" s="191"/>
      <c r="BZ74" s="191"/>
      <c r="CA74" s="191"/>
      <c r="CB74" s="191"/>
      <c r="CC74" s="191"/>
    </row>
    <row r="75" spans="1:81" ht="14.5">
      <c r="A75" s="555" t="s">
        <v>367</v>
      </c>
      <c r="B75" s="9" t="s">
        <v>372</v>
      </c>
      <c r="C75" s="9">
        <v>7332</v>
      </c>
      <c r="D75" s="9">
        <v>178</v>
      </c>
      <c r="E75" s="9" t="s">
        <v>461</v>
      </c>
      <c r="F75" s="9" t="s">
        <v>373</v>
      </c>
      <c r="G75" s="54">
        <v>14.63725</v>
      </c>
      <c r="H75" s="54">
        <v>38.812139999999999</v>
      </c>
      <c r="I75" s="193" t="s">
        <v>514</v>
      </c>
      <c r="J75" s="193" t="s">
        <v>460</v>
      </c>
      <c r="K75" s="193">
        <v>8</v>
      </c>
      <c r="L75" s="90" t="s">
        <v>458</v>
      </c>
      <c r="M75" s="418"/>
      <c r="N75" s="418"/>
      <c r="O75" s="418"/>
      <c r="P75" s="418"/>
      <c r="Q75" s="418"/>
      <c r="R75" s="429"/>
      <c r="S75" s="430"/>
      <c r="T75" s="188"/>
      <c r="U75" s="188"/>
      <c r="V75" s="431"/>
      <c r="W75" s="432"/>
      <c r="X75" s="429"/>
      <c r="Y75" s="430"/>
      <c r="Z75" s="188"/>
      <c r="AA75" s="188"/>
      <c r="AB75" s="431"/>
      <c r="AC75" s="431"/>
      <c r="AD75" s="461"/>
      <c r="AE75" s="430"/>
      <c r="AF75" s="188"/>
      <c r="AG75" s="188"/>
      <c r="AH75" s="431"/>
      <c r="AI75" s="431"/>
      <c r="AJ75" s="461"/>
      <c r="AK75" s="430"/>
      <c r="AL75" s="188"/>
      <c r="AM75" s="188"/>
      <c r="AN75" s="431"/>
      <c r="AO75" s="462"/>
      <c r="AP75" s="461"/>
      <c r="AQ75" s="430"/>
      <c r="AR75" s="188"/>
      <c r="AS75" s="188"/>
      <c r="AT75" s="431"/>
      <c r="AU75" s="462"/>
      <c r="AV75" s="461"/>
      <c r="AW75" s="430"/>
      <c r="AX75" s="188"/>
      <c r="AY75" s="188"/>
      <c r="AZ75" s="431"/>
      <c r="BA75" s="462"/>
      <c r="BB75" s="461"/>
      <c r="BC75" s="430"/>
      <c r="BD75" s="188"/>
      <c r="BE75" s="188"/>
      <c r="BF75" s="431"/>
      <c r="BG75" s="462"/>
      <c r="BI75" s="317">
        <f t="shared" ref="BI75:BI80" si="36">AB75+V75</f>
        <v>0</v>
      </c>
      <c r="BJ75" s="317">
        <f t="shared" ref="BJ75:BJ80" si="37">AH75+AN75</f>
        <v>0</v>
      </c>
      <c r="BK75" s="317"/>
      <c r="BL75" s="221">
        <f t="shared" ref="BL75:BL80" si="38">BI75+BJ75+BK75</f>
        <v>0</v>
      </c>
    </row>
    <row r="76" spans="1:81" ht="14.5">
      <c r="A76" s="555"/>
      <c r="B76" s="9" t="s">
        <v>368</v>
      </c>
      <c r="C76" s="9">
        <v>7332</v>
      </c>
      <c r="D76" s="9">
        <v>178</v>
      </c>
      <c r="E76" s="9" t="s">
        <v>482</v>
      </c>
      <c r="F76" s="9" t="s">
        <v>369</v>
      </c>
      <c r="G76" s="54">
        <v>14.791309999999999</v>
      </c>
      <c r="H76" s="54">
        <v>39.174639999999997</v>
      </c>
      <c r="I76" s="193" t="s">
        <v>515</v>
      </c>
      <c r="J76" s="193" t="s">
        <v>457</v>
      </c>
      <c r="K76" s="193">
        <v>25</v>
      </c>
      <c r="L76" s="90" t="s">
        <v>458</v>
      </c>
      <c r="M76" s="418"/>
      <c r="N76" s="418"/>
      <c r="O76" s="418"/>
      <c r="P76" s="418"/>
      <c r="Q76" s="418"/>
      <c r="R76" s="429"/>
      <c r="S76" s="430"/>
      <c r="T76" s="188"/>
      <c r="U76" s="188"/>
      <c r="V76" s="431"/>
      <c r="W76" s="432"/>
      <c r="X76" s="429"/>
      <c r="Y76" s="430"/>
      <c r="Z76" s="188"/>
      <c r="AA76" s="188"/>
      <c r="AB76" s="431"/>
      <c r="AC76" s="431"/>
      <c r="AD76" s="461"/>
      <c r="AE76" s="430"/>
      <c r="AF76" s="188"/>
      <c r="AG76" s="188"/>
      <c r="AH76" s="431"/>
      <c r="AI76" s="431"/>
      <c r="AJ76" s="461"/>
      <c r="AK76" s="430"/>
      <c r="AL76" s="188"/>
      <c r="AM76" s="188"/>
      <c r="AN76" s="431"/>
      <c r="AO76" s="462"/>
      <c r="AP76" s="461"/>
      <c r="AQ76" s="430"/>
      <c r="AR76" s="188"/>
      <c r="AS76" s="188"/>
      <c r="AT76" s="431"/>
      <c r="AU76" s="462"/>
      <c r="AV76" s="461"/>
      <c r="AW76" s="430"/>
      <c r="AX76" s="188"/>
      <c r="AY76" s="188"/>
      <c r="AZ76" s="431"/>
      <c r="BA76" s="462"/>
      <c r="BB76" s="461"/>
      <c r="BC76" s="430"/>
      <c r="BD76" s="188"/>
      <c r="BE76" s="188"/>
      <c r="BF76" s="431"/>
      <c r="BG76" s="462"/>
      <c r="BI76" s="317">
        <f t="shared" si="36"/>
        <v>0</v>
      </c>
      <c r="BJ76" s="317">
        <f t="shared" si="37"/>
        <v>0</v>
      </c>
      <c r="BK76" s="317"/>
      <c r="BL76" s="221">
        <f t="shared" si="38"/>
        <v>0</v>
      </c>
    </row>
    <row r="77" spans="1:81" ht="14.5">
      <c r="A77" s="555"/>
      <c r="B77" s="9" t="s">
        <v>370</v>
      </c>
      <c r="C77" s="9">
        <v>7332</v>
      </c>
      <c r="D77" s="9">
        <v>178</v>
      </c>
      <c r="E77" s="9" t="s">
        <v>482</v>
      </c>
      <c r="F77" s="9" t="s">
        <v>371</v>
      </c>
      <c r="G77" s="54">
        <v>14.792439999999999</v>
      </c>
      <c r="H77" s="54">
        <v>39.173439999999999</v>
      </c>
      <c r="I77" s="193" t="s">
        <v>515</v>
      </c>
      <c r="J77" s="193" t="s">
        <v>457</v>
      </c>
      <c r="K77" s="193">
        <v>25</v>
      </c>
      <c r="L77" s="90" t="s">
        <v>458</v>
      </c>
      <c r="M77" s="418"/>
      <c r="N77" s="418"/>
      <c r="O77" s="418"/>
      <c r="P77" s="418"/>
      <c r="Q77" s="418"/>
      <c r="R77" s="429"/>
      <c r="S77" s="430"/>
      <c r="T77" s="188"/>
      <c r="U77" s="188"/>
      <c r="V77" s="431"/>
      <c r="W77" s="432"/>
      <c r="X77" s="429"/>
      <c r="Y77" s="430"/>
      <c r="Z77" s="188"/>
      <c r="AA77" s="188"/>
      <c r="AB77" s="431"/>
      <c r="AC77" s="431"/>
      <c r="AD77" s="461" t="s">
        <v>516</v>
      </c>
      <c r="AE77" s="188" t="s">
        <v>517</v>
      </c>
      <c r="AF77" s="188" t="s">
        <v>518</v>
      </c>
      <c r="AG77" s="188" t="s">
        <v>519</v>
      </c>
      <c r="AH77" s="188">
        <f>AG77-AF77+1</f>
        <v>4</v>
      </c>
      <c r="AI77" s="431" t="s">
        <v>520</v>
      </c>
      <c r="AJ77" s="461"/>
      <c r="AK77" s="430"/>
      <c r="AL77" s="188"/>
      <c r="AM77" s="188"/>
      <c r="AN77" s="431"/>
      <c r="AO77" s="462"/>
      <c r="AP77" s="461"/>
      <c r="AQ77" s="430"/>
      <c r="AR77" s="188"/>
      <c r="AS77" s="188"/>
      <c r="AT77" s="431"/>
      <c r="AU77" s="462"/>
      <c r="AV77" s="461"/>
      <c r="AW77" s="430"/>
      <c r="AX77" s="188"/>
      <c r="AY77" s="188"/>
      <c r="AZ77" s="431"/>
      <c r="BA77" s="462"/>
      <c r="BB77" s="461"/>
      <c r="BC77" s="430"/>
      <c r="BD77" s="188"/>
      <c r="BE77" s="188"/>
      <c r="BF77" s="431"/>
      <c r="BG77" s="462"/>
      <c r="BI77" s="317">
        <f t="shared" si="36"/>
        <v>0</v>
      </c>
      <c r="BJ77" s="317">
        <f t="shared" si="37"/>
        <v>4</v>
      </c>
      <c r="BK77" s="317"/>
      <c r="BL77" s="221">
        <f t="shared" si="38"/>
        <v>4</v>
      </c>
    </row>
    <row r="78" spans="1:81" ht="14.5">
      <c r="A78" s="555"/>
      <c r="B78" s="9" t="s">
        <v>374</v>
      </c>
      <c r="C78" s="9">
        <v>7332</v>
      </c>
      <c r="D78" s="9">
        <v>178</v>
      </c>
      <c r="E78" s="9" t="s">
        <v>507</v>
      </c>
      <c r="F78" s="9" t="s">
        <v>375</v>
      </c>
      <c r="G78" s="54">
        <v>14.75135</v>
      </c>
      <c r="H78" s="54">
        <v>39.185130000000001</v>
      </c>
      <c r="I78" s="193" t="s">
        <v>521</v>
      </c>
      <c r="J78" s="193" t="s">
        <v>457</v>
      </c>
      <c r="K78" s="193">
        <v>40</v>
      </c>
      <c r="L78" s="90" t="s">
        <v>458</v>
      </c>
      <c r="M78" s="418"/>
      <c r="N78" s="418"/>
      <c r="O78" s="418"/>
      <c r="P78" s="418"/>
      <c r="Q78" s="418"/>
      <c r="R78" s="429"/>
      <c r="S78" s="430"/>
      <c r="T78" s="188"/>
      <c r="U78" s="188"/>
      <c r="V78" s="431"/>
      <c r="W78" s="432"/>
      <c r="X78" s="429"/>
      <c r="Y78" s="430"/>
      <c r="Z78" s="188"/>
      <c r="AA78" s="188"/>
      <c r="AB78" s="431"/>
      <c r="AC78" s="431"/>
      <c r="AD78" s="461"/>
      <c r="AE78" s="430"/>
      <c r="AF78" s="188"/>
      <c r="AG78" s="188"/>
      <c r="AH78" s="431"/>
      <c r="AI78" s="431"/>
      <c r="AJ78" s="461"/>
      <c r="AK78" s="430"/>
      <c r="AL78" s="188"/>
      <c r="AM78" s="188"/>
      <c r="AN78" s="431"/>
      <c r="AO78" s="462"/>
      <c r="AP78" s="461"/>
      <c r="AQ78" s="430"/>
      <c r="AR78" s="188"/>
      <c r="AS78" s="188"/>
      <c r="AT78" s="431"/>
      <c r="AU78" s="462"/>
      <c r="AV78" s="461"/>
      <c r="AW78" s="430"/>
      <c r="AX78" s="188"/>
      <c r="AY78" s="188"/>
      <c r="AZ78" s="431"/>
      <c r="BA78" s="462"/>
      <c r="BB78" s="461"/>
      <c r="BC78" s="430"/>
      <c r="BD78" s="188"/>
      <c r="BE78" s="188"/>
      <c r="BF78" s="431"/>
      <c r="BG78" s="462"/>
      <c r="BI78" s="317">
        <f t="shared" si="36"/>
        <v>0</v>
      </c>
      <c r="BJ78" s="317">
        <f t="shared" si="37"/>
        <v>0</v>
      </c>
      <c r="BK78" s="317"/>
      <c r="BL78" s="221">
        <f t="shared" si="38"/>
        <v>0</v>
      </c>
    </row>
    <row r="79" spans="1:81" ht="14.5">
      <c r="A79" s="555"/>
      <c r="B79" s="9" t="s">
        <v>376</v>
      </c>
      <c r="C79" s="9">
        <v>7332</v>
      </c>
      <c r="D79" s="9">
        <v>178</v>
      </c>
      <c r="E79" s="9" t="s">
        <v>464</v>
      </c>
      <c r="F79" s="9" t="s">
        <v>377</v>
      </c>
      <c r="G79" s="54">
        <v>14.544370000000001</v>
      </c>
      <c r="H79" s="54">
        <v>38.494619999999998</v>
      </c>
      <c r="I79" s="193" t="s">
        <v>522</v>
      </c>
      <c r="J79" s="193" t="s">
        <v>460</v>
      </c>
      <c r="K79" s="193">
        <v>7.3</v>
      </c>
      <c r="L79" s="90" t="s">
        <v>458</v>
      </c>
      <c r="M79" s="418"/>
      <c r="N79" s="418"/>
      <c r="O79" s="418"/>
      <c r="P79" s="418"/>
      <c r="Q79" s="418"/>
      <c r="R79" s="429"/>
      <c r="S79" s="430"/>
      <c r="T79" s="188"/>
      <c r="U79" s="188"/>
      <c r="V79" s="431"/>
      <c r="W79" s="432"/>
      <c r="X79" s="429"/>
      <c r="Y79" s="430"/>
      <c r="Z79" s="188"/>
      <c r="AA79" s="188"/>
      <c r="AB79" s="431"/>
      <c r="AC79" s="431"/>
      <c r="AD79" s="461"/>
      <c r="AE79" s="430"/>
      <c r="AF79" s="188"/>
      <c r="AG79" s="188"/>
      <c r="AH79" s="431"/>
      <c r="AI79" s="431"/>
      <c r="AJ79" s="461"/>
      <c r="AK79" s="430"/>
      <c r="AL79" s="188"/>
      <c r="AM79" s="188"/>
      <c r="AN79" s="431"/>
      <c r="AO79" s="462"/>
      <c r="AP79" s="461"/>
      <c r="AQ79" s="430"/>
      <c r="AR79" s="188"/>
      <c r="AS79" s="188"/>
      <c r="AT79" s="431"/>
      <c r="AU79" s="462"/>
      <c r="AV79" s="461"/>
      <c r="AW79" s="430"/>
      <c r="AX79" s="188"/>
      <c r="AY79" s="188"/>
      <c r="AZ79" s="431"/>
      <c r="BA79" s="462"/>
      <c r="BB79" s="461"/>
      <c r="BC79" s="430"/>
      <c r="BD79" s="188"/>
      <c r="BE79" s="188"/>
      <c r="BF79" s="431"/>
      <c r="BG79" s="462"/>
      <c r="BI79" s="317">
        <f t="shared" si="36"/>
        <v>0</v>
      </c>
      <c r="BJ79" s="317">
        <f t="shared" si="37"/>
        <v>0</v>
      </c>
      <c r="BK79" s="317"/>
      <c r="BL79" s="221">
        <f t="shared" si="38"/>
        <v>0</v>
      </c>
    </row>
    <row r="80" spans="1:81" thickBot="1">
      <c r="A80" s="555"/>
      <c r="B80" s="9" t="s">
        <v>378</v>
      </c>
      <c r="C80" s="9">
        <v>7332</v>
      </c>
      <c r="D80" s="9">
        <v>178</v>
      </c>
      <c r="E80" s="9" t="s">
        <v>464</v>
      </c>
      <c r="F80" s="9" t="s">
        <v>379</v>
      </c>
      <c r="G80" s="54">
        <v>14.52633</v>
      </c>
      <c r="H80" s="54">
        <v>38.490490000000001</v>
      </c>
      <c r="I80" s="193" t="s">
        <v>488</v>
      </c>
      <c r="J80" s="193" t="s">
        <v>460</v>
      </c>
      <c r="K80" s="193">
        <v>9</v>
      </c>
      <c r="L80" s="90" t="s">
        <v>458</v>
      </c>
      <c r="M80" s="418"/>
      <c r="N80" s="418"/>
      <c r="O80" s="418"/>
      <c r="P80" s="418"/>
      <c r="Q80" s="418"/>
      <c r="R80" s="429"/>
      <c r="S80" s="430"/>
      <c r="T80" s="188"/>
      <c r="U80" s="188"/>
      <c r="V80" s="431"/>
      <c r="W80" s="432"/>
      <c r="X80" s="429"/>
      <c r="Y80" s="430"/>
      <c r="Z80" s="188"/>
      <c r="AA80" s="188"/>
      <c r="AB80" s="431"/>
      <c r="AC80" s="431"/>
      <c r="AD80" s="461"/>
      <c r="AE80" s="430"/>
      <c r="AF80" s="188"/>
      <c r="AG80" s="188"/>
      <c r="AH80" s="431"/>
      <c r="AI80" s="431"/>
      <c r="AJ80" s="461"/>
      <c r="AK80" s="430"/>
      <c r="AL80" s="188"/>
      <c r="AM80" s="188"/>
      <c r="AN80" s="431"/>
      <c r="AO80" s="462"/>
      <c r="AP80" s="461"/>
      <c r="AQ80" s="430"/>
      <c r="AR80" s="188"/>
      <c r="AS80" s="188"/>
      <c r="AT80" s="431"/>
      <c r="AU80" s="462"/>
      <c r="AV80" s="461"/>
      <c r="AW80" s="430"/>
      <c r="AX80" s="188"/>
      <c r="AY80" s="188"/>
      <c r="AZ80" s="431"/>
      <c r="BA80" s="462"/>
      <c r="BB80" s="461"/>
      <c r="BC80" s="430"/>
      <c r="BD80" s="188"/>
      <c r="BE80" s="188"/>
      <c r="BF80" s="431"/>
      <c r="BG80" s="462"/>
      <c r="BI80" s="317">
        <f t="shared" si="36"/>
        <v>0</v>
      </c>
      <c r="BJ80" s="317">
        <f t="shared" si="37"/>
        <v>0</v>
      </c>
      <c r="BK80" s="317"/>
      <c r="BL80" s="221">
        <f t="shared" si="38"/>
        <v>0</v>
      </c>
    </row>
    <row r="81" spans="1:81" s="443" customFormat="1" thickBot="1">
      <c r="B81" s="205"/>
      <c r="C81" s="205"/>
      <c r="D81" s="205"/>
      <c r="E81" s="205"/>
      <c r="F81" s="205"/>
      <c r="G81" s="206"/>
      <c r="H81" s="206"/>
      <c r="I81" s="207"/>
      <c r="J81" s="207"/>
      <c r="K81" s="207"/>
      <c r="L81" s="208"/>
      <c r="M81" s="209"/>
      <c r="N81" s="209"/>
      <c r="O81" s="209"/>
      <c r="P81" s="209"/>
      <c r="Q81" s="210"/>
      <c r="R81" s="439"/>
      <c r="S81" s="440"/>
      <c r="T81" s="220"/>
      <c r="U81" s="220"/>
      <c r="V81" s="441"/>
      <c r="W81" s="442"/>
      <c r="X81" s="439"/>
      <c r="Y81" s="440"/>
      <c r="Z81" s="220"/>
      <c r="AA81" s="220"/>
      <c r="AB81" s="441"/>
      <c r="AC81" s="441"/>
      <c r="AD81" s="463"/>
      <c r="AE81" s="440"/>
      <c r="AF81" s="220"/>
      <c r="AG81" s="220"/>
      <c r="AH81" s="441"/>
      <c r="AI81" s="441"/>
      <c r="AJ81" s="463"/>
      <c r="AK81" s="440"/>
      <c r="AL81" s="220"/>
      <c r="AM81" s="220"/>
      <c r="AN81" s="441"/>
      <c r="AO81" s="464"/>
      <c r="AP81" s="463"/>
      <c r="AQ81" s="440"/>
      <c r="AR81" s="220"/>
      <c r="AS81" s="220"/>
      <c r="AT81" s="441"/>
      <c r="AU81" s="464"/>
      <c r="AV81" s="463"/>
      <c r="AW81" s="440"/>
      <c r="AX81" s="220"/>
      <c r="AY81" s="220"/>
      <c r="AZ81" s="441"/>
      <c r="BA81" s="464"/>
      <c r="BB81" s="463"/>
      <c r="BC81" s="440"/>
      <c r="BD81" s="220"/>
      <c r="BE81" s="220"/>
      <c r="BF81" s="441"/>
      <c r="BG81" s="464"/>
      <c r="BH81" s="191"/>
      <c r="BI81" s="213">
        <f t="shared" ref="BI81:BL81" si="39">SUM(BI75:BI80)</f>
        <v>0</v>
      </c>
      <c r="BJ81" s="213">
        <f t="shared" si="39"/>
        <v>4</v>
      </c>
      <c r="BK81" s="213"/>
      <c r="BL81" s="213">
        <f t="shared" si="39"/>
        <v>4</v>
      </c>
      <c r="BM81" s="191"/>
      <c r="BN81" s="191"/>
      <c r="BO81" s="191"/>
      <c r="BP81" s="191"/>
      <c r="BQ81" s="191"/>
      <c r="BR81" s="191"/>
      <c r="BS81" s="191"/>
      <c r="BT81" s="191"/>
      <c r="BU81" s="191"/>
      <c r="BV81" s="191"/>
      <c r="BW81" s="191"/>
      <c r="BX81" s="191"/>
      <c r="BY81" s="191"/>
      <c r="BZ81" s="191"/>
      <c r="CA81" s="191"/>
      <c r="CB81" s="191"/>
      <c r="CC81" s="191"/>
    </row>
    <row r="82" spans="1:81" ht="14.5">
      <c r="A82" s="555" t="s">
        <v>380</v>
      </c>
      <c r="B82" s="9" t="s">
        <v>383</v>
      </c>
      <c r="C82" s="9">
        <v>7333</v>
      </c>
      <c r="D82" s="9">
        <v>179</v>
      </c>
      <c r="E82" s="9" t="s">
        <v>482</v>
      </c>
      <c r="F82" s="9" t="s">
        <v>384</v>
      </c>
      <c r="G82" s="54">
        <v>14.753819999999999</v>
      </c>
      <c r="H82" s="54">
        <v>39.137880000000003</v>
      </c>
      <c r="I82" s="193" t="s">
        <v>523</v>
      </c>
      <c r="J82" s="193" t="s">
        <v>457</v>
      </c>
      <c r="K82" s="193">
        <v>40</v>
      </c>
      <c r="L82" s="90" t="s">
        <v>458</v>
      </c>
      <c r="M82" s="418"/>
      <c r="N82" s="418"/>
      <c r="O82" s="418"/>
      <c r="P82" s="418"/>
      <c r="Q82" s="418"/>
      <c r="R82" s="429"/>
      <c r="S82" s="430"/>
      <c r="T82" s="188"/>
      <c r="U82" s="188"/>
      <c r="V82" s="431"/>
      <c r="W82" s="432"/>
      <c r="X82" s="429"/>
      <c r="Y82" s="430"/>
      <c r="Z82" s="188"/>
      <c r="AA82" s="188"/>
      <c r="AB82" s="431"/>
      <c r="AC82" s="431"/>
      <c r="AD82" s="461"/>
      <c r="AE82" s="430"/>
      <c r="AF82" s="188"/>
      <c r="AG82" s="188"/>
      <c r="AH82" s="431"/>
      <c r="AI82" s="431"/>
      <c r="AJ82" s="461"/>
      <c r="AK82" s="430"/>
      <c r="AL82" s="188"/>
      <c r="AM82" s="188"/>
      <c r="AN82" s="431"/>
      <c r="AO82" s="462"/>
      <c r="AP82" s="461"/>
      <c r="AQ82" s="430"/>
      <c r="AR82" s="188"/>
      <c r="AS82" s="188"/>
      <c r="AT82" s="431"/>
      <c r="AU82" s="462"/>
      <c r="AV82" s="461"/>
      <c r="AW82" s="430"/>
      <c r="AX82" s="188"/>
      <c r="AY82" s="188"/>
      <c r="AZ82" s="431"/>
      <c r="BA82" s="462"/>
      <c r="BB82" s="461"/>
      <c r="BC82" s="430"/>
      <c r="BD82" s="188"/>
      <c r="BE82" s="188"/>
      <c r="BF82" s="431"/>
      <c r="BG82" s="462"/>
      <c r="BI82" s="317">
        <f t="shared" ref="BI82:BI87" si="40">AB82+V82</f>
        <v>0</v>
      </c>
      <c r="BJ82" s="317">
        <f t="shared" ref="BJ82:BJ87" si="41">AH82+AN82</f>
        <v>0</v>
      </c>
      <c r="BK82" s="317"/>
      <c r="BL82" s="221">
        <f t="shared" ref="BL82:BL87" si="42">BI82+BJ82+BK82</f>
        <v>0</v>
      </c>
    </row>
    <row r="83" spans="1:81" ht="14.5">
      <c r="A83" s="555"/>
      <c r="B83" s="9" t="s">
        <v>385</v>
      </c>
      <c r="C83" s="9">
        <v>7333</v>
      </c>
      <c r="D83" s="9">
        <v>179</v>
      </c>
      <c r="E83" s="9" t="s">
        <v>482</v>
      </c>
      <c r="F83" s="9" t="s">
        <v>386</v>
      </c>
      <c r="G83" s="54">
        <v>14.79504</v>
      </c>
      <c r="H83" s="54">
        <v>39.089449999999999</v>
      </c>
      <c r="I83" s="193" t="s">
        <v>491</v>
      </c>
      <c r="J83" s="193" t="s">
        <v>457</v>
      </c>
      <c r="K83" s="193">
        <v>60</v>
      </c>
      <c r="L83" s="90" t="s">
        <v>458</v>
      </c>
      <c r="M83" s="418"/>
      <c r="N83" s="418"/>
      <c r="O83" s="418"/>
      <c r="P83" s="418"/>
      <c r="Q83" s="418"/>
      <c r="R83" s="429"/>
      <c r="S83" s="430"/>
      <c r="T83" s="188"/>
      <c r="U83" s="188"/>
      <c r="V83" s="431"/>
      <c r="W83" s="432"/>
      <c r="X83" s="429"/>
      <c r="Y83" s="430"/>
      <c r="Z83" s="188"/>
      <c r="AA83" s="188"/>
      <c r="AB83" s="431"/>
      <c r="AC83" s="431"/>
      <c r="AD83" s="461"/>
      <c r="AE83" s="430"/>
      <c r="AF83" s="188"/>
      <c r="AG83" s="188"/>
      <c r="AH83" s="431"/>
      <c r="AI83" s="431"/>
      <c r="AJ83" s="461"/>
      <c r="AK83" s="430"/>
      <c r="AL83" s="188"/>
      <c r="AM83" s="188"/>
      <c r="AN83" s="431"/>
      <c r="AO83" s="462"/>
      <c r="AP83" s="461"/>
      <c r="AQ83" s="430"/>
      <c r="AR83" s="188"/>
      <c r="AS83" s="188"/>
      <c r="AT83" s="431"/>
      <c r="AU83" s="462"/>
      <c r="AV83" s="461"/>
      <c r="AW83" s="430"/>
      <c r="AX83" s="188"/>
      <c r="AY83" s="188"/>
      <c r="AZ83" s="431"/>
      <c r="BA83" s="462"/>
      <c r="BB83" s="461"/>
      <c r="BC83" s="430"/>
      <c r="BD83" s="188"/>
      <c r="BE83" s="188"/>
      <c r="BF83" s="431"/>
      <c r="BG83" s="462"/>
      <c r="BI83" s="317">
        <f t="shared" si="40"/>
        <v>0</v>
      </c>
      <c r="BJ83" s="317">
        <f t="shared" si="41"/>
        <v>0</v>
      </c>
      <c r="BK83" s="317"/>
      <c r="BL83" s="221">
        <f t="shared" si="42"/>
        <v>0</v>
      </c>
    </row>
    <row r="84" spans="1:81" ht="14.5">
      <c r="A84" s="555"/>
      <c r="B84" s="9" t="s">
        <v>381</v>
      </c>
      <c r="C84" s="9">
        <v>7333</v>
      </c>
      <c r="D84" s="9">
        <v>179</v>
      </c>
      <c r="E84" s="9" t="s">
        <v>507</v>
      </c>
      <c r="F84" s="9" t="s">
        <v>382</v>
      </c>
      <c r="G84" s="54">
        <v>14.63958</v>
      </c>
      <c r="H84" s="54">
        <v>39.230339999999998</v>
      </c>
      <c r="I84" s="193" t="s">
        <v>524</v>
      </c>
      <c r="J84" s="193" t="s">
        <v>457</v>
      </c>
      <c r="K84" s="193">
        <v>30</v>
      </c>
      <c r="L84" s="90" t="s">
        <v>458</v>
      </c>
      <c r="M84" s="418"/>
      <c r="N84" s="418"/>
      <c r="O84" s="418"/>
      <c r="P84" s="418"/>
      <c r="Q84" s="418"/>
      <c r="R84" s="429"/>
      <c r="S84" s="430"/>
      <c r="T84" s="188"/>
      <c r="U84" s="188"/>
      <c r="V84" s="431"/>
      <c r="W84" s="432"/>
      <c r="X84" s="429"/>
      <c r="Y84" s="430"/>
      <c r="Z84" s="188"/>
      <c r="AA84" s="188"/>
      <c r="AB84" s="431"/>
      <c r="AC84" s="431"/>
      <c r="AD84" s="461"/>
      <c r="AE84" s="430"/>
      <c r="AF84" s="188"/>
      <c r="AG84" s="188"/>
      <c r="AH84" s="431"/>
      <c r="AI84" s="431"/>
      <c r="AJ84" s="461"/>
      <c r="AK84" s="430"/>
      <c r="AL84" s="188"/>
      <c r="AM84" s="188"/>
      <c r="AN84" s="431"/>
      <c r="AO84" s="462"/>
      <c r="AP84" s="461"/>
      <c r="AQ84" s="430"/>
      <c r="AR84" s="188"/>
      <c r="AS84" s="188"/>
      <c r="AT84" s="431"/>
      <c r="AU84" s="462"/>
      <c r="AV84" s="461"/>
      <c r="AW84" s="430"/>
      <c r="AX84" s="188"/>
      <c r="AY84" s="188"/>
      <c r="AZ84" s="431"/>
      <c r="BA84" s="462"/>
      <c r="BB84" s="461"/>
      <c r="BC84" s="430"/>
      <c r="BD84" s="188"/>
      <c r="BE84" s="188"/>
      <c r="BF84" s="431"/>
      <c r="BG84" s="462"/>
      <c r="BI84" s="317">
        <f t="shared" si="40"/>
        <v>0</v>
      </c>
      <c r="BJ84" s="317">
        <f t="shared" si="41"/>
        <v>0</v>
      </c>
      <c r="BK84" s="317"/>
      <c r="BL84" s="221">
        <f t="shared" si="42"/>
        <v>0</v>
      </c>
    </row>
    <row r="85" spans="1:81" ht="14.5">
      <c r="A85" s="555"/>
      <c r="B85" s="9" t="s">
        <v>387</v>
      </c>
      <c r="C85" s="9">
        <v>7333</v>
      </c>
      <c r="D85" s="9">
        <v>179</v>
      </c>
      <c r="E85" s="9" t="s">
        <v>507</v>
      </c>
      <c r="F85" s="9" t="s">
        <v>388</v>
      </c>
      <c r="G85" s="54">
        <v>14.6143</v>
      </c>
      <c r="H85" s="54">
        <v>39.377139999999997</v>
      </c>
      <c r="I85" s="433">
        <v>42889</v>
      </c>
      <c r="J85" s="193" t="s">
        <v>457</v>
      </c>
      <c r="K85" s="193">
        <v>42</v>
      </c>
      <c r="L85" s="90" t="s">
        <v>458</v>
      </c>
      <c r="M85" s="9"/>
      <c r="N85" s="9"/>
      <c r="O85" s="9"/>
      <c r="P85" s="9"/>
      <c r="Q85" s="9"/>
      <c r="R85" s="429"/>
      <c r="S85" s="430"/>
      <c r="T85" s="188"/>
      <c r="U85" s="188"/>
      <c r="V85" s="431"/>
      <c r="W85" s="432"/>
      <c r="X85" s="429"/>
      <c r="Y85" s="430"/>
      <c r="Z85" s="188"/>
      <c r="AA85" s="188"/>
      <c r="AB85" s="431"/>
      <c r="AC85" s="431"/>
      <c r="AD85" s="461"/>
      <c r="AE85" s="430"/>
      <c r="AF85" s="188"/>
      <c r="AG85" s="188"/>
      <c r="AH85" s="431"/>
      <c r="AI85" s="431"/>
      <c r="AJ85" s="461"/>
      <c r="AK85" s="430"/>
      <c r="AL85" s="188"/>
      <c r="AM85" s="188"/>
      <c r="AN85" s="431"/>
      <c r="AO85" s="462"/>
      <c r="AP85" s="461"/>
      <c r="AQ85" s="430"/>
      <c r="AR85" s="188"/>
      <c r="AS85" s="188"/>
      <c r="AT85" s="431"/>
      <c r="AU85" s="462"/>
      <c r="AV85" s="461"/>
      <c r="AW85" s="430"/>
      <c r="AX85" s="188"/>
      <c r="AY85" s="188"/>
      <c r="AZ85" s="431"/>
      <c r="BA85" s="462"/>
      <c r="BB85" s="461"/>
      <c r="BC85" s="430"/>
      <c r="BD85" s="188"/>
      <c r="BE85" s="188"/>
      <c r="BF85" s="431"/>
      <c r="BG85" s="462"/>
      <c r="BI85" s="317">
        <f t="shared" si="40"/>
        <v>0</v>
      </c>
      <c r="BJ85" s="317">
        <f t="shared" si="41"/>
        <v>0</v>
      </c>
      <c r="BK85" s="317"/>
      <c r="BL85" s="221">
        <f t="shared" si="42"/>
        <v>0</v>
      </c>
    </row>
    <row r="86" spans="1:81" ht="14.5">
      <c r="A86" s="555"/>
      <c r="B86" s="9" t="s">
        <v>389</v>
      </c>
      <c r="C86" s="9">
        <v>7333</v>
      </c>
      <c r="D86" s="9">
        <v>179</v>
      </c>
      <c r="E86" s="9" t="s">
        <v>464</v>
      </c>
      <c r="F86" s="9" t="s">
        <v>390</v>
      </c>
      <c r="G86" s="54">
        <v>14.54377</v>
      </c>
      <c r="H86" s="54">
        <v>38.4754</v>
      </c>
      <c r="I86" s="193" t="s">
        <v>522</v>
      </c>
      <c r="J86" s="193" t="s">
        <v>457</v>
      </c>
      <c r="K86" s="193">
        <v>40</v>
      </c>
      <c r="L86" s="90" t="s">
        <v>458</v>
      </c>
      <c r="M86" s="9"/>
      <c r="N86" s="9"/>
      <c r="O86" s="9"/>
      <c r="P86" s="9"/>
      <c r="Q86" s="9"/>
      <c r="R86" s="429"/>
      <c r="S86" s="430"/>
      <c r="T86" s="188"/>
      <c r="U86" s="188"/>
      <c r="V86" s="431"/>
      <c r="W86" s="432"/>
      <c r="X86" s="429"/>
      <c r="Y86" s="430"/>
      <c r="Z86" s="188"/>
      <c r="AA86" s="188"/>
      <c r="AB86" s="431"/>
      <c r="AC86" s="431"/>
      <c r="AD86" s="461"/>
      <c r="AE86" s="430"/>
      <c r="AF86" s="188"/>
      <c r="AG86" s="188"/>
      <c r="AH86" s="431"/>
      <c r="AI86" s="431"/>
      <c r="AJ86" s="461"/>
      <c r="AK86" s="430"/>
      <c r="AL86" s="188"/>
      <c r="AM86" s="188"/>
      <c r="AN86" s="431"/>
      <c r="AO86" s="462"/>
      <c r="AP86" s="461"/>
      <c r="AQ86" s="430"/>
      <c r="AR86" s="188"/>
      <c r="AS86" s="188"/>
      <c r="AT86" s="431"/>
      <c r="AU86" s="462"/>
      <c r="AV86" s="461"/>
      <c r="AW86" s="430"/>
      <c r="AX86" s="188"/>
      <c r="AY86" s="188"/>
      <c r="AZ86" s="431"/>
      <c r="BA86" s="462"/>
      <c r="BB86" s="461"/>
      <c r="BC86" s="430"/>
      <c r="BD86" s="188"/>
      <c r="BE86" s="188"/>
      <c r="BF86" s="431"/>
      <c r="BG86" s="462"/>
      <c r="BI86" s="317">
        <f t="shared" si="40"/>
        <v>0</v>
      </c>
      <c r="BJ86" s="317">
        <f t="shared" si="41"/>
        <v>0</v>
      </c>
      <c r="BK86" s="317"/>
      <c r="BL86" s="221">
        <f t="shared" si="42"/>
        <v>0</v>
      </c>
    </row>
    <row r="87" spans="1:81" thickBot="1">
      <c r="A87" s="555"/>
      <c r="B87" s="9" t="s">
        <v>391</v>
      </c>
      <c r="C87" s="9">
        <v>7333</v>
      </c>
      <c r="D87" s="9">
        <v>179</v>
      </c>
      <c r="E87" s="9" t="s">
        <v>464</v>
      </c>
      <c r="F87" s="9" t="s">
        <v>392</v>
      </c>
      <c r="G87" s="54">
        <v>14.57015</v>
      </c>
      <c r="H87" s="54">
        <v>38.541629999999998</v>
      </c>
      <c r="I87" s="193" t="s">
        <v>489</v>
      </c>
      <c r="J87" s="193" t="s">
        <v>460</v>
      </c>
      <c r="K87" s="193">
        <v>8.6</v>
      </c>
      <c r="L87" s="90" t="s">
        <v>458</v>
      </c>
      <c r="M87" s="9"/>
      <c r="N87" s="9"/>
      <c r="O87" s="9"/>
      <c r="P87" s="9"/>
      <c r="Q87" s="9"/>
      <c r="R87" s="429"/>
      <c r="S87" s="430"/>
      <c r="T87" s="188"/>
      <c r="U87" s="188"/>
      <c r="V87" s="431"/>
      <c r="W87" s="432"/>
      <c r="X87" s="429"/>
      <c r="Y87" s="430"/>
      <c r="Z87" s="188"/>
      <c r="AA87" s="188"/>
      <c r="AB87" s="431"/>
      <c r="AC87" s="431"/>
      <c r="AD87" s="461"/>
      <c r="AE87" s="430"/>
      <c r="AF87" s="188"/>
      <c r="AG87" s="188"/>
      <c r="AH87" s="431"/>
      <c r="AI87" s="431"/>
      <c r="AJ87" s="461"/>
      <c r="AK87" s="430"/>
      <c r="AL87" s="188"/>
      <c r="AM87" s="188"/>
      <c r="AN87" s="431"/>
      <c r="AO87" s="462"/>
      <c r="AP87" s="461"/>
      <c r="AQ87" s="430"/>
      <c r="AR87" s="188"/>
      <c r="AS87" s="188"/>
      <c r="AT87" s="431"/>
      <c r="AU87" s="462"/>
      <c r="AV87" s="461"/>
      <c r="AW87" s="430"/>
      <c r="AX87" s="188"/>
      <c r="AY87" s="188"/>
      <c r="AZ87" s="431"/>
      <c r="BA87" s="462"/>
      <c r="BB87" s="461"/>
      <c r="BC87" s="430"/>
      <c r="BD87" s="188"/>
      <c r="BE87" s="188"/>
      <c r="BF87" s="431"/>
      <c r="BG87" s="462"/>
      <c r="BI87" s="317">
        <f t="shared" si="40"/>
        <v>0</v>
      </c>
      <c r="BJ87" s="317">
        <f t="shared" si="41"/>
        <v>0</v>
      </c>
      <c r="BK87" s="317"/>
      <c r="BL87" s="221">
        <f t="shared" si="42"/>
        <v>0</v>
      </c>
    </row>
    <row r="88" spans="1:81" s="438" customFormat="1" thickBot="1">
      <c r="B88" s="434"/>
      <c r="C88" s="434"/>
      <c r="D88" s="434"/>
      <c r="E88" s="434"/>
      <c r="F88" s="434"/>
      <c r="G88" s="435"/>
      <c r="H88" s="435"/>
      <c r="I88" s="436"/>
      <c r="J88" s="436"/>
      <c r="K88" s="436"/>
      <c r="L88" s="437"/>
      <c r="M88" s="434"/>
      <c r="N88" s="434"/>
      <c r="O88" s="434"/>
      <c r="P88" s="434"/>
      <c r="Q88" s="437"/>
      <c r="R88" s="434"/>
      <c r="S88" s="434"/>
      <c r="T88" s="434"/>
      <c r="U88" s="434"/>
      <c r="V88" s="437"/>
      <c r="W88" s="434"/>
      <c r="X88" s="434"/>
      <c r="Y88" s="434"/>
      <c r="Z88" s="434"/>
      <c r="AA88" s="437"/>
      <c r="AB88" s="434"/>
      <c r="AC88" s="437"/>
      <c r="AD88" s="465"/>
      <c r="AE88" s="434"/>
      <c r="AF88" s="437"/>
      <c r="AG88" s="434"/>
      <c r="AH88" s="434"/>
      <c r="AI88" s="437"/>
      <c r="AJ88" s="465"/>
      <c r="AK88" s="437"/>
      <c r="AL88" s="434"/>
      <c r="AM88" s="434"/>
      <c r="AN88" s="434"/>
      <c r="AO88" s="466"/>
      <c r="AP88" s="465"/>
      <c r="AQ88" s="437"/>
      <c r="AR88" s="434"/>
      <c r="AS88" s="434"/>
      <c r="AT88" s="434"/>
      <c r="AU88" s="466"/>
      <c r="AV88" s="465"/>
      <c r="AW88" s="437"/>
      <c r="AX88" s="434"/>
      <c r="AY88" s="434"/>
      <c r="AZ88" s="434"/>
      <c r="BA88" s="466"/>
      <c r="BB88" s="465"/>
      <c r="BC88" s="437"/>
      <c r="BD88" s="434"/>
      <c r="BE88" s="434"/>
      <c r="BF88" s="434"/>
      <c r="BG88" s="466"/>
      <c r="BH88" s="451"/>
      <c r="BI88" s="213">
        <f t="shared" ref="BI88" si="43">SUM(BI82:BI87)</f>
        <v>0</v>
      </c>
      <c r="BJ88" s="213">
        <f t="shared" ref="BJ88" si="44">SUM(BJ82:BJ87)</f>
        <v>0</v>
      </c>
      <c r="BK88" s="213"/>
      <c r="BL88" s="213">
        <f t="shared" ref="BL88" si="45">SUM(BL82:BL87)</f>
        <v>0</v>
      </c>
      <c r="BM88" s="451"/>
      <c r="BN88" s="451"/>
      <c r="BO88" s="451"/>
      <c r="BP88" s="451"/>
      <c r="BQ88" s="451"/>
      <c r="BR88" s="451"/>
      <c r="BS88" s="451"/>
      <c r="BT88" s="451"/>
      <c r="BU88" s="451"/>
      <c r="BV88" s="451"/>
      <c r="BW88" s="451"/>
      <c r="BX88" s="451"/>
      <c r="BY88" s="451"/>
      <c r="BZ88" s="451"/>
      <c r="CA88" s="451"/>
      <c r="CB88" s="451"/>
      <c r="CC88" s="451"/>
    </row>
    <row r="89" spans="1:81" ht="14.5">
      <c r="A89" s="555" t="s">
        <v>393</v>
      </c>
      <c r="B89" s="9" t="s">
        <v>394</v>
      </c>
      <c r="C89" s="9">
        <v>7334</v>
      </c>
      <c r="D89" s="9">
        <v>180</v>
      </c>
      <c r="E89" s="9" t="s">
        <v>461</v>
      </c>
      <c r="F89" s="9" t="s">
        <v>395</v>
      </c>
      <c r="G89" s="54">
        <v>14.674189999999999</v>
      </c>
      <c r="H89" s="54">
        <v>38.84986</v>
      </c>
      <c r="I89" s="193" t="s">
        <v>525</v>
      </c>
      <c r="J89" s="193" t="s">
        <v>460</v>
      </c>
      <c r="K89" s="193">
        <v>8.1999999999999993</v>
      </c>
      <c r="L89" s="90" t="s">
        <v>458</v>
      </c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0"/>
      <c r="AD89" s="467"/>
      <c r="AE89" s="9"/>
      <c r="AF89" s="9"/>
      <c r="AG89" s="9"/>
      <c r="AH89" s="9"/>
      <c r="AI89" s="90"/>
      <c r="AJ89" s="467"/>
      <c r="AK89" s="9"/>
      <c r="AL89" s="9"/>
      <c r="AM89" s="9"/>
      <c r="AN89" s="9"/>
      <c r="AO89" s="468"/>
      <c r="AP89" s="467"/>
      <c r="AQ89" s="9"/>
      <c r="AR89" s="9"/>
      <c r="AS89" s="9"/>
      <c r="AT89" s="9"/>
      <c r="AU89" s="468"/>
      <c r="AV89" s="467"/>
      <c r="AW89" s="9"/>
      <c r="AX89" s="9"/>
      <c r="AY89" s="9"/>
      <c r="AZ89" s="9"/>
      <c r="BA89" s="468"/>
      <c r="BB89" s="467"/>
      <c r="BC89" s="9"/>
      <c r="BD89" s="9"/>
      <c r="BE89" s="9"/>
      <c r="BF89" s="9"/>
      <c r="BG89" s="468"/>
      <c r="BI89" s="317">
        <f>AB89+V89</f>
        <v>0</v>
      </c>
      <c r="BJ89" s="317">
        <f>AH89+AN89</f>
        <v>0</v>
      </c>
      <c r="BK89" s="317"/>
      <c r="BL89" s="221">
        <f>BI89+BJ89+BK89</f>
        <v>0</v>
      </c>
    </row>
    <row r="90" spans="1:81" ht="14.5">
      <c r="A90" s="555"/>
      <c r="B90" s="9" t="s">
        <v>396</v>
      </c>
      <c r="C90" s="9">
        <v>7334</v>
      </c>
      <c r="D90" s="9">
        <v>180</v>
      </c>
      <c r="E90" s="9" t="s">
        <v>507</v>
      </c>
      <c r="F90" s="9" t="s">
        <v>397</v>
      </c>
      <c r="G90" s="54">
        <v>14.569990000000001</v>
      </c>
      <c r="H90" s="54">
        <v>39.270899999999997</v>
      </c>
      <c r="I90" s="193" t="s">
        <v>526</v>
      </c>
      <c r="J90" s="193" t="s">
        <v>457</v>
      </c>
      <c r="K90" s="193">
        <v>50</v>
      </c>
      <c r="L90" s="90" t="s">
        <v>458</v>
      </c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0"/>
      <c r="AD90" s="467"/>
      <c r="AE90" s="9"/>
      <c r="AF90" s="9"/>
      <c r="AG90" s="9"/>
      <c r="AH90" s="9"/>
      <c r="AI90" s="90"/>
      <c r="AJ90" s="467"/>
      <c r="AK90" s="9"/>
      <c r="AL90" s="9"/>
      <c r="AM90" s="9"/>
      <c r="AN90" s="9"/>
      <c r="AO90" s="468"/>
      <c r="AP90" s="467"/>
      <c r="AQ90" s="9"/>
      <c r="AR90" s="9"/>
      <c r="AS90" s="9"/>
      <c r="AT90" s="9"/>
      <c r="AU90" s="468"/>
      <c r="AV90" s="467"/>
      <c r="AW90" s="9"/>
      <c r="AX90" s="9"/>
      <c r="AY90" s="9"/>
      <c r="AZ90" s="9"/>
      <c r="BA90" s="468"/>
      <c r="BB90" s="467"/>
      <c r="BC90" s="9"/>
      <c r="BD90" s="9"/>
      <c r="BE90" s="9"/>
      <c r="BF90" s="9"/>
      <c r="BG90" s="468"/>
      <c r="BI90" s="317">
        <f>AB90+V90</f>
        <v>0</v>
      </c>
      <c r="BJ90" s="317">
        <f>AH90+AN90</f>
        <v>0</v>
      </c>
      <c r="BK90" s="317"/>
      <c r="BL90" s="221">
        <f>BI90+BJ90+BK90</f>
        <v>0</v>
      </c>
    </row>
    <row r="91" spans="1:81" ht="14.5">
      <c r="A91" s="555"/>
      <c r="B91" s="9" t="s">
        <v>398</v>
      </c>
      <c r="C91" s="9">
        <v>7334</v>
      </c>
      <c r="D91" s="9">
        <v>180</v>
      </c>
      <c r="E91" s="9" t="s">
        <v>507</v>
      </c>
      <c r="F91" s="9" t="s">
        <v>399</v>
      </c>
      <c r="G91" s="54">
        <v>14.77176</v>
      </c>
      <c r="H91" s="54">
        <v>39.220089999999999</v>
      </c>
      <c r="I91" s="193" t="s">
        <v>527</v>
      </c>
      <c r="J91" s="193" t="s">
        <v>457</v>
      </c>
      <c r="K91" s="193">
        <v>55</v>
      </c>
      <c r="L91" s="90" t="s">
        <v>458</v>
      </c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0"/>
      <c r="AD91" s="467"/>
      <c r="AE91" s="9"/>
      <c r="AF91" s="9"/>
      <c r="AG91" s="9"/>
      <c r="AH91" s="9"/>
      <c r="AI91" s="90"/>
      <c r="AJ91" s="467"/>
      <c r="AK91" s="9"/>
      <c r="AL91" s="9"/>
      <c r="AM91" s="9"/>
      <c r="AN91" s="9"/>
      <c r="AO91" s="468"/>
      <c r="AP91" s="467"/>
      <c r="AQ91" s="9"/>
      <c r="AR91" s="9"/>
      <c r="AS91" s="9"/>
      <c r="AT91" s="9"/>
      <c r="AU91" s="468"/>
      <c r="AV91" s="467"/>
      <c r="AW91" s="9"/>
      <c r="AX91" s="9"/>
      <c r="AY91" s="9"/>
      <c r="AZ91" s="9"/>
      <c r="BA91" s="468"/>
      <c r="BB91" s="467"/>
      <c r="BC91" s="9"/>
      <c r="BD91" s="9"/>
      <c r="BE91" s="9"/>
      <c r="BF91" s="9"/>
      <c r="BG91" s="468"/>
      <c r="BI91" s="317">
        <f>AB91+V91</f>
        <v>0</v>
      </c>
      <c r="BJ91" s="317">
        <f>AH91+AN91</f>
        <v>0</v>
      </c>
      <c r="BK91" s="317"/>
      <c r="BL91" s="221">
        <f>BI91+BJ91+BK91</f>
        <v>0</v>
      </c>
    </row>
    <row r="92" spans="1:81" ht="14.5">
      <c r="A92" s="555"/>
      <c r="B92" s="9" t="s">
        <v>400</v>
      </c>
      <c r="C92" s="9">
        <v>7334</v>
      </c>
      <c r="D92" s="9">
        <v>180</v>
      </c>
      <c r="E92" s="9" t="s">
        <v>507</v>
      </c>
      <c r="F92" s="9" t="s">
        <v>401</v>
      </c>
      <c r="G92" s="54">
        <v>14.638450000000001</v>
      </c>
      <c r="H92" s="54">
        <v>39.230170000000001</v>
      </c>
      <c r="I92" s="193" t="s">
        <v>524</v>
      </c>
      <c r="J92" s="193" t="s">
        <v>457</v>
      </c>
      <c r="K92" s="193">
        <v>40</v>
      </c>
      <c r="L92" s="90" t="s">
        <v>458</v>
      </c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0"/>
      <c r="AD92" s="467"/>
      <c r="AE92" s="9"/>
      <c r="AF92" s="9"/>
      <c r="AG92" s="9"/>
      <c r="AH92" s="9"/>
      <c r="AI92" s="90"/>
      <c r="AJ92" s="467"/>
      <c r="AK92" s="9"/>
      <c r="AL92" s="9"/>
      <c r="AM92" s="9"/>
      <c r="AN92" s="9"/>
      <c r="AO92" s="468"/>
      <c r="AP92" s="467"/>
      <c r="AQ92" s="9"/>
      <c r="AR92" s="9"/>
      <c r="AS92" s="9"/>
      <c r="AT92" s="9"/>
      <c r="AU92" s="468"/>
      <c r="AV92" s="467"/>
      <c r="AW92" s="9"/>
      <c r="AX92" s="9"/>
      <c r="AY92" s="9"/>
      <c r="AZ92" s="9"/>
      <c r="BA92" s="468"/>
      <c r="BB92" s="467"/>
      <c r="BC92" s="9"/>
      <c r="BD92" s="9"/>
      <c r="BE92" s="9"/>
      <c r="BF92" s="9"/>
      <c r="BG92" s="468"/>
      <c r="BI92" s="317">
        <f>AB92+V92</f>
        <v>0</v>
      </c>
      <c r="BJ92" s="317">
        <f>AH92+AN92</f>
        <v>0</v>
      </c>
      <c r="BK92" s="317"/>
      <c r="BL92" s="221">
        <f>BI92+BJ92+BK92</f>
        <v>0</v>
      </c>
    </row>
    <row r="93" spans="1:81" thickBot="1">
      <c r="A93" s="555"/>
      <c r="B93" s="9" t="s">
        <v>402</v>
      </c>
      <c r="C93" s="9">
        <v>7334</v>
      </c>
      <c r="D93" s="9">
        <v>180</v>
      </c>
      <c r="E93" s="9" t="s">
        <v>464</v>
      </c>
      <c r="F93" s="9" t="s">
        <v>403</v>
      </c>
      <c r="G93" s="54">
        <v>14.53168</v>
      </c>
      <c r="H93" s="54">
        <v>38.550789999999999</v>
      </c>
      <c r="I93" s="193" t="s">
        <v>493</v>
      </c>
      <c r="J93" s="193" t="s">
        <v>460</v>
      </c>
      <c r="K93" s="193">
        <v>8.1</v>
      </c>
      <c r="L93" s="90" t="s">
        <v>458</v>
      </c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0"/>
      <c r="AD93" s="467"/>
      <c r="AE93" s="9"/>
      <c r="AF93" s="9"/>
      <c r="AG93" s="9"/>
      <c r="AH93" s="9"/>
      <c r="AI93" s="90"/>
      <c r="AJ93" s="467"/>
      <c r="AK93" s="9"/>
      <c r="AL93" s="9"/>
      <c r="AM93" s="9"/>
      <c r="AN93" s="9"/>
      <c r="AO93" s="468"/>
      <c r="AP93" s="467"/>
      <c r="AQ93" s="9"/>
      <c r="AR93" s="9"/>
      <c r="AS93" s="9"/>
      <c r="AT93" s="9"/>
      <c r="AU93" s="468"/>
      <c r="AV93" s="467"/>
      <c r="AW93" s="9"/>
      <c r="AX93" s="9"/>
      <c r="AY93" s="9"/>
      <c r="AZ93" s="9"/>
      <c r="BA93" s="468"/>
      <c r="BB93" s="467"/>
      <c r="BC93" s="9"/>
      <c r="BD93" s="9"/>
      <c r="BE93" s="9"/>
      <c r="BF93" s="9"/>
      <c r="BG93" s="468"/>
      <c r="BI93" s="317">
        <f>AB93+V93</f>
        <v>0</v>
      </c>
      <c r="BJ93" s="317">
        <f>AH93+AN93</f>
        <v>0</v>
      </c>
      <c r="BK93" s="317"/>
      <c r="BL93" s="221">
        <f>BI93+BJ93+BK93</f>
        <v>0</v>
      </c>
    </row>
    <row r="94" spans="1:81" thickBot="1">
      <c r="A94" s="438"/>
      <c r="B94" s="205"/>
      <c r="C94" s="205"/>
      <c r="D94" s="205"/>
      <c r="E94" s="205"/>
      <c r="F94" s="205"/>
      <c r="G94" s="206"/>
      <c r="H94" s="206"/>
      <c r="I94" s="207"/>
      <c r="J94" s="207"/>
      <c r="K94" s="207"/>
      <c r="L94" s="208"/>
      <c r="M94" s="205"/>
      <c r="N94" s="205"/>
      <c r="O94" s="205"/>
      <c r="P94" s="205"/>
      <c r="Q94" s="208"/>
      <c r="R94" s="205"/>
      <c r="S94" s="205"/>
      <c r="T94" s="205"/>
      <c r="U94" s="205"/>
      <c r="V94" s="208"/>
      <c r="W94" s="205"/>
      <c r="X94" s="205"/>
      <c r="Y94" s="205"/>
      <c r="Z94" s="205"/>
      <c r="AA94" s="208"/>
      <c r="AB94" s="205"/>
      <c r="AC94" s="208"/>
      <c r="AD94" s="469"/>
      <c r="AE94" s="205"/>
      <c r="AF94" s="208"/>
      <c r="AG94" s="205"/>
      <c r="AH94" s="205"/>
      <c r="AI94" s="208"/>
      <c r="AJ94" s="469"/>
      <c r="AK94" s="208"/>
      <c r="AL94" s="205"/>
      <c r="AM94" s="205"/>
      <c r="AN94" s="205"/>
      <c r="AO94" s="470"/>
      <c r="AP94" s="469"/>
      <c r="AQ94" s="208"/>
      <c r="AR94" s="205"/>
      <c r="AS94" s="205"/>
      <c r="AT94" s="205"/>
      <c r="AU94" s="470"/>
      <c r="AV94" s="469"/>
      <c r="AW94" s="208"/>
      <c r="AX94" s="205"/>
      <c r="AY94" s="205"/>
      <c r="AZ94" s="205"/>
      <c r="BA94" s="470"/>
      <c r="BB94" s="469"/>
      <c r="BC94" s="208"/>
      <c r="BD94" s="205"/>
      <c r="BE94" s="205"/>
      <c r="BF94" s="205"/>
      <c r="BG94" s="470"/>
      <c r="BI94" s="213">
        <f t="shared" ref="BI94" si="46">SUM(BI89:BI93)</f>
        <v>0</v>
      </c>
      <c r="BJ94" s="213">
        <f t="shared" ref="BJ94" si="47">SUM(BJ89:BJ93)</f>
        <v>0</v>
      </c>
      <c r="BK94" s="213"/>
      <c r="BL94" s="213">
        <f t="shared" ref="BL94" si="48">SUM(BL89:BL93)</f>
        <v>0</v>
      </c>
    </row>
    <row r="95" spans="1:81" ht="14.5">
      <c r="A95" s="555" t="s">
        <v>404</v>
      </c>
      <c r="B95" s="9" t="s">
        <v>405</v>
      </c>
      <c r="C95" s="9">
        <v>7335</v>
      </c>
      <c r="D95" s="9">
        <v>181</v>
      </c>
      <c r="E95" s="9" t="s">
        <v>455</v>
      </c>
      <c r="F95" s="9" t="s">
        <v>406</v>
      </c>
      <c r="G95" s="54">
        <v>14.722989999999999</v>
      </c>
      <c r="H95" s="54">
        <v>39.472749999999998</v>
      </c>
      <c r="I95" s="193" t="s">
        <v>484</v>
      </c>
      <c r="J95" s="193" t="s">
        <v>460</v>
      </c>
      <c r="K95" s="193">
        <v>5</v>
      </c>
      <c r="L95" s="90" t="s">
        <v>458</v>
      </c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0"/>
      <c r="AD95" s="467"/>
      <c r="AE95" s="9"/>
      <c r="AF95" s="9"/>
      <c r="AG95" s="9"/>
      <c r="AH95" s="9"/>
      <c r="AI95" s="90"/>
      <c r="AJ95" s="467"/>
      <c r="AK95" s="9"/>
      <c r="AL95" s="9"/>
      <c r="AM95" s="9"/>
      <c r="AN95" s="9"/>
      <c r="AO95" s="468"/>
      <c r="AP95" s="467"/>
      <c r="AQ95" s="9"/>
      <c r="AR95" s="9"/>
      <c r="AS95" s="9"/>
      <c r="AT95" s="9"/>
      <c r="AU95" s="468"/>
      <c r="AV95" s="467"/>
      <c r="AW95" s="9"/>
      <c r="AX95" s="9"/>
      <c r="AY95" s="9"/>
      <c r="AZ95" s="9"/>
      <c r="BA95" s="468"/>
      <c r="BB95" s="467"/>
      <c r="BC95" s="9"/>
      <c r="BD95" s="9"/>
      <c r="BE95" s="9"/>
      <c r="BF95" s="9"/>
      <c r="BG95" s="468"/>
      <c r="BI95" s="317">
        <f>AB95+V95</f>
        <v>0</v>
      </c>
      <c r="BJ95" s="317">
        <f>AH95+AN95</f>
        <v>0</v>
      </c>
      <c r="BK95" s="317"/>
      <c r="BL95" s="221">
        <f>BI95+BJ95+BK95</f>
        <v>0</v>
      </c>
    </row>
    <row r="96" spans="1:81" ht="14.5">
      <c r="A96" s="555"/>
      <c r="B96" s="9" t="s">
        <v>407</v>
      </c>
      <c r="C96" s="9">
        <v>7335</v>
      </c>
      <c r="D96" s="9">
        <v>181</v>
      </c>
      <c r="E96" s="9" t="s">
        <v>461</v>
      </c>
      <c r="F96" s="9" t="s">
        <v>408</v>
      </c>
      <c r="G96" s="54">
        <v>14.63448</v>
      </c>
      <c r="H96" s="54">
        <v>38.865090000000002</v>
      </c>
      <c r="I96" s="193" t="s">
        <v>528</v>
      </c>
      <c r="J96" s="193" t="s">
        <v>460</v>
      </c>
      <c r="K96" s="193">
        <v>7.4</v>
      </c>
      <c r="L96" s="90" t="s">
        <v>458</v>
      </c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0"/>
      <c r="AD96" s="467"/>
      <c r="AE96" s="9"/>
      <c r="AF96" s="9"/>
      <c r="AG96" s="9"/>
      <c r="AH96" s="9"/>
      <c r="AI96" s="90"/>
      <c r="AJ96" s="467"/>
      <c r="AK96" s="9"/>
      <c r="AL96" s="9"/>
      <c r="AM96" s="9"/>
      <c r="AN96" s="9"/>
      <c r="AO96" s="468"/>
      <c r="AP96" s="467"/>
      <c r="AQ96" s="9"/>
      <c r="AR96" s="9"/>
      <c r="AS96" s="9"/>
      <c r="AT96" s="9"/>
      <c r="AU96" s="468"/>
      <c r="AV96" s="467"/>
      <c r="AW96" s="9"/>
      <c r="AX96" s="9"/>
      <c r="AY96" s="9"/>
      <c r="AZ96" s="9"/>
      <c r="BA96" s="468"/>
      <c r="BB96" s="467"/>
      <c r="BC96" s="9"/>
      <c r="BD96" s="9"/>
      <c r="BE96" s="9"/>
      <c r="BF96" s="9"/>
      <c r="BG96" s="468"/>
      <c r="BI96" s="317">
        <f>AB96+V96</f>
        <v>0</v>
      </c>
      <c r="BJ96" s="317">
        <f>AH96+AN96</f>
        <v>0</v>
      </c>
      <c r="BK96" s="317"/>
      <c r="BL96" s="221">
        <f>BI96+BJ96+BK96</f>
        <v>0</v>
      </c>
    </row>
    <row r="97" spans="1:82" ht="14.5">
      <c r="A97" s="555"/>
      <c r="B97" s="9" t="s">
        <v>409</v>
      </c>
      <c r="C97" s="9">
        <v>7335</v>
      </c>
      <c r="D97" s="9">
        <v>181</v>
      </c>
      <c r="E97" s="9" t="s">
        <v>482</v>
      </c>
      <c r="F97" s="9" t="s">
        <v>410</v>
      </c>
      <c r="G97" s="54">
        <v>14.83629</v>
      </c>
      <c r="H97" s="54">
        <v>39.082630000000002</v>
      </c>
      <c r="I97" s="193" t="s">
        <v>529</v>
      </c>
      <c r="J97" s="193" t="s">
        <v>457</v>
      </c>
      <c r="K97" s="193">
        <v>62</v>
      </c>
      <c r="L97" s="90" t="s">
        <v>458</v>
      </c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0"/>
      <c r="AD97" s="467"/>
      <c r="AE97" s="9"/>
      <c r="AF97" s="9"/>
      <c r="AG97" s="9"/>
      <c r="AH97" s="9"/>
      <c r="AI97" s="90"/>
      <c r="AJ97" s="467"/>
      <c r="AK97" s="9"/>
      <c r="AL97" s="9"/>
      <c r="AM97" s="9"/>
      <c r="AN97" s="9"/>
      <c r="AO97" s="468"/>
      <c r="AP97" s="467"/>
      <c r="AQ97" s="9"/>
      <c r="AR97" s="9"/>
      <c r="AS97" s="9"/>
      <c r="AT97" s="9"/>
      <c r="AU97" s="468"/>
      <c r="AV97" s="467"/>
      <c r="AW97" s="9"/>
      <c r="AX97" s="9"/>
      <c r="AY97" s="9"/>
      <c r="AZ97" s="9"/>
      <c r="BA97" s="468"/>
      <c r="BB97" s="467"/>
      <c r="BC97" s="9"/>
      <c r="BD97" s="9"/>
      <c r="BE97" s="9"/>
      <c r="BF97" s="9"/>
      <c r="BG97" s="468"/>
      <c r="BI97" s="317">
        <f>AB97+V97</f>
        <v>0</v>
      </c>
      <c r="BJ97" s="317">
        <f>AH97+AN97</f>
        <v>0</v>
      </c>
      <c r="BK97" s="317"/>
      <c r="BL97" s="221">
        <f>BI97+BJ97+BK97</f>
        <v>0</v>
      </c>
    </row>
    <row r="98" spans="1:82" ht="14.5">
      <c r="A98" s="555"/>
      <c r="B98" s="9" t="s">
        <v>411</v>
      </c>
      <c r="C98" s="9">
        <v>7335</v>
      </c>
      <c r="D98" s="9">
        <v>181</v>
      </c>
      <c r="E98" s="9" t="s">
        <v>464</v>
      </c>
      <c r="F98" s="9" t="s">
        <v>412</v>
      </c>
      <c r="G98" s="54">
        <v>14.55885</v>
      </c>
      <c r="H98" s="54">
        <v>38.512970000000003</v>
      </c>
      <c r="I98" s="193" t="s">
        <v>530</v>
      </c>
      <c r="J98" s="193" t="s">
        <v>460</v>
      </c>
      <c r="K98" s="193">
        <v>7.1</v>
      </c>
      <c r="L98" s="90" t="s">
        <v>458</v>
      </c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0"/>
      <c r="AD98" s="467"/>
      <c r="AE98" s="9"/>
      <c r="AF98" s="9"/>
      <c r="AG98" s="9"/>
      <c r="AH98" s="9"/>
      <c r="AI98" s="90"/>
      <c r="AJ98" s="467"/>
      <c r="AK98" s="9"/>
      <c r="AL98" s="9"/>
      <c r="AM98" s="9"/>
      <c r="AN98" s="9"/>
      <c r="AO98" s="468"/>
      <c r="AP98" s="467"/>
      <c r="AQ98" s="9"/>
      <c r="AR98" s="9"/>
      <c r="AS98" s="9"/>
      <c r="AT98" s="9"/>
      <c r="AU98" s="468"/>
      <c r="AV98" s="467"/>
      <c r="AW98" s="9"/>
      <c r="AX98" s="9"/>
      <c r="AY98" s="9"/>
      <c r="AZ98" s="9"/>
      <c r="BA98" s="468"/>
      <c r="BB98" s="467"/>
      <c r="BC98" s="9"/>
      <c r="BD98" s="9"/>
      <c r="BE98" s="9"/>
      <c r="BF98" s="9"/>
      <c r="BG98" s="468"/>
      <c r="BI98" s="317">
        <f>AB98+V98</f>
        <v>0</v>
      </c>
      <c r="BJ98" s="317">
        <f>AH98+AN98</f>
        <v>0</v>
      </c>
      <c r="BK98" s="317"/>
      <c r="BL98" s="221">
        <f>BI98+BJ98+BK98</f>
        <v>0</v>
      </c>
    </row>
    <row r="99" spans="1:82" thickBot="1">
      <c r="A99" s="555"/>
      <c r="B99" s="9" t="s">
        <v>413</v>
      </c>
      <c r="C99" s="9">
        <v>7335</v>
      </c>
      <c r="D99" s="9">
        <v>181</v>
      </c>
      <c r="E99" s="9" t="s">
        <v>464</v>
      </c>
      <c r="F99" s="9" t="s">
        <v>414</v>
      </c>
      <c r="G99" s="54">
        <v>14.541930000000001</v>
      </c>
      <c r="H99" s="54">
        <v>38.512990000000002</v>
      </c>
      <c r="I99" s="193" t="s">
        <v>488</v>
      </c>
      <c r="J99" s="193" t="s">
        <v>460</v>
      </c>
      <c r="K99" s="193">
        <v>7.3</v>
      </c>
      <c r="L99" s="90" t="s">
        <v>458</v>
      </c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0"/>
      <c r="AD99" s="467"/>
      <c r="AE99" s="9"/>
      <c r="AF99" s="9"/>
      <c r="AG99" s="9"/>
      <c r="AH99" s="9"/>
      <c r="AI99" s="90"/>
      <c r="AJ99" s="467"/>
      <c r="AK99" s="9"/>
      <c r="AL99" s="9"/>
      <c r="AM99" s="9"/>
      <c r="AN99" s="9"/>
      <c r="AO99" s="468"/>
      <c r="AP99" s="467"/>
      <c r="AQ99" s="9"/>
      <c r="AR99" s="9"/>
      <c r="AS99" s="9"/>
      <c r="AT99" s="9"/>
      <c r="AU99" s="468"/>
      <c r="AV99" s="467"/>
      <c r="AW99" s="9"/>
      <c r="AX99" s="9"/>
      <c r="AY99" s="9"/>
      <c r="AZ99" s="9"/>
      <c r="BA99" s="468"/>
      <c r="BB99" s="467"/>
      <c r="BC99" s="9"/>
      <c r="BD99" s="9"/>
      <c r="BE99" s="9"/>
      <c r="BF99" s="9"/>
      <c r="BG99" s="468"/>
      <c r="BI99" s="317">
        <f>AB99+V99</f>
        <v>0</v>
      </c>
      <c r="BJ99" s="317">
        <f>AH99+AN99</f>
        <v>0</v>
      </c>
      <c r="BK99" s="317"/>
      <c r="BL99" s="221">
        <f>BI99+BJ99+BK99</f>
        <v>0</v>
      </c>
    </row>
    <row r="100" spans="1:82" thickBot="1">
      <c r="A100" s="438"/>
      <c r="B100" s="205"/>
      <c r="C100" s="205"/>
      <c r="D100" s="205"/>
      <c r="E100" s="205"/>
      <c r="F100" s="205"/>
      <c r="G100" s="206"/>
      <c r="H100" s="206"/>
      <c r="I100" s="207"/>
      <c r="J100" s="207"/>
      <c r="K100" s="207"/>
      <c r="L100" s="208"/>
      <c r="M100" s="205"/>
      <c r="N100" s="205"/>
      <c r="O100" s="205"/>
      <c r="P100" s="205"/>
      <c r="Q100" s="208"/>
      <c r="R100" s="205"/>
      <c r="S100" s="205"/>
      <c r="T100" s="205"/>
      <c r="U100" s="205"/>
      <c r="V100" s="208"/>
      <c r="W100" s="205"/>
      <c r="X100" s="205"/>
      <c r="Y100" s="205"/>
      <c r="Z100" s="205"/>
      <c r="AA100" s="208"/>
      <c r="AB100" s="205"/>
      <c r="AC100" s="208"/>
      <c r="AD100" s="469"/>
      <c r="AE100" s="205"/>
      <c r="AF100" s="208"/>
      <c r="AG100" s="205"/>
      <c r="AH100" s="205"/>
      <c r="AI100" s="208"/>
      <c r="AJ100" s="469"/>
      <c r="AK100" s="208"/>
      <c r="AL100" s="205"/>
      <c r="AM100" s="205"/>
      <c r="AN100" s="205"/>
      <c r="AO100" s="470"/>
      <c r="AP100" s="469"/>
      <c r="AQ100" s="208"/>
      <c r="AR100" s="205"/>
      <c r="AS100" s="205"/>
      <c r="AT100" s="205"/>
      <c r="AU100" s="470"/>
      <c r="AV100" s="469"/>
      <c r="AW100" s="208"/>
      <c r="AX100" s="205"/>
      <c r="AY100" s="205"/>
      <c r="AZ100" s="205"/>
      <c r="BA100" s="470"/>
      <c r="BB100" s="469"/>
      <c r="BC100" s="208"/>
      <c r="BD100" s="205"/>
      <c r="BE100" s="205"/>
      <c r="BF100" s="205"/>
      <c r="BG100" s="470"/>
      <c r="BI100" s="213">
        <f t="shared" ref="BI100" si="49">SUM(BI95:BI99)</f>
        <v>0</v>
      </c>
      <c r="BJ100" s="213">
        <f t="shared" ref="BJ100" si="50">SUM(BJ95:BJ99)</f>
        <v>0</v>
      </c>
      <c r="BK100" s="213"/>
      <c r="BL100" s="213">
        <f t="shared" ref="BL100" si="51">SUM(BL95:BL99)</f>
        <v>0</v>
      </c>
    </row>
    <row r="101" spans="1:82" ht="14.5">
      <c r="A101" s="555" t="s">
        <v>531</v>
      </c>
      <c r="B101" s="9" t="s">
        <v>417</v>
      </c>
      <c r="C101" s="9">
        <v>7336</v>
      </c>
      <c r="D101" s="9">
        <v>182</v>
      </c>
      <c r="E101" s="9" t="s">
        <v>461</v>
      </c>
      <c r="F101" s="9" t="s">
        <v>418</v>
      </c>
      <c r="G101" s="54">
        <v>14.514799999999999</v>
      </c>
      <c r="H101" s="54">
        <v>38.680999999999997</v>
      </c>
      <c r="I101" s="193" t="s">
        <v>532</v>
      </c>
      <c r="J101" s="193" t="s">
        <v>460</v>
      </c>
      <c r="K101" s="193">
        <v>8.3000000000000007</v>
      </c>
      <c r="L101" s="90" t="s">
        <v>458</v>
      </c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0"/>
      <c r="AD101" s="467"/>
      <c r="AE101" s="9"/>
      <c r="AF101" s="9"/>
      <c r="AG101" s="9"/>
      <c r="AH101" s="9"/>
      <c r="AI101" s="90"/>
      <c r="AJ101" s="467"/>
      <c r="AK101" s="9"/>
      <c r="AL101" s="9"/>
      <c r="AM101" s="9"/>
      <c r="AN101" s="9"/>
      <c r="AO101" s="468"/>
      <c r="AP101" s="467"/>
      <c r="AQ101" s="9"/>
      <c r="AR101" s="9"/>
      <c r="AS101" s="9"/>
      <c r="AT101" s="9"/>
      <c r="AU101" s="468"/>
      <c r="AV101" s="467"/>
      <c r="AW101" s="9"/>
      <c r="AX101" s="9"/>
      <c r="AY101" s="9"/>
      <c r="AZ101" s="9"/>
      <c r="BA101" s="468"/>
      <c r="BB101" s="467"/>
      <c r="BC101" s="9"/>
      <c r="BD101" s="9"/>
      <c r="BE101" s="9"/>
      <c r="BF101" s="9"/>
      <c r="BG101" s="468"/>
      <c r="BI101" s="317">
        <f>AB101+V101</f>
        <v>0</v>
      </c>
      <c r="BJ101" s="317">
        <f>AH101+AN101</f>
        <v>0</v>
      </c>
      <c r="BK101" s="317"/>
      <c r="BL101" s="221">
        <f>BI101+BJ101+BK101</f>
        <v>0</v>
      </c>
    </row>
    <row r="102" spans="1:82" ht="14.5">
      <c r="A102" s="555"/>
      <c r="B102" s="9" t="s">
        <v>419</v>
      </c>
      <c r="C102" s="9">
        <v>7336</v>
      </c>
      <c r="D102" s="9">
        <v>182</v>
      </c>
      <c r="E102" s="9" t="s">
        <v>507</v>
      </c>
      <c r="F102" s="9" t="s">
        <v>420</v>
      </c>
      <c r="G102" s="54">
        <v>14.75765</v>
      </c>
      <c r="H102" s="54">
        <v>39.297879999999999</v>
      </c>
      <c r="I102" s="193" t="s">
        <v>533</v>
      </c>
      <c r="J102" s="193" t="s">
        <v>457</v>
      </c>
      <c r="K102" s="193">
        <v>40</v>
      </c>
      <c r="L102" s="90" t="s">
        <v>458</v>
      </c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0"/>
      <c r="AD102" s="467"/>
      <c r="AE102" s="9"/>
      <c r="AF102" s="9"/>
      <c r="AG102" s="9"/>
      <c r="AH102" s="9"/>
      <c r="AI102" s="90"/>
      <c r="AJ102" s="467"/>
      <c r="AK102" s="9"/>
      <c r="AL102" s="9"/>
      <c r="AM102" s="9"/>
      <c r="AN102" s="9"/>
      <c r="AO102" s="468"/>
      <c r="AP102" s="467"/>
      <c r="AQ102" s="9"/>
      <c r="AR102" s="9"/>
      <c r="AS102" s="9"/>
      <c r="AT102" s="9"/>
      <c r="AU102" s="468"/>
      <c r="AV102" s="467"/>
      <c r="AW102" s="9"/>
      <c r="AX102" s="9"/>
      <c r="AY102" s="9"/>
      <c r="AZ102" s="9"/>
      <c r="BA102" s="468"/>
      <c r="BB102" s="467"/>
      <c r="BC102" s="9"/>
      <c r="BD102" s="9"/>
      <c r="BE102" s="9"/>
      <c r="BF102" s="9"/>
      <c r="BG102" s="468"/>
      <c r="BI102" s="317">
        <f>AB102+V102</f>
        <v>0</v>
      </c>
      <c r="BJ102" s="317">
        <f>AH102+AN102</f>
        <v>0</v>
      </c>
      <c r="BK102" s="317"/>
      <c r="BL102" s="221">
        <f>BI102+BJ102+BK102</f>
        <v>0</v>
      </c>
    </row>
    <row r="103" spans="1:82" ht="14.5">
      <c r="A103" s="555"/>
      <c r="B103" s="9" t="s">
        <v>421</v>
      </c>
      <c r="C103" s="9">
        <v>7336</v>
      </c>
      <c r="D103" s="9">
        <v>182</v>
      </c>
      <c r="E103" s="9" t="s">
        <v>507</v>
      </c>
      <c r="F103" s="9" t="s">
        <v>422</v>
      </c>
      <c r="G103" s="54">
        <v>14.500529999999999</v>
      </c>
      <c r="H103" s="54">
        <v>39.279000000000003</v>
      </c>
      <c r="I103" s="193" t="s">
        <v>534</v>
      </c>
      <c r="J103" s="193" t="s">
        <v>457</v>
      </c>
      <c r="K103" s="193">
        <v>50</v>
      </c>
      <c r="L103" s="90" t="s">
        <v>458</v>
      </c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0"/>
      <c r="AD103" s="467"/>
      <c r="AE103" s="9"/>
      <c r="AF103" s="9"/>
      <c r="AG103" s="9"/>
      <c r="AH103" s="9"/>
      <c r="AI103" s="90"/>
      <c r="AJ103" s="467"/>
      <c r="AK103" s="9"/>
      <c r="AL103" s="9"/>
      <c r="AM103" s="9"/>
      <c r="AN103" s="9"/>
      <c r="AO103" s="468"/>
      <c r="AP103" s="467"/>
      <c r="AQ103" s="9"/>
      <c r="AR103" s="9"/>
      <c r="AS103" s="9"/>
      <c r="AT103" s="9"/>
      <c r="AU103" s="468"/>
      <c r="AV103" s="467"/>
      <c r="AW103" s="9"/>
      <c r="AX103" s="9"/>
      <c r="AY103" s="9"/>
      <c r="AZ103" s="9"/>
      <c r="BA103" s="468"/>
      <c r="BB103" s="467"/>
      <c r="BC103" s="9"/>
      <c r="BD103" s="9"/>
      <c r="BE103" s="9"/>
      <c r="BF103" s="9"/>
      <c r="BG103" s="468"/>
      <c r="BI103" s="317">
        <f>AB103+V103</f>
        <v>0</v>
      </c>
      <c r="BJ103" s="317">
        <f>AH103+AN103</f>
        <v>0</v>
      </c>
      <c r="BK103" s="317"/>
      <c r="BL103" s="221">
        <f>BI103+BJ103+BK103</f>
        <v>0</v>
      </c>
    </row>
    <row r="104" spans="1:82" ht="14.5">
      <c r="A104" s="555"/>
      <c r="B104" s="9" t="s">
        <v>423</v>
      </c>
      <c r="C104" s="9">
        <v>7336</v>
      </c>
      <c r="D104" s="9">
        <v>182</v>
      </c>
      <c r="E104" s="9" t="s">
        <v>464</v>
      </c>
      <c r="F104" s="9" t="s">
        <v>424</v>
      </c>
      <c r="G104" s="54">
        <v>14.51118</v>
      </c>
      <c r="H104" s="54">
        <v>38.428269999999998</v>
      </c>
      <c r="I104" s="193" t="s">
        <v>512</v>
      </c>
      <c r="J104" s="193" t="s">
        <v>460</v>
      </c>
      <c r="K104" s="193">
        <v>7.2</v>
      </c>
      <c r="L104" s="90" t="s">
        <v>458</v>
      </c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0"/>
      <c r="AD104" s="467"/>
      <c r="AE104" s="9"/>
      <c r="AF104" s="9"/>
      <c r="AG104" s="9"/>
      <c r="AH104" s="9"/>
      <c r="AI104" s="90"/>
      <c r="AJ104" s="467"/>
      <c r="AK104" s="9"/>
      <c r="AL104" s="9"/>
      <c r="AM104" s="9"/>
      <c r="AN104" s="9"/>
      <c r="AO104" s="468"/>
      <c r="AP104" s="467"/>
      <c r="AQ104" s="9"/>
      <c r="AR104" s="9"/>
      <c r="AS104" s="9"/>
      <c r="AT104" s="9"/>
      <c r="AU104" s="468"/>
      <c r="AV104" s="467"/>
      <c r="AW104" s="9"/>
      <c r="AX104" s="9"/>
      <c r="AY104" s="9"/>
      <c r="AZ104" s="9"/>
      <c r="BA104" s="468"/>
      <c r="BB104" s="467"/>
      <c r="BC104" s="9"/>
      <c r="BD104" s="9"/>
      <c r="BE104" s="9"/>
      <c r="BF104" s="9"/>
      <c r="BG104" s="468"/>
      <c r="BI104" s="317">
        <f>AB104+V104</f>
        <v>0</v>
      </c>
      <c r="BJ104" s="317">
        <f>AH104+AN104</f>
        <v>0</v>
      </c>
      <c r="BK104" s="317"/>
      <c r="BL104" s="221">
        <f>BI104+BJ104+BK104</f>
        <v>0</v>
      </c>
    </row>
    <row r="105" spans="1:82" thickBot="1">
      <c r="A105" s="555"/>
      <c r="B105" s="101" t="s">
        <v>425</v>
      </c>
      <c r="C105" s="101">
        <v>7336</v>
      </c>
      <c r="D105" s="101">
        <v>182</v>
      </c>
      <c r="E105" s="101" t="s">
        <v>464</v>
      </c>
      <c r="F105" s="101" t="s">
        <v>426</v>
      </c>
      <c r="G105" s="216">
        <v>14.53102</v>
      </c>
      <c r="H105" s="216">
        <v>38.556260000000002</v>
      </c>
      <c r="I105" s="217" t="s">
        <v>489</v>
      </c>
      <c r="J105" s="217" t="s">
        <v>460</v>
      </c>
      <c r="K105" s="217">
        <v>10</v>
      </c>
      <c r="L105" s="218" t="s">
        <v>458</v>
      </c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0"/>
      <c r="AD105" s="467"/>
      <c r="AE105" s="9"/>
      <c r="AF105" s="9"/>
      <c r="AG105" s="9"/>
      <c r="AH105" s="9"/>
      <c r="AI105" s="90"/>
      <c r="AJ105" s="467"/>
      <c r="AK105" s="9"/>
      <c r="AL105" s="9"/>
      <c r="AM105" s="9"/>
      <c r="AN105" s="9"/>
      <c r="AO105" s="468"/>
      <c r="AP105" s="467"/>
      <c r="AQ105" s="9"/>
      <c r="AR105" s="9"/>
      <c r="AS105" s="9"/>
      <c r="AT105" s="9"/>
      <c r="AU105" s="468"/>
      <c r="AV105" s="467"/>
      <c r="AW105" s="9"/>
      <c r="AX105" s="9"/>
      <c r="AY105" s="9"/>
      <c r="AZ105" s="9"/>
      <c r="BA105" s="468"/>
      <c r="BB105" s="467"/>
      <c r="BC105" s="9"/>
      <c r="BD105" s="9"/>
      <c r="BE105" s="9"/>
      <c r="BF105" s="9"/>
      <c r="BG105" s="468"/>
      <c r="BI105" s="317">
        <f>AB105+V105</f>
        <v>0</v>
      </c>
      <c r="BJ105" s="317">
        <f>AH105+AN105</f>
        <v>0</v>
      </c>
      <c r="BK105" s="317"/>
      <c r="BL105" s="221">
        <f>BI105+BJ105+BK105</f>
        <v>0</v>
      </c>
    </row>
    <row r="106" spans="1:82" s="221" customFormat="1" thickBot="1">
      <c r="A106" s="438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307"/>
      <c r="N106" s="307"/>
      <c r="O106" s="307"/>
      <c r="P106" s="307"/>
      <c r="Q106" s="319"/>
      <c r="R106" s="307"/>
      <c r="S106" s="307"/>
      <c r="T106" s="307"/>
      <c r="U106" s="307"/>
      <c r="V106" s="319"/>
      <c r="W106" s="307"/>
      <c r="X106" s="307"/>
      <c r="Y106" s="307"/>
      <c r="Z106" s="307"/>
      <c r="AA106" s="319"/>
      <c r="AB106" s="307"/>
      <c r="AC106" s="319"/>
      <c r="AD106" s="471"/>
      <c r="AE106" s="472"/>
      <c r="AF106" s="473"/>
      <c r="AG106" s="472"/>
      <c r="AH106" s="472"/>
      <c r="AI106" s="473"/>
      <c r="AJ106" s="471"/>
      <c r="AK106" s="473"/>
      <c r="AL106" s="472"/>
      <c r="AM106" s="472"/>
      <c r="AN106" s="472"/>
      <c r="AO106" s="474"/>
      <c r="AP106" s="471"/>
      <c r="AQ106" s="473"/>
      <c r="AR106" s="472"/>
      <c r="AS106" s="472"/>
      <c r="AT106" s="472"/>
      <c r="AU106" s="474"/>
      <c r="AV106" s="471"/>
      <c r="AW106" s="473"/>
      <c r="AX106" s="472"/>
      <c r="AY106" s="472"/>
      <c r="AZ106" s="472"/>
      <c r="BA106" s="474"/>
      <c r="BB106" s="471"/>
      <c r="BC106" s="473"/>
      <c r="BD106" s="472"/>
      <c r="BE106" s="472"/>
      <c r="BF106" s="472"/>
      <c r="BG106" s="474"/>
      <c r="BH106" s="191"/>
      <c r="BI106" s="213">
        <f t="shared" ref="BI106" si="52">SUM(BI101:BI105)</f>
        <v>0</v>
      </c>
      <c r="BJ106" s="213">
        <f t="shared" ref="BJ106" si="53">SUM(BJ101:BJ105)</f>
        <v>0</v>
      </c>
      <c r="BK106" s="213"/>
      <c r="BL106" s="213">
        <f t="shared" ref="BL106" si="54">SUM(BL101:BL105)</f>
        <v>0</v>
      </c>
      <c r="BM106" s="191"/>
      <c r="BN106" s="191"/>
      <c r="BO106" s="191"/>
      <c r="BP106" s="191"/>
      <c r="BQ106" s="191"/>
      <c r="BR106" s="191"/>
      <c r="BS106" s="191"/>
      <c r="BT106" s="191"/>
      <c r="BU106" s="191"/>
      <c r="BV106" s="191"/>
      <c r="BW106" s="191"/>
      <c r="BX106" s="191"/>
      <c r="BY106" s="191"/>
      <c r="BZ106" s="191"/>
      <c r="CA106" s="191"/>
      <c r="CB106" s="191"/>
      <c r="CC106" s="191"/>
      <c r="CD106" s="318"/>
    </row>
    <row r="108" spans="1:82" ht="14.5">
      <c r="W108" s="191">
        <f>W9+W15+W21+W27+W33+W39+W47+W54+W61+W68+W74+W81+W88+W94+W100+W106</f>
        <v>0</v>
      </c>
      <c r="BL108" s="191">
        <f>BL9+BL15+BL21+BL27+BL33+BL39+BL47+BL54+BL61+BL68+BL74+BL81+BL88+BL94+BL100+BL106</f>
        <v>7</v>
      </c>
    </row>
  </sheetData>
  <mergeCells count="26">
    <mergeCell ref="A34:A38"/>
    <mergeCell ref="A28:A32"/>
    <mergeCell ref="AP1:AU1"/>
    <mergeCell ref="AV1:BA1"/>
    <mergeCell ref="BB1:BG1"/>
    <mergeCell ref="R1:W1"/>
    <mergeCell ref="X1:AC1"/>
    <mergeCell ref="AD1:AI1"/>
    <mergeCell ref="AJ1:AO1"/>
    <mergeCell ref="A69:A73"/>
    <mergeCell ref="A62:A67"/>
    <mergeCell ref="A55:A60"/>
    <mergeCell ref="A48:A53"/>
    <mergeCell ref="A40:A46"/>
    <mergeCell ref="A101:A105"/>
    <mergeCell ref="A95:A99"/>
    <mergeCell ref="A89:A93"/>
    <mergeCell ref="A82:A87"/>
    <mergeCell ref="A75:A80"/>
    <mergeCell ref="A22:A26"/>
    <mergeCell ref="A16:A20"/>
    <mergeCell ref="A10:A14"/>
    <mergeCell ref="M1:Q1"/>
    <mergeCell ref="B3:L3"/>
    <mergeCell ref="B1:L1"/>
    <mergeCell ref="A4:A8"/>
  </mergeCells>
  <phoneticPr fontId="15" type="noConversion"/>
  <conditionalFormatting sqref="R41:AC87">
    <cfRule type="cellIs" dxfId="11" priority="28" operator="between">
      <formula>43617</formula>
      <formula>43982</formula>
    </cfRule>
    <cfRule type="cellIs" dxfId="10" priority="29" operator="between">
      <formula>44348</formula>
      <formula>44712</formula>
    </cfRule>
    <cfRule type="cellIs" dxfId="9" priority="30" operator="between">
      <formula>43983</formula>
      <formula>44347</formula>
    </cfRule>
  </conditionalFormatting>
  <conditionalFormatting sqref="R3:BG40">
    <cfRule type="cellIs" dxfId="8" priority="1" operator="between">
      <formula>43617</formula>
      <formula>43982</formula>
    </cfRule>
    <cfRule type="cellIs" dxfId="7" priority="2" operator="between">
      <formula>44348</formula>
      <formula>44712</formula>
    </cfRule>
    <cfRule type="cellIs" dxfId="6" priority="3" operator="between">
      <formula>43983</formula>
      <formula>44347</formula>
    </cfRule>
  </conditionalFormatting>
  <conditionalFormatting sqref="AD41:AI63 AD65:AI76 AD78:AI87">
    <cfRule type="cellIs" dxfId="5" priority="19" operator="between">
      <formula>43617</formula>
      <formula>43982</formula>
    </cfRule>
    <cfRule type="cellIs" dxfId="4" priority="20" operator="between">
      <formula>44348</formula>
      <formula>44712</formula>
    </cfRule>
    <cfRule type="cellIs" dxfId="3" priority="21" operator="between">
      <formula>43983</formula>
      <formula>44347</formula>
    </cfRule>
  </conditionalFormatting>
  <conditionalFormatting sqref="AJ41:BG87">
    <cfRule type="cellIs" dxfId="2" priority="4" operator="between">
      <formula>43617</formula>
      <formula>43982</formula>
    </cfRule>
    <cfRule type="cellIs" dxfId="1" priority="5" operator="between">
      <formula>44348</formula>
      <formula>44712</formula>
    </cfRule>
    <cfRule type="cellIs" dxfId="0" priority="6" operator="between">
      <formula>43983</formula>
      <formula>44347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BC82D-42B7-4E1E-B6D7-1FEB6A0758C3}">
  <dimension ref="A1:O40"/>
  <sheetViews>
    <sheetView topLeftCell="A8" workbookViewId="0">
      <selection activeCell="B34" sqref="B34:C34"/>
    </sheetView>
  </sheetViews>
  <sheetFormatPr defaultRowHeight="14.5"/>
  <cols>
    <col min="1" max="1" width="77.1796875" bestFit="1" customWidth="1"/>
    <col min="2" max="2" width="6.453125" customWidth="1"/>
    <col min="4" max="4" width="14" bestFit="1" customWidth="1"/>
    <col min="5" max="5" width="32.453125" customWidth="1"/>
    <col min="7" max="7" width="77.1796875" bestFit="1" customWidth="1"/>
    <col min="12" max="12" width="77.1796875" bestFit="1" customWidth="1"/>
    <col min="13" max="13" width="15.7265625" bestFit="1" customWidth="1"/>
  </cols>
  <sheetData>
    <row r="1" spans="1:15" ht="14.5" customHeight="1">
      <c r="A1" s="535" t="s">
        <v>90</v>
      </c>
      <c r="B1" s="535"/>
      <c r="C1" s="535"/>
      <c r="D1" s="535"/>
      <c r="E1" s="2"/>
      <c r="F1" s="2"/>
      <c r="G1" s="535" t="s">
        <v>17</v>
      </c>
      <c r="H1" s="535"/>
      <c r="I1" s="535"/>
      <c r="J1" s="535"/>
      <c r="K1" s="2"/>
      <c r="L1" s="535" t="s">
        <v>46</v>
      </c>
      <c r="M1" s="535"/>
      <c r="N1" s="535"/>
      <c r="O1" s="535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533" t="s">
        <v>91</v>
      </c>
      <c r="B3" s="519"/>
      <c r="C3" s="519"/>
      <c r="D3" s="534"/>
      <c r="E3" s="83" t="s">
        <v>92</v>
      </c>
      <c r="F3" s="2"/>
      <c r="G3" s="533" t="s">
        <v>91</v>
      </c>
      <c r="H3" s="519"/>
      <c r="I3" s="519"/>
      <c r="J3" s="519"/>
      <c r="K3" s="2"/>
      <c r="L3" s="533" t="s">
        <v>91</v>
      </c>
      <c r="M3" s="519"/>
      <c r="N3" s="519"/>
      <c r="O3" s="519"/>
    </row>
    <row r="4" spans="1:15" ht="26.5" customHeight="1">
      <c r="A4" s="9" t="s">
        <v>93</v>
      </c>
      <c r="B4" s="9" t="s">
        <v>94</v>
      </c>
      <c r="C4" s="9" t="s">
        <v>35</v>
      </c>
      <c r="D4" s="86">
        <v>0</v>
      </c>
      <c r="E4" s="85" t="s">
        <v>95</v>
      </c>
      <c r="F4" s="2"/>
      <c r="G4" s="9" t="s">
        <v>93</v>
      </c>
      <c r="H4" s="9" t="s">
        <v>94</v>
      </c>
      <c r="I4" s="9" t="s">
        <v>35</v>
      </c>
      <c r="J4" s="86">
        <v>0</v>
      </c>
      <c r="K4" s="2"/>
      <c r="L4" s="9" t="s">
        <v>93</v>
      </c>
      <c r="M4" s="9" t="s">
        <v>94</v>
      </c>
      <c r="N4" s="9" t="s">
        <v>35</v>
      </c>
      <c r="O4" s="86">
        <v>0</v>
      </c>
    </row>
    <row r="5" spans="1:15" ht="32.15" customHeight="1">
      <c r="A5" s="9" t="s">
        <v>96</v>
      </c>
      <c r="B5" s="9" t="s">
        <v>97</v>
      </c>
      <c r="C5" s="9"/>
      <c r="D5" s="87">
        <f>'GS5039 PTDs'!O7</f>
        <v>779309.7</v>
      </c>
      <c r="E5" s="85" t="s">
        <v>98</v>
      </c>
      <c r="F5" s="2"/>
      <c r="G5" s="9" t="s">
        <v>96</v>
      </c>
      <c r="H5" s="9" t="s">
        <v>97</v>
      </c>
      <c r="I5" s="9"/>
      <c r="J5" s="87">
        <f>'GS5039 PTDs'!L7</f>
        <v>328939.40000000002</v>
      </c>
      <c r="K5" s="2"/>
      <c r="L5" s="9" t="s">
        <v>96</v>
      </c>
      <c r="M5" s="9" t="s">
        <v>97</v>
      </c>
      <c r="N5" s="9"/>
      <c r="O5" s="87">
        <f>'GS5039 PTDs'!N7</f>
        <v>450370.3</v>
      </c>
    </row>
    <row r="6" spans="1:15">
      <c r="A6" s="9" t="s">
        <v>99</v>
      </c>
      <c r="B6" s="9" t="s">
        <v>100</v>
      </c>
      <c r="C6" s="9" t="s">
        <v>101</v>
      </c>
      <c r="D6" s="86">
        <v>4.0000000000000002E-4</v>
      </c>
      <c r="E6" s="85" t="s">
        <v>102</v>
      </c>
      <c r="F6" s="2"/>
      <c r="G6" s="9" t="s">
        <v>99</v>
      </c>
      <c r="H6" s="9" t="s">
        <v>100</v>
      </c>
      <c r="I6" s="9" t="s">
        <v>101</v>
      </c>
      <c r="J6" s="86">
        <v>4.0000000000000002E-4</v>
      </c>
      <c r="K6" s="2"/>
      <c r="L6" s="9" t="s">
        <v>99</v>
      </c>
      <c r="M6" s="9" t="s">
        <v>100</v>
      </c>
      <c r="N6" s="9" t="s">
        <v>101</v>
      </c>
      <c r="O6" s="86">
        <v>4.0000000000000002E-4</v>
      </c>
    </row>
    <row r="7" spans="1:15" ht="42.65" customHeight="1">
      <c r="A7" s="88" t="s">
        <v>103</v>
      </c>
      <c r="B7" s="9" t="s">
        <v>104</v>
      </c>
      <c r="C7" s="9" t="s">
        <v>105</v>
      </c>
      <c r="D7" s="86">
        <v>7.5</v>
      </c>
      <c r="E7" s="85" t="s">
        <v>162</v>
      </c>
      <c r="F7" s="2"/>
      <c r="G7" s="88" t="s">
        <v>103</v>
      </c>
      <c r="H7" s="9" t="s">
        <v>104</v>
      </c>
      <c r="I7" s="9" t="s">
        <v>105</v>
      </c>
      <c r="J7" s="86">
        <v>7.5</v>
      </c>
      <c r="K7" s="2"/>
      <c r="L7" s="88" t="s">
        <v>103</v>
      </c>
      <c r="M7" s="9" t="s">
        <v>104</v>
      </c>
      <c r="N7" s="9" t="s">
        <v>105</v>
      </c>
      <c r="O7" s="86">
        <v>7.5</v>
      </c>
    </row>
    <row r="8" spans="1:15" ht="32.5" customHeight="1">
      <c r="A8" s="88" t="s">
        <v>107</v>
      </c>
      <c r="B8" s="9" t="s">
        <v>108</v>
      </c>
      <c r="C8" s="9" t="s">
        <v>105</v>
      </c>
      <c r="D8" s="86">
        <v>0</v>
      </c>
      <c r="E8" s="85" t="s">
        <v>109</v>
      </c>
      <c r="F8" s="2"/>
      <c r="G8" s="88" t="s">
        <v>107</v>
      </c>
      <c r="H8" s="9" t="s">
        <v>108</v>
      </c>
      <c r="I8" s="9" t="s">
        <v>105</v>
      </c>
      <c r="J8" s="86">
        <v>0</v>
      </c>
      <c r="K8" s="2"/>
      <c r="L8" s="88" t="s">
        <v>107</v>
      </c>
      <c r="M8" s="9" t="s">
        <v>108</v>
      </c>
      <c r="N8" s="9" t="s">
        <v>105</v>
      </c>
      <c r="O8" s="86">
        <v>0</v>
      </c>
    </row>
    <row r="9" spans="1:15">
      <c r="A9" s="9" t="s">
        <v>110</v>
      </c>
      <c r="B9" s="9" t="s">
        <v>111</v>
      </c>
      <c r="C9" s="9" t="s">
        <v>112</v>
      </c>
      <c r="D9" s="86">
        <f>ROUNDDOWN((1-D4)*D5*D6*(D7+D8),0)</f>
        <v>2337</v>
      </c>
      <c r="E9" s="85"/>
      <c r="F9" s="2"/>
      <c r="G9" s="9" t="s">
        <v>110</v>
      </c>
      <c r="H9" s="9" t="s">
        <v>111</v>
      </c>
      <c r="I9" s="9" t="s">
        <v>112</v>
      </c>
      <c r="J9" s="86">
        <f>ROUNDDOWN((1-J4)*J5*J6*(J7+J8),0)</f>
        <v>986</v>
      </c>
      <c r="K9" s="2"/>
      <c r="L9" s="9" t="s">
        <v>110</v>
      </c>
      <c r="M9" s="9" t="s">
        <v>111</v>
      </c>
      <c r="N9" s="9" t="s">
        <v>112</v>
      </c>
      <c r="O9" s="86">
        <f>ROUNDDOWN((1-O4)*O5*O6*(O7+O8),0)</f>
        <v>1351</v>
      </c>
    </row>
    <row r="10" spans="1:15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533" t="s">
        <v>113</v>
      </c>
      <c r="B11" s="519"/>
      <c r="C11" s="519"/>
      <c r="D11" s="534"/>
      <c r="E11" s="4"/>
      <c r="F11" s="2"/>
      <c r="G11" s="533" t="s">
        <v>113</v>
      </c>
      <c r="H11" s="519"/>
      <c r="I11" s="519"/>
      <c r="J11" s="519"/>
      <c r="K11" s="2"/>
      <c r="L11" s="533" t="s">
        <v>113</v>
      </c>
      <c r="M11" s="519"/>
      <c r="N11" s="519"/>
      <c r="O11" s="519"/>
    </row>
    <row r="12" spans="1:15">
      <c r="A12" s="9" t="s">
        <v>114</v>
      </c>
      <c r="B12" s="9" t="s">
        <v>94</v>
      </c>
      <c r="C12" s="9" t="s">
        <v>35</v>
      </c>
      <c r="D12" s="86">
        <v>0</v>
      </c>
      <c r="E12" s="85" t="s">
        <v>95</v>
      </c>
      <c r="F12" s="2"/>
      <c r="G12" s="9" t="s">
        <v>114</v>
      </c>
      <c r="H12" s="9" t="s">
        <v>94</v>
      </c>
      <c r="I12" s="9" t="s">
        <v>35</v>
      </c>
      <c r="J12" s="86">
        <v>0</v>
      </c>
      <c r="K12" s="2"/>
      <c r="L12" s="9" t="s">
        <v>114</v>
      </c>
      <c r="M12" s="9" t="s">
        <v>94</v>
      </c>
      <c r="N12" s="9" t="s">
        <v>35</v>
      </c>
      <c r="O12" s="86">
        <v>0</v>
      </c>
    </row>
    <row r="13" spans="1:15" ht="21" customHeight="1">
      <c r="A13" s="9" t="s">
        <v>96</v>
      </c>
      <c r="B13" s="9" t="s">
        <v>97</v>
      </c>
      <c r="C13" s="9"/>
      <c r="D13" s="87">
        <f>D5</f>
        <v>779309.7</v>
      </c>
      <c r="E13" s="85" t="s">
        <v>115</v>
      </c>
      <c r="F13" s="2"/>
      <c r="G13" s="9" t="s">
        <v>96</v>
      </c>
      <c r="H13" s="9" t="s">
        <v>97</v>
      </c>
      <c r="I13" s="9"/>
      <c r="J13" s="87">
        <f>J5</f>
        <v>328939.40000000002</v>
      </c>
      <c r="K13" s="2"/>
      <c r="L13" s="9" t="s">
        <v>96</v>
      </c>
      <c r="M13" s="9" t="s">
        <v>97</v>
      </c>
      <c r="N13" s="9"/>
      <c r="O13" s="87">
        <v>215175</v>
      </c>
    </row>
    <row r="14" spans="1:15">
      <c r="A14" s="9" t="s">
        <v>116</v>
      </c>
      <c r="B14" s="9" t="s">
        <v>117</v>
      </c>
      <c r="C14" s="9" t="s">
        <v>101</v>
      </c>
      <c r="D14" s="86">
        <v>4.0000000000000002E-4</v>
      </c>
      <c r="E14" s="85"/>
      <c r="F14" s="2"/>
      <c r="G14" s="9" t="s">
        <v>116</v>
      </c>
      <c r="H14" s="9" t="s">
        <v>117</v>
      </c>
      <c r="I14" s="9" t="s">
        <v>101</v>
      </c>
      <c r="J14" s="86">
        <v>4.0000000000000002E-4</v>
      </c>
      <c r="K14" s="2"/>
      <c r="L14" s="9" t="s">
        <v>116</v>
      </c>
      <c r="M14" s="9" t="s">
        <v>117</v>
      </c>
      <c r="N14" s="9" t="s">
        <v>101</v>
      </c>
      <c r="O14" s="86">
        <v>4.0000000000000002E-4</v>
      </c>
    </row>
    <row r="15" spans="1:15">
      <c r="A15" s="9" t="s">
        <v>118</v>
      </c>
      <c r="B15" s="9" t="s">
        <v>108</v>
      </c>
      <c r="C15" s="9" t="s">
        <v>105</v>
      </c>
      <c r="D15" s="86">
        <v>0</v>
      </c>
      <c r="E15" s="85" t="s">
        <v>109</v>
      </c>
      <c r="F15" s="2"/>
      <c r="G15" s="9" t="s">
        <v>118</v>
      </c>
      <c r="H15" s="9" t="s">
        <v>108</v>
      </c>
      <c r="I15" s="9" t="s">
        <v>105</v>
      </c>
      <c r="J15" s="86">
        <v>0</v>
      </c>
      <c r="K15" s="2"/>
      <c r="L15" s="9" t="s">
        <v>118</v>
      </c>
      <c r="M15" s="9" t="s">
        <v>108</v>
      </c>
      <c r="N15" s="9" t="s">
        <v>105</v>
      </c>
      <c r="O15" s="86">
        <v>0</v>
      </c>
    </row>
    <row r="16" spans="1:15">
      <c r="A16" s="9" t="s">
        <v>119</v>
      </c>
      <c r="B16" s="9" t="s">
        <v>120</v>
      </c>
      <c r="C16" s="9" t="s">
        <v>105</v>
      </c>
      <c r="D16" s="86">
        <v>0</v>
      </c>
      <c r="E16" s="85" t="s">
        <v>109</v>
      </c>
      <c r="F16" s="2"/>
      <c r="G16" s="9" t="s">
        <v>119</v>
      </c>
      <c r="H16" s="9" t="s">
        <v>120</v>
      </c>
      <c r="I16" s="9" t="s">
        <v>105</v>
      </c>
      <c r="J16" s="86">
        <v>0</v>
      </c>
      <c r="K16" s="2"/>
      <c r="L16" s="9" t="s">
        <v>119</v>
      </c>
      <c r="M16" s="9" t="s">
        <v>120</v>
      </c>
      <c r="N16" s="9" t="s">
        <v>105</v>
      </c>
      <c r="O16" s="86">
        <v>0</v>
      </c>
    </row>
    <row r="17" spans="1:15">
      <c r="A17" s="9" t="s">
        <v>121</v>
      </c>
      <c r="B17" s="9" t="s">
        <v>122</v>
      </c>
      <c r="C17" s="9" t="s">
        <v>112</v>
      </c>
      <c r="D17" s="86">
        <f>ROUNDDOWN((1+D12)*D13*D14*(D16+D16),0)</f>
        <v>0</v>
      </c>
      <c r="E17" s="85"/>
      <c r="F17" s="2"/>
      <c r="G17" s="9" t="s">
        <v>121</v>
      </c>
      <c r="H17" s="9" t="s">
        <v>122</v>
      </c>
      <c r="I17" s="9" t="s">
        <v>112</v>
      </c>
      <c r="J17" s="86">
        <v>0</v>
      </c>
      <c r="K17" s="2"/>
      <c r="L17" s="9" t="s">
        <v>121</v>
      </c>
      <c r="M17" s="9" t="s">
        <v>122</v>
      </c>
      <c r="N17" s="9" t="s">
        <v>112</v>
      </c>
      <c r="O17" s="86">
        <v>0</v>
      </c>
    </row>
    <row r="18" spans="1:15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533" t="s">
        <v>123</v>
      </c>
      <c r="B19" s="519"/>
      <c r="C19" s="519"/>
      <c r="D19" s="519"/>
      <c r="E19" s="4"/>
      <c r="F19" s="2"/>
      <c r="G19" s="533" t="s">
        <v>123</v>
      </c>
      <c r="H19" s="519"/>
      <c r="I19" s="519"/>
      <c r="J19" s="519"/>
      <c r="K19" s="2"/>
      <c r="L19" s="533" t="s">
        <v>123</v>
      </c>
      <c r="M19" s="519"/>
      <c r="N19" s="519"/>
      <c r="O19" s="519"/>
    </row>
    <row r="20" spans="1:15">
      <c r="A20" s="88" t="s">
        <v>124</v>
      </c>
      <c r="B20" s="9" t="s">
        <v>124</v>
      </c>
      <c r="C20" s="9" t="s">
        <v>125</v>
      </c>
      <c r="D20" s="86">
        <v>0.97</v>
      </c>
      <c r="E20" s="85" t="s">
        <v>126</v>
      </c>
      <c r="F20" s="2"/>
      <c r="G20" s="88" t="s">
        <v>124</v>
      </c>
      <c r="H20" s="9" t="s">
        <v>124</v>
      </c>
      <c r="I20" s="9" t="s">
        <v>125</v>
      </c>
      <c r="J20" s="86">
        <v>0.97</v>
      </c>
      <c r="K20" s="2"/>
      <c r="L20" s="88" t="s">
        <v>124</v>
      </c>
      <c r="M20" s="9" t="s">
        <v>124</v>
      </c>
      <c r="N20" s="9" t="s">
        <v>125</v>
      </c>
      <c r="O20" s="86">
        <v>0.97</v>
      </c>
    </row>
    <row r="21" spans="1:15">
      <c r="A21" s="9" t="s">
        <v>127</v>
      </c>
      <c r="B21" s="9" t="s">
        <v>128</v>
      </c>
      <c r="C21" s="9" t="s">
        <v>129</v>
      </c>
      <c r="D21" s="86">
        <v>112</v>
      </c>
      <c r="E21" s="85" t="s">
        <v>126</v>
      </c>
      <c r="F21" s="2"/>
      <c r="G21" s="9" t="s">
        <v>127</v>
      </c>
      <c r="H21" s="9" t="s">
        <v>128</v>
      </c>
      <c r="I21" s="9" t="s">
        <v>129</v>
      </c>
      <c r="J21" s="86">
        <v>112</v>
      </c>
      <c r="K21" s="2"/>
      <c r="L21" s="9" t="s">
        <v>127</v>
      </c>
      <c r="M21" s="9" t="s">
        <v>130</v>
      </c>
      <c r="N21" s="9" t="s">
        <v>129</v>
      </c>
      <c r="O21" s="86">
        <v>112</v>
      </c>
    </row>
    <row r="22" spans="1:15">
      <c r="A22" s="9" t="s">
        <v>131</v>
      </c>
      <c r="B22" s="9" t="s">
        <v>132</v>
      </c>
      <c r="C22" s="9" t="s">
        <v>133</v>
      </c>
      <c r="D22" s="255">
        <v>9.4600000000000009</v>
      </c>
      <c r="E22" s="85" t="s">
        <v>126</v>
      </c>
      <c r="F22" s="2"/>
      <c r="G22" s="9" t="s">
        <v>131</v>
      </c>
      <c r="H22" s="9" t="s">
        <v>132</v>
      </c>
      <c r="I22" s="9" t="s">
        <v>133</v>
      </c>
      <c r="J22" s="255">
        <f>D22</f>
        <v>9.4600000000000009</v>
      </c>
      <c r="K22" s="2"/>
      <c r="L22" s="9" t="s">
        <v>131</v>
      </c>
      <c r="M22" s="9" t="s">
        <v>134</v>
      </c>
      <c r="N22" s="9" t="s">
        <v>133</v>
      </c>
      <c r="O22" s="255">
        <f>D22</f>
        <v>9.4600000000000009</v>
      </c>
    </row>
    <row r="23" spans="1:15">
      <c r="A23" s="9" t="s">
        <v>135</v>
      </c>
      <c r="B23" s="9" t="s">
        <v>136</v>
      </c>
      <c r="C23" s="9" t="s">
        <v>137</v>
      </c>
      <c r="D23" s="86">
        <v>1.5599999999999999E-2</v>
      </c>
      <c r="E23" s="85" t="s">
        <v>126</v>
      </c>
      <c r="F23" s="2"/>
      <c r="G23" s="9" t="s">
        <v>135</v>
      </c>
      <c r="H23" s="9" t="s">
        <v>136</v>
      </c>
      <c r="I23" s="9" t="s">
        <v>137</v>
      </c>
      <c r="J23" s="86">
        <v>1.5599999999999999E-2</v>
      </c>
      <c r="K23" s="2"/>
      <c r="L23" s="9" t="s">
        <v>135</v>
      </c>
      <c r="M23" s="9" t="s">
        <v>136</v>
      </c>
      <c r="N23" s="9" t="s">
        <v>137</v>
      </c>
      <c r="O23" s="86">
        <v>1.5599999999999999E-2</v>
      </c>
    </row>
    <row r="24" spans="1:15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>
      <c r="A25" s="533" t="s">
        <v>19</v>
      </c>
      <c r="B25" s="519"/>
      <c r="C25" s="519"/>
      <c r="D25" s="519"/>
      <c r="E25" s="4"/>
      <c r="F25" s="2"/>
      <c r="G25" s="533" t="s">
        <v>19</v>
      </c>
      <c r="H25" s="519"/>
      <c r="I25" s="519"/>
      <c r="J25" s="519"/>
      <c r="K25" s="2"/>
      <c r="L25" s="533" t="s">
        <v>19</v>
      </c>
      <c r="M25" s="519"/>
      <c r="N25" s="519"/>
      <c r="O25" s="519"/>
    </row>
    <row r="26" spans="1:15">
      <c r="A26" s="9" t="s">
        <v>28</v>
      </c>
      <c r="B26" s="9" t="s">
        <v>29</v>
      </c>
      <c r="C26" s="9" t="s">
        <v>30</v>
      </c>
      <c r="D26" s="87">
        <f>ROUNDDOWN(D9*((D20*D21)+D22)*D23,0)</f>
        <v>4305</v>
      </c>
      <c r="E26" s="85"/>
      <c r="F26" s="2"/>
      <c r="G26" s="9" t="s">
        <v>28</v>
      </c>
      <c r="H26" s="9" t="s">
        <v>29</v>
      </c>
      <c r="I26" s="9" t="s">
        <v>30</v>
      </c>
      <c r="J26" s="87">
        <f>ROUNDDOWN(J9*((J20*J21)+J22)*J23,0)</f>
        <v>1816</v>
      </c>
      <c r="K26" s="2"/>
      <c r="L26" s="9" t="s">
        <v>28</v>
      </c>
      <c r="M26" s="9" t="s">
        <v>29</v>
      </c>
      <c r="N26" s="9" t="s">
        <v>30</v>
      </c>
      <c r="O26" s="87">
        <f>ROUNDDOWN(O9*((O20*O21)+O22)*O23,0)</f>
        <v>2489</v>
      </c>
    </row>
    <row r="27" spans="1:15">
      <c r="A27" s="9" t="s">
        <v>31</v>
      </c>
      <c r="B27" s="9" t="s">
        <v>32</v>
      </c>
      <c r="C27" s="9" t="s">
        <v>30</v>
      </c>
      <c r="D27" s="86">
        <f>D17*((D20*D21)+D22)*D230</f>
        <v>0</v>
      </c>
      <c r="E27" s="85"/>
      <c r="F27" s="2"/>
      <c r="G27" s="9" t="s">
        <v>31</v>
      </c>
      <c r="H27" s="9" t="s">
        <v>32</v>
      </c>
      <c r="I27" s="9" t="s">
        <v>30</v>
      </c>
      <c r="J27" s="86">
        <f>J17*((J20*J21)+J22)*J230</f>
        <v>0</v>
      </c>
      <c r="K27" s="2"/>
      <c r="L27" s="9" t="s">
        <v>31</v>
      </c>
      <c r="M27" s="9" t="s">
        <v>32</v>
      </c>
      <c r="N27" s="9" t="s">
        <v>30</v>
      </c>
      <c r="O27" s="86">
        <f>O17*((O20*O21)+O22)*O230</f>
        <v>0</v>
      </c>
    </row>
    <row r="28" spans="1:15" ht="20.149999999999999" customHeight="1">
      <c r="A28" s="9" t="s">
        <v>33</v>
      </c>
      <c r="B28" s="9" t="s">
        <v>34</v>
      </c>
      <c r="C28" s="9" t="s">
        <v>35</v>
      </c>
      <c r="D28" s="89">
        <v>0.95</v>
      </c>
      <c r="E28" s="85" t="s">
        <v>138</v>
      </c>
      <c r="F28" s="2"/>
      <c r="G28" s="9" t="s">
        <v>33</v>
      </c>
      <c r="H28" s="9" t="s">
        <v>34</v>
      </c>
      <c r="I28" s="9" t="s">
        <v>35</v>
      </c>
      <c r="J28" s="89">
        <f>D28</f>
        <v>0.95</v>
      </c>
      <c r="K28" s="2"/>
      <c r="L28" s="9" t="s">
        <v>33</v>
      </c>
      <c r="M28" s="9" t="s">
        <v>34</v>
      </c>
      <c r="N28" s="9" t="s">
        <v>35</v>
      </c>
      <c r="O28" s="89">
        <f>D28</f>
        <v>0.95</v>
      </c>
    </row>
    <row r="29" spans="1:15" ht="26.5" customHeight="1">
      <c r="A29" s="9" t="s">
        <v>36</v>
      </c>
      <c r="B29" s="9" t="s">
        <v>37</v>
      </c>
      <c r="C29" s="9" t="s">
        <v>30</v>
      </c>
      <c r="D29" s="86">
        <v>0</v>
      </c>
      <c r="E29" s="85" t="s">
        <v>139</v>
      </c>
      <c r="F29" s="2"/>
      <c r="G29" s="9" t="s">
        <v>36</v>
      </c>
      <c r="H29" s="9" t="s">
        <v>37</v>
      </c>
      <c r="I29" s="9" t="s">
        <v>30</v>
      </c>
      <c r="J29" s="86">
        <v>0</v>
      </c>
      <c r="K29" s="2"/>
      <c r="L29" s="9" t="s">
        <v>36</v>
      </c>
      <c r="M29" s="9" t="s">
        <v>37</v>
      </c>
      <c r="N29" s="9" t="s">
        <v>30</v>
      </c>
      <c r="O29" s="86">
        <v>0</v>
      </c>
    </row>
    <row r="30" spans="1:15">
      <c r="A30" s="9" t="s">
        <v>90</v>
      </c>
      <c r="B30" s="9" t="s">
        <v>39</v>
      </c>
      <c r="C30" s="9" t="s">
        <v>30</v>
      </c>
      <c r="D30" s="86">
        <f>ROUNDDOWN(((D26-D27)*D28)-D29,0)</f>
        <v>4089</v>
      </c>
      <c r="E30" s="85"/>
      <c r="F30" s="2"/>
      <c r="G30" s="9" t="s">
        <v>90</v>
      </c>
      <c r="H30" s="9" t="s">
        <v>39</v>
      </c>
      <c r="I30" s="9" t="s">
        <v>30</v>
      </c>
      <c r="J30" s="86">
        <f>ROUNDDOWN(((J26-J27)*J28)-J29,0)</f>
        <v>1725</v>
      </c>
      <c r="K30" s="2"/>
      <c r="L30" s="9" t="s">
        <v>90</v>
      </c>
      <c r="M30" s="9" t="s">
        <v>39</v>
      </c>
      <c r="N30" s="9" t="s">
        <v>30</v>
      </c>
      <c r="O30" s="86">
        <f>ROUNDDOWN(((O26-O27)*O28)-O29,0)</f>
        <v>2364</v>
      </c>
    </row>
    <row r="31" spans="1:15">
      <c r="A31" s="2"/>
      <c r="B31" s="2"/>
      <c r="C31" s="2"/>
      <c r="D31" s="2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533" t="s">
        <v>40</v>
      </c>
      <c r="B32" s="519"/>
      <c r="C32" s="519"/>
      <c r="D32" s="519"/>
      <c r="E32" s="4"/>
      <c r="F32" s="2"/>
      <c r="G32" s="533" t="s">
        <v>40</v>
      </c>
      <c r="H32" s="519"/>
      <c r="I32" s="519"/>
      <c r="J32" s="519"/>
      <c r="K32" s="2"/>
      <c r="L32" s="533" t="s">
        <v>40</v>
      </c>
      <c r="M32" s="519"/>
      <c r="N32" s="519"/>
      <c r="O32" s="519"/>
    </row>
    <row r="33" spans="1:15">
      <c r="A33" s="90" t="s">
        <v>41</v>
      </c>
      <c r="B33" s="9"/>
      <c r="C33" s="16"/>
      <c r="D33" s="91">
        <v>1</v>
      </c>
      <c r="E33" s="85" t="s">
        <v>95</v>
      </c>
      <c r="F33" s="2"/>
      <c r="G33" s="90" t="s">
        <v>41</v>
      </c>
      <c r="I33" s="16"/>
      <c r="J33" s="91">
        <v>1</v>
      </c>
      <c r="K33" s="2"/>
      <c r="L33" s="90" t="s">
        <v>41</v>
      </c>
      <c r="N33" s="16"/>
      <c r="O33" s="91">
        <v>1</v>
      </c>
    </row>
    <row r="34" spans="1:15">
      <c r="A34" s="90" t="s">
        <v>43</v>
      </c>
      <c r="B34" s="9" t="s">
        <v>42</v>
      </c>
      <c r="C34" s="16" t="s">
        <v>44</v>
      </c>
      <c r="D34" s="91">
        <v>0</v>
      </c>
      <c r="E34" s="85" t="s">
        <v>95</v>
      </c>
      <c r="F34" s="2"/>
      <c r="G34" s="90" t="s">
        <v>43</v>
      </c>
      <c r="H34" s="9" t="s">
        <v>42</v>
      </c>
      <c r="I34" s="16" t="s">
        <v>44</v>
      </c>
      <c r="J34" s="91">
        <v>0</v>
      </c>
      <c r="K34" s="2"/>
      <c r="L34" s="90" t="s">
        <v>43</v>
      </c>
      <c r="M34" s="9" t="s">
        <v>42</v>
      </c>
      <c r="N34" s="16" t="s">
        <v>44</v>
      </c>
      <c r="O34" s="91">
        <v>0</v>
      </c>
    </row>
    <row r="35" spans="1:15">
      <c r="A35" s="93" t="s">
        <v>140</v>
      </c>
      <c r="B35" s="94" t="s">
        <v>39</v>
      </c>
      <c r="C35" s="95" t="s">
        <v>30</v>
      </c>
      <c r="D35" s="96">
        <f>ROUNDDOWN(D30*(1-D34),0)</f>
        <v>4089</v>
      </c>
      <c r="E35" s="2"/>
      <c r="F35" s="2"/>
      <c r="G35" s="93" t="s">
        <v>140</v>
      </c>
      <c r="H35" s="94" t="s">
        <v>39</v>
      </c>
      <c r="I35" s="95" t="s">
        <v>30</v>
      </c>
      <c r="J35" s="96">
        <f>ROUNDDOWN(J30*(1-J34),0)</f>
        <v>1725</v>
      </c>
      <c r="K35" s="2"/>
      <c r="L35" s="93" t="s">
        <v>140</v>
      </c>
      <c r="M35" s="94" t="s">
        <v>39</v>
      </c>
      <c r="N35" s="95" t="s">
        <v>30</v>
      </c>
      <c r="O35" s="96">
        <f>ROUNDDOWN(O30*(1-O34),0)</f>
        <v>2364</v>
      </c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93" t="s">
        <v>141</v>
      </c>
      <c r="B37" s="94"/>
      <c r="C37" s="95" t="s">
        <v>30</v>
      </c>
      <c r="D37" s="246">
        <f>J37+O37</f>
        <v>4089</v>
      </c>
      <c r="E37" s="2"/>
      <c r="F37" s="2"/>
      <c r="G37" s="93" t="s">
        <v>141</v>
      </c>
      <c r="H37" s="94"/>
      <c r="I37" s="95" t="s">
        <v>30</v>
      </c>
      <c r="J37" s="246">
        <f>IF(J35&gt;'GS5039 PTDs'!B18*'GS5039 PTDs'!B19,'GS5039 PTDs'!BC22*'GS5039 PTDs'!B19,'GS5039 ER Calcs'!J35)</f>
        <v>1725</v>
      </c>
      <c r="K37" s="2"/>
      <c r="L37" s="93" t="s">
        <v>141</v>
      </c>
      <c r="M37" s="94"/>
      <c r="N37" s="95" t="s">
        <v>30</v>
      </c>
      <c r="O37" s="246">
        <f>IF(O35&gt;'GS5039 PTDs'!B18*'GS5039 PTDs'!B20,'GS5039 PTDs'!B18*'GS5039 PTDs'!B20,'GS5039 ER Calcs'!O35)</f>
        <v>2364</v>
      </c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" t="s">
        <v>142</v>
      </c>
      <c r="B39" s="2"/>
      <c r="C39" s="2"/>
      <c r="D39" s="2"/>
      <c r="E39" s="2"/>
      <c r="F39" s="2"/>
      <c r="G39" s="1" t="s">
        <v>142</v>
      </c>
      <c r="H39" s="2"/>
      <c r="I39" s="2"/>
      <c r="J39" s="2"/>
      <c r="K39" s="2"/>
      <c r="L39" s="1" t="s">
        <v>142</v>
      </c>
      <c r="M39" s="2"/>
      <c r="N39" s="2"/>
      <c r="O39" s="2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</sheetData>
  <mergeCells count="18">
    <mergeCell ref="G25:J25"/>
    <mergeCell ref="L25:O25"/>
    <mergeCell ref="A32:D32"/>
    <mergeCell ref="A1:D1"/>
    <mergeCell ref="G1:J1"/>
    <mergeCell ref="L1:O1"/>
    <mergeCell ref="A3:D3"/>
    <mergeCell ref="G32:J32"/>
    <mergeCell ref="L32:O32"/>
    <mergeCell ref="G3:J3"/>
    <mergeCell ref="L3:O3"/>
    <mergeCell ref="A11:D11"/>
    <mergeCell ref="G11:J11"/>
    <mergeCell ref="L11:O11"/>
    <mergeCell ref="A19:D19"/>
    <mergeCell ref="G19:J19"/>
    <mergeCell ref="L19:O19"/>
    <mergeCell ref="A25:D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D8FF0EBC1E34CAA966933F5D9F9ED" ma:contentTypeVersion="19" ma:contentTypeDescription="Create a new document." ma:contentTypeScope="" ma:versionID="9eb1bf08cc29ea9418feaaa960cb77d7">
  <xsd:schema xmlns:xsd="http://www.w3.org/2001/XMLSchema" xmlns:xs="http://www.w3.org/2001/XMLSchema" xmlns:p="http://schemas.microsoft.com/office/2006/metadata/properties" xmlns:ns1="http://schemas.microsoft.com/sharepoint/v3" xmlns:ns2="8bcd9205-aa71-43b1-82fe-dcc00a36dd04" xmlns:ns3="83a6049c-05c8-4e22-bd03-2c19a5f84a8b" targetNamespace="http://schemas.microsoft.com/office/2006/metadata/properties" ma:root="true" ma:fieldsID="6f853d6009e99f35033fb835818bee78" ns1:_="" ns2:_="" ns3:_="">
    <xsd:import namespace="http://schemas.microsoft.com/sharepoint/v3"/>
    <xsd:import namespace="8bcd9205-aa71-43b1-82fe-dcc00a36dd04"/>
    <xsd:import namespace="83a6049c-05c8-4e22-bd03-2c19a5f84a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PublishingStartDate" minOccurs="0"/>
                <xsd:element ref="ns1:PublishingExpirationDat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d9205-aa71-43b1-82fe-dcc00a36d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905b797-93a9-4c36-9d72-1ad65c8e50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6049c-05c8-4e22-bd03-2c19a5f84a8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97f6c16-a42c-4dfe-b35d-62a0e7d34d20}" ma:internalName="TaxCatchAll" ma:showField="CatchAllData" ma:web="83a6049c-05c8-4e22-bd03-2c19a5f84a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cd9205-aa71-43b1-82fe-dcc00a36dd04">
      <Terms xmlns="http://schemas.microsoft.com/office/infopath/2007/PartnerControls"/>
    </lcf76f155ced4ddcb4097134ff3c332f>
    <TaxCatchAll xmlns="83a6049c-05c8-4e22-bd03-2c19a5f84a8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F32B656-F1B7-459A-BEE2-442F699D58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2D5DFD-4FEE-460E-B7FC-51DAEFF7AB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cd9205-aa71-43b1-82fe-dcc00a36dd04"/>
    <ds:schemaRef ds:uri="83a6049c-05c8-4e22-bd03-2c19a5f84a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75E28B-6EF8-4588-988C-35E27CC284B9}">
  <ds:schemaRefs>
    <ds:schemaRef ds:uri="http://schemas.microsoft.com/office/2006/metadata/properties"/>
    <ds:schemaRef ds:uri="http://schemas.microsoft.com/office/infopath/2007/PartnerControls"/>
    <ds:schemaRef ds:uri="8bcd9205-aa71-43b1-82fe-dcc00a36dd04"/>
    <ds:schemaRef ds:uri="83a6049c-05c8-4e22-bd03-2c19a5f84a8b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82</vt:i4>
      </vt:variant>
    </vt:vector>
  </HeadingPairs>
  <TitlesOfParts>
    <vt:vector size="82" baseType="lpstr">
      <vt:lpstr>All VPAs SDG Summary</vt:lpstr>
      <vt:lpstr>GS5038 Summary</vt:lpstr>
      <vt:lpstr>GS5038 PTDS</vt:lpstr>
      <vt:lpstr>GS5038 ER Calcs</vt:lpstr>
      <vt:lpstr>GS5038 ER Calcs Uncap</vt:lpstr>
      <vt:lpstr>GS5038 SDGs Calcs</vt:lpstr>
      <vt:lpstr>GS5039 Summary</vt:lpstr>
      <vt:lpstr>GS5039 PTDs</vt:lpstr>
      <vt:lpstr>GS5039 ER Calcs</vt:lpstr>
      <vt:lpstr>GS5039 ER Calcs Uncap</vt:lpstr>
      <vt:lpstr>GS5039 SDGs Calcs</vt:lpstr>
      <vt:lpstr>GS5040 Summary</vt:lpstr>
      <vt:lpstr>GS5040 PTDs</vt:lpstr>
      <vt:lpstr>GS5040 ER Calcs</vt:lpstr>
      <vt:lpstr>GS5040 ER Calcs Uncap</vt:lpstr>
      <vt:lpstr>GS5040 SDG Calcs</vt:lpstr>
      <vt:lpstr>GS5041 Summary</vt:lpstr>
      <vt:lpstr>GS5041 PTDs</vt:lpstr>
      <vt:lpstr>GS5041 ER Calcs</vt:lpstr>
      <vt:lpstr>GS5041 ER Calcs Uncap</vt:lpstr>
      <vt:lpstr>GS5041 SDG Calcs</vt:lpstr>
      <vt:lpstr>GS5042 Summary</vt:lpstr>
      <vt:lpstr>GS5042 PTDs</vt:lpstr>
      <vt:lpstr>GS5042 ER Calcs</vt:lpstr>
      <vt:lpstr>GS5042 ER Calcs Uncap</vt:lpstr>
      <vt:lpstr>GS5042 SDG Calcs</vt:lpstr>
      <vt:lpstr>GS5043 Summary</vt:lpstr>
      <vt:lpstr>GS5043 PTDs</vt:lpstr>
      <vt:lpstr>GS5043 ER Calcs</vt:lpstr>
      <vt:lpstr>GS5043 ER Calcs Uncap</vt:lpstr>
      <vt:lpstr>GS5043 SDG Calcs</vt:lpstr>
      <vt:lpstr>GS5825 Summary</vt:lpstr>
      <vt:lpstr>GS5825 PTDs</vt:lpstr>
      <vt:lpstr>GS5825 ER Calcs</vt:lpstr>
      <vt:lpstr>GS5825 ER Calcs Uncap</vt:lpstr>
      <vt:lpstr>GS5825 SDG Calcs</vt:lpstr>
      <vt:lpstr>GS5826 Summary</vt:lpstr>
      <vt:lpstr>GS5826 PTDs</vt:lpstr>
      <vt:lpstr>GS5826 ER Calcs</vt:lpstr>
      <vt:lpstr>GS5826 ER Uncap Calcs</vt:lpstr>
      <vt:lpstr>GS5826 SDG Calcs</vt:lpstr>
      <vt:lpstr>GS5827 Summary</vt:lpstr>
      <vt:lpstr>GS5827 PTDs</vt:lpstr>
      <vt:lpstr>GS5827 ER Calcs</vt:lpstr>
      <vt:lpstr>GS5827 ER Calcs Uncap</vt:lpstr>
      <vt:lpstr>GS5827 SDG Calcs</vt:lpstr>
      <vt:lpstr>GS7330 Summary</vt:lpstr>
      <vt:lpstr>GS7330 PTDs</vt:lpstr>
      <vt:lpstr>GS7330 ER Calcs</vt:lpstr>
      <vt:lpstr>GS7330 ER Calcs Uncap</vt:lpstr>
      <vt:lpstr>GS7330 SDG Calcs</vt:lpstr>
      <vt:lpstr>GS7331 Summary</vt:lpstr>
      <vt:lpstr>GS7331 PTDs</vt:lpstr>
      <vt:lpstr>GS7331 ER Calcs</vt:lpstr>
      <vt:lpstr>GS7331 ER Calcs Uncap</vt:lpstr>
      <vt:lpstr>GS7331 SDG Calcs</vt:lpstr>
      <vt:lpstr>GS7332 Summary</vt:lpstr>
      <vt:lpstr>GS7332 PTDs</vt:lpstr>
      <vt:lpstr>GS7332 ER Calcs</vt:lpstr>
      <vt:lpstr>GS7332 ER Calcs Uncap</vt:lpstr>
      <vt:lpstr>GS7332 SDG Calcs</vt:lpstr>
      <vt:lpstr>GS7333 Summary</vt:lpstr>
      <vt:lpstr>GS7333 PTDs</vt:lpstr>
      <vt:lpstr>GS7333 ER Calcs</vt:lpstr>
      <vt:lpstr>GS7333 ER Calcs Uncap</vt:lpstr>
      <vt:lpstr>GS7333 SDG Calcs</vt:lpstr>
      <vt:lpstr>GS7334 Summary</vt:lpstr>
      <vt:lpstr>GS7334 PTDs</vt:lpstr>
      <vt:lpstr>GS7334 ER Calcs</vt:lpstr>
      <vt:lpstr>GS7334 ER Calcs Uncap</vt:lpstr>
      <vt:lpstr>GS7334 SDG Calcs</vt:lpstr>
      <vt:lpstr>GS7335 Summary</vt:lpstr>
      <vt:lpstr>GS7335 PTDs</vt:lpstr>
      <vt:lpstr>GS7335 ER Calcs</vt:lpstr>
      <vt:lpstr>GS7335 ER Calcs Uncap</vt:lpstr>
      <vt:lpstr>GS7335 SDG Calcs</vt:lpstr>
      <vt:lpstr>GS7336 Summary</vt:lpstr>
      <vt:lpstr>GS7336 PTDs</vt:lpstr>
      <vt:lpstr>GS7336 ER Calcs</vt:lpstr>
      <vt:lpstr>GS7336 ER Calcs Uncap</vt:lpstr>
      <vt:lpstr>GS7336 SDG Calcs</vt:lpstr>
      <vt:lpstr>Maintenance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co2ba</dc:creator>
  <cp:keywords/>
  <dc:description/>
  <cp:lastModifiedBy>Rebecca Barton</cp:lastModifiedBy>
  <cp:revision/>
  <dcterms:created xsi:type="dcterms:W3CDTF">2022-06-16T15:29:35Z</dcterms:created>
  <dcterms:modified xsi:type="dcterms:W3CDTF">2024-02-26T12:35:35Z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0x010100467D8FF0EBC1E34CAA966933F5D9F9ED</vt:lpwstr>
  </property>
  <property fmtid="{D5CDD505-2E9C-101B-9397-08002B2CF9AE}" pid="3" name="MediaServiceImageTags">
    <vt:lpwstr/>
  </property>
</Properties>
</file>