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/>
  <mc:AlternateContent xmlns:mc="http://schemas.openxmlformats.org/markup-compatibility/2006">
    <mc:Choice Requires="x15">
      <x15ac:absPath xmlns:x15ac="http://schemas.microsoft.com/office/spreadsheetml/2010/11/ac" url="G:\Shared drives\FrabeLux\FraBeLux Consultancy\T\Tiipaalga\CDM\F3PA - VPA-14 to 17 and 29\40. Verification\MP2\30. ER\"/>
    </mc:Choice>
  </mc:AlternateContent>
  <xr:revisionPtr revIDLastSave="0" documentId="13_ncr:1_{01A8DC31-6BFE-4E03-A41B-C9244F653869}" xr6:coauthVersionLast="47" xr6:coauthVersionMax="47" xr10:uidLastSave="{00000000-0000-0000-0000-000000000000}"/>
  <bookViews>
    <workbookView xWindow="-110" yWindow="-110" windowWidth="19420" windowHeight="10300" activeTab="3" xr2:uid="{EC6CD51C-E459-4C11-A3D3-3D364298C5AB}"/>
  </bookViews>
  <sheets>
    <sheet name="Input" sheetId="15" r:id="rId1"/>
    <sheet name="EF calculation" sheetId="16" r:id="rId2"/>
    <sheet name="Results" sheetId="13" r:id="rId3"/>
    <sheet name="Calculation" sheetId="1" r:id="rId4"/>
  </sheets>
  <definedNames>
    <definedName name="Bby">#REF!</definedName>
    <definedName name="CP">#REF!</definedName>
    <definedName name="Crediting">#REF!</definedName>
    <definedName name="Default">#REF!</definedName>
    <definedName name="fNRB">#REF!</definedName>
    <definedName name="Leakage">#REF!</definedName>
    <definedName name="npy">#REF!</definedName>
    <definedName name="PoA">#REF!</definedName>
    <definedName name="UFL">#REF!</definedName>
    <definedName name="WBT">#REF!</definedName>
    <definedName name="Y_N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61" i="1" l="1"/>
  <c r="H161" i="1"/>
  <c r="Q173" i="1"/>
  <c r="P173" i="1"/>
  <c r="O173" i="1"/>
  <c r="N173" i="1"/>
  <c r="M173" i="1"/>
  <c r="L173" i="1"/>
  <c r="K173" i="1"/>
  <c r="J173" i="1"/>
  <c r="I173" i="1"/>
  <c r="H173" i="1"/>
  <c r="Q172" i="1"/>
  <c r="P172" i="1"/>
  <c r="O172" i="1"/>
  <c r="N172" i="1"/>
  <c r="M172" i="1"/>
  <c r="L172" i="1"/>
  <c r="K172" i="1"/>
  <c r="J172" i="1"/>
  <c r="Q167" i="1"/>
  <c r="P167" i="1"/>
  <c r="O167" i="1"/>
  <c r="N167" i="1"/>
  <c r="M167" i="1"/>
  <c r="L167" i="1"/>
  <c r="K167" i="1"/>
  <c r="J167" i="1"/>
  <c r="I167" i="1"/>
  <c r="H167" i="1"/>
  <c r="Q164" i="1"/>
  <c r="P164" i="1"/>
  <c r="O164" i="1"/>
  <c r="N164" i="1"/>
  <c r="M164" i="1"/>
  <c r="L164" i="1"/>
  <c r="K164" i="1"/>
  <c r="J164" i="1"/>
  <c r="I164" i="1"/>
  <c r="H164" i="1"/>
  <c r="Q163" i="1"/>
  <c r="P163" i="1"/>
  <c r="O163" i="1"/>
  <c r="N163" i="1"/>
  <c r="M163" i="1"/>
  <c r="L163" i="1"/>
  <c r="K163" i="1"/>
  <c r="J163" i="1"/>
  <c r="I163" i="1"/>
  <c r="H163" i="1"/>
  <c r="Q161" i="1"/>
  <c r="P161" i="1"/>
  <c r="O161" i="1"/>
  <c r="N161" i="1"/>
  <c r="M161" i="1"/>
  <c r="L161" i="1"/>
  <c r="K161" i="1"/>
  <c r="J161" i="1"/>
  <c r="H157" i="1"/>
  <c r="I157" i="1" s="1"/>
  <c r="E40" i="15"/>
  <c r="I172" i="1" s="1"/>
  <c r="E45" i="15"/>
  <c r="K166" i="1" s="1"/>
  <c r="M166" i="1" l="1"/>
  <c r="P166" i="1"/>
  <c r="L166" i="1"/>
  <c r="O166" i="1"/>
  <c r="N166" i="1"/>
  <c r="H172" i="1"/>
  <c r="Q166" i="1"/>
  <c r="H166" i="1"/>
  <c r="I166" i="1"/>
  <c r="J166" i="1"/>
  <c r="J157" i="1"/>
  <c r="E44" i="15"/>
  <c r="C5" i="16"/>
  <c r="C4" i="16"/>
  <c r="C3" i="16"/>
  <c r="C2" i="16"/>
  <c r="J165" i="1" l="1"/>
  <c r="I165" i="1"/>
  <c r="M165" i="1"/>
  <c r="Q165" i="1"/>
  <c r="L165" i="1"/>
  <c r="P165" i="1"/>
  <c r="O165" i="1"/>
  <c r="N165" i="1"/>
  <c r="K165" i="1"/>
  <c r="H165" i="1"/>
  <c r="K157" i="1"/>
  <c r="I179" i="1"/>
  <c r="E36" i="15"/>
  <c r="H46" i="1"/>
  <c r="I46" i="1" s="1"/>
  <c r="J46" i="1" s="1"/>
  <c r="K46" i="1" s="1"/>
  <c r="E37" i="15"/>
  <c r="J61" i="1" s="1"/>
  <c r="I62" i="1"/>
  <c r="I50" i="1"/>
  <c r="I52" i="1"/>
  <c r="I53" i="1"/>
  <c r="I54" i="1"/>
  <c r="I55" i="1"/>
  <c r="I56" i="1"/>
  <c r="J62" i="1"/>
  <c r="J50" i="1"/>
  <c r="J52" i="1"/>
  <c r="J53" i="1"/>
  <c r="J54" i="1"/>
  <c r="J55" i="1"/>
  <c r="J56" i="1"/>
  <c r="K61" i="1"/>
  <c r="K62" i="1"/>
  <c r="K50" i="1"/>
  <c r="K52" i="1"/>
  <c r="K53" i="1"/>
  <c r="K54" i="1"/>
  <c r="K55" i="1"/>
  <c r="K56" i="1"/>
  <c r="L62" i="1"/>
  <c r="L50" i="1"/>
  <c r="L52" i="1"/>
  <c r="L53" i="1"/>
  <c r="L54" i="1"/>
  <c r="L55" i="1"/>
  <c r="L56" i="1"/>
  <c r="H83" i="1"/>
  <c r="I83" i="1" s="1"/>
  <c r="J83" i="1" s="1"/>
  <c r="K83" i="1" s="1"/>
  <c r="E38" i="15"/>
  <c r="I98" i="1" s="1"/>
  <c r="I99" i="1"/>
  <c r="I87" i="1"/>
  <c r="I89" i="1"/>
  <c r="I90" i="1"/>
  <c r="I91" i="1"/>
  <c r="I92" i="1"/>
  <c r="I93" i="1"/>
  <c r="J99" i="1"/>
  <c r="J87" i="1"/>
  <c r="J89" i="1"/>
  <c r="J90" i="1"/>
  <c r="J91" i="1"/>
  <c r="J92" i="1"/>
  <c r="J93" i="1"/>
  <c r="K99" i="1"/>
  <c r="K87" i="1"/>
  <c r="K89" i="1"/>
  <c r="K90" i="1"/>
  <c r="K91" i="1"/>
  <c r="K92" i="1"/>
  <c r="K93" i="1"/>
  <c r="L99" i="1"/>
  <c r="L87" i="1"/>
  <c r="L89" i="1"/>
  <c r="L90" i="1"/>
  <c r="L91" i="1"/>
  <c r="L92" i="1"/>
  <c r="L93" i="1"/>
  <c r="H120" i="1"/>
  <c r="I120" i="1" s="1"/>
  <c r="J120" i="1" s="1"/>
  <c r="E39" i="15"/>
  <c r="I135" i="1" s="1"/>
  <c r="I136" i="1"/>
  <c r="I124" i="1"/>
  <c r="I126" i="1"/>
  <c r="I127" i="1"/>
  <c r="I128" i="1"/>
  <c r="I129" i="1"/>
  <c r="I130" i="1"/>
  <c r="J136" i="1"/>
  <c r="J124" i="1"/>
  <c r="J126" i="1"/>
  <c r="J127" i="1"/>
  <c r="J128" i="1"/>
  <c r="J129" i="1"/>
  <c r="J130" i="1"/>
  <c r="K136" i="1"/>
  <c r="K124" i="1"/>
  <c r="K126" i="1"/>
  <c r="K127" i="1"/>
  <c r="K128" i="1"/>
  <c r="K129" i="1"/>
  <c r="K130" i="1"/>
  <c r="L136" i="1"/>
  <c r="L124" i="1"/>
  <c r="L126" i="1"/>
  <c r="L127" i="1"/>
  <c r="L128" i="1"/>
  <c r="L129" i="1"/>
  <c r="L130" i="1"/>
  <c r="H136" i="1"/>
  <c r="H124" i="1"/>
  <c r="H126" i="1"/>
  <c r="H127" i="1"/>
  <c r="H128" i="1"/>
  <c r="H129" i="1"/>
  <c r="H130" i="1"/>
  <c r="H99" i="1"/>
  <c r="H87" i="1"/>
  <c r="H89" i="1"/>
  <c r="H90" i="1"/>
  <c r="H91" i="1"/>
  <c r="H92" i="1"/>
  <c r="H93" i="1"/>
  <c r="H62" i="1"/>
  <c r="H50" i="1"/>
  <c r="H52" i="1"/>
  <c r="H53" i="1"/>
  <c r="H54" i="1"/>
  <c r="H55" i="1"/>
  <c r="H56" i="1"/>
  <c r="L12" i="15"/>
  <c r="M12" i="15" s="1"/>
  <c r="Q136" i="1"/>
  <c r="P136" i="1"/>
  <c r="O136" i="1"/>
  <c r="N136" i="1"/>
  <c r="M136" i="1"/>
  <c r="Q130" i="1"/>
  <c r="P130" i="1"/>
  <c r="O130" i="1"/>
  <c r="N130" i="1"/>
  <c r="M130" i="1"/>
  <c r="Q129" i="1"/>
  <c r="P129" i="1"/>
  <c r="O129" i="1"/>
  <c r="N129" i="1"/>
  <c r="M129" i="1"/>
  <c r="Q128" i="1"/>
  <c r="P128" i="1"/>
  <c r="O128" i="1"/>
  <c r="N128" i="1"/>
  <c r="M128" i="1"/>
  <c r="Q127" i="1"/>
  <c r="P127" i="1"/>
  <c r="O127" i="1"/>
  <c r="N127" i="1"/>
  <c r="M127" i="1"/>
  <c r="Q126" i="1"/>
  <c r="P126" i="1"/>
  <c r="O126" i="1"/>
  <c r="N126" i="1"/>
  <c r="M126" i="1"/>
  <c r="Q124" i="1"/>
  <c r="P124" i="1"/>
  <c r="O124" i="1"/>
  <c r="N124" i="1"/>
  <c r="M124" i="1"/>
  <c r="Q99" i="1"/>
  <c r="P99" i="1"/>
  <c r="O99" i="1"/>
  <c r="N99" i="1"/>
  <c r="M99" i="1"/>
  <c r="Q93" i="1"/>
  <c r="P93" i="1"/>
  <c r="O93" i="1"/>
  <c r="N93" i="1"/>
  <c r="M93" i="1"/>
  <c r="Q92" i="1"/>
  <c r="P92" i="1"/>
  <c r="O92" i="1"/>
  <c r="N92" i="1"/>
  <c r="M92" i="1"/>
  <c r="Q91" i="1"/>
  <c r="P91" i="1"/>
  <c r="O91" i="1"/>
  <c r="N91" i="1"/>
  <c r="M91" i="1"/>
  <c r="Q90" i="1"/>
  <c r="P90" i="1"/>
  <c r="O90" i="1"/>
  <c r="N90" i="1"/>
  <c r="M90" i="1"/>
  <c r="Q89" i="1"/>
  <c r="P89" i="1"/>
  <c r="O89" i="1"/>
  <c r="N89" i="1"/>
  <c r="M89" i="1"/>
  <c r="Q87" i="1"/>
  <c r="P87" i="1"/>
  <c r="O87" i="1"/>
  <c r="N87" i="1"/>
  <c r="M87" i="1"/>
  <c r="I13" i="1"/>
  <c r="H13" i="1"/>
  <c r="Q62" i="1"/>
  <c r="P62" i="1"/>
  <c r="O62" i="1"/>
  <c r="N62" i="1"/>
  <c r="M62" i="1"/>
  <c r="Q61" i="1"/>
  <c r="P61" i="1"/>
  <c r="Q56" i="1"/>
  <c r="P56" i="1"/>
  <c r="O56" i="1"/>
  <c r="N56" i="1"/>
  <c r="M56" i="1"/>
  <c r="Q55" i="1"/>
  <c r="P55" i="1"/>
  <c r="O55" i="1"/>
  <c r="N55" i="1"/>
  <c r="M55" i="1"/>
  <c r="Q54" i="1"/>
  <c r="P54" i="1"/>
  <c r="O54" i="1"/>
  <c r="N54" i="1"/>
  <c r="M54" i="1"/>
  <c r="Q53" i="1"/>
  <c r="P53" i="1"/>
  <c r="O53" i="1"/>
  <c r="N53" i="1"/>
  <c r="M53" i="1"/>
  <c r="Q52" i="1"/>
  <c r="P52" i="1"/>
  <c r="O52" i="1"/>
  <c r="N52" i="1"/>
  <c r="M52" i="1"/>
  <c r="Q50" i="1"/>
  <c r="P50" i="1"/>
  <c r="O50" i="1"/>
  <c r="N50" i="1"/>
  <c r="M50" i="1"/>
  <c r="J24" i="1"/>
  <c r="K24" i="1"/>
  <c r="L24" i="1"/>
  <c r="M24" i="1"/>
  <c r="N24" i="1"/>
  <c r="O24" i="1"/>
  <c r="P24" i="1"/>
  <c r="Q24" i="1"/>
  <c r="I19" i="1"/>
  <c r="J19" i="1"/>
  <c r="K19" i="1"/>
  <c r="L19" i="1"/>
  <c r="M19" i="1"/>
  <c r="N19" i="1"/>
  <c r="O19" i="1"/>
  <c r="P19" i="1"/>
  <c r="Q19" i="1"/>
  <c r="H19" i="1"/>
  <c r="I15" i="1"/>
  <c r="J15" i="1"/>
  <c r="K15" i="1"/>
  <c r="L15" i="1"/>
  <c r="M15" i="1"/>
  <c r="N15" i="1"/>
  <c r="O15" i="1"/>
  <c r="P15" i="1"/>
  <c r="Q15" i="1"/>
  <c r="H15" i="1"/>
  <c r="Q13" i="1"/>
  <c r="P13" i="1"/>
  <c r="O13" i="1"/>
  <c r="N13" i="1"/>
  <c r="M13" i="1"/>
  <c r="L13" i="1"/>
  <c r="K13" i="1"/>
  <c r="J13" i="1"/>
  <c r="H9" i="1"/>
  <c r="I9" i="1" s="1"/>
  <c r="H25" i="1"/>
  <c r="I25" i="1"/>
  <c r="I16" i="1"/>
  <c r="I17" i="1"/>
  <c r="I18" i="1"/>
  <c r="J25" i="1"/>
  <c r="J16" i="1"/>
  <c r="J17" i="1"/>
  <c r="J18" i="1"/>
  <c r="K25" i="1"/>
  <c r="K16" i="1"/>
  <c r="K17" i="1"/>
  <c r="K18" i="1"/>
  <c r="L25" i="1"/>
  <c r="L16" i="1"/>
  <c r="L17" i="1"/>
  <c r="L18" i="1"/>
  <c r="H16" i="1"/>
  <c r="H17" i="1"/>
  <c r="H18" i="1"/>
  <c r="M25" i="1"/>
  <c r="N25" i="1"/>
  <c r="O25" i="1"/>
  <c r="P25" i="1"/>
  <c r="Q25" i="1"/>
  <c r="M18" i="1"/>
  <c r="N18" i="1"/>
  <c r="O18" i="1"/>
  <c r="P18" i="1"/>
  <c r="Q18" i="1"/>
  <c r="M17" i="1"/>
  <c r="N17" i="1"/>
  <c r="O17" i="1"/>
  <c r="P17" i="1"/>
  <c r="Q17" i="1"/>
  <c r="M16" i="1"/>
  <c r="N16" i="1"/>
  <c r="O16" i="1"/>
  <c r="P16" i="1"/>
  <c r="Q16" i="1"/>
  <c r="D31" i="15"/>
  <c r="C31" i="15"/>
  <c r="I61" i="1" l="1"/>
  <c r="H61" i="1"/>
  <c r="M61" i="1"/>
  <c r="N61" i="1"/>
  <c r="O61" i="1"/>
  <c r="H98" i="1"/>
  <c r="I24" i="1"/>
  <c r="H24" i="1"/>
  <c r="J9" i="1"/>
  <c r="N135" i="1"/>
  <c r="L61" i="1"/>
  <c r="I178" i="1"/>
  <c r="I174" i="1" s="1"/>
  <c r="I171" i="1" s="1"/>
  <c r="H179" i="1"/>
  <c r="L157" i="1"/>
  <c r="J179" i="1"/>
  <c r="J178" i="1" s="1"/>
  <c r="J174" i="1" s="1"/>
  <c r="J171" i="1" s="1"/>
  <c r="J162" i="1" s="1"/>
  <c r="J160" i="1" s="1"/>
  <c r="J185" i="1" s="1"/>
  <c r="J187" i="1" s="1"/>
  <c r="Q98" i="1"/>
  <c r="M98" i="1"/>
  <c r="N98" i="1"/>
  <c r="O98" i="1"/>
  <c r="P98" i="1"/>
  <c r="L98" i="1"/>
  <c r="K98" i="1"/>
  <c r="J98" i="1"/>
  <c r="M135" i="1"/>
  <c r="H135" i="1"/>
  <c r="O135" i="1"/>
  <c r="P135" i="1"/>
  <c r="Q135" i="1"/>
  <c r="L135" i="1"/>
  <c r="K135" i="1"/>
  <c r="J135" i="1"/>
  <c r="L13" i="15"/>
  <c r="L83" i="1"/>
  <c r="L46" i="1"/>
  <c r="N12" i="15"/>
  <c r="M13" i="15"/>
  <c r="I158" i="1" s="1"/>
  <c r="K120" i="1"/>
  <c r="H178" i="1" l="1"/>
  <c r="H174" i="1" s="1"/>
  <c r="H171" i="1" s="1"/>
  <c r="H162" i="1" s="1"/>
  <c r="H160" i="1" s="1"/>
  <c r="H185" i="1" s="1"/>
  <c r="H187" i="1" s="1"/>
  <c r="D11" i="13" s="1"/>
  <c r="K9" i="1"/>
  <c r="L9" i="1" s="1"/>
  <c r="M9" i="1" s="1"/>
  <c r="I31" i="1"/>
  <c r="H10" i="1"/>
  <c r="D6" i="13" s="1"/>
  <c r="H158" i="1"/>
  <c r="I162" i="1"/>
  <c r="I160" i="1" s="1"/>
  <c r="I185" i="1" s="1"/>
  <c r="I187" i="1" s="1"/>
  <c r="E11" i="13" s="1"/>
  <c r="K179" i="1"/>
  <c r="K178" i="1" s="1"/>
  <c r="K174" i="1" s="1"/>
  <c r="K171" i="1" s="1"/>
  <c r="K162" i="1" s="1"/>
  <c r="K160" i="1" s="1"/>
  <c r="K185" i="1" s="1"/>
  <c r="K187" i="1" s="1"/>
  <c r="M157" i="1"/>
  <c r="H84" i="1"/>
  <c r="H121" i="1"/>
  <c r="H47" i="1"/>
  <c r="L21" i="15"/>
  <c r="I10" i="1"/>
  <c r="E6" i="13" s="1"/>
  <c r="I121" i="1"/>
  <c r="I47" i="1"/>
  <c r="M21" i="15"/>
  <c r="I84" i="1"/>
  <c r="M83" i="1"/>
  <c r="O12" i="15"/>
  <c r="N13" i="15"/>
  <c r="J158" i="1" s="1"/>
  <c r="L120" i="1"/>
  <c r="M46" i="1"/>
  <c r="O11" i="13" l="1"/>
  <c r="P11" i="13" s="1"/>
  <c r="I30" i="1"/>
  <c r="H31" i="1"/>
  <c r="H30" i="1" s="1"/>
  <c r="L179" i="1"/>
  <c r="L178" i="1" s="1"/>
  <c r="L174" i="1" s="1"/>
  <c r="L171" i="1" s="1"/>
  <c r="L162" i="1" s="1"/>
  <c r="L160" i="1" s="1"/>
  <c r="L185" i="1" s="1"/>
  <c r="L187" i="1" s="1"/>
  <c r="N157" i="1"/>
  <c r="O13" i="15"/>
  <c r="K158" i="1" s="1"/>
  <c r="P12" i="15"/>
  <c r="N46" i="1"/>
  <c r="N9" i="1"/>
  <c r="J121" i="1"/>
  <c r="J47" i="1"/>
  <c r="J10" i="1"/>
  <c r="F6" i="13" s="1"/>
  <c r="N21" i="15"/>
  <c r="J84" i="1"/>
  <c r="N83" i="1"/>
  <c r="M120" i="1"/>
  <c r="M179" i="1" l="1"/>
  <c r="M178" i="1" s="1"/>
  <c r="M174" i="1" s="1"/>
  <c r="M171" i="1" s="1"/>
  <c r="M162" i="1" s="1"/>
  <c r="M160" i="1" s="1"/>
  <c r="M185" i="1" s="1"/>
  <c r="M187" i="1" s="1"/>
  <c r="O157" i="1"/>
  <c r="M105" i="1"/>
  <c r="O83" i="1"/>
  <c r="M68" i="1"/>
  <c r="O46" i="1"/>
  <c r="N120" i="1"/>
  <c r="Q12" i="15"/>
  <c r="P13" i="15"/>
  <c r="L158" i="1" s="1"/>
  <c r="O9" i="1"/>
  <c r="M31" i="1"/>
  <c r="O21" i="15"/>
  <c r="K10" i="1"/>
  <c r="G6" i="13" s="1"/>
  <c r="K84" i="1"/>
  <c r="K47" i="1"/>
  <c r="K121" i="1"/>
  <c r="N179" i="1" l="1"/>
  <c r="N178" i="1" s="1"/>
  <c r="N174" i="1" s="1"/>
  <c r="N171" i="1" s="1"/>
  <c r="N162" i="1" s="1"/>
  <c r="N160" i="1" s="1"/>
  <c r="N185" i="1" s="1"/>
  <c r="N187" i="1" s="1"/>
  <c r="P157" i="1"/>
  <c r="M104" i="1"/>
  <c r="M100" i="1" s="1"/>
  <c r="M97" i="1" s="1"/>
  <c r="M88" i="1" s="1"/>
  <c r="M86" i="1" s="1"/>
  <c r="M111" i="1" s="1"/>
  <c r="M113" i="1" s="1"/>
  <c r="I9" i="13" s="1"/>
  <c r="L105" i="1"/>
  <c r="M30" i="1"/>
  <c r="M26" i="1" s="1"/>
  <c r="M23" i="1" s="1"/>
  <c r="M14" i="1" s="1"/>
  <c r="M12" i="1" s="1"/>
  <c r="M37" i="1" s="1"/>
  <c r="M39" i="1" s="1"/>
  <c r="I7" i="13" s="1"/>
  <c r="L31" i="1"/>
  <c r="N68" i="1"/>
  <c r="N67" i="1" s="1"/>
  <c r="N63" i="1" s="1"/>
  <c r="N60" i="1" s="1"/>
  <c r="N51" i="1" s="1"/>
  <c r="N49" i="1" s="1"/>
  <c r="N74" i="1" s="1"/>
  <c r="N76" i="1" s="1"/>
  <c r="J8" i="13" s="1"/>
  <c r="P46" i="1"/>
  <c r="O120" i="1"/>
  <c r="M142" i="1"/>
  <c r="N31" i="1"/>
  <c r="N30" i="1" s="1"/>
  <c r="N26" i="1" s="1"/>
  <c r="N23" i="1" s="1"/>
  <c r="N14" i="1" s="1"/>
  <c r="N12" i="1" s="1"/>
  <c r="N37" i="1" s="1"/>
  <c r="N39" i="1" s="1"/>
  <c r="J7" i="13" s="1"/>
  <c r="P9" i="1"/>
  <c r="M67" i="1"/>
  <c r="M63" i="1" s="1"/>
  <c r="M60" i="1" s="1"/>
  <c r="M51" i="1" s="1"/>
  <c r="M49" i="1" s="1"/>
  <c r="M74" i="1" s="1"/>
  <c r="M76" i="1" s="1"/>
  <c r="I8" i="13" s="1"/>
  <c r="L68" i="1"/>
  <c r="R12" i="15"/>
  <c r="Q13" i="15"/>
  <c r="M158" i="1" s="1"/>
  <c r="L84" i="1"/>
  <c r="L121" i="1"/>
  <c r="L47" i="1"/>
  <c r="P21" i="15"/>
  <c r="L10" i="1"/>
  <c r="H6" i="13" s="1"/>
  <c r="P83" i="1"/>
  <c r="N105" i="1"/>
  <c r="N104" i="1" s="1"/>
  <c r="N100" i="1" s="1"/>
  <c r="N97" i="1" s="1"/>
  <c r="N88" i="1" s="1"/>
  <c r="N86" i="1" s="1"/>
  <c r="N111" i="1" s="1"/>
  <c r="N113" i="1" s="1"/>
  <c r="J9" i="13" s="1"/>
  <c r="Q157" i="1" l="1"/>
  <c r="O179" i="1"/>
  <c r="O178" i="1" s="1"/>
  <c r="O174" i="1" s="1"/>
  <c r="O171" i="1" s="1"/>
  <c r="O162" i="1" s="1"/>
  <c r="O160" i="1" s="1"/>
  <c r="O185" i="1" s="1"/>
  <c r="O187" i="1" s="1"/>
  <c r="O68" i="1"/>
  <c r="O67" i="1" s="1"/>
  <c r="O63" i="1" s="1"/>
  <c r="O60" i="1" s="1"/>
  <c r="O51" i="1" s="1"/>
  <c r="O49" i="1" s="1"/>
  <c r="O74" i="1" s="1"/>
  <c r="O76" i="1" s="1"/>
  <c r="K8" i="13" s="1"/>
  <c r="Q46" i="1"/>
  <c r="N142" i="1"/>
  <c r="N141" i="1" s="1"/>
  <c r="N137" i="1" s="1"/>
  <c r="N134" i="1" s="1"/>
  <c r="N125" i="1" s="1"/>
  <c r="N123" i="1" s="1"/>
  <c r="N148" i="1" s="1"/>
  <c r="N150" i="1" s="1"/>
  <c r="J10" i="13" s="1"/>
  <c r="P120" i="1"/>
  <c r="Q83" i="1"/>
  <c r="O105" i="1"/>
  <c r="O104" i="1" s="1"/>
  <c r="O100" i="1" s="1"/>
  <c r="O97" i="1" s="1"/>
  <c r="O88" i="1" s="1"/>
  <c r="O86" i="1" s="1"/>
  <c r="O111" i="1" s="1"/>
  <c r="O113" i="1" s="1"/>
  <c r="K9" i="13" s="1"/>
  <c r="M84" i="1"/>
  <c r="M121" i="1"/>
  <c r="M47" i="1"/>
  <c r="Q21" i="15"/>
  <c r="M10" i="1"/>
  <c r="I6" i="13" s="1"/>
  <c r="O31" i="1"/>
  <c r="O30" i="1" s="1"/>
  <c r="O26" i="1" s="1"/>
  <c r="O23" i="1" s="1"/>
  <c r="O14" i="1" s="1"/>
  <c r="O12" i="1" s="1"/>
  <c r="O37" i="1" s="1"/>
  <c r="O39" i="1" s="1"/>
  <c r="K7" i="13" s="1"/>
  <c r="Q9" i="1"/>
  <c r="R13" i="15"/>
  <c r="N158" i="1" s="1"/>
  <c r="S12" i="15"/>
  <c r="L30" i="1"/>
  <c r="L26" i="1" s="1"/>
  <c r="L23" i="1" s="1"/>
  <c r="L14" i="1" s="1"/>
  <c r="L12" i="1" s="1"/>
  <c r="L37" i="1" s="1"/>
  <c r="L39" i="1" s="1"/>
  <c r="H7" i="13" s="1"/>
  <c r="K31" i="1"/>
  <c r="L67" i="1"/>
  <c r="L63" i="1" s="1"/>
  <c r="L60" i="1" s="1"/>
  <c r="L51" i="1" s="1"/>
  <c r="L49" i="1" s="1"/>
  <c r="L74" i="1" s="1"/>
  <c r="L76" i="1" s="1"/>
  <c r="H8" i="13" s="1"/>
  <c r="K68" i="1"/>
  <c r="M141" i="1"/>
  <c r="M137" i="1" s="1"/>
  <c r="M134" i="1" s="1"/>
  <c r="M125" i="1" s="1"/>
  <c r="M123" i="1" s="1"/>
  <c r="M148" i="1" s="1"/>
  <c r="M150" i="1" s="1"/>
  <c r="I10" i="13" s="1"/>
  <c r="L142" i="1"/>
  <c r="L104" i="1"/>
  <c r="L100" i="1" s="1"/>
  <c r="L97" i="1" s="1"/>
  <c r="L88" i="1" s="1"/>
  <c r="L86" i="1" s="1"/>
  <c r="L111" i="1" s="1"/>
  <c r="L113" i="1" s="1"/>
  <c r="H9" i="13" s="1"/>
  <c r="K105" i="1"/>
  <c r="Q179" i="1" l="1"/>
  <c r="Q178" i="1" s="1"/>
  <c r="Q174" i="1" s="1"/>
  <c r="Q171" i="1" s="1"/>
  <c r="Q162" i="1" s="1"/>
  <c r="Q160" i="1" s="1"/>
  <c r="Q185" i="1" s="1"/>
  <c r="Q187" i="1" s="1"/>
  <c r="P179" i="1"/>
  <c r="P178" i="1" s="1"/>
  <c r="P174" i="1" s="1"/>
  <c r="P171" i="1" s="1"/>
  <c r="P162" i="1" s="1"/>
  <c r="P160" i="1" s="1"/>
  <c r="P185" i="1" s="1"/>
  <c r="P187" i="1" s="1"/>
  <c r="L141" i="1"/>
  <c r="L137" i="1" s="1"/>
  <c r="L134" i="1" s="1"/>
  <c r="L125" i="1" s="1"/>
  <c r="L123" i="1" s="1"/>
  <c r="L148" i="1" s="1"/>
  <c r="L150" i="1" s="1"/>
  <c r="H10" i="13" s="1"/>
  <c r="K142" i="1"/>
  <c r="S13" i="15"/>
  <c r="O158" i="1" s="1"/>
  <c r="T12" i="15"/>
  <c r="N10" i="1"/>
  <c r="J6" i="13" s="1"/>
  <c r="N84" i="1"/>
  <c r="N47" i="1"/>
  <c r="N121" i="1"/>
  <c r="R21" i="15"/>
  <c r="O142" i="1"/>
  <c r="O141" i="1" s="1"/>
  <c r="O137" i="1" s="1"/>
  <c r="O134" i="1" s="1"/>
  <c r="O125" i="1" s="1"/>
  <c r="O123" i="1" s="1"/>
  <c r="O148" i="1" s="1"/>
  <c r="O150" i="1" s="1"/>
  <c r="K10" i="13" s="1"/>
  <c r="Q120" i="1"/>
  <c r="K67" i="1"/>
  <c r="K63" i="1" s="1"/>
  <c r="K60" i="1" s="1"/>
  <c r="K51" i="1" s="1"/>
  <c r="K49" i="1" s="1"/>
  <c r="K74" i="1" s="1"/>
  <c r="K76" i="1" s="1"/>
  <c r="G8" i="13" s="1"/>
  <c r="J68" i="1"/>
  <c r="K30" i="1"/>
  <c r="K26" i="1" s="1"/>
  <c r="K23" i="1" s="1"/>
  <c r="K14" i="1" s="1"/>
  <c r="K12" i="1" s="1"/>
  <c r="K37" i="1" s="1"/>
  <c r="K39" i="1" s="1"/>
  <c r="G7" i="13" s="1"/>
  <c r="J31" i="1"/>
  <c r="P31" i="1"/>
  <c r="P30" i="1" s="1"/>
  <c r="P26" i="1" s="1"/>
  <c r="P23" i="1" s="1"/>
  <c r="P14" i="1" s="1"/>
  <c r="P12" i="1" s="1"/>
  <c r="P37" i="1" s="1"/>
  <c r="P39" i="1" s="1"/>
  <c r="L7" i="13" s="1"/>
  <c r="Q31" i="1"/>
  <c r="Q30" i="1" s="1"/>
  <c r="Q26" i="1" s="1"/>
  <c r="Q23" i="1" s="1"/>
  <c r="Q14" i="1" s="1"/>
  <c r="Q12" i="1" s="1"/>
  <c r="Q37" i="1" s="1"/>
  <c r="Q39" i="1" s="1"/>
  <c r="M7" i="13" s="1"/>
  <c r="Q68" i="1"/>
  <c r="Q67" i="1" s="1"/>
  <c r="Q63" i="1" s="1"/>
  <c r="Q60" i="1" s="1"/>
  <c r="Q51" i="1" s="1"/>
  <c r="Q49" i="1" s="1"/>
  <c r="Q74" i="1" s="1"/>
  <c r="Q76" i="1" s="1"/>
  <c r="M8" i="13" s="1"/>
  <c r="P68" i="1"/>
  <c r="P67" i="1" s="1"/>
  <c r="P63" i="1" s="1"/>
  <c r="P60" i="1" s="1"/>
  <c r="P51" i="1" s="1"/>
  <c r="P49" i="1" s="1"/>
  <c r="P74" i="1" s="1"/>
  <c r="P76" i="1" s="1"/>
  <c r="L8" i="13" s="1"/>
  <c r="K104" i="1"/>
  <c r="K100" i="1" s="1"/>
  <c r="K97" i="1" s="1"/>
  <c r="K88" i="1" s="1"/>
  <c r="K86" i="1" s="1"/>
  <c r="K111" i="1" s="1"/>
  <c r="K113" i="1" s="1"/>
  <c r="G9" i="13" s="1"/>
  <c r="J105" i="1"/>
  <c r="P105" i="1"/>
  <c r="P104" i="1" s="1"/>
  <c r="P100" i="1" s="1"/>
  <c r="P97" i="1" s="1"/>
  <c r="P88" i="1" s="1"/>
  <c r="P86" i="1" s="1"/>
  <c r="P111" i="1" s="1"/>
  <c r="P113" i="1" s="1"/>
  <c r="L9" i="13" s="1"/>
  <c r="Q105" i="1"/>
  <c r="Q104" i="1" s="1"/>
  <c r="Q100" i="1" s="1"/>
  <c r="Q97" i="1" s="1"/>
  <c r="Q88" i="1" s="1"/>
  <c r="Q86" i="1" s="1"/>
  <c r="Q111" i="1" s="1"/>
  <c r="Q113" i="1" s="1"/>
  <c r="M9" i="13" s="1"/>
  <c r="G188" i="1" l="1"/>
  <c r="J30" i="1"/>
  <c r="J26" i="1" s="1"/>
  <c r="J23" i="1" s="1"/>
  <c r="J14" i="1" s="1"/>
  <c r="J12" i="1" s="1"/>
  <c r="J37" i="1" s="1"/>
  <c r="J39" i="1" s="1"/>
  <c r="F7" i="13" s="1"/>
  <c r="J67" i="1"/>
  <c r="J63" i="1" s="1"/>
  <c r="J60" i="1" s="1"/>
  <c r="J51" i="1" s="1"/>
  <c r="J49" i="1" s="1"/>
  <c r="J74" i="1" s="1"/>
  <c r="J76" i="1" s="1"/>
  <c r="F8" i="13" s="1"/>
  <c r="I68" i="1"/>
  <c r="U12" i="15"/>
  <c r="U13" i="15" s="1"/>
  <c r="Q158" i="1" s="1"/>
  <c r="T13" i="15"/>
  <c r="P158" i="1" s="1"/>
  <c r="O84" i="1"/>
  <c r="O10" i="1"/>
  <c r="K6" i="13" s="1"/>
  <c r="O47" i="1"/>
  <c r="O121" i="1"/>
  <c r="S21" i="15"/>
  <c r="K141" i="1"/>
  <c r="K137" i="1" s="1"/>
  <c r="K134" i="1" s="1"/>
  <c r="K125" i="1" s="1"/>
  <c r="K123" i="1" s="1"/>
  <c r="K148" i="1" s="1"/>
  <c r="K150" i="1" s="1"/>
  <c r="G10" i="13" s="1"/>
  <c r="J142" i="1"/>
  <c r="J104" i="1"/>
  <c r="J100" i="1" s="1"/>
  <c r="J97" i="1" s="1"/>
  <c r="J88" i="1" s="1"/>
  <c r="J86" i="1" s="1"/>
  <c r="J111" i="1" s="1"/>
  <c r="J113" i="1" s="1"/>
  <c r="F9" i="13" s="1"/>
  <c r="I105" i="1"/>
  <c r="Q142" i="1"/>
  <c r="Q141" i="1" s="1"/>
  <c r="Q137" i="1" s="1"/>
  <c r="Q134" i="1" s="1"/>
  <c r="Q125" i="1" s="1"/>
  <c r="Q123" i="1" s="1"/>
  <c r="Q148" i="1" s="1"/>
  <c r="Q150" i="1" s="1"/>
  <c r="M10" i="13" s="1"/>
  <c r="P142" i="1"/>
  <c r="P141" i="1" s="1"/>
  <c r="P137" i="1" s="1"/>
  <c r="P134" i="1" s="1"/>
  <c r="P125" i="1" s="1"/>
  <c r="P123" i="1" s="1"/>
  <c r="P148" i="1" s="1"/>
  <c r="P150" i="1" s="1"/>
  <c r="L10" i="13" s="1"/>
  <c r="P84" i="1" l="1"/>
  <c r="P47" i="1"/>
  <c r="P121" i="1"/>
  <c r="P10" i="1"/>
  <c r="L6" i="13" s="1"/>
  <c r="T21" i="15"/>
  <c r="I104" i="1"/>
  <c r="I100" i="1" s="1"/>
  <c r="I97" i="1" s="1"/>
  <c r="I88" i="1" s="1"/>
  <c r="I86" i="1" s="1"/>
  <c r="I111" i="1" s="1"/>
  <c r="I113" i="1" s="1"/>
  <c r="E9" i="13" s="1"/>
  <c r="H105" i="1"/>
  <c r="H104" i="1" s="1"/>
  <c r="H100" i="1" s="1"/>
  <c r="H97" i="1" s="1"/>
  <c r="H88" i="1" s="1"/>
  <c r="H86" i="1" s="1"/>
  <c r="H111" i="1" s="1"/>
  <c r="H113" i="1" s="1"/>
  <c r="D9" i="13" s="1"/>
  <c r="Q10" i="1"/>
  <c r="M6" i="13" s="1"/>
  <c r="Q121" i="1"/>
  <c r="Q47" i="1"/>
  <c r="U21" i="15"/>
  <c r="Q84" i="1"/>
  <c r="J141" i="1"/>
  <c r="J137" i="1" s="1"/>
  <c r="J134" i="1" s="1"/>
  <c r="J125" i="1" s="1"/>
  <c r="J123" i="1" s="1"/>
  <c r="J148" i="1" s="1"/>
  <c r="J150" i="1" s="1"/>
  <c r="F10" i="13" s="1"/>
  <c r="I142" i="1"/>
  <c r="I67" i="1"/>
  <c r="I63" i="1" s="1"/>
  <c r="I60" i="1" s="1"/>
  <c r="I51" i="1" s="1"/>
  <c r="I49" i="1" s="1"/>
  <c r="I74" i="1" s="1"/>
  <c r="I76" i="1" s="1"/>
  <c r="E8" i="13" s="1"/>
  <c r="H68" i="1"/>
  <c r="H67" i="1" s="1"/>
  <c r="H63" i="1" s="1"/>
  <c r="H60" i="1" s="1"/>
  <c r="H51" i="1" s="1"/>
  <c r="H49" i="1" s="1"/>
  <c r="H74" i="1" s="1"/>
  <c r="H76" i="1" s="1"/>
  <c r="D8" i="13" s="1"/>
  <c r="I26" i="1"/>
  <c r="I23" i="1" s="1"/>
  <c r="I14" i="1" s="1"/>
  <c r="I12" i="1" s="1"/>
  <c r="I37" i="1" s="1"/>
  <c r="I39" i="1" s="1"/>
  <c r="E7" i="13" s="1"/>
  <c r="H26" i="1"/>
  <c r="H23" i="1" s="1"/>
  <c r="H14" i="1" s="1"/>
  <c r="H12" i="1" s="1"/>
  <c r="H37" i="1" s="1"/>
  <c r="H39" i="1" s="1"/>
  <c r="D7" i="13" s="1"/>
  <c r="G77" i="1" l="1"/>
  <c r="O8" i="13"/>
  <c r="P8" i="13" s="1"/>
  <c r="O7" i="13"/>
  <c r="G40" i="1"/>
  <c r="H142" i="1"/>
  <c r="H141" i="1" s="1"/>
  <c r="H137" i="1" s="1"/>
  <c r="H134" i="1" s="1"/>
  <c r="H125" i="1" s="1"/>
  <c r="H123" i="1" s="1"/>
  <c r="H148" i="1" s="1"/>
  <c r="H150" i="1" s="1"/>
  <c r="D10" i="13" s="1"/>
  <c r="I141" i="1"/>
  <c r="I137" i="1" s="1"/>
  <c r="I134" i="1" s="1"/>
  <c r="I125" i="1" s="1"/>
  <c r="I123" i="1" s="1"/>
  <c r="I148" i="1" s="1"/>
  <c r="I150" i="1" s="1"/>
  <c r="E10" i="13" s="1"/>
  <c r="O9" i="13"/>
  <c r="P9" i="13" s="1"/>
  <c r="G114" i="1"/>
  <c r="O10" i="13" l="1"/>
  <c r="P10" i="13" s="1"/>
  <c r="P7" i="13"/>
  <c r="G151" i="1"/>
  <c r="P12" i="13" l="1"/>
  <c r="O12" i="13"/>
</calcChain>
</file>

<file path=xl/sharedStrings.xml><?xml version="1.0" encoding="utf-8"?>
<sst xmlns="http://schemas.openxmlformats.org/spreadsheetml/2006/main" count="405" uniqueCount="127">
  <si>
    <t>Monitoring period #</t>
  </si>
  <si>
    <t>Age group</t>
  </si>
  <si>
    <t>Monitoring period</t>
  </si>
  <si>
    <t>Start date</t>
  </si>
  <si>
    <t>End date</t>
  </si>
  <si>
    <t>Age group dependent</t>
  </si>
  <si>
    <t>N/A</t>
  </si>
  <si>
    <t>VPA 14</t>
  </si>
  <si>
    <t>VPA 15</t>
  </si>
  <si>
    <t>VPA 16</t>
  </si>
  <si>
    <t xml:space="preserve">Up,y </t>
  </si>
  <si>
    <t>%</t>
  </si>
  <si>
    <t>VPA 17</t>
  </si>
  <si>
    <t xml:space="preserve">DFb, Stove, y </t>
  </si>
  <si>
    <t xml:space="preserve">Project information </t>
  </si>
  <si>
    <t>Age group &amp; VPA dependent</t>
  </si>
  <si>
    <t>GS ID POA</t>
  </si>
  <si>
    <t>GS 1340</t>
  </si>
  <si>
    <t>Crediting period</t>
  </si>
  <si>
    <t>Np,y  (active households)</t>
  </si>
  <si>
    <t>VPA #</t>
  </si>
  <si>
    <t>Crediting period - Start year</t>
  </si>
  <si>
    <t>Crediting period - End year</t>
  </si>
  <si>
    <t>Baseline cookstove type</t>
  </si>
  <si>
    <t>three stone</t>
  </si>
  <si>
    <t xml:space="preserve">Project technology </t>
  </si>
  <si>
    <t>F3PA</t>
  </si>
  <si>
    <t xml:space="preserve">Baseline Fuelwood Consumption </t>
    <phoneticPr fontId="4" type="noConversion"/>
  </si>
  <si>
    <t xml:space="preserve">Unit </t>
    <phoneticPr fontId="4" type="noConversion"/>
  </si>
  <si>
    <t>Input value</t>
    <phoneticPr fontId="4" type="noConversion"/>
  </si>
  <si>
    <t>Baseline fuel consumption Option</t>
    <phoneticPr fontId="4" type="noConversion"/>
  </si>
  <si>
    <t>Field Performance test</t>
  </si>
  <si>
    <t>Household Size</t>
    <phoneticPr fontId="4" type="noConversion"/>
  </si>
  <si>
    <t xml:space="preserve">Fuelwood consumption </t>
    <phoneticPr fontId="4" type="noConversion"/>
  </si>
  <si>
    <t>persons per household</t>
  </si>
  <si>
    <t>tonnes per household per year</t>
    <phoneticPr fontId="4" type="noConversion"/>
  </si>
  <si>
    <t xml:space="preserve">fNRB,b,y </t>
  </si>
  <si>
    <t>EFb,fuel,CO2</t>
  </si>
  <si>
    <t>tCO2e/ton of wood</t>
  </si>
  <si>
    <t>EFb,fuel, non_CO2</t>
  </si>
  <si>
    <t xml:space="preserve">Cookstove Efficiency </t>
  </si>
  <si>
    <t>Baseline cookstove efficiency (ηb)</t>
  </si>
  <si>
    <t>Default</t>
  </si>
  <si>
    <t>Default value ηb</t>
  </si>
  <si>
    <t>User defined value</t>
  </si>
  <si>
    <t>-</t>
  </si>
  <si>
    <t xml:space="preserve">Project cookstove Efficiency (ηp) </t>
  </si>
  <si>
    <t>Project cookstove Efficiency in year y (ηp,y)</t>
  </si>
  <si>
    <t>Project cookstove Efficiency loss (DFη) 1%</t>
  </si>
  <si>
    <t>Leakage adjustment</t>
  </si>
  <si>
    <t>Would you like to apply default value or monitored value?</t>
    <phoneticPr fontId="4" type="noConversion"/>
  </si>
  <si>
    <t>Default adjustment factor</t>
  </si>
  <si>
    <t>Monitored value</t>
    <phoneticPr fontId="4" type="noConversion"/>
  </si>
  <si>
    <t>-</t>
    <phoneticPr fontId="4" type="noConversion"/>
  </si>
  <si>
    <t>User defined</t>
    <phoneticPr fontId="4" type="noConversion"/>
  </si>
  <si>
    <t>Historical data</t>
    <phoneticPr fontId="4" type="noConversion"/>
  </si>
  <si>
    <t>Default</t>
    <phoneticPr fontId="4" type="noConversion"/>
  </si>
  <si>
    <t>Survey</t>
    <phoneticPr fontId="4" type="noConversion"/>
  </si>
  <si>
    <t>Monitored</t>
    <phoneticPr fontId="4" type="noConversion"/>
  </si>
  <si>
    <t>Minimum service level</t>
    <phoneticPr fontId="4" type="noConversion"/>
  </si>
  <si>
    <t>Field Performance test</t>
    <phoneticPr fontId="4" type="noConversion"/>
  </si>
  <si>
    <t>EFCO2</t>
    <phoneticPr fontId="4" type="noConversion"/>
  </si>
  <si>
    <t>tCo2/twood</t>
    <phoneticPr fontId="4" type="noConversion"/>
  </si>
  <si>
    <t>EF_Non-CO2</t>
    <phoneticPr fontId="4" type="noConversion"/>
  </si>
  <si>
    <t>NCV_Wood</t>
    <phoneticPr fontId="4" type="noConversion"/>
  </si>
  <si>
    <t>TJ/t</t>
    <phoneticPr fontId="4" type="noConversion"/>
  </si>
  <si>
    <t>2006; IPCC Guidelines for National Greenhouse Gas Inventories</t>
    <phoneticPr fontId="4" type="noConversion"/>
  </si>
  <si>
    <t>EF_CO2_Wood</t>
    <phoneticPr fontId="4" type="noConversion"/>
  </si>
  <si>
    <t>tCO2/TJ</t>
    <phoneticPr fontId="4" type="noConversion"/>
  </si>
  <si>
    <t>GWP_CH4_CP1</t>
    <phoneticPr fontId="4" type="noConversion"/>
  </si>
  <si>
    <t>2007; IPCC Fourth Assessment Report: Climate Change</t>
  </si>
  <si>
    <t>GWP_CH4_CP2</t>
    <phoneticPr fontId="4" type="noConversion"/>
  </si>
  <si>
    <t>GWP_CH4_2021</t>
  </si>
  <si>
    <t>IPCC Fifth Assessment Report: Climate Change</t>
  </si>
  <si>
    <t>EF_CH4</t>
    <phoneticPr fontId="4" type="noConversion"/>
  </si>
  <si>
    <t>IPCC</t>
    <phoneticPr fontId="4" type="noConversion"/>
  </si>
  <si>
    <t>GWP_N2O_CP1</t>
    <phoneticPr fontId="4" type="noConversion"/>
  </si>
  <si>
    <t>GWP_N2O_CP2</t>
    <phoneticPr fontId="4" type="noConversion"/>
  </si>
  <si>
    <t>GWP_N2O_2021</t>
  </si>
  <si>
    <t>EF_N2O</t>
    <phoneticPr fontId="4" type="noConversion"/>
  </si>
  <si>
    <t>Summary Emission reductions</t>
  </si>
  <si>
    <t>Age Group</t>
  </si>
  <si>
    <t>Total</t>
  </si>
  <si>
    <t>GS ID</t>
  </si>
  <si>
    <t>GS10778</t>
  </si>
  <si>
    <t>GS10779</t>
  </si>
  <si>
    <t>GS10780</t>
  </si>
  <si>
    <t>GS10781</t>
  </si>
  <si>
    <t>Unit</t>
  </si>
  <si>
    <t xml:space="preserve">Age group </t>
  </si>
  <si>
    <t>Emission reduction</t>
  </si>
  <si>
    <t>unit tCO2</t>
  </si>
  <si>
    <t xml:space="preserve">Np,y </t>
  </si>
  <si>
    <t xml:space="preserve">Number of households with project cookstoves of each age group operational in the year y </t>
  </si>
  <si>
    <t>Py</t>
  </si>
  <si>
    <t xml:space="preserve">Quantity of firewood that is saved in the year y </t>
  </si>
  <si>
    <t xml:space="preserve">ton/household in year y </t>
  </si>
  <si>
    <t>Usage rate for project cookstoves in year y, based on adoption rate and drop off rate revealed by usage surveys</t>
  </si>
  <si>
    <t>Fraction of biomass, used in year y for baseline scenario, which can be established as non-renewable</t>
  </si>
  <si>
    <t>CO2 emission factor of fire wood that is substituted or reduced</t>
  </si>
  <si>
    <t>Non-CO2 emission factor of fire wood that is substituted or reduced</t>
  </si>
  <si>
    <t>Usage of baseline cookstove during the year y (fraction) in project scenario</t>
  </si>
  <si>
    <t xml:space="preserve">ton/household </t>
  </si>
  <si>
    <t xml:space="preserve">Bb,y </t>
  </si>
  <si>
    <t>Tonnes of firewood per household per year</t>
  </si>
  <si>
    <t>ƞb</t>
  </si>
  <si>
    <t>Efficiency of the cookstove being used in the baseline scenario</t>
  </si>
  <si>
    <t>ηp,y</t>
  </si>
  <si>
    <t xml:space="preserve">Efficiency of project cookstove in year y </t>
  </si>
  <si>
    <t xml:space="preserve">ƞp </t>
  </si>
  <si>
    <t>Efficiency of the cookstove being used in the project scenario</t>
  </si>
  <si>
    <t>User defined</t>
  </si>
  <si>
    <t>DFη</t>
  </si>
  <si>
    <t>Discount factor to account for efficiency loss of project cookstove per year of operation</t>
  </si>
  <si>
    <t>Adjustment factor to account for uncertainty related to project cookstove efficiency test</t>
  </si>
  <si>
    <t>tCO2</t>
  </si>
  <si>
    <t>NET EMISSION REDUCTION PER AGE GROUP</t>
  </si>
  <si>
    <t>TOTAL EMISSION REDUCTION</t>
  </si>
  <si>
    <t>tCO2e</t>
  </si>
  <si>
    <t>VPA 29</t>
  </si>
  <si>
    <t>Source: 'GS1340_MS_VPA14-17_29_MP2_20220623_Analysis.xlsx' / Tab 'Analysis' / Cells B45-46</t>
  </si>
  <si>
    <t>Source: 'GS1340_MS_VPA14-17_29_MP2_20220623_Analysis.xlsx' / Tab 'Analysis' / Cells B51-52</t>
  </si>
  <si>
    <t>Source: 'GS1340_VPA14-15-16-17-29_MP2_DR_Recent date_20220330_v1.0'/ Tab 'Analysis'</t>
  </si>
  <si>
    <t>GS11074</t>
  </si>
  <si>
    <t>Total capped</t>
  </si>
  <si>
    <t>MP2</t>
  </si>
  <si>
    <t>MP1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</si>
</sst>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00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indexed="8"/>
      <name val="Calibri"/>
      <family val="2"/>
    </font>
    <font>
      <sz val="11"/>
      <color indexed="8"/>
      <name val="Calibri"/>
      <family val="2"/>
    </font>
    <font>
      <u/>
      <sz val="11"/>
      <color indexed="12"/>
      <name val="Calibri"/>
      <family val="2"/>
    </font>
    <font>
      <i/>
      <sz val="11"/>
      <color theme="1"/>
      <name val="Calibri"/>
      <family val="2"/>
      <scheme val="minor"/>
    </font>
    <font>
      <b/>
      <sz val="12"/>
      <color theme="0"/>
      <name val="Calibri"/>
      <family val="2"/>
    </font>
    <font>
      <sz val="12"/>
      <color theme="1"/>
      <name val="Calibri"/>
      <family val="2"/>
      <scheme val="minor"/>
    </font>
    <font>
      <sz val="11"/>
      <color indexed="9"/>
      <name val="Calibri"/>
      <family val="2"/>
    </font>
    <font>
      <b/>
      <sz val="11"/>
      <color theme="0"/>
      <name val="Calibri"/>
      <family val="2"/>
      <scheme val="minor"/>
    </font>
    <font>
      <sz val="12"/>
      <color theme="0"/>
      <name val="Calibri"/>
      <family val="2"/>
    </font>
    <font>
      <sz val="11"/>
      <name val="Calibri"/>
      <family val="2"/>
      <scheme val="minor"/>
    </font>
    <font>
      <sz val="12"/>
      <name val="Calibri"/>
      <family val="2"/>
    </font>
    <font>
      <sz val="12"/>
      <name val="Calibri"/>
      <family val="2"/>
      <scheme val="minor"/>
    </font>
    <font>
      <b/>
      <sz val="11"/>
      <color theme="0"/>
      <name val="Calibri"/>
      <family val="2"/>
    </font>
    <font>
      <sz val="12"/>
      <color theme="2" tint="-0.499984740745262"/>
      <name val="Calibri"/>
      <family val="2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</font>
    <font>
      <i/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9FC8C6"/>
        <bgColor indexed="64"/>
      </patternFill>
    </fill>
  </fills>
  <borders count="35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auto="1"/>
      </top>
      <bottom/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5" fillId="0" borderId="0"/>
    <xf numFmtId="0" fontId="6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  <xf numFmtId="0" fontId="22" fillId="0" borderId="0" applyNumberFormat="0" applyFill="0" applyBorder="0" applyAlignment="0" applyProtection="0"/>
  </cellStyleXfs>
  <cellXfs count="137">
    <xf numFmtId="0" fontId="0" fillId="0" borderId="0" xfId="0"/>
    <xf numFmtId="0" fontId="5" fillId="3" borderId="0" xfId="2" applyFill="1"/>
    <xf numFmtId="1" fontId="5" fillId="3" borderId="0" xfId="2" applyNumberFormat="1" applyFill="1"/>
    <xf numFmtId="9" fontId="4" fillId="0" borderId="1" xfId="0" applyNumberFormat="1" applyFont="1" applyBorder="1"/>
    <xf numFmtId="10" fontId="4" fillId="3" borderId="1" xfId="0" applyNumberFormat="1" applyFont="1" applyFill="1" applyBorder="1" applyAlignment="1">
      <alignment horizontal="left"/>
    </xf>
    <xf numFmtId="0" fontId="0" fillId="6" borderId="0" xfId="0" applyFill="1"/>
    <xf numFmtId="0" fontId="8" fillId="5" borderId="1" xfId="0" applyFont="1" applyFill="1" applyBorder="1"/>
    <xf numFmtId="10" fontId="4" fillId="3" borderId="1" xfId="1" applyNumberFormat="1" applyFont="1" applyFill="1" applyBorder="1" applyAlignment="1">
      <alignment horizontal="left"/>
    </xf>
    <xf numFmtId="0" fontId="0" fillId="0" borderId="5" xfId="0" applyBorder="1"/>
    <xf numFmtId="0" fontId="2" fillId="0" borderId="6" xfId="0" applyFont="1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3" fillId="0" borderId="9" xfId="0" applyFont="1" applyBorder="1"/>
    <xf numFmtId="0" fontId="7" fillId="0" borderId="0" xfId="0" applyFont="1"/>
    <xf numFmtId="0" fontId="0" fillId="0" borderId="0" xfId="0" quotePrefix="1"/>
    <xf numFmtId="0" fontId="2" fillId="0" borderId="0" xfId="0" applyFont="1"/>
    <xf numFmtId="0" fontId="2" fillId="6" borderId="0" xfId="0" applyFont="1" applyFill="1"/>
    <xf numFmtId="9" fontId="0" fillId="4" borderId="0" xfId="1" applyFont="1" applyFill="1" applyBorder="1"/>
    <xf numFmtId="2" fontId="0" fillId="4" borderId="0" xfId="1" applyNumberFormat="1" applyFont="1" applyFill="1" applyBorder="1"/>
    <xf numFmtId="0" fontId="3" fillId="5" borderId="1" xfId="0" applyFont="1" applyFill="1" applyBorder="1"/>
    <xf numFmtId="0" fontId="0" fillId="6" borderId="4" xfId="0" applyFill="1" applyBorder="1"/>
    <xf numFmtId="0" fontId="0" fillId="6" borderId="1" xfId="0" applyFill="1" applyBorder="1"/>
    <xf numFmtId="0" fontId="3" fillId="5" borderId="4" xfId="0" applyFont="1" applyFill="1" applyBorder="1"/>
    <xf numFmtId="0" fontId="0" fillId="6" borderId="1" xfId="0" applyFill="1" applyBorder="1" applyAlignment="1">
      <alignment horizontal="right"/>
    </xf>
    <xf numFmtId="0" fontId="0" fillId="6" borderId="2" xfId="0" applyFill="1" applyBorder="1"/>
    <xf numFmtId="0" fontId="9" fillId="0" borderId="0" xfId="0" applyFont="1"/>
    <xf numFmtId="2" fontId="10" fillId="2" borderId="2" xfId="0" applyNumberFormat="1" applyFont="1" applyFill="1" applyBorder="1" applyAlignment="1">
      <alignment horizontal="right"/>
    </xf>
    <xf numFmtId="9" fontId="10" fillId="2" borderId="2" xfId="1" applyFont="1" applyFill="1" applyBorder="1" applyAlignment="1">
      <alignment horizontal="right"/>
    </xf>
    <xf numFmtId="0" fontId="0" fillId="4" borderId="0" xfId="0" applyFill="1"/>
    <xf numFmtId="1" fontId="10" fillId="2" borderId="2" xfId="0" applyNumberFormat="1" applyFont="1" applyFill="1" applyBorder="1" applyAlignment="1">
      <alignment horizontal="right"/>
    </xf>
    <xf numFmtId="1" fontId="10" fillId="2" borderId="2" xfId="1" applyNumberFormat="1" applyFont="1" applyFill="1" applyBorder="1" applyAlignment="1">
      <alignment horizontal="right"/>
    </xf>
    <xf numFmtId="0" fontId="13" fillId="4" borderId="4" xfId="0" applyFont="1" applyFill="1" applyBorder="1"/>
    <xf numFmtId="0" fontId="14" fillId="4" borderId="4" xfId="0" applyFont="1" applyFill="1" applyBorder="1" applyAlignment="1">
      <alignment horizontal="left"/>
    </xf>
    <xf numFmtId="0" fontId="14" fillId="4" borderId="4" xfId="0" applyFont="1" applyFill="1" applyBorder="1"/>
    <xf numFmtId="0" fontId="14" fillId="4" borderId="1" xfId="0" applyFont="1" applyFill="1" applyBorder="1" applyAlignment="1">
      <alignment horizontal="left"/>
    </xf>
    <xf numFmtId="0" fontId="14" fillId="4" borderId="1" xfId="0" applyFont="1" applyFill="1" applyBorder="1"/>
    <xf numFmtId="9" fontId="14" fillId="4" borderId="4" xfId="0" applyNumberFormat="1" applyFont="1" applyFill="1" applyBorder="1" applyAlignment="1">
      <alignment horizontal="left"/>
    </xf>
    <xf numFmtId="9" fontId="14" fillId="4" borderId="1" xfId="0" applyNumberFormat="1" applyFont="1" applyFill="1" applyBorder="1" applyAlignment="1">
      <alignment horizontal="left"/>
    </xf>
    <xf numFmtId="0" fontId="5" fillId="7" borderId="3" xfId="0" applyFont="1" applyFill="1" applyBorder="1" applyAlignment="1">
      <alignment horizontal="left"/>
    </xf>
    <xf numFmtId="10" fontId="5" fillId="7" borderId="3" xfId="1" applyNumberFormat="1" applyFont="1" applyFill="1" applyBorder="1" applyAlignment="1"/>
    <xf numFmtId="9" fontId="5" fillId="7" borderId="3" xfId="1" applyFont="1" applyFill="1" applyBorder="1" applyAlignment="1"/>
    <xf numFmtId="1" fontId="5" fillId="7" borderId="3" xfId="0" applyNumberFormat="1" applyFont="1" applyFill="1" applyBorder="1"/>
    <xf numFmtId="0" fontId="2" fillId="0" borderId="0" xfId="0" applyFont="1" applyAlignment="1">
      <alignment wrapText="1"/>
    </xf>
    <xf numFmtId="0" fontId="11" fillId="5" borderId="1" xfId="0" applyFont="1" applyFill="1" applyBorder="1"/>
    <xf numFmtId="0" fontId="11" fillId="5" borderId="4" xfId="0" applyFont="1" applyFill="1" applyBorder="1"/>
    <xf numFmtId="0" fontId="16" fillId="5" borderId="1" xfId="0" applyFont="1" applyFill="1" applyBorder="1"/>
    <xf numFmtId="0" fontId="17" fillId="5" borderId="4" xfId="0" applyFont="1" applyFill="1" applyBorder="1" applyAlignment="1">
      <alignment horizontal="left"/>
    </xf>
    <xf numFmtId="0" fontId="12" fillId="5" borderId="2" xfId="0" applyFont="1" applyFill="1" applyBorder="1" applyAlignment="1">
      <alignment horizontal="left"/>
    </xf>
    <xf numFmtId="0" fontId="15" fillId="4" borderId="1" xfId="0" applyFont="1" applyFill="1" applyBorder="1" applyAlignment="1">
      <alignment horizontal="left"/>
    </xf>
    <xf numFmtId="0" fontId="11" fillId="8" borderId="5" xfId="0" applyFont="1" applyFill="1" applyBorder="1" applyAlignment="1">
      <alignment vertical="center"/>
    </xf>
    <xf numFmtId="0" fontId="11" fillId="8" borderId="6" xfId="0" applyFont="1" applyFill="1" applyBorder="1" applyAlignment="1">
      <alignment vertical="center"/>
    </xf>
    <xf numFmtId="1" fontId="11" fillId="8" borderId="6" xfId="0" applyNumberFormat="1" applyFont="1" applyFill="1" applyBorder="1" applyAlignment="1">
      <alignment vertical="center"/>
    </xf>
    <xf numFmtId="1" fontId="11" fillId="8" borderId="6" xfId="0" applyNumberFormat="1" applyFont="1" applyFill="1" applyBorder="1" applyAlignment="1">
      <alignment horizontal="right" vertical="center"/>
    </xf>
    <xf numFmtId="1" fontId="11" fillId="8" borderId="7" xfId="0" applyNumberFormat="1" applyFont="1" applyFill="1" applyBorder="1" applyAlignment="1">
      <alignment horizontal="right" vertical="center"/>
    </xf>
    <xf numFmtId="0" fontId="11" fillId="8" borderId="10" xfId="0" applyFont="1" applyFill="1" applyBorder="1"/>
    <xf numFmtId="1" fontId="11" fillId="8" borderId="11" xfId="0" applyNumberFormat="1" applyFont="1" applyFill="1" applyBorder="1"/>
    <xf numFmtId="0" fontId="11" fillId="8" borderId="11" xfId="0" applyFont="1" applyFill="1" applyBorder="1"/>
    <xf numFmtId="0" fontId="3" fillId="8" borderId="11" xfId="0" applyFont="1" applyFill="1" applyBorder="1"/>
    <xf numFmtId="1" fontId="11" fillId="8" borderId="11" xfId="0" applyNumberFormat="1" applyFont="1" applyFill="1" applyBorder="1" applyAlignment="1">
      <alignment vertical="center"/>
    </xf>
    <xf numFmtId="1" fontId="11" fillId="8" borderId="12" xfId="0" applyNumberFormat="1" applyFont="1" applyFill="1" applyBorder="1" applyAlignment="1">
      <alignment vertical="center"/>
    </xf>
    <xf numFmtId="0" fontId="17" fillId="5" borderId="0" xfId="0" applyFont="1" applyFill="1" applyAlignment="1">
      <alignment horizontal="left"/>
    </xf>
    <xf numFmtId="0" fontId="19" fillId="0" borderId="0" xfId="0" applyFont="1"/>
    <xf numFmtId="3" fontId="2" fillId="9" borderId="27" xfId="0" applyNumberFormat="1" applyFont="1" applyFill="1" applyBorder="1"/>
    <xf numFmtId="0" fontId="3" fillId="0" borderId="0" xfId="0" applyFont="1"/>
    <xf numFmtId="0" fontId="14" fillId="4" borderId="1" xfId="0" applyFont="1" applyFill="1" applyBorder="1" applyAlignment="1">
      <alignment horizontal="right"/>
    </xf>
    <xf numFmtId="9" fontId="0" fillId="0" borderId="0" xfId="1" applyFont="1" applyFill="1" applyBorder="1"/>
    <xf numFmtId="9" fontId="10" fillId="0" borderId="0" xfId="1" applyFont="1" applyFill="1" applyBorder="1" applyAlignment="1">
      <alignment horizontal="right"/>
    </xf>
    <xf numFmtId="0" fontId="5" fillId="0" borderId="0" xfId="0" applyFont="1" applyAlignment="1">
      <alignment horizontal="left"/>
    </xf>
    <xf numFmtId="0" fontId="17" fillId="5" borderId="15" xfId="0" applyFont="1" applyFill="1" applyBorder="1" applyAlignment="1">
      <alignment horizontal="left"/>
    </xf>
    <xf numFmtId="0" fontId="17" fillId="5" borderId="28" xfId="0" applyFont="1" applyFill="1" applyBorder="1" applyAlignment="1">
      <alignment horizontal="left"/>
    </xf>
    <xf numFmtId="0" fontId="12" fillId="5" borderId="23" xfId="0" applyFont="1" applyFill="1" applyBorder="1" applyAlignment="1">
      <alignment horizontal="left"/>
    </xf>
    <xf numFmtId="0" fontId="12" fillId="5" borderId="22" xfId="0" applyFont="1" applyFill="1" applyBorder="1" applyAlignment="1">
      <alignment horizontal="left"/>
    </xf>
    <xf numFmtId="3" fontId="13" fillId="0" borderId="3" xfId="0" applyNumberFormat="1" applyFont="1" applyBorder="1"/>
    <xf numFmtId="3" fontId="20" fillId="0" borderId="3" xfId="1" applyNumberFormat="1" applyFont="1" applyFill="1" applyBorder="1" applyAlignment="1">
      <alignment horizontal="right"/>
    </xf>
    <xf numFmtId="3" fontId="13" fillId="0" borderId="3" xfId="0" applyNumberFormat="1" applyFont="1" applyBorder="1" applyAlignment="1">
      <alignment vertical="center"/>
    </xf>
    <xf numFmtId="3" fontId="13" fillId="0" borderId="3" xfId="0" applyNumberFormat="1" applyFont="1" applyBorder="1" applyAlignment="1">
      <alignment horizontal="right" vertical="center"/>
    </xf>
    <xf numFmtId="10" fontId="0" fillId="4" borderId="0" xfId="1" applyNumberFormat="1" applyFont="1" applyFill="1" applyBorder="1"/>
    <xf numFmtId="0" fontId="11" fillId="8" borderId="16" xfId="0" applyFont="1" applyFill="1" applyBorder="1"/>
    <xf numFmtId="0" fontId="2" fillId="9" borderId="16" xfId="0" applyFont="1" applyFill="1" applyBorder="1"/>
    <xf numFmtId="3" fontId="0" fillId="0" borderId="20" xfId="0" applyNumberFormat="1" applyBorder="1"/>
    <xf numFmtId="3" fontId="0" fillId="0" borderId="21" xfId="0" applyNumberFormat="1" applyBorder="1"/>
    <xf numFmtId="1" fontId="0" fillId="0" borderId="20" xfId="0" applyNumberFormat="1" applyBorder="1"/>
    <xf numFmtId="0" fontId="2" fillId="6" borderId="26" xfId="0" applyFont="1" applyFill="1" applyBorder="1"/>
    <xf numFmtId="0" fontId="2" fillId="6" borderId="30" xfId="0" applyFont="1" applyFill="1" applyBorder="1"/>
    <xf numFmtId="0" fontId="2" fillId="6" borderId="29" xfId="0" applyFont="1" applyFill="1" applyBorder="1"/>
    <xf numFmtId="0" fontId="2" fillId="6" borderId="31" xfId="0" applyFont="1" applyFill="1" applyBorder="1"/>
    <xf numFmtId="0" fontId="2" fillId="6" borderId="24" xfId="0" applyFont="1" applyFill="1" applyBorder="1"/>
    <xf numFmtId="0" fontId="2" fillId="6" borderId="1" xfId="0" applyFont="1" applyFill="1" applyBorder="1"/>
    <xf numFmtId="2" fontId="14" fillId="4" borderId="1" xfId="0" applyNumberFormat="1" applyFont="1" applyFill="1" applyBorder="1" applyAlignment="1">
      <alignment horizontal="left"/>
    </xf>
    <xf numFmtId="2" fontId="14" fillId="4" borderId="1" xfId="0" applyNumberFormat="1" applyFont="1" applyFill="1" applyBorder="1" applyAlignment="1">
      <alignment horizontal="right"/>
    </xf>
    <xf numFmtId="3" fontId="2" fillId="0" borderId="0" xfId="0" applyNumberFormat="1" applyFont="1"/>
    <xf numFmtId="0" fontId="21" fillId="6" borderId="4" xfId="0" applyFont="1" applyFill="1" applyBorder="1"/>
    <xf numFmtId="14" fontId="14" fillId="4" borderId="4" xfId="0" applyNumberFormat="1" applyFont="1" applyFill="1" applyBorder="1"/>
    <xf numFmtId="14" fontId="14" fillId="4" borderId="4" xfId="0" applyNumberFormat="1" applyFont="1" applyFill="1" applyBorder="1" applyAlignment="1">
      <alignment horizontal="center" vertical="center"/>
    </xf>
    <xf numFmtId="14" fontId="14" fillId="4" borderId="0" xfId="0" applyNumberFormat="1" applyFont="1" applyFill="1" applyAlignment="1">
      <alignment horizontal="center" vertical="center"/>
    </xf>
    <xf numFmtId="0" fontId="0" fillId="0" borderId="4" xfId="0" applyBorder="1"/>
    <xf numFmtId="0" fontId="0" fillId="3" borderId="1" xfId="0" applyFill="1" applyBorder="1"/>
    <xf numFmtId="2" fontId="0" fillId="3" borderId="1" xfId="0" applyNumberFormat="1" applyFill="1" applyBorder="1" applyAlignment="1">
      <alignment horizontal="left"/>
    </xf>
    <xf numFmtId="164" fontId="0" fillId="3" borderId="1" xfId="0" applyNumberFormat="1" applyFill="1" applyBorder="1" applyAlignment="1">
      <alignment horizontal="left"/>
    </xf>
    <xf numFmtId="0" fontId="0" fillId="3" borderId="1" xfId="0" applyFill="1" applyBorder="1" applyAlignment="1">
      <alignment horizontal="left"/>
    </xf>
    <xf numFmtId="0" fontId="6" fillId="3" borderId="1" xfId="5" applyFont="1" applyFill="1" applyBorder="1" applyAlignment="1" applyProtection="1">
      <alignment horizontal="left"/>
    </xf>
    <xf numFmtId="0" fontId="22" fillId="3" borderId="1" xfId="5" applyFill="1" applyBorder="1" applyAlignment="1" applyProtection="1"/>
    <xf numFmtId="0" fontId="0" fillId="10" borderId="1" xfId="0" applyFill="1" applyBorder="1"/>
    <xf numFmtId="43" fontId="0" fillId="0" borderId="0" xfId="4" applyFont="1"/>
    <xf numFmtId="0" fontId="2" fillId="6" borderId="3" xfId="0" applyFont="1" applyFill="1" applyBorder="1"/>
    <xf numFmtId="0" fontId="12" fillId="5" borderId="3" xfId="0" applyFont="1" applyFill="1" applyBorder="1" applyAlignment="1">
      <alignment horizontal="left"/>
    </xf>
    <xf numFmtId="0" fontId="0" fillId="6" borderId="3" xfId="0" applyFill="1" applyBorder="1"/>
    <xf numFmtId="0" fontId="12" fillId="5" borderId="4" xfId="0" applyFont="1" applyFill="1" applyBorder="1" applyAlignment="1">
      <alignment horizontal="left" vertical="top"/>
    </xf>
    <xf numFmtId="0" fontId="12" fillId="5" borderId="4" xfId="0" applyFont="1" applyFill="1" applyBorder="1" applyAlignment="1">
      <alignment horizontal="left"/>
    </xf>
    <xf numFmtId="0" fontId="2" fillId="11" borderId="29" xfId="0" applyFont="1" applyFill="1" applyBorder="1"/>
    <xf numFmtId="3" fontId="2" fillId="11" borderId="27" xfId="0" applyNumberFormat="1" applyFont="1" applyFill="1" applyBorder="1"/>
    <xf numFmtId="3" fontId="2" fillId="11" borderId="20" xfId="0" applyNumberFormat="1" applyFont="1" applyFill="1" applyBorder="1"/>
    <xf numFmtId="3" fontId="2" fillId="11" borderId="33" xfId="0" applyNumberFormat="1" applyFont="1" applyFill="1" applyBorder="1"/>
    <xf numFmtId="9" fontId="0" fillId="0" borderId="0" xfId="0" applyNumberFormat="1"/>
    <xf numFmtId="0" fontId="2" fillId="6" borderId="4" xfId="0" applyFont="1" applyFill="1" applyBorder="1" applyAlignment="1">
      <alignment horizontal="center" vertical="center"/>
    </xf>
    <xf numFmtId="0" fontId="2" fillId="6" borderId="2" xfId="0" applyFont="1" applyFill="1" applyBorder="1" applyAlignment="1">
      <alignment horizontal="center" vertical="center"/>
    </xf>
    <xf numFmtId="0" fontId="8" fillId="5" borderId="13" xfId="0" applyFont="1" applyFill="1" applyBorder="1" applyAlignment="1">
      <alignment horizontal="center"/>
    </xf>
    <xf numFmtId="0" fontId="8" fillId="5" borderId="1" xfId="0" applyFont="1" applyFill="1" applyBorder="1" applyAlignment="1">
      <alignment horizontal="center"/>
    </xf>
    <xf numFmtId="0" fontId="8" fillId="5" borderId="14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 vertical="center" wrapText="1"/>
    </xf>
    <xf numFmtId="0" fontId="2" fillId="9" borderId="17" xfId="0" applyFont="1" applyFill="1" applyBorder="1" applyAlignment="1">
      <alignment horizontal="center"/>
    </xf>
    <xf numFmtId="0" fontId="2" fillId="9" borderId="18" xfId="0" applyFont="1" applyFill="1" applyBorder="1" applyAlignment="1">
      <alignment horizontal="center"/>
    </xf>
    <xf numFmtId="0" fontId="2" fillId="9" borderId="19" xfId="0" applyFont="1" applyFill="1" applyBorder="1" applyAlignment="1">
      <alignment horizontal="center"/>
    </xf>
    <xf numFmtId="0" fontId="2" fillId="9" borderId="20" xfId="0" applyFont="1" applyFill="1" applyBorder="1" applyAlignment="1">
      <alignment horizontal="center" vertical="center"/>
    </xf>
    <xf numFmtId="0" fontId="2" fillId="9" borderId="25" xfId="0" applyFont="1" applyFill="1" applyBorder="1" applyAlignment="1">
      <alignment horizontal="center" vertical="center"/>
    </xf>
    <xf numFmtId="0" fontId="2" fillId="6" borderId="32" xfId="0" applyFont="1" applyFill="1" applyBorder="1" applyAlignment="1">
      <alignment horizontal="center" vertical="center"/>
    </xf>
    <xf numFmtId="0" fontId="2" fillId="6" borderId="33" xfId="0" applyFont="1" applyFill="1" applyBorder="1" applyAlignment="1">
      <alignment horizontal="center" vertical="center"/>
    </xf>
    <xf numFmtId="0" fontId="0" fillId="6" borderId="34" xfId="0" applyFill="1" applyBorder="1"/>
    <xf numFmtId="14" fontId="14" fillId="4" borderId="34" xfId="0" applyNumberFormat="1" applyFont="1" applyFill="1" applyBorder="1"/>
    <xf numFmtId="14" fontId="14" fillId="4" borderId="14" xfId="0" applyNumberFormat="1" applyFont="1" applyFill="1" applyBorder="1"/>
    <xf numFmtId="0" fontId="0" fillId="0" borderId="0" xfId="0" applyBorder="1"/>
    <xf numFmtId="10" fontId="4" fillId="3" borderId="0" xfId="1" applyNumberFormat="1" applyFont="1" applyFill="1" applyBorder="1" applyAlignment="1">
      <alignment horizontal="left"/>
    </xf>
  </cellXfs>
  <cellStyles count="6">
    <cellStyle name="Comma" xfId="4" builtinId="3"/>
    <cellStyle name="Hyperlink" xfId="5" builtinId="8"/>
    <cellStyle name="Hyperlink 2" xfId="3" xr:uid="{50F3D558-B8B7-4BD4-B09A-410BEFE89F0C}"/>
    <cellStyle name="Normal" xfId="0" builtinId="0"/>
    <cellStyle name="Percent" xfId="1" builtinId="5"/>
    <cellStyle name="Standaard 2" xfId="2" xr:uid="{E993831D-62DA-419E-B16C-75BCAAC0713E}"/>
  </cellStyles>
  <dxfs count="0"/>
  <tableStyles count="0" defaultTableStyle="TableStyleMedium2" defaultPivotStyle="PivotStyleLight16"/>
  <colors>
    <mruColors>
      <color rgb="FF9FC8C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173256</xdr:colOff>
      <xdr:row>2</xdr:row>
      <xdr:rowOff>74825</xdr:rowOff>
    </xdr:from>
    <xdr:to>
      <xdr:col>10</xdr:col>
      <xdr:colOff>910768</xdr:colOff>
      <xdr:row>4</xdr:row>
      <xdr:rowOff>132557</xdr:rowOff>
    </xdr:to>
    <xdr:sp macro="" textlink="">
      <xdr:nvSpPr>
        <xdr:cNvPr id="2" name="TextBox 16">
          <a:extLst>
            <a:ext uri="{FF2B5EF4-FFF2-40B4-BE49-F238E27FC236}">
              <a16:creationId xmlns:a16="http://schemas.microsoft.com/office/drawing/2014/main" id="{B716B0B4-AFF6-40A1-AFDD-0362B1F75DF0}"/>
            </a:ext>
          </a:extLst>
        </xdr:cNvPr>
        <xdr:cNvSpPr txBox="1"/>
      </xdr:nvSpPr>
      <xdr:spPr>
        <a:xfrm>
          <a:off x="780475" y="432013"/>
          <a:ext cx="10323631" cy="4111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l" rtl="0">
            <a:defRPr sz="1000"/>
          </a:pPr>
          <a:r>
            <a:rPr lang="en-US" sz="1600" b="1" i="0" strike="noStrike">
              <a:solidFill>
                <a:srgbClr val="000000"/>
              </a:solidFill>
              <a:latin typeface="Calibri"/>
              <a:ea typeface="Calibri"/>
              <a:cs typeface="Calibri"/>
            </a:rPr>
            <a:t>Emissions Reduction Calculation Tool </a:t>
          </a:r>
          <a:r>
            <a:rPr lang="en-US" sz="1600" b="1" i="0" u="sng" strike="noStrike">
              <a:solidFill>
                <a:srgbClr val="000000"/>
              </a:solidFill>
              <a:latin typeface="Calibri"/>
              <a:ea typeface="Calibri"/>
              <a:cs typeface="Calibri"/>
            </a:rPr>
            <a:t>CO2LOGIC</a:t>
          </a:r>
          <a:r>
            <a:rPr lang="en-US" sz="1600" b="1" i="0" strike="noStrike">
              <a:solidFill>
                <a:srgbClr val="000000"/>
              </a:solidFill>
              <a:latin typeface="Calibri"/>
              <a:ea typeface="Calibri"/>
              <a:cs typeface="Calibri"/>
            </a:rPr>
            <a:t> for the </a:t>
          </a:r>
          <a:r>
            <a:rPr lang="en-US" sz="1600" b="1" i="0" strike="noStrike">
              <a:solidFill>
                <a:srgbClr val="000000"/>
              </a:solidFill>
              <a:latin typeface="+mn-lt"/>
              <a:ea typeface="Calibri"/>
              <a:cs typeface="Calibri"/>
            </a:rPr>
            <a:t>"Simplified Methodology for Efficient Cookstoves" </a:t>
          </a:r>
        </a:p>
      </xdr:txBody>
    </xdr:sp>
    <xdr:clientData/>
  </xdr:twoCellAnchor>
  <xdr:twoCellAnchor>
    <xdr:from>
      <xdr:col>1</xdr:col>
      <xdr:colOff>206011</xdr:colOff>
      <xdr:row>7</xdr:row>
      <xdr:rowOff>85249</xdr:rowOff>
    </xdr:from>
    <xdr:to>
      <xdr:col>3</xdr:col>
      <xdr:colOff>261938</xdr:colOff>
      <xdr:row>8</xdr:row>
      <xdr:rowOff>83344</xdr:rowOff>
    </xdr:to>
    <xdr:sp macro="" textlink="">
      <xdr:nvSpPr>
        <xdr:cNvPr id="3" name="Rechthoek 2">
          <a:extLst>
            <a:ext uri="{FF2B5EF4-FFF2-40B4-BE49-F238E27FC236}">
              <a16:creationId xmlns:a16="http://schemas.microsoft.com/office/drawing/2014/main" id="{A874AC13-0864-4C89-9B15-6CD9EFB259C5}"/>
            </a:ext>
          </a:extLst>
        </xdr:cNvPr>
        <xdr:cNvSpPr/>
      </xdr:nvSpPr>
      <xdr:spPr>
        <a:xfrm>
          <a:off x="813230" y="1335405"/>
          <a:ext cx="2175239" cy="188595"/>
        </a:xfrm>
        <a:prstGeom prst="rect">
          <a:avLst/>
        </a:prstGeom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BE" sz="1200" b="1"/>
            <a:t>FIXED EX-ANTE</a:t>
          </a:r>
          <a:r>
            <a:rPr lang="nl-BE" sz="1200" b="1" baseline="0"/>
            <a:t> </a:t>
          </a:r>
          <a:r>
            <a:rPr lang="nl-BE" sz="1200" b="1"/>
            <a:t>PARAMETERS</a:t>
          </a:r>
        </a:p>
      </xdr:txBody>
    </xdr:sp>
    <xdr:clientData/>
  </xdr:twoCellAnchor>
  <xdr:twoCellAnchor>
    <xdr:from>
      <xdr:col>9</xdr:col>
      <xdr:colOff>101442</xdr:colOff>
      <xdr:row>7</xdr:row>
      <xdr:rowOff>91439</xdr:rowOff>
    </xdr:from>
    <xdr:to>
      <xdr:col>11</xdr:col>
      <xdr:colOff>130969</xdr:colOff>
      <xdr:row>8</xdr:row>
      <xdr:rowOff>119062</xdr:rowOff>
    </xdr:to>
    <xdr:sp macro="" textlink="">
      <xdr:nvSpPr>
        <xdr:cNvPr id="8" name="Rechthoek 7">
          <a:extLst>
            <a:ext uri="{FF2B5EF4-FFF2-40B4-BE49-F238E27FC236}">
              <a16:creationId xmlns:a16="http://schemas.microsoft.com/office/drawing/2014/main" id="{FDBA3A74-DAFF-4F34-AB6D-DD69F4149EE2}"/>
            </a:ext>
          </a:extLst>
        </xdr:cNvPr>
        <xdr:cNvSpPr/>
      </xdr:nvSpPr>
      <xdr:spPr>
        <a:xfrm>
          <a:off x="8138161" y="1341595"/>
          <a:ext cx="2005964" cy="218123"/>
        </a:xfrm>
        <a:prstGeom prst="rect">
          <a:avLst/>
        </a:prstGeom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BE" sz="1200" b="1" baseline="0"/>
            <a:t>MONITORED  </a:t>
          </a:r>
          <a:r>
            <a:rPr lang="nl-BE" sz="1200" b="1"/>
            <a:t>PARAMETERS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242178</xdr:colOff>
      <xdr:row>1</xdr:row>
      <xdr:rowOff>8287</xdr:rowOff>
    </xdr:from>
    <xdr:to>
      <xdr:col>9</xdr:col>
      <xdr:colOff>54157</xdr:colOff>
      <xdr:row>3</xdr:row>
      <xdr:rowOff>58603</xdr:rowOff>
    </xdr:to>
    <xdr:sp macro="" textlink="">
      <xdr:nvSpPr>
        <xdr:cNvPr id="2" name="TextBox 16">
          <a:extLst>
            <a:ext uri="{FF2B5EF4-FFF2-40B4-BE49-F238E27FC236}">
              <a16:creationId xmlns:a16="http://schemas.microsoft.com/office/drawing/2014/main" id="{871D54F9-609C-4634-A558-DB639ECC946E}"/>
            </a:ext>
          </a:extLst>
        </xdr:cNvPr>
        <xdr:cNvSpPr txBox="1"/>
      </xdr:nvSpPr>
      <xdr:spPr>
        <a:xfrm>
          <a:off x="8474499" y="185180"/>
          <a:ext cx="1841621" cy="407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 rtl="0">
            <a:defRPr sz="1000"/>
          </a:pPr>
          <a:r>
            <a:rPr lang="en-US" sz="2000" b="1" i="0" u="none" strike="noStrike">
              <a:solidFill>
                <a:sysClr val="windowText" lastClr="000000"/>
              </a:solidFill>
              <a:latin typeface="Calibri"/>
              <a:ea typeface="Calibri"/>
              <a:cs typeface="Calibri"/>
            </a:rPr>
            <a:t>CALCULATION </a:t>
          </a:r>
          <a:endParaRPr lang="en-US" sz="2000" b="1" i="0" u="none" strike="noStrike">
            <a:solidFill>
              <a:sysClr val="windowText" lastClr="000000"/>
            </a:solidFill>
            <a:latin typeface="+mn-lt"/>
            <a:ea typeface="Calibri"/>
            <a:cs typeface="Calibri"/>
          </a:endParaRPr>
        </a:p>
      </xdr:txBody>
    </xdr:sp>
    <xdr:clientData/>
  </xdr:twoCellAnchor>
  <xdr:twoCellAnchor>
    <xdr:from>
      <xdr:col>2</xdr:col>
      <xdr:colOff>1231252</xdr:colOff>
      <xdr:row>9</xdr:row>
      <xdr:rowOff>129933</xdr:rowOff>
    </xdr:from>
    <xdr:to>
      <xdr:col>4</xdr:col>
      <xdr:colOff>2282552</xdr:colOff>
      <xdr:row>12</xdr:row>
      <xdr:rowOff>14000</xdr:rowOff>
    </xdr:to>
    <xdr:pic>
      <xdr:nvPicPr>
        <xdr:cNvPr id="8" name="Afbeelding 7">
          <a:extLst>
            <a:ext uri="{FF2B5EF4-FFF2-40B4-BE49-F238E27FC236}">
              <a16:creationId xmlns:a16="http://schemas.microsoft.com/office/drawing/2014/main" id="{53EB2671-8597-4C41-8487-53DF48CEE7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94919" y="2744016"/>
          <a:ext cx="4988300" cy="4873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259633</xdr:colOff>
      <xdr:row>21</xdr:row>
      <xdr:rowOff>42333</xdr:rowOff>
    </xdr:from>
    <xdr:to>
      <xdr:col>4</xdr:col>
      <xdr:colOff>1635549</xdr:colOff>
      <xdr:row>23</xdr:row>
      <xdr:rowOff>12488</xdr:rowOff>
    </xdr:to>
    <xdr:pic>
      <xdr:nvPicPr>
        <xdr:cNvPr id="9" name="Afbeelding 8">
          <a:extLst>
            <a:ext uri="{FF2B5EF4-FFF2-40B4-BE49-F238E27FC236}">
              <a16:creationId xmlns:a16="http://schemas.microsoft.com/office/drawing/2014/main" id="{355DA57E-E2D1-4436-ADBF-0CB2D37540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60300" y="5408083"/>
          <a:ext cx="1375916" cy="3511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2667724</xdr:colOff>
      <xdr:row>28</xdr:row>
      <xdr:rowOff>65405</xdr:rowOff>
    </xdr:from>
    <xdr:to>
      <xdr:col>4</xdr:col>
      <xdr:colOff>1998980</xdr:colOff>
      <xdr:row>29</xdr:row>
      <xdr:rowOff>144357</xdr:rowOff>
    </xdr:to>
    <xdr:pic>
      <xdr:nvPicPr>
        <xdr:cNvPr id="10" name="Afbeelding 9">
          <a:extLst>
            <a:ext uri="{FF2B5EF4-FFF2-40B4-BE49-F238E27FC236}">
              <a16:creationId xmlns:a16="http://schemas.microsoft.com/office/drawing/2014/main" id="{311725ED-5C7C-40B1-953E-8B69985F1E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90807" y="7018655"/>
          <a:ext cx="2008840" cy="28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1231252</xdr:colOff>
      <xdr:row>46</xdr:row>
      <xdr:rowOff>129933</xdr:rowOff>
    </xdr:from>
    <xdr:to>
      <xdr:col>4</xdr:col>
      <xdr:colOff>2282552</xdr:colOff>
      <xdr:row>49</xdr:row>
      <xdr:rowOff>14000</xdr:rowOff>
    </xdr:to>
    <xdr:pic>
      <xdr:nvPicPr>
        <xdr:cNvPr id="11" name="Afbeelding 10">
          <a:extLst>
            <a:ext uri="{FF2B5EF4-FFF2-40B4-BE49-F238E27FC236}">
              <a16:creationId xmlns:a16="http://schemas.microsoft.com/office/drawing/2014/main" id="{CB02CB99-DAD1-46F8-A040-73E3A7A866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6125" y="1788712"/>
          <a:ext cx="5062277" cy="4674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259633</xdr:colOff>
      <xdr:row>58</xdr:row>
      <xdr:rowOff>42333</xdr:rowOff>
    </xdr:from>
    <xdr:to>
      <xdr:col>4</xdr:col>
      <xdr:colOff>1635549</xdr:colOff>
      <xdr:row>60</xdr:row>
      <xdr:rowOff>12488</xdr:rowOff>
    </xdr:to>
    <xdr:pic>
      <xdr:nvPicPr>
        <xdr:cNvPr id="12" name="Afbeelding 11">
          <a:extLst>
            <a:ext uri="{FF2B5EF4-FFF2-40B4-BE49-F238E27FC236}">
              <a16:creationId xmlns:a16="http://schemas.microsoft.com/office/drawing/2014/main" id="{55F1AD5F-C915-4BEE-A4A2-E35AF51B71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0728" y="4342394"/>
          <a:ext cx="1377821" cy="3292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2667724</xdr:colOff>
      <xdr:row>65</xdr:row>
      <xdr:rowOff>65405</xdr:rowOff>
    </xdr:from>
    <xdr:to>
      <xdr:col>4</xdr:col>
      <xdr:colOff>1998980</xdr:colOff>
      <xdr:row>66</xdr:row>
      <xdr:rowOff>144357</xdr:rowOff>
    </xdr:to>
    <xdr:pic>
      <xdr:nvPicPr>
        <xdr:cNvPr id="13" name="Afbeelding 12">
          <a:extLst>
            <a:ext uri="{FF2B5EF4-FFF2-40B4-BE49-F238E27FC236}">
              <a16:creationId xmlns:a16="http://schemas.microsoft.com/office/drawing/2014/main" id="{02E66D92-5AA4-4102-9CFC-1286E890DC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6105" y="5611813"/>
          <a:ext cx="1999685" cy="2575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1231252</xdr:colOff>
      <xdr:row>46</xdr:row>
      <xdr:rowOff>129933</xdr:rowOff>
    </xdr:from>
    <xdr:to>
      <xdr:col>4</xdr:col>
      <xdr:colOff>2282552</xdr:colOff>
      <xdr:row>49</xdr:row>
      <xdr:rowOff>14000</xdr:rowOff>
    </xdr:to>
    <xdr:pic>
      <xdr:nvPicPr>
        <xdr:cNvPr id="14" name="Afbeelding 13">
          <a:extLst>
            <a:ext uri="{FF2B5EF4-FFF2-40B4-BE49-F238E27FC236}">
              <a16:creationId xmlns:a16="http://schemas.microsoft.com/office/drawing/2014/main" id="{874DB217-9FA8-40BD-813B-9A24F0760C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6125" y="1788712"/>
          <a:ext cx="5062277" cy="4674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259633</xdr:colOff>
      <xdr:row>58</xdr:row>
      <xdr:rowOff>42333</xdr:rowOff>
    </xdr:from>
    <xdr:to>
      <xdr:col>4</xdr:col>
      <xdr:colOff>1635549</xdr:colOff>
      <xdr:row>60</xdr:row>
      <xdr:rowOff>12488</xdr:rowOff>
    </xdr:to>
    <xdr:pic>
      <xdr:nvPicPr>
        <xdr:cNvPr id="15" name="Afbeelding 14">
          <a:extLst>
            <a:ext uri="{FF2B5EF4-FFF2-40B4-BE49-F238E27FC236}">
              <a16:creationId xmlns:a16="http://schemas.microsoft.com/office/drawing/2014/main" id="{19B3EA78-7BFE-46D9-8464-5C6A876A30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0728" y="4342394"/>
          <a:ext cx="1377821" cy="3292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2667724</xdr:colOff>
      <xdr:row>65</xdr:row>
      <xdr:rowOff>65405</xdr:rowOff>
    </xdr:from>
    <xdr:to>
      <xdr:col>4</xdr:col>
      <xdr:colOff>1998980</xdr:colOff>
      <xdr:row>66</xdr:row>
      <xdr:rowOff>144357</xdr:rowOff>
    </xdr:to>
    <xdr:pic>
      <xdr:nvPicPr>
        <xdr:cNvPr id="16" name="Afbeelding 15">
          <a:extLst>
            <a:ext uri="{FF2B5EF4-FFF2-40B4-BE49-F238E27FC236}">
              <a16:creationId xmlns:a16="http://schemas.microsoft.com/office/drawing/2014/main" id="{427D0E8A-E237-47C9-BB92-B681F10B3C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6105" y="5611813"/>
          <a:ext cx="1999685" cy="2575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1231252</xdr:colOff>
      <xdr:row>46</xdr:row>
      <xdr:rowOff>129933</xdr:rowOff>
    </xdr:from>
    <xdr:to>
      <xdr:col>4</xdr:col>
      <xdr:colOff>2282552</xdr:colOff>
      <xdr:row>49</xdr:row>
      <xdr:rowOff>14000</xdr:rowOff>
    </xdr:to>
    <xdr:pic>
      <xdr:nvPicPr>
        <xdr:cNvPr id="17" name="Afbeelding 16">
          <a:extLst>
            <a:ext uri="{FF2B5EF4-FFF2-40B4-BE49-F238E27FC236}">
              <a16:creationId xmlns:a16="http://schemas.microsoft.com/office/drawing/2014/main" id="{3F38F187-8467-4B6C-AD14-F98B5BB6FA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6125" y="1788712"/>
          <a:ext cx="5062277" cy="4674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259633</xdr:colOff>
      <xdr:row>58</xdr:row>
      <xdr:rowOff>42333</xdr:rowOff>
    </xdr:from>
    <xdr:to>
      <xdr:col>4</xdr:col>
      <xdr:colOff>1635549</xdr:colOff>
      <xdr:row>60</xdr:row>
      <xdr:rowOff>12488</xdr:rowOff>
    </xdr:to>
    <xdr:pic>
      <xdr:nvPicPr>
        <xdr:cNvPr id="18" name="Afbeelding 17">
          <a:extLst>
            <a:ext uri="{FF2B5EF4-FFF2-40B4-BE49-F238E27FC236}">
              <a16:creationId xmlns:a16="http://schemas.microsoft.com/office/drawing/2014/main" id="{64185D7E-111C-4CAC-AC22-D2D346201D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0728" y="4342394"/>
          <a:ext cx="1377821" cy="3292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2667724</xdr:colOff>
      <xdr:row>65</xdr:row>
      <xdr:rowOff>65405</xdr:rowOff>
    </xdr:from>
    <xdr:to>
      <xdr:col>4</xdr:col>
      <xdr:colOff>1998980</xdr:colOff>
      <xdr:row>66</xdr:row>
      <xdr:rowOff>144357</xdr:rowOff>
    </xdr:to>
    <xdr:pic>
      <xdr:nvPicPr>
        <xdr:cNvPr id="19" name="Afbeelding 18">
          <a:extLst>
            <a:ext uri="{FF2B5EF4-FFF2-40B4-BE49-F238E27FC236}">
              <a16:creationId xmlns:a16="http://schemas.microsoft.com/office/drawing/2014/main" id="{51560BFF-2ABB-4D56-B4B9-FB20B867F6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6105" y="5611813"/>
          <a:ext cx="1999685" cy="2575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1231252</xdr:colOff>
      <xdr:row>46</xdr:row>
      <xdr:rowOff>129933</xdr:rowOff>
    </xdr:from>
    <xdr:to>
      <xdr:col>4</xdr:col>
      <xdr:colOff>2282552</xdr:colOff>
      <xdr:row>49</xdr:row>
      <xdr:rowOff>14000</xdr:rowOff>
    </xdr:to>
    <xdr:pic>
      <xdr:nvPicPr>
        <xdr:cNvPr id="20" name="Afbeelding 19">
          <a:extLst>
            <a:ext uri="{FF2B5EF4-FFF2-40B4-BE49-F238E27FC236}">
              <a16:creationId xmlns:a16="http://schemas.microsoft.com/office/drawing/2014/main" id="{A3C99817-A091-4AC6-A9A0-478409420E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6125" y="1788712"/>
          <a:ext cx="5062277" cy="4674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259633</xdr:colOff>
      <xdr:row>58</xdr:row>
      <xdr:rowOff>42333</xdr:rowOff>
    </xdr:from>
    <xdr:to>
      <xdr:col>4</xdr:col>
      <xdr:colOff>1635549</xdr:colOff>
      <xdr:row>60</xdr:row>
      <xdr:rowOff>12488</xdr:rowOff>
    </xdr:to>
    <xdr:pic>
      <xdr:nvPicPr>
        <xdr:cNvPr id="21" name="Afbeelding 20">
          <a:extLst>
            <a:ext uri="{FF2B5EF4-FFF2-40B4-BE49-F238E27FC236}">
              <a16:creationId xmlns:a16="http://schemas.microsoft.com/office/drawing/2014/main" id="{4BF2F969-CBD8-4EED-B4E9-007F13E1CA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0728" y="4342394"/>
          <a:ext cx="1377821" cy="3292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2667724</xdr:colOff>
      <xdr:row>65</xdr:row>
      <xdr:rowOff>65405</xdr:rowOff>
    </xdr:from>
    <xdr:to>
      <xdr:col>4</xdr:col>
      <xdr:colOff>1998980</xdr:colOff>
      <xdr:row>66</xdr:row>
      <xdr:rowOff>144357</xdr:rowOff>
    </xdr:to>
    <xdr:pic>
      <xdr:nvPicPr>
        <xdr:cNvPr id="22" name="Afbeelding 21">
          <a:extLst>
            <a:ext uri="{FF2B5EF4-FFF2-40B4-BE49-F238E27FC236}">
              <a16:creationId xmlns:a16="http://schemas.microsoft.com/office/drawing/2014/main" id="{4641F56C-B10E-46EE-BFE7-DE997B5DA3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6105" y="5611813"/>
          <a:ext cx="1999685" cy="2575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1231252</xdr:colOff>
      <xdr:row>46</xdr:row>
      <xdr:rowOff>129933</xdr:rowOff>
    </xdr:from>
    <xdr:to>
      <xdr:col>4</xdr:col>
      <xdr:colOff>2282552</xdr:colOff>
      <xdr:row>49</xdr:row>
      <xdr:rowOff>14000</xdr:rowOff>
    </xdr:to>
    <xdr:pic>
      <xdr:nvPicPr>
        <xdr:cNvPr id="23" name="Afbeelding 22">
          <a:extLst>
            <a:ext uri="{FF2B5EF4-FFF2-40B4-BE49-F238E27FC236}">
              <a16:creationId xmlns:a16="http://schemas.microsoft.com/office/drawing/2014/main" id="{560450DC-406F-495E-918B-ECD8D65BCF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6125" y="1788712"/>
          <a:ext cx="5062277" cy="4674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259633</xdr:colOff>
      <xdr:row>58</xdr:row>
      <xdr:rowOff>42333</xdr:rowOff>
    </xdr:from>
    <xdr:to>
      <xdr:col>4</xdr:col>
      <xdr:colOff>1635549</xdr:colOff>
      <xdr:row>60</xdr:row>
      <xdr:rowOff>12488</xdr:rowOff>
    </xdr:to>
    <xdr:pic>
      <xdr:nvPicPr>
        <xdr:cNvPr id="24" name="Afbeelding 23">
          <a:extLst>
            <a:ext uri="{FF2B5EF4-FFF2-40B4-BE49-F238E27FC236}">
              <a16:creationId xmlns:a16="http://schemas.microsoft.com/office/drawing/2014/main" id="{89234330-9EA8-43A5-A26B-3F9698A346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0728" y="4342394"/>
          <a:ext cx="1377821" cy="3292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2667724</xdr:colOff>
      <xdr:row>65</xdr:row>
      <xdr:rowOff>65405</xdr:rowOff>
    </xdr:from>
    <xdr:to>
      <xdr:col>4</xdr:col>
      <xdr:colOff>1998980</xdr:colOff>
      <xdr:row>66</xdr:row>
      <xdr:rowOff>144357</xdr:rowOff>
    </xdr:to>
    <xdr:pic>
      <xdr:nvPicPr>
        <xdr:cNvPr id="25" name="Afbeelding 24">
          <a:extLst>
            <a:ext uri="{FF2B5EF4-FFF2-40B4-BE49-F238E27FC236}">
              <a16:creationId xmlns:a16="http://schemas.microsoft.com/office/drawing/2014/main" id="{3415C74C-EB1E-4A57-9F59-39E5958815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6105" y="5611813"/>
          <a:ext cx="1999685" cy="2575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1231252</xdr:colOff>
      <xdr:row>46</xdr:row>
      <xdr:rowOff>129933</xdr:rowOff>
    </xdr:from>
    <xdr:to>
      <xdr:col>4</xdr:col>
      <xdr:colOff>2282552</xdr:colOff>
      <xdr:row>49</xdr:row>
      <xdr:rowOff>14000</xdr:rowOff>
    </xdr:to>
    <xdr:pic>
      <xdr:nvPicPr>
        <xdr:cNvPr id="26" name="Afbeelding 25">
          <a:extLst>
            <a:ext uri="{FF2B5EF4-FFF2-40B4-BE49-F238E27FC236}">
              <a16:creationId xmlns:a16="http://schemas.microsoft.com/office/drawing/2014/main" id="{11B2D25D-E198-4053-94D5-208C0BB3D3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6125" y="1788712"/>
          <a:ext cx="5062277" cy="4674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259633</xdr:colOff>
      <xdr:row>58</xdr:row>
      <xdr:rowOff>42333</xdr:rowOff>
    </xdr:from>
    <xdr:to>
      <xdr:col>4</xdr:col>
      <xdr:colOff>1635549</xdr:colOff>
      <xdr:row>60</xdr:row>
      <xdr:rowOff>12488</xdr:rowOff>
    </xdr:to>
    <xdr:pic>
      <xdr:nvPicPr>
        <xdr:cNvPr id="27" name="Afbeelding 26">
          <a:extLst>
            <a:ext uri="{FF2B5EF4-FFF2-40B4-BE49-F238E27FC236}">
              <a16:creationId xmlns:a16="http://schemas.microsoft.com/office/drawing/2014/main" id="{51224A77-AD47-404C-A9DF-0B3D7BDF64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0728" y="4342394"/>
          <a:ext cx="1377821" cy="3292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2667724</xdr:colOff>
      <xdr:row>65</xdr:row>
      <xdr:rowOff>65405</xdr:rowOff>
    </xdr:from>
    <xdr:to>
      <xdr:col>4</xdr:col>
      <xdr:colOff>1998980</xdr:colOff>
      <xdr:row>66</xdr:row>
      <xdr:rowOff>144357</xdr:rowOff>
    </xdr:to>
    <xdr:pic>
      <xdr:nvPicPr>
        <xdr:cNvPr id="28" name="Afbeelding 27">
          <a:extLst>
            <a:ext uri="{FF2B5EF4-FFF2-40B4-BE49-F238E27FC236}">
              <a16:creationId xmlns:a16="http://schemas.microsoft.com/office/drawing/2014/main" id="{89D111AB-DBED-4E4A-BBA2-1F0E6DCF68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6105" y="5611813"/>
          <a:ext cx="1999685" cy="2575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1231252</xdr:colOff>
      <xdr:row>83</xdr:row>
      <xdr:rowOff>129933</xdr:rowOff>
    </xdr:from>
    <xdr:to>
      <xdr:col>4</xdr:col>
      <xdr:colOff>2282552</xdr:colOff>
      <xdr:row>86</xdr:row>
      <xdr:rowOff>14000</xdr:rowOff>
    </xdr:to>
    <xdr:pic>
      <xdr:nvPicPr>
        <xdr:cNvPr id="29" name="Afbeelding 28">
          <a:extLst>
            <a:ext uri="{FF2B5EF4-FFF2-40B4-BE49-F238E27FC236}">
              <a16:creationId xmlns:a16="http://schemas.microsoft.com/office/drawing/2014/main" id="{FADB9F1C-A9F3-410C-9136-E747A85880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6125" y="8980087"/>
          <a:ext cx="5062277" cy="4674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259633</xdr:colOff>
      <xdr:row>95</xdr:row>
      <xdr:rowOff>42333</xdr:rowOff>
    </xdr:from>
    <xdr:to>
      <xdr:col>4</xdr:col>
      <xdr:colOff>1635549</xdr:colOff>
      <xdr:row>97</xdr:row>
      <xdr:rowOff>12488</xdr:rowOff>
    </xdr:to>
    <xdr:pic>
      <xdr:nvPicPr>
        <xdr:cNvPr id="30" name="Afbeelding 29">
          <a:extLst>
            <a:ext uri="{FF2B5EF4-FFF2-40B4-BE49-F238E27FC236}">
              <a16:creationId xmlns:a16="http://schemas.microsoft.com/office/drawing/2014/main" id="{82894773-A003-4625-94ED-CD61877FA6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0728" y="11081332"/>
          <a:ext cx="1377821" cy="3292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2667724</xdr:colOff>
      <xdr:row>102</xdr:row>
      <xdr:rowOff>65405</xdr:rowOff>
    </xdr:from>
    <xdr:to>
      <xdr:col>4</xdr:col>
      <xdr:colOff>1998980</xdr:colOff>
      <xdr:row>103</xdr:row>
      <xdr:rowOff>144357</xdr:rowOff>
    </xdr:to>
    <xdr:pic>
      <xdr:nvPicPr>
        <xdr:cNvPr id="31" name="Afbeelding 30">
          <a:extLst>
            <a:ext uri="{FF2B5EF4-FFF2-40B4-BE49-F238E27FC236}">
              <a16:creationId xmlns:a16="http://schemas.microsoft.com/office/drawing/2014/main" id="{D632BBC5-88D6-409A-9A21-3619D20F7F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6105" y="12350750"/>
          <a:ext cx="1999685" cy="2575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1231252</xdr:colOff>
      <xdr:row>83</xdr:row>
      <xdr:rowOff>129933</xdr:rowOff>
    </xdr:from>
    <xdr:to>
      <xdr:col>4</xdr:col>
      <xdr:colOff>2282552</xdr:colOff>
      <xdr:row>86</xdr:row>
      <xdr:rowOff>14000</xdr:rowOff>
    </xdr:to>
    <xdr:pic>
      <xdr:nvPicPr>
        <xdr:cNvPr id="32" name="Afbeelding 31">
          <a:extLst>
            <a:ext uri="{FF2B5EF4-FFF2-40B4-BE49-F238E27FC236}">
              <a16:creationId xmlns:a16="http://schemas.microsoft.com/office/drawing/2014/main" id="{F7288941-AD70-439D-A6CF-80DBF1A96B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6125" y="8980087"/>
          <a:ext cx="5062277" cy="4674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259633</xdr:colOff>
      <xdr:row>95</xdr:row>
      <xdr:rowOff>42333</xdr:rowOff>
    </xdr:from>
    <xdr:to>
      <xdr:col>4</xdr:col>
      <xdr:colOff>1635549</xdr:colOff>
      <xdr:row>97</xdr:row>
      <xdr:rowOff>12488</xdr:rowOff>
    </xdr:to>
    <xdr:pic>
      <xdr:nvPicPr>
        <xdr:cNvPr id="33" name="Afbeelding 32">
          <a:extLst>
            <a:ext uri="{FF2B5EF4-FFF2-40B4-BE49-F238E27FC236}">
              <a16:creationId xmlns:a16="http://schemas.microsoft.com/office/drawing/2014/main" id="{0E920981-B6E0-4C89-80F9-2DD998310A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0728" y="11081332"/>
          <a:ext cx="1377821" cy="3292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2667724</xdr:colOff>
      <xdr:row>102</xdr:row>
      <xdr:rowOff>65405</xdr:rowOff>
    </xdr:from>
    <xdr:to>
      <xdr:col>4</xdr:col>
      <xdr:colOff>1998980</xdr:colOff>
      <xdr:row>103</xdr:row>
      <xdr:rowOff>144357</xdr:rowOff>
    </xdr:to>
    <xdr:pic>
      <xdr:nvPicPr>
        <xdr:cNvPr id="34" name="Afbeelding 33">
          <a:extLst>
            <a:ext uri="{FF2B5EF4-FFF2-40B4-BE49-F238E27FC236}">
              <a16:creationId xmlns:a16="http://schemas.microsoft.com/office/drawing/2014/main" id="{F92DCAEE-361C-44A5-809D-4F71058266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6105" y="12350750"/>
          <a:ext cx="1999685" cy="2575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1231252</xdr:colOff>
      <xdr:row>83</xdr:row>
      <xdr:rowOff>129933</xdr:rowOff>
    </xdr:from>
    <xdr:to>
      <xdr:col>4</xdr:col>
      <xdr:colOff>2282552</xdr:colOff>
      <xdr:row>86</xdr:row>
      <xdr:rowOff>14000</xdr:rowOff>
    </xdr:to>
    <xdr:pic>
      <xdr:nvPicPr>
        <xdr:cNvPr id="35" name="Afbeelding 34">
          <a:extLst>
            <a:ext uri="{FF2B5EF4-FFF2-40B4-BE49-F238E27FC236}">
              <a16:creationId xmlns:a16="http://schemas.microsoft.com/office/drawing/2014/main" id="{6A9A7759-6A86-437A-886E-895BC0EC9E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6125" y="8980087"/>
          <a:ext cx="5062277" cy="4674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259633</xdr:colOff>
      <xdr:row>95</xdr:row>
      <xdr:rowOff>42333</xdr:rowOff>
    </xdr:from>
    <xdr:to>
      <xdr:col>4</xdr:col>
      <xdr:colOff>1635549</xdr:colOff>
      <xdr:row>97</xdr:row>
      <xdr:rowOff>12488</xdr:rowOff>
    </xdr:to>
    <xdr:pic>
      <xdr:nvPicPr>
        <xdr:cNvPr id="36" name="Afbeelding 35">
          <a:extLst>
            <a:ext uri="{FF2B5EF4-FFF2-40B4-BE49-F238E27FC236}">
              <a16:creationId xmlns:a16="http://schemas.microsoft.com/office/drawing/2014/main" id="{F200DDC9-7E74-4C1A-9620-C1034D9A45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0728" y="11081332"/>
          <a:ext cx="1377821" cy="3292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2667724</xdr:colOff>
      <xdr:row>102</xdr:row>
      <xdr:rowOff>65405</xdr:rowOff>
    </xdr:from>
    <xdr:to>
      <xdr:col>4</xdr:col>
      <xdr:colOff>1998980</xdr:colOff>
      <xdr:row>103</xdr:row>
      <xdr:rowOff>144357</xdr:rowOff>
    </xdr:to>
    <xdr:pic>
      <xdr:nvPicPr>
        <xdr:cNvPr id="37" name="Afbeelding 36">
          <a:extLst>
            <a:ext uri="{FF2B5EF4-FFF2-40B4-BE49-F238E27FC236}">
              <a16:creationId xmlns:a16="http://schemas.microsoft.com/office/drawing/2014/main" id="{D5BD387F-EB00-4E1E-8AF0-0A224F6089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6105" y="12350750"/>
          <a:ext cx="1999685" cy="2575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1231252</xdr:colOff>
      <xdr:row>83</xdr:row>
      <xdr:rowOff>129933</xdr:rowOff>
    </xdr:from>
    <xdr:to>
      <xdr:col>4</xdr:col>
      <xdr:colOff>2282552</xdr:colOff>
      <xdr:row>86</xdr:row>
      <xdr:rowOff>14000</xdr:rowOff>
    </xdr:to>
    <xdr:pic>
      <xdr:nvPicPr>
        <xdr:cNvPr id="38" name="Afbeelding 37">
          <a:extLst>
            <a:ext uri="{FF2B5EF4-FFF2-40B4-BE49-F238E27FC236}">
              <a16:creationId xmlns:a16="http://schemas.microsoft.com/office/drawing/2014/main" id="{309AE449-E030-4CF1-A5D4-5F51A0B315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6125" y="8980087"/>
          <a:ext cx="5062277" cy="4674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259633</xdr:colOff>
      <xdr:row>95</xdr:row>
      <xdr:rowOff>42333</xdr:rowOff>
    </xdr:from>
    <xdr:to>
      <xdr:col>4</xdr:col>
      <xdr:colOff>1635549</xdr:colOff>
      <xdr:row>97</xdr:row>
      <xdr:rowOff>12488</xdr:rowOff>
    </xdr:to>
    <xdr:pic>
      <xdr:nvPicPr>
        <xdr:cNvPr id="39" name="Afbeelding 38">
          <a:extLst>
            <a:ext uri="{FF2B5EF4-FFF2-40B4-BE49-F238E27FC236}">
              <a16:creationId xmlns:a16="http://schemas.microsoft.com/office/drawing/2014/main" id="{88267316-329A-400D-9C7D-2A6160E1D2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0728" y="11081332"/>
          <a:ext cx="1377821" cy="3292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2667724</xdr:colOff>
      <xdr:row>102</xdr:row>
      <xdr:rowOff>65405</xdr:rowOff>
    </xdr:from>
    <xdr:to>
      <xdr:col>4</xdr:col>
      <xdr:colOff>1998980</xdr:colOff>
      <xdr:row>103</xdr:row>
      <xdr:rowOff>144357</xdr:rowOff>
    </xdr:to>
    <xdr:pic>
      <xdr:nvPicPr>
        <xdr:cNvPr id="40" name="Afbeelding 39">
          <a:extLst>
            <a:ext uri="{FF2B5EF4-FFF2-40B4-BE49-F238E27FC236}">
              <a16:creationId xmlns:a16="http://schemas.microsoft.com/office/drawing/2014/main" id="{D07F08AD-474E-4105-8974-1F77B533E9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6105" y="12350750"/>
          <a:ext cx="1999685" cy="2575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1231252</xdr:colOff>
      <xdr:row>83</xdr:row>
      <xdr:rowOff>129933</xdr:rowOff>
    </xdr:from>
    <xdr:to>
      <xdr:col>4</xdr:col>
      <xdr:colOff>2282552</xdr:colOff>
      <xdr:row>86</xdr:row>
      <xdr:rowOff>14000</xdr:rowOff>
    </xdr:to>
    <xdr:pic>
      <xdr:nvPicPr>
        <xdr:cNvPr id="41" name="Afbeelding 40">
          <a:extLst>
            <a:ext uri="{FF2B5EF4-FFF2-40B4-BE49-F238E27FC236}">
              <a16:creationId xmlns:a16="http://schemas.microsoft.com/office/drawing/2014/main" id="{4A2B47B6-2658-4540-A7E0-D7737FFAD8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6125" y="8980087"/>
          <a:ext cx="5062277" cy="4674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259633</xdr:colOff>
      <xdr:row>95</xdr:row>
      <xdr:rowOff>42333</xdr:rowOff>
    </xdr:from>
    <xdr:to>
      <xdr:col>4</xdr:col>
      <xdr:colOff>1635549</xdr:colOff>
      <xdr:row>97</xdr:row>
      <xdr:rowOff>12488</xdr:rowOff>
    </xdr:to>
    <xdr:pic>
      <xdr:nvPicPr>
        <xdr:cNvPr id="42" name="Afbeelding 41">
          <a:extLst>
            <a:ext uri="{FF2B5EF4-FFF2-40B4-BE49-F238E27FC236}">
              <a16:creationId xmlns:a16="http://schemas.microsoft.com/office/drawing/2014/main" id="{390712B0-594E-4C39-9E88-0B8C2D8C13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0728" y="11081332"/>
          <a:ext cx="1377821" cy="3292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2667724</xdr:colOff>
      <xdr:row>102</xdr:row>
      <xdr:rowOff>65405</xdr:rowOff>
    </xdr:from>
    <xdr:to>
      <xdr:col>4</xdr:col>
      <xdr:colOff>1998980</xdr:colOff>
      <xdr:row>103</xdr:row>
      <xdr:rowOff>144357</xdr:rowOff>
    </xdr:to>
    <xdr:pic>
      <xdr:nvPicPr>
        <xdr:cNvPr id="43" name="Afbeelding 42">
          <a:extLst>
            <a:ext uri="{FF2B5EF4-FFF2-40B4-BE49-F238E27FC236}">
              <a16:creationId xmlns:a16="http://schemas.microsoft.com/office/drawing/2014/main" id="{404F261F-8A50-4DD6-B404-D6F2D45792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6105" y="12350750"/>
          <a:ext cx="1999685" cy="2575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1231252</xdr:colOff>
      <xdr:row>83</xdr:row>
      <xdr:rowOff>129933</xdr:rowOff>
    </xdr:from>
    <xdr:to>
      <xdr:col>4</xdr:col>
      <xdr:colOff>2282552</xdr:colOff>
      <xdr:row>86</xdr:row>
      <xdr:rowOff>14000</xdr:rowOff>
    </xdr:to>
    <xdr:pic>
      <xdr:nvPicPr>
        <xdr:cNvPr id="44" name="Afbeelding 43">
          <a:extLst>
            <a:ext uri="{FF2B5EF4-FFF2-40B4-BE49-F238E27FC236}">
              <a16:creationId xmlns:a16="http://schemas.microsoft.com/office/drawing/2014/main" id="{E18E8587-1B15-403E-B2D7-BF40418320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6125" y="8980087"/>
          <a:ext cx="5062277" cy="4674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259633</xdr:colOff>
      <xdr:row>95</xdr:row>
      <xdr:rowOff>42333</xdr:rowOff>
    </xdr:from>
    <xdr:to>
      <xdr:col>4</xdr:col>
      <xdr:colOff>1635549</xdr:colOff>
      <xdr:row>97</xdr:row>
      <xdr:rowOff>12488</xdr:rowOff>
    </xdr:to>
    <xdr:pic>
      <xdr:nvPicPr>
        <xdr:cNvPr id="45" name="Afbeelding 44">
          <a:extLst>
            <a:ext uri="{FF2B5EF4-FFF2-40B4-BE49-F238E27FC236}">
              <a16:creationId xmlns:a16="http://schemas.microsoft.com/office/drawing/2014/main" id="{E474C569-3ACA-4AC1-AFE1-E1E7320F15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0728" y="11081332"/>
          <a:ext cx="1377821" cy="3292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2667724</xdr:colOff>
      <xdr:row>102</xdr:row>
      <xdr:rowOff>65405</xdr:rowOff>
    </xdr:from>
    <xdr:to>
      <xdr:col>4</xdr:col>
      <xdr:colOff>1998980</xdr:colOff>
      <xdr:row>103</xdr:row>
      <xdr:rowOff>144357</xdr:rowOff>
    </xdr:to>
    <xdr:pic>
      <xdr:nvPicPr>
        <xdr:cNvPr id="46" name="Afbeelding 45">
          <a:extLst>
            <a:ext uri="{FF2B5EF4-FFF2-40B4-BE49-F238E27FC236}">
              <a16:creationId xmlns:a16="http://schemas.microsoft.com/office/drawing/2014/main" id="{3DDAFB57-C13F-48F8-97E2-7C2DC5479A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6105" y="12350750"/>
          <a:ext cx="1999685" cy="2575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1231252</xdr:colOff>
      <xdr:row>120</xdr:row>
      <xdr:rowOff>129933</xdr:rowOff>
    </xdr:from>
    <xdr:to>
      <xdr:col>4</xdr:col>
      <xdr:colOff>2282552</xdr:colOff>
      <xdr:row>123</xdr:row>
      <xdr:rowOff>14000</xdr:rowOff>
    </xdr:to>
    <xdr:pic>
      <xdr:nvPicPr>
        <xdr:cNvPr id="47" name="Afbeelding 46">
          <a:extLst>
            <a:ext uri="{FF2B5EF4-FFF2-40B4-BE49-F238E27FC236}">
              <a16:creationId xmlns:a16="http://schemas.microsoft.com/office/drawing/2014/main" id="{4E5ACBAE-04A6-44DA-9775-07C6F977A6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6125" y="8980087"/>
          <a:ext cx="5062277" cy="4674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259633</xdr:colOff>
      <xdr:row>132</xdr:row>
      <xdr:rowOff>42333</xdr:rowOff>
    </xdr:from>
    <xdr:to>
      <xdr:col>4</xdr:col>
      <xdr:colOff>1635549</xdr:colOff>
      <xdr:row>134</xdr:row>
      <xdr:rowOff>12488</xdr:rowOff>
    </xdr:to>
    <xdr:pic>
      <xdr:nvPicPr>
        <xdr:cNvPr id="48" name="Afbeelding 47">
          <a:extLst>
            <a:ext uri="{FF2B5EF4-FFF2-40B4-BE49-F238E27FC236}">
              <a16:creationId xmlns:a16="http://schemas.microsoft.com/office/drawing/2014/main" id="{C9871694-283B-4FB1-99CA-75FB8544D5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0728" y="11081332"/>
          <a:ext cx="1377821" cy="3292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2667724</xdr:colOff>
      <xdr:row>139</xdr:row>
      <xdr:rowOff>65405</xdr:rowOff>
    </xdr:from>
    <xdr:to>
      <xdr:col>4</xdr:col>
      <xdr:colOff>1998980</xdr:colOff>
      <xdr:row>140</xdr:row>
      <xdr:rowOff>144357</xdr:rowOff>
    </xdr:to>
    <xdr:pic>
      <xdr:nvPicPr>
        <xdr:cNvPr id="49" name="Afbeelding 48">
          <a:extLst>
            <a:ext uri="{FF2B5EF4-FFF2-40B4-BE49-F238E27FC236}">
              <a16:creationId xmlns:a16="http://schemas.microsoft.com/office/drawing/2014/main" id="{4474BCC0-E311-4F03-AAEC-0247941737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6105" y="12350750"/>
          <a:ext cx="1999685" cy="2575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1231252</xdr:colOff>
      <xdr:row>120</xdr:row>
      <xdr:rowOff>129933</xdr:rowOff>
    </xdr:from>
    <xdr:to>
      <xdr:col>4</xdr:col>
      <xdr:colOff>2282552</xdr:colOff>
      <xdr:row>123</xdr:row>
      <xdr:rowOff>14000</xdr:rowOff>
    </xdr:to>
    <xdr:pic>
      <xdr:nvPicPr>
        <xdr:cNvPr id="50" name="Afbeelding 49">
          <a:extLst>
            <a:ext uri="{FF2B5EF4-FFF2-40B4-BE49-F238E27FC236}">
              <a16:creationId xmlns:a16="http://schemas.microsoft.com/office/drawing/2014/main" id="{F5C5B3EE-BE84-409B-B35F-C30547CD0E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6125" y="8980087"/>
          <a:ext cx="5062277" cy="4674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259633</xdr:colOff>
      <xdr:row>132</xdr:row>
      <xdr:rowOff>42333</xdr:rowOff>
    </xdr:from>
    <xdr:to>
      <xdr:col>4</xdr:col>
      <xdr:colOff>1635549</xdr:colOff>
      <xdr:row>134</xdr:row>
      <xdr:rowOff>12488</xdr:rowOff>
    </xdr:to>
    <xdr:pic>
      <xdr:nvPicPr>
        <xdr:cNvPr id="51" name="Afbeelding 50">
          <a:extLst>
            <a:ext uri="{FF2B5EF4-FFF2-40B4-BE49-F238E27FC236}">
              <a16:creationId xmlns:a16="http://schemas.microsoft.com/office/drawing/2014/main" id="{2327439D-C540-4D85-B458-C0E8AD0E1D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0728" y="11081332"/>
          <a:ext cx="1377821" cy="3292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2667724</xdr:colOff>
      <xdr:row>139</xdr:row>
      <xdr:rowOff>65405</xdr:rowOff>
    </xdr:from>
    <xdr:to>
      <xdr:col>4</xdr:col>
      <xdr:colOff>1998980</xdr:colOff>
      <xdr:row>140</xdr:row>
      <xdr:rowOff>144357</xdr:rowOff>
    </xdr:to>
    <xdr:pic>
      <xdr:nvPicPr>
        <xdr:cNvPr id="52" name="Afbeelding 51">
          <a:extLst>
            <a:ext uri="{FF2B5EF4-FFF2-40B4-BE49-F238E27FC236}">
              <a16:creationId xmlns:a16="http://schemas.microsoft.com/office/drawing/2014/main" id="{98B0DB36-43F3-4E91-8A8E-086B14BE12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6105" y="12350750"/>
          <a:ext cx="1999685" cy="2575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1231252</xdr:colOff>
      <xdr:row>120</xdr:row>
      <xdr:rowOff>129933</xdr:rowOff>
    </xdr:from>
    <xdr:to>
      <xdr:col>4</xdr:col>
      <xdr:colOff>2282552</xdr:colOff>
      <xdr:row>123</xdr:row>
      <xdr:rowOff>14000</xdr:rowOff>
    </xdr:to>
    <xdr:pic>
      <xdr:nvPicPr>
        <xdr:cNvPr id="53" name="Afbeelding 52">
          <a:extLst>
            <a:ext uri="{FF2B5EF4-FFF2-40B4-BE49-F238E27FC236}">
              <a16:creationId xmlns:a16="http://schemas.microsoft.com/office/drawing/2014/main" id="{F5B559E3-A22B-473C-9E4E-FDDBEB42E6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6125" y="8980087"/>
          <a:ext cx="5062277" cy="4674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259633</xdr:colOff>
      <xdr:row>132</xdr:row>
      <xdr:rowOff>42333</xdr:rowOff>
    </xdr:from>
    <xdr:to>
      <xdr:col>4</xdr:col>
      <xdr:colOff>1635549</xdr:colOff>
      <xdr:row>134</xdr:row>
      <xdr:rowOff>12488</xdr:rowOff>
    </xdr:to>
    <xdr:pic>
      <xdr:nvPicPr>
        <xdr:cNvPr id="54" name="Afbeelding 53">
          <a:extLst>
            <a:ext uri="{FF2B5EF4-FFF2-40B4-BE49-F238E27FC236}">
              <a16:creationId xmlns:a16="http://schemas.microsoft.com/office/drawing/2014/main" id="{9FD09B12-4C06-4C59-9162-FBD5296213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0728" y="11081332"/>
          <a:ext cx="1377821" cy="3292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2667724</xdr:colOff>
      <xdr:row>139</xdr:row>
      <xdr:rowOff>65405</xdr:rowOff>
    </xdr:from>
    <xdr:to>
      <xdr:col>4</xdr:col>
      <xdr:colOff>1998980</xdr:colOff>
      <xdr:row>140</xdr:row>
      <xdr:rowOff>144357</xdr:rowOff>
    </xdr:to>
    <xdr:pic>
      <xdr:nvPicPr>
        <xdr:cNvPr id="55" name="Afbeelding 54">
          <a:extLst>
            <a:ext uri="{FF2B5EF4-FFF2-40B4-BE49-F238E27FC236}">
              <a16:creationId xmlns:a16="http://schemas.microsoft.com/office/drawing/2014/main" id="{15721FC8-BB75-4626-855B-863A0ABDB6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6105" y="12350750"/>
          <a:ext cx="1999685" cy="2575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1231252</xdr:colOff>
      <xdr:row>120</xdr:row>
      <xdr:rowOff>129933</xdr:rowOff>
    </xdr:from>
    <xdr:to>
      <xdr:col>4</xdr:col>
      <xdr:colOff>2282552</xdr:colOff>
      <xdr:row>123</xdr:row>
      <xdr:rowOff>14000</xdr:rowOff>
    </xdr:to>
    <xdr:pic>
      <xdr:nvPicPr>
        <xdr:cNvPr id="56" name="Afbeelding 55">
          <a:extLst>
            <a:ext uri="{FF2B5EF4-FFF2-40B4-BE49-F238E27FC236}">
              <a16:creationId xmlns:a16="http://schemas.microsoft.com/office/drawing/2014/main" id="{E00120F7-1C57-435A-9211-A6DBFCEAAA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6125" y="8980087"/>
          <a:ext cx="5062277" cy="4674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259633</xdr:colOff>
      <xdr:row>132</xdr:row>
      <xdr:rowOff>42333</xdr:rowOff>
    </xdr:from>
    <xdr:to>
      <xdr:col>4</xdr:col>
      <xdr:colOff>1635549</xdr:colOff>
      <xdr:row>134</xdr:row>
      <xdr:rowOff>12488</xdr:rowOff>
    </xdr:to>
    <xdr:pic>
      <xdr:nvPicPr>
        <xdr:cNvPr id="57" name="Afbeelding 56">
          <a:extLst>
            <a:ext uri="{FF2B5EF4-FFF2-40B4-BE49-F238E27FC236}">
              <a16:creationId xmlns:a16="http://schemas.microsoft.com/office/drawing/2014/main" id="{2CC60987-5D41-404D-8E10-A111E45435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0728" y="11081332"/>
          <a:ext cx="1377821" cy="3292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2667724</xdr:colOff>
      <xdr:row>139</xdr:row>
      <xdr:rowOff>65405</xdr:rowOff>
    </xdr:from>
    <xdr:to>
      <xdr:col>4</xdr:col>
      <xdr:colOff>1998980</xdr:colOff>
      <xdr:row>140</xdr:row>
      <xdr:rowOff>144357</xdr:rowOff>
    </xdr:to>
    <xdr:pic>
      <xdr:nvPicPr>
        <xdr:cNvPr id="58" name="Afbeelding 57">
          <a:extLst>
            <a:ext uri="{FF2B5EF4-FFF2-40B4-BE49-F238E27FC236}">
              <a16:creationId xmlns:a16="http://schemas.microsoft.com/office/drawing/2014/main" id="{81D1EC1D-A061-4296-BBBD-27632A275A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6105" y="12350750"/>
          <a:ext cx="1999685" cy="2575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1231252</xdr:colOff>
      <xdr:row>120</xdr:row>
      <xdr:rowOff>129933</xdr:rowOff>
    </xdr:from>
    <xdr:to>
      <xdr:col>4</xdr:col>
      <xdr:colOff>2282552</xdr:colOff>
      <xdr:row>123</xdr:row>
      <xdr:rowOff>14000</xdr:rowOff>
    </xdr:to>
    <xdr:pic>
      <xdr:nvPicPr>
        <xdr:cNvPr id="59" name="Afbeelding 58">
          <a:extLst>
            <a:ext uri="{FF2B5EF4-FFF2-40B4-BE49-F238E27FC236}">
              <a16:creationId xmlns:a16="http://schemas.microsoft.com/office/drawing/2014/main" id="{6E3C3C76-15F3-4747-9FAB-4C9F7031A0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6125" y="8980087"/>
          <a:ext cx="5062277" cy="4674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259633</xdr:colOff>
      <xdr:row>132</xdr:row>
      <xdr:rowOff>42333</xdr:rowOff>
    </xdr:from>
    <xdr:to>
      <xdr:col>4</xdr:col>
      <xdr:colOff>1635549</xdr:colOff>
      <xdr:row>134</xdr:row>
      <xdr:rowOff>12488</xdr:rowOff>
    </xdr:to>
    <xdr:pic>
      <xdr:nvPicPr>
        <xdr:cNvPr id="60" name="Afbeelding 59">
          <a:extLst>
            <a:ext uri="{FF2B5EF4-FFF2-40B4-BE49-F238E27FC236}">
              <a16:creationId xmlns:a16="http://schemas.microsoft.com/office/drawing/2014/main" id="{59C2B263-DC4C-4D77-9A38-2AD8F20430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0728" y="11081332"/>
          <a:ext cx="1377821" cy="3292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2667724</xdr:colOff>
      <xdr:row>139</xdr:row>
      <xdr:rowOff>65405</xdr:rowOff>
    </xdr:from>
    <xdr:to>
      <xdr:col>4</xdr:col>
      <xdr:colOff>1998980</xdr:colOff>
      <xdr:row>140</xdr:row>
      <xdr:rowOff>144357</xdr:rowOff>
    </xdr:to>
    <xdr:pic>
      <xdr:nvPicPr>
        <xdr:cNvPr id="61" name="Afbeelding 60">
          <a:extLst>
            <a:ext uri="{FF2B5EF4-FFF2-40B4-BE49-F238E27FC236}">
              <a16:creationId xmlns:a16="http://schemas.microsoft.com/office/drawing/2014/main" id="{840DE26C-5287-4E82-8142-E3F1B2EB6B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6105" y="12350750"/>
          <a:ext cx="1999685" cy="2575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1231252</xdr:colOff>
      <xdr:row>120</xdr:row>
      <xdr:rowOff>129933</xdr:rowOff>
    </xdr:from>
    <xdr:to>
      <xdr:col>4</xdr:col>
      <xdr:colOff>2282552</xdr:colOff>
      <xdr:row>123</xdr:row>
      <xdr:rowOff>14000</xdr:rowOff>
    </xdr:to>
    <xdr:pic>
      <xdr:nvPicPr>
        <xdr:cNvPr id="62" name="Afbeelding 61">
          <a:extLst>
            <a:ext uri="{FF2B5EF4-FFF2-40B4-BE49-F238E27FC236}">
              <a16:creationId xmlns:a16="http://schemas.microsoft.com/office/drawing/2014/main" id="{79F436B5-F0D6-491E-A918-976D1BA5C4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6125" y="8980087"/>
          <a:ext cx="5062277" cy="4674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259633</xdr:colOff>
      <xdr:row>132</xdr:row>
      <xdr:rowOff>42333</xdr:rowOff>
    </xdr:from>
    <xdr:to>
      <xdr:col>4</xdr:col>
      <xdr:colOff>1635549</xdr:colOff>
      <xdr:row>134</xdr:row>
      <xdr:rowOff>12488</xdr:rowOff>
    </xdr:to>
    <xdr:pic>
      <xdr:nvPicPr>
        <xdr:cNvPr id="63" name="Afbeelding 62">
          <a:extLst>
            <a:ext uri="{FF2B5EF4-FFF2-40B4-BE49-F238E27FC236}">
              <a16:creationId xmlns:a16="http://schemas.microsoft.com/office/drawing/2014/main" id="{AEB066AF-D92C-4D93-AF08-208B1383C0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0728" y="11081332"/>
          <a:ext cx="1377821" cy="3292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2667724</xdr:colOff>
      <xdr:row>139</xdr:row>
      <xdr:rowOff>65405</xdr:rowOff>
    </xdr:from>
    <xdr:to>
      <xdr:col>4</xdr:col>
      <xdr:colOff>1998980</xdr:colOff>
      <xdr:row>140</xdr:row>
      <xdr:rowOff>144357</xdr:rowOff>
    </xdr:to>
    <xdr:pic>
      <xdr:nvPicPr>
        <xdr:cNvPr id="64" name="Afbeelding 63">
          <a:extLst>
            <a:ext uri="{FF2B5EF4-FFF2-40B4-BE49-F238E27FC236}">
              <a16:creationId xmlns:a16="http://schemas.microsoft.com/office/drawing/2014/main" id="{04E63D8F-C47F-49C2-B0AB-C28E9019F7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6105" y="12350750"/>
          <a:ext cx="1999685" cy="2575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1231252</xdr:colOff>
      <xdr:row>157</xdr:row>
      <xdr:rowOff>129933</xdr:rowOff>
    </xdr:from>
    <xdr:to>
      <xdr:col>4</xdr:col>
      <xdr:colOff>2282552</xdr:colOff>
      <xdr:row>160</xdr:row>
      <xdr:rowOff>14000</xdr:rowOff>
    </xdr:to>
    <xdr:pic>
      <xdr:nvPicPr>
        <xdr:cNvPr id="65" name="Afbeelding 46">
          <a:extLst>
            <a:ext uri="{FF2B5EF4-FFF2-40B4-BE49-F238E27FC236}">
              <a16:creationId xmlns:a16="http://schemas.microsoft.com/office/drawing/2014/main" id="{07F6A33F-3A08-40B4-804D-6484E13303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0252" y="22307308"/>
          <a:ext cx="5194675" cy="463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259633</xdr:colOff>
      <xdr:row>169</xdr:row>
      <xdr:rowOff>42333</xdr:rowOff>
    </xdr:from>
    <xdr:to>
      <xdr:col>4</xdr:col>
      <xdr:colOff>1635549</xdr:colOff>
      <xdr:row>171</xdr:row>
      <xdr:rowOff>12488</xdr:rowOff>
    </xdr:to>
    <xdr:pic>
      <xdr:nvPicPr>
        <xdr:cNvPr id="66" name="Afbeelding 47">
          <a:extLst>
            <a:ext uri="{FF2B5EF4-FFF2-40B4-BE49-F238E27FC236}">
              <a16:creationId xmlns:a16="http://schemas.microsoft.com/office/drawing/2014/main" id="{6F9593A5-5E42-462B-A78E-9E7BC6525D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92008" y="24442208"/>
          <a:ext cx="1375916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2667724</xdr:colOff>
      <xdr:row>176</xdr:row>
      <xdr:rowOff>65405</xdr:rowOff>
    </xdr:from>
    <xdr:to>
      <xdr:col>4</xdr:col>
      <xdr:colOff>1998980</xdr:colOff>
      <xdr:row>177</xdr:row>
      <xdr:rowOff>144357</xdr:rowOff>
    </xdr:to>
    <xdr:pic>
      <xdr:nvPicPr>
        <xdr:cNvPr id="67" name="Afbeelding 48">
          <a:extLst>
            <a:ext uri="{FF2B5EF4-FFF2-40B4-BE49-F238E27FC236}">
              <a16:creationId xmlns:a16="http://schemas.microsoft.com/office/drawing/2014/main" id="{D99EEACE-FFBC-455B-AF04-6A1F29AB6A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29924" y="25743218"/>
          <a:ext cx="2001431" cy="2615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1231252</xdr:colOff>
      <xdr:row>157</xdr:row>
      <xdr:rowOff>129933</xdr:rowOff>
    </xdr:from>
    <xdr:to>
      <xdr:col>4</xdr:col>
      <xdr:colOff>2282552</xdr:colOff>
      <xdr:row>160</xdr:row>
      <xdr:rowOff>14000</xdr:rowOff>
    </xdr:to>
    <xdr:pic>
      <xdr:nvPicPr>
        <xdr:cNvPr id="68" name="Afbeelding 49">
          <a:extLst>
            <a:ext uri="{FF2B5EF4-FFF2-40B4-BE49-F238E27FC236}">
              <a16:creationId xmlns:a16="http://schemas.microsoft.com/office/drawing/2014/main" id="{5282E812-6AD4-4C61-989D-541A130B3E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0252" y="22307308"/>
          <a:ext cx="5194675" cy="463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259633</xdr:colOff>
      <xdr:row>169</xdr:row>
      <xdr:rowOff>42333</xdr:rowOff>
    </xdr:from>
    <xdr:to>
      <xdr:col>4</xdr:col>
      <xdr:colOff>1635549</xdr:colOff>
      <xdr:row>171</xdr:row>
      <xdr:rowOff>12488</xdr:rowOff>
    </xdr:to>
    <xdr:pic>
      <xdr:nvPicPr>
        <xdr:cNvPr id="69" name="Afbeelding 50">
          <a:extLst>
            <a:ext uri="{FF2B5EF4-FFF2-40B4-BE49-F238E27FC236}">
              <a16:creationId xmlns:a16="http://schemas.microsoft.com/office/drawing/2014/main" id="{3D2DFD6B-B198-4F1B-9954-B0784643FC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92008" y="24442208"/>
          <a:ext cx="1375916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2667724</xdr:colOff>
      <xdr:row>176</xdr:row>
      <xdr:rowOff>65405</xdr:rowOff>
    </xdr:from>
    <xdr:to>
      <xdr:col>4</xdr:col>
      <xdr:colOff>1998980</xdr:colOff>
      <xdr:row>177</xdr:row>
      <xdr:rowOff>144357</xdr:rowOff>
    </xdr:to>
    <xdr:pic>
      <xdr:nvPicPr>
        <xdr:cNvPr id="70" name="Afbeelding 51">
          <a:extLst>
            <a:ext uri="{FF2B5EF4-FFF2-40B4-BE49-F238E27FC236}">
              <a16:creationId xmlns:a16="http://schemas.microsoft.com/office/drawing/2014/main" id="{19FA1E50-26BA-4597-AE33-6920391AE2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29924" y="25743218"/>
          <a:ext cx="2001431" cy="2615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1231252</xdr:colOff>
      <xdr:row>157</xdr:row>
      <xdr:rowOff>129933</xdr:rowOff>
    </xdr:from>
    <xdr:to>
      <xdr:col>4</xdr:col>
      <xdr:colOff>2282552</xdr:colOff>
      <xdr:row>160</xdr:row>
      <xdr:rowOff>14000</xdr:rowOff>
    </xdr:to>
    <xdr:pic>
      <xdr:nvPicPr>
        <xdr:cNvPr id="71" name="Afbeelding 52">
          <a:extLst>
            <a:ext uri="{FF2B5EF4-FFF2-40B4-BE49-F238E27FC236}">
              <a16:creationId xmlns:a16="http://schemas.microsoft.com/office/drawing/2014/main" id="{BF171E5D-005D-44D6-B55A-F6CFC89F79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0252" y="22307308"/>
          <a:ext cx="5194675" cy="463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259633</xdr:colOff>
      <xdr:row>169</xdr:row>
      <xdr:rowOff>42333</xdr:rowOff>
    </xdr:from>
    <xdr:to>
      <xdr:col>4</xdr:col>
      <xdr:colOff>1635549</xdr:colOff>
      <xdr:row>171</xdr:row>
      <xdr:rowOff>12488</xdr:rowOff>
    </xdr:to>
    <xdr:pic>
      <xdr:nvPicPr>
        <xdr:cNvPr id="72" name="Afbeelding 53">
          <a:extLst>
            <a:ext uri="{FF2B5EF4-FFF2-40B4-BE49-F238E27FC236}">
              <a16:creationId xmlns:a16="http://schemas.microsoft.com/office/drawing/2014/main" id="{B56C94D8-A3EA-4A3E-B922-81AA8C29EA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92008" y="24442208"/>
          <a:ext cx="1375916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2667724</xdr:colOff>
      <xdr:row>176</xdr:row>
      <xdr:rowOff>65405</xdr:rowOff>
    </xdr:from>
    <xdr:to>
      <xdr:col>4</xdr:col>
      <xdr:colOff>1998980</xdr:colOff>
      <xdr:row>177</xdr:row>
      <xdr:rowOff>144357</xdr:rowOff>
    </xdr:to>
    <xdr:pic>
      <xdr:nvPicPr>
        <xdr:cNvPr id="73" name="Afbeelding 54">
          <a:extLst>
            <a:ext uri="{FF2B5EF4-FFF2-40B4-BE49-F238E27FC236}">
              <a16:creationId xmlns:a16="http://schemas.microsoft.com/office/drawing/2014/main" id="{0B4492CE-2470-4E18-B59E-54D999AC9E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29924" y="25743218"/>
          <a:ext cx="2001431" cy="2615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1231252</xdr:colOff>
      <xdr:row>157</xdr:row>
      <xdr:rowOff>129933</xdr:rowOff>
    </xdr:from>
    <xdr:to>
      <xdr:col>4</xdr:col>
      <xdr:colOff>2282552</xdr:colOff>
      <xdr:row>160</xdr:row>
      <xdr:rowOff>14000</xdr:rowOff>
    </xdr:to>
    <xdr:pic>
      <xdr:nvPicPr>
        <xdr:cNvPr id="74" name="Afbeelding 55">
          <a:extLst>
            <a:ext uri="{FF2B5EF4-FFF2-40B4-BE49-F238E27FC236}">
              <a16:creationId xmlns:a16="http://schemas.microsoft.com/office/drawing/2014/main" id="{8E10413A-FEEC-4FCE-AFD3-6C438F500C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0252" y="22307308"/>
          <a:ext cx="5194675" cy="463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259633</xdr:colOff>
      <xdr:row>169</xdr:row>
      <xdr:rowOff>42333</xdr:rowOff>
    </xdr:from>
    <xdr:to>
      <xdr:col>4</xdr:col>
      <xdr:colOff>1635549</xdr:colOff>
      <xdr:row>171</xdr:row>
      <xdr:rowOff>12488</xdr:rowOff>
    </xdr:to>
    <xdr:pic>
      <xdr:nvPicPr>
        <xdr:cNvPr id="75" name="Afbeelding 56">
          <a:extLst>
            <a:ext uri="{FF2B5EF4-FFF2-40B4-BE49-F238E27FC236}">
              <a16:creationId xmlns:a16="http://schemas.microsoft.com/office/drawing/2014/main" id="{C492E66B-BE6A-4CDE-8B86-9FDFD4DC49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92008" y="24442208"/>
          <a:ext cx="1375916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2667724</xdr:colOff>
      <xdr:row>176</xdr:row>
      <xdr:rowOff>65405</xdr:rowOff>
    </xdr:from>
    <xdr:to>
      <xdr:col>4</xdr:col>
      <xdr:colOff>1998980</xdr:colOff>
      <xdr:row>177</xdr:row>
      <xdr:rowOff>144357</xdr:rowOff>
    </xdr:to>
    <xdr:pic>
      <xdr:nvPicPr>
        <xdr:cNvPr id="76" name="Afbeelding 57">
          <a:extLst>
            <a:ext uri="{FF2B5EF4-FFF2-40B4-BE49-F238E27FC236}">
              <a16:creationId xmlns:a16="http://schemas.microsoft.com/office/drawing/2014/main" id="{8AA81305-99F7-426F-8FC6-58ED3600E9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29924" y="25743218"/>
          <a:ext cx="2001431" cy="2615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1231252</xdr:colOff>
      <xdr:row>157</xdr:row>
      <xdr:rowOff>129933</xdr:rowOff>
    </xdr:from>
    <xdr:to>
      <xdr:col>4</xdr:col>
      <xdr:colOff>2282552</xdr:colOff>
      <xdr:row>160</xdr:row>
      <xdr:rowOff>14000</xdr:rowOff>
    </xdr:to>
    <xdr:pic>
      <xdr:nvPicPr>
        <xdr:cNvPr id="77" name="Afbeelding 58">
          <a:extLst>
            <a:ext uri="{FF2B5EF4-FFF2-40B4-BE49-F238E27FC236}">
              <a16:creationId xmlns:a16="http://schemas.microsoft.com/office/drawing/2014/main" id="{53B47F00-7025-4FDD-972B-E31E898233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0252" y="22307308"/>
          <a:ext cx="5194675" cy="463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259633</xdr:colOff>
      <xdr:row>169</xdr:row>
      <xdr:rowOff>42333</xdr:rowOff>
    </xdr:from>
    <xdr:to>
      <xdr:col>4</xdr:col>
      <xdr:colOff>1635549</xdr:colOff>
      <xdr:row>171</xdr:row>
      <xdr:rowOff>12488</xdr:rowOff>
    </xdr:to>
    <xdr:pic>
      <xdr:nvPicPr>
        <xdr:cNvPr id="78" name="Afbeelding 59">
          <a:extLst>
            <a:ext uri="{FF2B5EF4-FFF2-40B4-BE49-F238E27FC236}">
              <a16:creationId xmlns:a16="http://schemas.microsoft.com/office/drawing/2014/main" id="{6FC3ED74-4EE8-446C-B897-756071FCBD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92008" y="24442208"/>
          <a:ext cx="1375916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2667724</xdr:colOff>
      <xdr:row>176</xdr:row>
      <xdr:rowOff>65405</xdr:rowOff>
    </xdr:from>
    <xdr:to>
      <xdr:col>4</xdr:col>
      <xdr:colOff>1998980</xdr:colOff>
      <xdr:row>177</xdr:row>
      <xdr:rowOff>144357</xdr:rowOff>
    </xdr:to>
    <xdr:pic>
      <xdr:nvPicPr>
        <xdr:cNvPr id="79" name="Afbeelding 60">
          <a:extLst>
            <a:ext uri="{FF2B5EF4-FFF2-40B4-BE49-F238E27FC236}">
              <a16:creationId xmlns:a16="http://schemas.microsoft.com/office/drawing/2014/main" id="{786AC038-4A1A-4D9E-8734-8C29E62732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29924" y="25743218"/>
          <a:ext cx="2001431" cy="2615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1231252</xdr:colOff>
      <xdr:row>157</xdr:row>
      <xdr:rowOff>129933</xdr:rowOff>
    </xdr:from>
    <xdr:to>
      <xdr:col>4</xdr:col>
      <xdr:colOff>2282552</xdr:colOff>
      <xdr:row>160</xdr:row>
      <xdr:rowOff>14000</xdr:rowOff>
    </xdr:to>
    <xdr:pic>
      <xdr:nvPicPr>
        <xdr:cNvPr id="80" name="Afbeelding 61">
          <a:extLst>
            <a:ext uri="{FF2B5EF4-FFF2-40B4-BE49-F238E27FC236}">
              <a16:creationId xmlns:a16="http://schemas.microsoft.com/office/drawing/2014/main" id="{AC1DC1AB-80CC-41A8-95D4-C23D17D504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0252" y="22307308"/>
          <a:ext cx="5194675" cy="463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259633</xdr:colOff>
      <xdr:row>169</xdr:row>
      <xdr:rowOff>42333</xdr:rowOff>
    </xdr:from>
    <xdr:to>
      <xdr:col>4</xdr:col>
      <xdr:colOff>1635549</xdr:colOff>
      <xdr:row>171</xdr:row>
      <xdr:rowOff>12488</xdr:rowOff>
    </xdr:to>
    <xdr:pic>
      <xdr:nvPicPr>
        <xdr:cNvPr id="81" name="Afbeelding 62">
          <a:extLst>
            <a:ext uri="{FF2B5EF4-FFF2-40B4-BE49-F238E27FC236}">
              <a16:creationId xmlns:a16="http://schemas.microsoft.com/office/drawing/2014/main" id="{F8C7D8FB-43D1-412F-BB15-B7EFA4FEAD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92008" y="24442208"/>
          <a:ext cx="1375916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2667724</xdr:colOff>
      <xdr:row>176</xdr:row>
      <xdr:rowOff>65405</xdr:rowOff>
    </xdr:from>
    <xdr:to>
      <xdr:col>4</xdr:col>
      <xdr:colOff>1998980</xdr:colOff>
      <xdr:row>177</xdr:row>
      <xdr:rowOff>144357</xdr:rowOff>
    </xdr:to>
    <xdr:pic>
      <xdr:nvPicPr>
        <xdr:cNvPr id="82" name="Afbeelding 63">
          <a:extLst>
            <a:ext uri="{FF2B5EF4-FFF2-40B4-BE49-F238E27FC236}">
              <a16:creationId xmlns:a16="http://schemas.microsoft.com/office/drawing/2014/main" id="{B09D3718-F091-4247-B60F-07E1ED2564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29924" y="25743218"/>
          <a:ext cx="2001431" cy="2615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Blauw II">
      <a:dk1>
        <a:sysClr val="windowText" lastClr="000000"/>
      </a:dk1>
      <a:lt1>
        <a:sysClr val="window" lastClr="FFFFFF"/>
      </a:lt1>
      <a:dk2>
        <a:srgbClr val="335B74"/>
      </a:dk2>
      <a:lt2>
        <a:srgbClr val="DFE3E5"/>
      </a:lt2>
      <a:accent1>
        <a:srgbClr val="1CADE4"/>
      </a:accent1>
      <a:accent2>
        <a:srgbClr val="2683C6"/>
      </a:accent2>
      <a:accent3>
        <a:srgbClr val="27CED7"/>
      </a:accent3>
      <a:accent4>
        <a:srgbClr val="42BA97"/>
      </a:accent4>
      <a:accent5>
        <a:srgbClr val="3E8853"/>
      </a:accent5>
      <a:accent6>
        <a:srgbClr val="62A39F"/>
      </a:accent6>
      <a:hlink>
        <a:srgbClr val="6EAC1C"/>
      </a:hlink>
      <a:folHlink>
        <a:srgbClr val="B26B0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ipcc.ch/assessment-report/ar5/" TargetMode="External"/><Relationship Id="rId3" Type="http://schemas.openxmlformats.org/officeDocument/2006/relationships/hyperlink" Target="http://www.ipcc.ch/publications_and_data/ar4/wg1/en/ch2s2-10-2.html" TargetMode="External"/><Relationship Id="rId7" Type="http://schemas.openxmlformats.org/officeDocument/2006/relationships/hyperlink" Target="https://www.ipcc.ch/assessment-report/ar5/" TargetMode="External"/><Relationship Id="rId2" Type="http://schemas.openxmlformats.org/officeDocument/2006/relationships/hyperlink" Target="http://www.ipcc-nggip.iges.or.jp/public/2006gl/pdf/2_Volume2/V2_1_Ch1_Introduction.pdf" TargetMode="External"/><Relationship Id="rId1" Type="http://schemas.openxmlformats.org/officeDocument/2006/relationships/hyperlink" Target="http://www.ipcc-nggip.iges.or.jp/public/2006gl/pdf/2_Volume2/V2_1_Ch1_Introduction.pdf" TargetMode="External"/><Relationship Id="rId6" Type="http://schemas.openxmlformats.org/officeDocument/2006/relationships/hyperlink" Target="http://www.ipcc.ch/publications_and_data/ar4/wg1/en/ch2s2-10-2.html" TargetMode="External"/><Relationship Id="rId5" Type="http://schemas.openxmlformats.org/officeDocument/2006/relationships/hyperlink" Target="http://www.ipcc.ch/publications_and_data/ar4/wg1/en/ch2s2-10-2.html" TargetMode="External"/><Relationship Id="rId4" Type="http://schemas.openxmlformats.org/officeDocument/2006/relationships/hyperlink" Target="http://www.ipcc.ch/publications_and_data/ar4/wg1/en/ch2s2-10-2.html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ECE328-4666-4771-B0EC-EB9E7318AB3A}">
  <dimension ref="B8:X89"/>
  <sheetViews>
    <sheetView showGridLines="0" topLeftCell="B41" zoomScale="80" zoomScaleNormal="80" workbookViewId="0">
      <selection activeCell="F57" sqref="F57"/>
    </sheetView>
  </sheetViews>
  <sheetFormatPr defaultRowHeight="14.5" x14ac:dyDescent="0.35"/>
  <cols>
    <col min="2" max="2" width="4" customWidth="1"/>
    <col min="3" max="3" width="26.81640625" customWidth="1"/>
    <col min="4" max="4" width="30.81640625" customWidth="1"/>
    <col min="5" max="5" width="28.54296875" customWidth="1"/>
    <col min="6" max="6" width="18.54296875" customWidth="1"/>
    <col min="7" max="7" width="3.81640625" customWidth="1"/>
    <col min="8" max="8" width="8" customWidth="1"/>
    <col min="9" max="9" width="5.453125" customWidth="1"/>
    <col min="10" max="10" width="13.81640625" customWidth="1"/>
    <col min="11" max="11" width="15.453125" customWidth="1"/>
    <col min="14" max="21" width="0" hidden="1" customWidth="1"/>
  </cols>
  <sheetData>
    <row r="8" spans="2:24" ht="15" thickBot="1" x14ac:dyDescent="0.4"/>
    <row r="9" spans="2:24" x14ac:dyDescent="0.35">
      <c r="B9" s="8"/>
      <c r="C9" s="9"/>
      <c r="D9" s="10"/>
      <c r="E9" s="10"/>
      <c r="F9" s="10"/>
      <c r="G9" s="11"/>
      <c r="I9" s="8"/>
      <c r="J9" s="9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1"/>
    </row>
    <row r="10" spans="2:24" x14ac:dyDescent="0.35">
      <c r="B10" s="12"/>
      <c r="G10" s="13"/>
      <c r="I10" s="12"/>
      <c r="V10" s="13"/>
    </row>
    <row r="11" spans="2:24" ht="15.5" x14ac:dyDescent="0.35">
      <c r="B11" s="12"/>
      <c r="G11" s="13"/>
      <c r="I11" s="12"/>
      <c r="L11" s="121" t="s">
        <v>1</v>
      </c>
      <c r="M11" s="122"/>
      <c r="N11" s="122"/>
      <c r="O11" s="122"/>
      <c r="P11" s="122"/>
      <c r="Q11" s="122"/>
      <c r="R11" s="122"/>
      <c r="S11" s="122"/>
      <c r="T11" s="122"/>
      <c r="U11" s="123"/>
      <c r="V11" s="13"/>
    </row>
    <row r="12" spans="2:24" ht="15.5" x14ac:dyDescent="0.35">
      <c r="B12" s="12"/>
      <c r="C12" s="25" t="s">
        <v>2</v>
      </c>
      <c r="D12" s="25" t="s">
        <v>3</v>
      </c>
      <c r="E12" s="25" t="s">
        <v>4</v>
      </c>
      <c r="F12" s="132" t="s">
        <v>0</v>
      </c>
      <c r="G12" s="13"/>
      <c r="I12" s="12"/>
      <c r="J12" s="20" t="s">
        <v>5</v>
      </c>
      <c r="L12" s="73">
        <f>$E$23</f>
        <v>2020</v>
      </c>
      <c r="M12" s="65">
        <f t="shared" ref="M12:U12" si="0">IF(L12&lt;YEAR($E13),L12+1,"N/A")</f>
        <v>2021</v>
      </c>
      <c r="N12" s="65" t="str">
        <f t="shared" si="0"/>
        <v>N/A</v>
      </c>
      <c r="O12" s="65" t="str">
        <f t="shared" si="0"/>
        <v>N/A</v>
      </c>
      <c r="P12" s="65" t="str">
        <f t="shared" si="0"/>
        <v>N/A</v>
      </c>
      <c r="Q12" s="65" t="str">
        <f t="shared" si="0"/>
        <v>N/A</v>
      </c>
      <c r="R12" s="65" t="str">
        <f t="shared" si="0"/>
        <v>N/A</v>
      </c>
      <c r="S12" s="65" t="str">
        <f t="shared" si="0"/>
        <v>N/A</v>
      </c>
      <c r="T12" s="65" t="str">
        <f t="shared" si="0"/>
        <v>N/A</v>
      </c>
      <c r="U12" s="74" t="str">
        <f t="shared" si="0"/>
        <v>N/A</v>
      </c>
      <c r="V12" s="17" t="s">
        <v>6</v>
      </c>
    </row>
    <row r="13" spans="2:24" ht="15.5" x14ac:dyDescent="0.35">
      <c r="B13" s="12"/>
      <c r="C13" s="96" t="s">
        <v>7</v>
      </c>
      <c r="D13" s="97">
        <v>44197</v>
      </c>
      <c r="E13" s="98">
        <v>44561</v>
      </c>
      <c r="F13" s="133" t="s">
        <v>125</v>
      </c>
      <c r="G13" s="13"/>
      <c r="I13" s="12"/>
      <c r="K13" s="20"/>
      <c r="L13" s="75" t="str">
        <f t="shared" ref="L13:U13" si="1">IF(L12="N/A","N/A",IF((YEAR($E$13)-L12)=0,"AG 0-1",IF((YEAR($E$13)-L12)=1,"AG 1-2",IF((YEAR($E$13)-L12)=2,"AG 2-3",IF((YEAR($E$13)-L12)=3,"AG 3-4",IF((YEAR($E$13)-L12)=4,"AG 4-5",IF((YEAR($E$13)-L12)=5,"AG 5-6","N/A")))))))</f>
        <v>AG 1-2</v>
      </c>
      <c r="M13" s="52" t="str">
        <f t="shared" si="1"/>
        <v>AG 0-1</v>
      </c>
      <c r="N13" s="52" t="str">
        <f t="shared" si="1"/>
        <v>N/A</v>
      </c>
      <c r="O13" s="52" t="str">
        <f t="shared" si="1"/>
        <v>N/A</v>
      </c>
      <c r="P13" s="52" t="str">
        <f t="shared" si="1"/>
        <v>N/A</v>
      </c>
      <c r="Q13" s="52" t="str">
        <f t="shared" si="1"/>
        <v>N/A</v>
      </c>
      <c r="R13" s="52" t="str">
        <f t="shared" si="1"/>
        <v>N/A</v>
      </c>
      <c r="S13" s="52" t="str">
        <f t="shared" si="1"/>
        <v>N/A</v>
      </c>
      <c r="T13" s="52" t="str">
        <f t="shared" si="1"/>
        <v>N/A</v>
      </c>
      <c r="U13" s="76" t="str">
        <f t="shared" si="1"/>
        <v>N/A</v>
      </c>
      <c r="V13" s="13"/>
    </row>
    <row r="14" spans="2:24" ht="15.5" x14ac:dyDescent="0.35">
      <c r="B14" s="12"/>
      <c r="C14" s="96" t="s">
        <v>8</v>
      </c>
      <c r="D14" s="97">
        <v>44197</v>
      </c>
      <c r="E14" s="99"/>
      <c r="F14" s="133" t="s">
        <v>125</v>
      </c>
      <c r="G14" s="13"/>
      <c r="I14" s="12"/>
      <c r="J14" s="2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13"/>
    </row>
    <row r="15" spans="2:24" ht="15.5" x14ac:dyDescent="0.35">
      <c r="B15" s="12"/>
      <c r="C15" s="96" t="s">
        <v>9</v>
      </c>
      <c r="D15" s="97">
        <v>44197</v>
      </c>
      <c r="E15" s="99"/>
      <c r="F15" s="133" t="s">
        <v>125</v>
      </c>
      <c r="G15" s="13"/>
      <c r="I15" s="12"/>
      <c r="J15" s="5" t="s">
        <v>10</v>
      </c>
      <c r="K15" s="5" t="s">
        <v>11</v>
      </c>
      <c r="L15" s="44">
        <v>0.9</v>
      </c>
      <c r="M15" s="44">
        <v>0.99090909090909096</v>
      </c>
      <c r="N15" s="44"/>
      <c r="O15" s="44"/>
      <c r="P15" s="44"/>
      <c r="Q15" s="45"/>
      <c r="R15" s="45"/>
      <c r="S15" s="45"/>
      <c r="T15" s="45"/>
      <c r="U15" s="45"/>
      <c r="V15" s="13"/>
      <c r="X15" t="s">
        <v>120</v>
      </c>
    </row>
    <row r="16" spans="2:24" ht="15.5" x14ac:dyDescent="0.35">
      <c r="B16" s="12"/>
      <c r="C16" s="96" t="s">
        <v>12</v>
      </c>
      <c r="D16" s="97">
        <v>44197</v>
      </c>
      <c r="E16" s="99"/>
      <c r="F16" s="133" t="s">
        <v>125</v>
      </c>
      <c r="G16" s="13"/>
      <c r="I16" s="12"/>
      <c r="J16" s="5" t="s">
        <v>13</v>
      </c>
      <c r="K16" s="5" t="s">
        <v>11</v>
      </c>
      <c r="L16" s="44">
        <v>1.443001443001443E-3</v>
      </c>
      <c r="M16" s="44">
        <v>0</v>
      </c>
      <c r="N16" s="44"/>
      <c r="O16" s="44"/>
      <c r="P16" s="44"/>
      <c r="Q16" s="45"/>
      <c r="R16" s="45"/>
      <c r="S16" s="45"/>
      <c r="T16" s="45"/>
      <c r="U16" s="45"/>
      <c r="V16" s="13"/>
      <c r="X16" t="s">
        <v>121</v>
      </c>
    </row>
    <row r="17" spans="2:24" ht="15.5" x14ac:dyDescent="0.35">
      <c r="B17" s="12"/>
      <c r="C17" s="96" t="s">
        <v>119</v>
      </c>
      <c r="D17" s="97">
        <v>44249</v>
      </c>
      <c r="E17" s="99"/>
      <c r="F17" s="134" t="s">
        <v>126</v>
      </c>
      <c r="G17" s="13"/>
      <c r="I17" s="12"/>
      <c r="V17" s="13"/>
    </row>
    <row r="18" spans="2:24" x14ac:dyDescent="0.35">
      <c r="B18" s="12"/>
      <c r="C18" s="100"/>
      <c r="D18" s="100"/>
      <c r="E18" s="100"/>
      <c r="F18" s="135"/>
      <c r="G18" s="13"/>
      <c r="I18" s="12"/>
      <c r="L18" s="118"/>
      <c r="V18" s="13"/>
    </row>
    <row r="19" spans="2:24" ht="15.5" x14ac:dyDescent="0.35">
      <c r="B19" s="12"/>
      <c r="F19" s="136"/>
      <c r="G19" s="13"/>
      <c r="I19" s="12"/>
      <c r="J19" s="20" t="s">
        <v>15</v>
      </c>
      <c r="L19" s="70"/>
      <c r="M19" s="70"/>
      <c r="N19" s="70"/>
      <c r="O19" s="70"/>
      <c r="P19" s="70"/>
      <c r="Q19" s="70"/>
      <c r="R19" s="70"/>
      <c r="S19" s="70"/>
      <c r="T19" s="70"/>
      <c r="U19" s="70"/>
      <c r="V19" s="13"/>
    </row>
    <row r="20" spans="2:24" ht="15.5" x14ac:dyDescent="0.35">
      <c r="B20" s="12"/>
      <c r="C20" s="48" t="s">
        <v>14</v>
      </c>
      <c r="D20" s="6"/>
      <c r="E20" s="24"/>
      <c r="F20" s="136"/>
      <c r="G20" s="13"/>
      <c r="I20" s="12"/>
      <c r="V20" s="13"/>
    </row>
    <row r="21" spans="2:24" ht="15.65" customHeight="1" x14ac:dyDescent="0.35">
      <c r="B21" s="12"/>
      <c r="C21" s="26" t="s">
        <v>16</v>
      </c>
      <c r="D21" s="25"/>
      <c r="E21" s="36" t="s">
        <v>17</v>
      </c>
      <c r="F21" s="136"/>
      <c r="G21" s="13"/>
      <c r="I21" s="12"/>
      <c r="J21" s="124" t="s">
        <v>19</v>
      </c>
      <c r="K21" s="109" t="s">
        <v>20</v>
      </c>
      <c r="L21" s="110" t="str">
        <f t="shared" ref="L21:U21" si="2">L13</f>
        <v>AG 1-2</v>
      </c>
      <c r="M21" s="110" t="str">
        <f t="shared" si="2"/>
        <v>AG 0-1</v>
      </c>
      <c r="N21" s="110" t="str">
        <f t="shared" si="2"/>
        <v>N/A</v>
      </c>
      <c r="O21" s="110" t="str">
        <f t="shared" si="2"/>
        <v>N/A</v>
      </c>
      <c r="P21" s="110" t="str">
        <f t="shared" si="2"/>
        <v>N/A</v>
      </c>
      <c r="Q21" s="110" t="str">
        <f t="shared" si="2"/>
        <v>N/A</v>
      </c>
      <c r="R21" s="110" t="str">
        <f t="shared" si="2"/>
        <v>N/A</v>
      </c>
      <c r="S21" s="110" t="str">
        <f t="shared" si="2"/>
        <v>N/A</v>
      </c>
      <c r="T21" s="110" t="str">
        <f t="shared" si="2"/>
        <v>N/A</v>
      </c>
      <c r="U21" s="110" t="str">
        <f t="shared" si="2"/>
        <v>N/A</v>
      </c>
      <c r="V21" s="13"/>
    </row>
    <row r="22" spans="2:24" ht="12.65" customHeight="1" x14ac:dyDescent="0.35">
      <c r="B22" s="12"/>
      <c r="C22" s="25" t="s">
        <v>18</v>
      </c>
      <c r="D22" s="25"/>
      <c r="E22" s="37">
        <v>10</v>
      </c>
      <c r="F22" s="136"/>
      <c r="G22" s="13"/>
      <c r="I22" s="12"/>
      <c r="J22" s="124"/>
      <c r="K22" s="111" t="s">
        <v>7</v>
      </c>
      <c r="L22" s="77">
        <v>2179.2876712328766</v>
      </c>
      <c r="M22" s="77">
        <v>837.71232876712327</v>
      </c>
      <c r="N22" s="77"/>
      <c r="O22" s="77"/>
      <c r="P22" s="77"/>
      <c r="Q22" s="77"/>
      <c r="R22" s="77"/>
      <c r="S22" s="77"/>
      <c r="T22" s="77"/>
      <c r="U22" s="77"/>
      <c r="V22" s="13"/>
      <c r="X22" t="s">
        <v>122</v>
      </c>
    </row>
    <row r="23" spans="2:24" ht="15.5" x14ac:dyDescent="0.35">
      <c r="B23" s="12"/>
      <c r="C23" s="25" t="s">
        <v>21</v>
      </c>
      <c r="D23" s="25"/>
      <c r="E23" s="37">
        <v>2020</v>
      </c>
      <c r="F23" s="136"/>
      <c r="G23" s="13"/>
      <c r="I23" s="12"/>
      <c r="J23" s="124"/>
      <c r="K23" s="111" t="s">
        <v>8</v>
      </c>
      <c r="L23" s="78">
        <v>2139.972602739726</v>
      </c>
      <c r="M23" s="78">
        <v>896.02739726027403</v>
      </c>
      <c r="N23" s="78"/>
      <c r="O23" s="78"/>
      <c r="P23" s="78"/>
      <c r="Q23" s="78"/>
      <c r="R23" s="78"/>
      <c r="S23" s="78"/>
      <c r="T23" s="78"/>
      <c r="U23" s="78"/>
      <c r="V23" s="13"/>
      <c r="X23" t="s">
        <v>122</v>
      </c>
    </row>
    <row r="24" spans="2:24" ht="15.5" x14ac:dyDescent="0.35">
      <c r="B24" s="12"/>
      <c r="C24" s="25" t="s">
        <v>22</v>
      </c>
      <c r="D24" s="25"/>
      <c r="E24" s="37">
        <v>2030</v>
      </c>
      <c r="F24" s="136"/>
      <c r="G24" s="13"/>
      <c r="I24" s="12"/>
      <c r="J24" s="124"/>
      <c r="K24" s="111" t="s">
        <v>9</v>
      </c>
      <c r="L24" s="77">
        <v>2164.9205479452053</v>
      </c>
      <c r="M24" s="77">
        <v>852.0794520547945</v>
      </c>
      <c r="N24" s="77"/>
      <c r="O24" s="77"/>
      <c r="P24" s="77"/>
      <c r="Q24" s="77"/>
      <c r="R24" s="77"/>
      <c r="S24" s="77"/>
      <c r="T24" s="77"/>
      <c r="U24" s="77"/>
      <c r="V24" s="13"/>
      <c r="X24" t="s">
        <v>122</v>
      </c>
    </row>
    <row r="25" spans="2:24" ht="15.5" x14ac:dyDescent="0.35">
      <c r="B25" s="12"/>
      <c r="C25" s="25" t="s">
        <v>23</v>
      </c>
      <c r="D25" s="25"/>
      <c r="E25" s="38" t="s">
        <v>24</v>
      </c>
      <c r="F25" s="136"/>
      <c r="G25" s="13"/>
      <c r="I25" s="12"/>
      <c r="J25" s="124"/>
      <c r="K25" s="111" t="s">
        <v>12</v>
      </c>
      <c r="L25" s="79">
        <v>547.98082191780827</v>
      </c>
      <c r="M25" s="79">
        <v>1777.3671232876711</v>
      </c>
      <c r="N25" s="79"/>
      <c r="O25" s="79"/>
      <c r="P25" s="79"/>
      <c r="Q25" s="80"/>
      <c r="R25" s="80"/>
      <c r="S25" s="80"/>
      <c r="T25" s="80"/>
      <c r="U25" s="80"/>
      <c r="V25" s="13"/>
      <c r="X25" t="s">
        <v>122</v>
      </c>
    </row>
    <row r="26" spans="2:24" ht="15.5" x14ac:dyDescent="0.35">
      <c r="B26" s="12"/>
      <c r="C26" s="25" t="s">
        <v>25</v>
      </c>
      <c r="D26" s="25"/>
      <c r="E26" s="38" t="s">
        <v>26</v>
      </c>
      <c r="F26" s="136"/>
      <c r="G26" s="13"/>
      <c r="I26" s="12"/>
      <c r="J26" s="124"/>
      <c r="K26" s="111" t="s">
        <v>119</v>
      </c>
      <c r="L26" s="79">
        <v>0</v>
      </c>
      <c r="M26" s="79">
        <v>596.46575342465758</v>
      </c>
      <c r="N26" s="79"/>
      <c r="O26" s="79"/>
      <c r="P26" s="79"/>
      <c r="Q26" s="80"/>
      <c r="R26" s="80"/>
      <c r="S26" s="80"/>
      <c r="T26" s="80"/>
      <c r="U26" s="80"/>
      <c r="V26" s="13"/>
    </row>
    <row r="27" spans="2:24" ht="16" thickBot="1" x14ac:dyDescent="0.4">
      <c r="B27" s="12"/>
      <c r="F27" s="136"/>
      <c r="G27" s="13"/>
      <c r="I27" s="14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6"/>
    </row>
    <row r="28" spans="2:24" ht="15.5" x14ac:dyDescent="0.35">
      <c r="B28" s="12"/>
      <c r="F28" s="136"/>
      <c r="G28" s="13"/>
      <c r="L28" s="71"/>
      <c r="M28" s="71"/>
      <c r="N28" s="71"/>
      <c r="O28" s="71"/>
      <c r="P28" s="71"/>
      <c r="Q28" s="71"/>
      <c r="R28" s="71"/>
      <c r="S28" s="71"/>
      <c r="T28" s="71"/>
      <c r="U28" s="71"/>
    </row>
    <row r="29" spans="2:24" ht="15.5" x14ac:dyDescent="0.35">
      <c r="B29" s="12"/>
      <c r="C29" s="50" t="s">
        <v>27</v>
      </c>
      <c r="D29" s="6" t="s">
        <v>28</v>
      </c>
      <c r="E29" s="6" t="s">
        <v>29</v>
      </c>
      <c r="F29" s="136"/>
      <c r="G29" s="13"/>
      <c r="L29" s="70"/>
      <c r="M29" s="70"/>
      <c r="N29" s="70"/>
      <c r="O29" s="70"/>
      <c r="P29" s="70"/>
      <c r="Q29" s="70"/>
      <c r="R29" s="70"/>
      <c r="S29" s="70"/>
      <c r="T29" s="70"/>
      <c r="U29" s="70"/>
    </row>
    <row r="30" spans="2:24" ht="15.5" x14ac:dyDescent="0.35">
      <c r="B30" s="12"/>
      <c r="C30" s="25" t="s">
        <v>30</v>
      </c>
      <c r="D30" s="25"/>
      <c r="E30" s="39" t="s">
        <v>31</v>
      </c>
      <c r="F30" s="136"/>
      <c r="G30" s="13"/>
      <c r="L30" s="72"/>
      <c r="M30" s="72"/>
      <c r="N30" s="72"/>
      <c r="O30" s="72"/>
      <c r="P30" s="72"/>
      <c r="Q30" s="72"/>
      <c r="R30" s="72"/>
      <c r="S30" s="72"/>
      <c r="T30" s="72"/>
      <c r="U30" s="72"/>
    </row>
    <row r="31" spans="2:24" ht="15.5" x14ac:dyDescent="0.35">
      <c r="B31" s="12"/>
      <c r="C31" s="26" t="str">
        <f>E30</f>
        <v>Field Performance test</v>
      </c>
      <c r="D31" s="69" t="str">
        <f>IF(E30="Minimum service level","tonnes per capita per year", "tonnes per household per year")</f>
        <v>tonnes per household per year</v>
      </c>
      <c r="E31" s="93">
        <v>3.9423167369383973</v>
      </c>
      <c r="F31" s="136"/>
      <c r="G31" s="13"/>
    </row>
    <row r="32" spans="2:24" ht="15.5" x14ac:dyDescent="0.35">
      <c r="B32" s="12"/>
      <c r="F32" s="136"/>
      <c r="G32" s="13"/>
    </row>
    <row r="33" spans="2:7" ht="15.5" x14ac:dyDescent="0.35">
      <c r="B33" s="12"/>
      <c r="F33" s="136"/>
      <c r="G33" s="13"/>
    </row>
    <row r="34" spans="2:7" ht="15.5" x14ac:dyDescent="0.35">
      <c r="B34" s="12"/>
      <c r="C34" s="119" t="s">
        <v>20</v>
      </c>
      <c r="D34" s="25" t="s">
        <v>32</v>
      </c>
      <c r="E34" s="26" t="s">
        <v>33</v>
      </c>
      <c r="F34" s="136"/>
      <c r="G34" s="13"/>
    </row>
    <row r="35" spans="2:7" ht="15.5" x14ac:dyDescent="0.35">
      <c r="B35" s="12"/>
      <c r="C35" s="120"/>
      <c r="D35" s="28" t="s">
        <v>34</v>
      </c>
      <c r="E35" s="28" t="s">
        <v>35</v>
      </c>
      <c r="F35" s="136"/>
      <c r="G35" s="13"/>
    </row>
    <row r="36" spans="2:7" ht="15.5" x14ac:dyDescent="0.35">
      <c r="B36" s="12"/>
      <c r="C36" s="25" t="s">
        <v>7</v>
      </c>
      <c r="D36" s="94">
        <v>5.8871794871794885</v>
      </c>
      <c r="E36" s="94">
        <f>IF($E$30="Minimum Service Level",$E$31*D36,$E$31)</f>
        <v>3.9423167369383973</v>
      </c>
      <c r="F36" s="136"/>
      <c r="G36" s="13"/>
    </row>
    <row r="37" spans="2:7" ht="15.5" x14ac:dyDescent="0.35">
      <c r="B37" s="12"/>
      <c r="C37" s="25" t="s">
        <v>8</v>
      </c>
      <c r="D37" s="94">
        <v>5.8871794871794885</v>
      </c>
      <c r="E37" s="94">
        <f t="shared" ref="E37:E39" si="3">IF($E$30="Minimum Service Level",$E$31*D37,$E$31)</f>
        <v>3.9423167369383973</v>
      </c>
      <c r="F37" s="136"/>
      <c r="G37" s="13"/>
    </row>
    <row r="38" spans="2:7" ht="15.5" x14ac:dyDescent="0.35">
      <c r="B38" s="12"/>
      <c r="C38" s="25" t="s">
        <v>9</v>
      </c>
      <c r="D38" s="94">
        <v>5.8871794871794885</v>
      </c>
      <c r="E38" s="94">
        <f t="shared" si="3"/>
        <v>3.9423167369383973</v>
      </c>
      <c r="F38" s="136"/>
      <c r="G38" s="13"/>
    </row>
    <row r="39" spans="2:7" ht="15.5" x14ac:dyDescent="0.35">
      <c r="B39" s="12"/>
      <c r="C39" s="26" t="s">
        <v>12</v>
      </c>
      <c r="D39" s="94">
        <v>5.8871794871794885</v>
      </c>
      <c r="E39" s="94">
        <f t="shared" si="3"/>
        <v>3.9423167369383973</v>
      </c>
      <c r="F39" s="136"/>
      <c r="G39" s="13"/>
    </row>
    <row r="40" spans="2:7" ht="15.5" x14ac:dyDescent="0.35">
      <c r="B40" s="12"/>
      <c r="C40" s="5" t="s">
        <v>119</v>
      </c>
      <c r="D40" s="94">
        <v>5.8871794871794885</v>
      </c>
      <c r="E40" s="94">
        <f t="shared" ref="E40" si="4">IF($E$30="Minimum Service Level",$E$31*D40,$E$31)</f>
        <v>3.9423167369383973</v>
      </c>
      <c r="F40" s="136"/>
      <c r="G40" s="13"/>
    </row>
    <row r="41" spans="2:7" ht="15.5" x14ac:dyDescent="0.35">
      <c r="B41" s="12"/>
      <c r="F41" s="136"/>
      <c r="G41" s="13"/>
    </row>
    <row r="42" spans="2:7" ht="15.5" x14ac:dyDescent="0.35">
      <c r="B42" s="12"/>
      <c r="F42" s="136"/>
      <c r="G42" s="13"/>
    </row>
    <row r="43" spans="2:7" ht="15.5" x14ac:dyDescent="0.35">
      <c r="B43" s="12"/>
      <c r="C43" s="25" t="s">
        <v>36</v>
      </c>
      <c r="D43" s="26" t="s">
        <v>11</v>
      </c>
      <c r="E43" s="53">
        <v>0.9</v>
      </c>
      <c r="F43" s="136"/>
      <c r="G43" s="13"/>
    </row>
    <row r="44" spans="2:7" ht="15.5" x14ac:dyDescent="0.35">
      <c r="B44" s="12"/>
      <c r="C44" s="25" t="s">
        <v>37</v>
      </c>
      <c r="D44" s="25" t="s">
        <v>38</v>
      </c>
      <c r="E44" s="93">
        <f>'EF calculation'!C2</f>
        <v>1.7471999999999999</v>
      </c>
      <c r="F44" s="136"/>
      <c r="G44" s="13"/>
    </row>
    <row r="45" spans="2:7" ht="15.5" x14ac:dyDescent="0.35">
      <c r="B45" s="12"/>
      <c r="C45" s="26" t="s">
        <v>39</v>
      </c>
      <c r="D45" s="26" t="s">
        <v>38</v>
      </c>
      <c r="E45" s="93">
        <f>'EF calculation'!C5</f>
        <v>0.58115070000000002</v>
      </c>
      <c r="F45" s="136"/>
      <c r="G45" s="13"/>
    </row>
    <row r="46" spans="2:7" ht="15.5" x14ac:dyDescent="0.35">
      <c r="B46" s="12"/>
      <c r="F46" s="136"/>
      <c r="G46" s="13"/>
    </row>
    <row r="47" spans="2:7" ht="15.5" x14ac:dyDescent="0.35">
      <c r="B47" s="12"/>
      <c r="F47" s="136"/>
      <c r="G47" s="13"/>
    </row>
    <row r="48" spans="2:7" ht="15.5" x14ac:dyDescent="0.35">
      <c r="B48" s="12"/>
      <c r="C48" s="49" t="s">
        <v>40</v>
      </c>
      <c r="D48" s="27"/>
      <c r="E48" s="27"/>
      <c r="F48" s="136"/>
      <c r="G48" s="13"/>
    </row>
    <row r="49" spans="2:7" ht="15.5" x14ac:dyDescent="0.35">
      <c r="B49" s="12"/>
      <c r="C49" s="25" t="s">
        <v>41</v>
      </c>
      <c r="D49" s="25"/>
      <c r="E49" s="40" t="s">
        <v>42</v>
      </c>
      <c r="F49" s="136"/>
      <c r="G49" s="13"/>
    </row>
    <row r="50" spans="2:7" ht="15.5" x14ac:dyDescent="0.35">
      <c r="B50" s="12"/>
      <c r="C50" s="25" t="s">
        <v>43</v>
      </c>
      <c r="D50" s="25"/>
      <c r="E50" s="41">
        <v>0.1</v>
      </c>
      <c r="F50" s="136"/>
      <c r="G50" s="13"/>
    </row>
    <row r="51" spans="2:7" ht="15.5" x14ac:dyDescent="0.35">
      <c r="B51" s="12"/>
      <c r="C51" s="25" t="s">
        <v>44</v>
      </c>
      <c r="D51" s="25"/>
      <c r="E51" s="3" t="s">
        <v>45</v>
      </c>
      <c r="F51" s="136"/>
      <c r="G51" s="13"/>
    </row>
    <row r="52" spans="2:7" ht="15.5" x14ac:dyDescent="0.35">
      <c r="B52" s="12"/>
      <c r="C52" s="25" t="s">
        <v>46</v>
      </c>
      <c r="D52" s="25"/>
      <c r="E52" s="4">
        <v>0.23400000000000001</v>
      </c>
      <c r="F52" s="136"/>
      <c r="G52" s="13"/>
    </row>
    <row r="53" spans="2:7" ht="15.5" x14ac:dyDescent="0.35">
      <c r="B53" s="12"/>
      <c r="C53" s="26" t="s">
        <v>47</v>
      </c>
      <c r="D53" s="25"/>
      <c r="E53" s="42" t="s">
        <v>42</v>
      </c>
      <c r="F53" s="136"/>
      <c r="G53" s="13"/>
    </row>
    <row r="54" spans="2:7" ht="15.5" x14ac:dyDescent="0.35">
      <c r="B54" s="12"/>
      <c r="C54" s="29" t="s">
        <v>48</v>
      </c>
      <c r="D54" s="26"/>
      <c r="E54" s="42" t="s">
        <v>42</v>
      </c>
      <c r="F54" s="136"/>
      <c r="G54" s="13"/>
    </row>
    <row r="55" spans="2:7" ht="15.5" x14ac:dyDescent="0.35">
      <c r="B55" s="12"/>
      <c r="F55" s="136"/>
      <c r="G55" s="13"/>
    </row>
    <row r="56" spans="2:7" ht="15.5" x14ac:dyDescent="0.35">
      <c r="B56" s="12"/>
      <c r="F56" s="136"/>
      <c r="G56" s="13"/>
    </row>
    <row r="57" spans="2:7" ht="15.5" x14ac:dyDescent="0.35">
      <c r="B57" s="12"/>
      <c r="C57" s="49" t="s">
        <v>49</v>
      </c>
      <c r="D57" s="27"/>
      <c r="E57" s="27"/>
      <c r="F57" s="136"/>
      <c r="G57" s="13"/>
    </row>
    <row r="58" spans="2:7" ht="15.5" x14ac:dyDescent="0.35">
      <c r="B58" s="12"/>
      <c r="C58" s="25" t="s">
        <v>50</v>
      </c>
      <c r="D58" s="25"/>
      <c r="E58" s="42" t="s">
        <v>42</v>
      </c>
      <c r="F58" s="136"/>
      <c r="G58" s="13"/>
    </row>
    <row r="59" spans="2:7" ht="15.5" x14ac:dyDescent="0.35">
      <c r="B59" s="12"/>
      <c r="C59" s="25" t="s">
        <v>51</v>
      </c>
      <c r="D59" s="25"/>
      <c r="E59" s="41">
        <v>0.95</v>
      </c>
      <c r="F59" s="136"/>
      <c r="G59" s="13"/>
    </row>
    <row r="60" spans="2:7" ht="15.5" x14ac:dyDescent="0.35">
      <c r="B60" s="12"/>
      <c r="C60" s="26" t="s">
        <v>52</v>
      </c>
      <c r="D60" s="26"/>
      <c r="E60" s="7" t="s">
        <v>53</v>
      </c>
      <c r="F60" s="136"/>
      <c r="G60" s="13"/>
    </row>
    <row r="61" spans="2:7" ht="15" thickBot="1" x14ac:dyDescent="0.4">
      <c r="B61" s="14"/>
      <c r="C61" s="15"/>
      <c r="D61" s="15"/>
      <c r="E61" s="15"/>
      <c r="F61" s="15"/>
      <c r="G61" s="16"/>
    </row>
    <row r="67" spans="3:4" x14ac:dyDescent="0.35">
      <c r="C67" s="68" t="s">
        <v>54</v>
      </c>
      <c r="D67" s="68" t="s">
        <v>55</v>
      </c>
    </row>
    <row r="68" spans="3:4" ht="49.75" customHeight="1" x14ac:dyDescent="0.35">
      <c r="C68" s="68" t="s">
        <v>56</v>
      </c>
      <c r="D68" s="68" t="s">
        <v>57</v>
      </c>
    </row>
    <row r="69" spans="3:4" x14ac:dyDescent="0.35">
      <c r="C69" s="68" t="s">
        <v>58</v>
      </c>
      <c r="D69" s="68" t="s">
        <v>59</v>
      </c>
    </row>
    <row r="70" spans="3:4" x14ac:dyDescent="0.35">
      <c r="C70" s="68"/>
      <c r="D70" s="68" t="s">
        <v>60</v>
      </c>
    </row>
    <row r="85" spans="3:8" x14ac:dyDescent="0.35">
      <c r="H85" s="1"/>
    </row>
    <row r="86" spans="3:8" x14ac:dyDescent="0.35">
      <c r="H86" s="1"/>
    </row>
    <row r="87" spans="3:8" x14ac:dyDescent="0.35">
      <c r="C87" s="1"/>
      <c r="D87" s="1"/>
      <c r="E87" s="1"/>
      <c r="F87" s="1"/>
      <c r="G87" s="1"/>
      <c r="H87" s="2"/>
    </row>
    <row r="88" spans="3:8" x14ac:dyDescent="0.35">
      <c r="C88" s="1"/>
      <c r="D88" s="1"/>
      <c r="E88" s="1"/>
      <c r="F88" s="1"/>
      <c r="G88" s="1"/>
    </row>
    <row r="89" spans="3:8" x14ac:dyDescent="0.35">
      <c r="C89" s="1"/>
      <c r="D89" s="1"/>
      <c r="E89" s="1"/>
      <c r="F89" s="1"/>
      <c r="G89" s="1"/>
    </row>
  </sheetData>
  <mergeCells count="3">
    <mergeCell ref="C34:C35"/>
    <mergeCell ref="L11:U11"/>
    <mergeCell ref="J21:J26"/>
  </mergeCells>
  <phoneticPr fontId="18" type="noConversion"/>
  <dataValidations disablePrompts="1" count="3">
    <dataValidation type="list" allowBlank="1" showInputMessage="1" showErrorMessage="1" sqref="E58" xr:uid="{B3BBCB7A-C66B-445F-93B9-A8BADD0CC9FA}">
      <formula1>$C$68:$C$69</formula1>
    </dataValidation>
    <dataValidation type="list" allowBlank="1" showInputMessage="1" showErrorMessage="1" sqref="E53:E54 E49" xr:uid="{91856A61-91AD-4944-B5E3-84579FC33F44}">
      <formula1>$C$67:$C$68</formula1>
    </dataValidation>
    <dataValidation type="list" allowBlank="1" showInputMessage="1" showErrorMessage="1" promptTitle="Baseline fuel consumption" sqref="E30" xr:uid="{5CF84899-4253-48FA-AD61-733FF1CFEE74}">
      <formula1>$D$67:$D$70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ECE44B-3AC6-4D0D-BD93-54D9B68EF15F}">
  <dimension ref="B2:E16"/>
  <sheetViews>
    <sheetView zoomScale="85" zoomScaleNormal="85" workbookViewId="0">
      <selection activeCell="D26" sqref="D26"/>
    </sheetView>
  </sheetViews>
  <sheetFormatPr defaultRowHeight="14.5" x14ac:dyDescent="0.35"/>
  <cols>
    <col min="2" max="2" width="16.81640625" customWidth="1"/>
    <col min="4" max="4" width="11" bestFit="1" customWidth="1"/>
  </cols>
  <sheetData>
    <row r="2" spans="2:5" x14ac:dyDescent="0.35">
      <c r="B2" s="101" t="s">
        <v>61</v>
      </c>
      <c r="C2" s="102">
        <f>C7*C8</f>
        <v>1.7471999999999999</v>
      </c>
      <c r="D2" s="101" t="s">
        <v>62</v>
      </c>
      <c r="E2" s="101"/>
    </row>
    <row r="3" spans="2:5" x14ac:dyDescent="0.35">
      <c r="B3" s="101" t="s">
        <v>63</v>
      </c>
      <c r="C3" s="102">
        <f>(C9*C12*C7/1000)+(C13*C16*C7/1000)</f>
        <v>0.45538739999999994</v>
      </c>
      <c r="D3" s="101" t="s">
        <v>62</v>
      </c>
      <c r="E3" s="101">
        <v>2012</v>
      </c>
    </row>
    <row r="4" spans="2:5" x14ac:dyDescent="0.35">
      <c r="B4" s="101"/>
      <c r="C4" s="102">
        <f>(C10*C12*C7/1000)+(C14*C16*C7/1000)</f>
        <v>0.52965899999999999</v>
      </c>
      <c r="D4" s="101" t="s">
        <v>62</v>
      </c>
      <c r="E4" s="101">
        <v>2013</v>
      </c>
    </row>
    <row r="5" spans="2:5" x14ac:dyDescent="0.35">
      <c r="B5" s="101"/>
      <c r="C5" s="103">
        <f>(C11*C12*C7/1000)+(C15*C16*C7/1000)</f>
        <v>0.58115070000000002</v>
      </c>
      <c r="D5" s="101" t="s">
        <v>62</v>
      </c>
      <c r="E5" s="101">
        <v>2021</v>
      </c>
    </row>
    <row r="6" spans="2:5" x14ac:dyDescent="0.35">
      <c r="B6" s="101"/>
      <c r="C6" s="104"/>
      <c r="D6" s="101"/>
      <c r="E6" s="101"/>
    </row>
    <row r="7" spans="2:5" x14ac:dyDescent="0.35">
      <c r="B7" s="104" t="s">
        <v>64</v>
      </c>
      <c r="C7" s="104">
        <v>1.5599999999999999E-2</v>
      </c>
      <c r="D7" s="104" t="s">
        <v>65</v>
      </c>
      <c r="E7" s="105" t="s">
        <v>66</v>
      </c>
    </row>
    <row r="8" spans="2:5" x14ac:dyDescent="0.35">
      <c r="B8" s="101" t="s">
        <v>67</v>
      </c>
      <c r="C8" s="104">
        <v>112</v>
      </c>
      <c r="D8" s="104" t="s">
        <v>68</v>
      </c>
      <c r="E8" s="105" t="s">
        <v>66</v>
      </c>
    </row>
    <row r="9" spans="2:5" x14ac:dyDescent="0.35">
      <c r="B9" s="101" t="s">
        <v>69</v>
      </c>
      <c r="C9" s="104">
        <v>21</v>
      </c>
      <c r="D9" s="101"/>
      <c r="E9" s="106" t="s">
        <v>70</v>
      </c>
    </row>
    <row r="10" spans="2:5" x14ac:dyDescent="0.35">
      <c r="B10" s="101" t="s">
        <v>71</v>
      </c>
      <c r="C10" s="104">
        <v>25</v>
      </c>
      <c r="D10" s="101"/>
      <c r="E10" s="106" t="s">
        <v>70</v>
      </c>
    </row>
    <row r="11" spans="2:5" x14ac:dyDescent="0.35">
      <c r="B11" s="101" t="s">
        <v>72</v>
      </c>
      <c r="C11" s="104">
        <v>28</v>
      </c>
      <c r="D11" s="101"/>
      <c r="E11" s="106" t="s">
        <v>73</v>
      </c>
    </row>
    <row r="12" spans="2:5" x14ac:dyDescent="0.35">
      <c r="B12" s="101" t="s">
        <v>74</v>
      </c>
      <c r="C12" s="104">
        <v>1224</v>
      </c>
      <c r="D12" s="107"/>
      <c r="E12" s="101" t="s">
        <v>75</v>
      </c>
    </row>
    <row r="13" spans="2:5" x14ac:dyDescent="0.35">
      <c r="B13" s="101" t="s">
        <v>76</v>
      </c>
      <c r="C13" s="104">
        <v>310</v>
      </c>
      <c r="D13" s="101"/>
      <c r="E13" s="106" t="s">
        <v>70</v>
      </c>
    </row>
    <row r="14" spans="2:5" x14ac:dyDescent="0.35">
      <c r="B14" s="101" t="s">
        <v>77</v>
      </c>
      <c r="C14" s="104">
        <v>298</v>
      </c>
      <c r="D14" s="101"/>
      <c r="E14" s="106" t="s">
        <v>70</v>
      </c>
    </row>
    <row r="15" spans="2:5" x14ac:dyDescent="0.35">
      <c r="B15" s="101" t="s">
        <v>78</v>
      </c>
      <c r="C15" s="104">
        <v>265</v>
      </c>
      <c r="D15" s="101"/>
      <c r="E15" s="106" t="s">
        <v>73</v>
      </c>
    </row>
    <row r="16" spans="2:5" x14ac:dyDescent="0.35">
      <c r="B16" s="101" t="s">
        <v>79</v>
      </c>
      <c r="C16" s="104">
        <v>11.25</v>
      </c>
      <c r="D16" s="107"/>
      <c r="E16" s="101" t="s">
        <v>75</v>
      </c>
    </row>
  </sheetData>
  <hyperlinks>
    <hyperlink ref="E7" r:id="rId1" xr:uid="{14FF9F43-620D-422F-AB8C-1CEC29C24314}"/>
    <hyperlink ref="E8" r:id="rId2" xr:uid="{BAB84106-8628-40E3-AFA4-2E2803EDC93A}"/>
    <hyperlink ref="E9" r:id="rId3" location="table-2-14" xr:uid="{BC14E1BA-DA8A-4695-B2E2-27F1BC9E98C1}"/>
    <hyperlink ref="E10" r:id="rId4" location="table-2-14" xr:uid="{E72094C9-3CC4-4A1D-A58A-AABE8D915CA5}"/>
    <hyperlink ref="E13" r:id="rId5" location="table-2-14" xr:uid="{C58BE7DE-6925-40FD-9638-B37C9B920BE4}"/>
    <hyperlink ref="E14" r:id="rId6" location="table-2-14" xr:uid="{90265DF0-7DBD-4BE0-A10B-4E3C51566472}"/>
    <hyperlink ref="E11" r:id="rId7" xr:uid="{28971B4A-45A8-4935-8065-1528BCA0AB68}"/>
    <hyperlink ref="E15" r:id="rId8" xr:uid="{E2A29653-9302-4C04-8089-0400E07E449A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4C68AB-78DE-49F6-8CCB-73E392E971C7}">
  <dimension ref="B3:P15"/>
  <sheetViews>
    <sheetView showGridLines="0" workbookViewId="0">
      <selection activeCell="F1" sqref="F1:M1048576"/>
    </sheetView>
  </sheetViews>
  <sheetFormatPr defaultRowHeight="14.5" x14ac:dyDescent="0.35"/>
  <cols>
    <col min="4" max="4" width="9.453125" bestFit="1" customWidth="1"/>
    <col min="6" max="13" width="0" hidden="1" customWidth="1"/>
    <col min="14" max="14" width="4.54296875" customWidth="1"/>
    <col min="16" max="16" width="12" customWidth="1"/>
  </cols>
  <sheetData>
    <row r="3" spans="2:16" ht="18.5" x14ac:dyDescent="0.45">
      <c r="B3" s="66" t="s">
        <v>80</v>
      </c>
    </row>
    <row r="4" spans="2:16" ht="15" thickBot="1" x14ac:dyDescent="0.4"/>
    <row r="5" spans="2:16" ht="15" thickBot="1" x14ac:dyDescent="0.4">
      <c r="D5" s="125" t="s">
        <v>81</v>
      </c>
      <c r="E5" s="126"/>
      <c r="F5" s="126"/>
      <c r="G5" s="126"/>
      <c r="H5" s="126"/>
      <c r="I5" s="126"/>
      <c r="J5" s="126"/>
      <c r="K5" s="126"/>
      <c r="L5" s="126"/>
      <c r="M5" s="127"/>
      <c r="O5" s="128" t="s">
        <v>82</v>
      </c>
      <c r="P5" s="130" t="s">
        <v>124</v>
      </c>
    </row>
    <row r="6" spans="2:16" ht="15" thickBot="1" x14ac:dyDescent="0.4">
      <c r="B6" s="87" t="s">
        <v>20</v>
      </c>
      <c r="C6" s="88" t="s">
        <v>83</v>
      </c>
      <c r="D6" s="83" t="str">
        <f>Calculation!H10</f>
        <v>AG 1-2</v>
      </c>
      <c r="E6" s="83" t="str">
        <f>Calculation!I10</f>
        <v>AG 0-1</v>
      </c>
      <c r="F6" s="83" t="str">
        <f>Calculation!J10</f>
        <v>N/A</v>
      </c>
      <c r="G6" s="83" t="str">
        <f>Calculation!K10</f>
        <v>N/A</v>
      </c>
      <c r="H6" s="83" t="str">
        <f>Calculation!L10</f>
        <v>N/A</v>
      </c>
      <c r="I6" s="83" t="str">
        <f>Calculation!M10</f>
        <v>N/A</v>
      </c>
      <c r="J6" s="83" t="str">
        <f>Calculation!N10</f>
        <v>N/A</v>
      </c>
      <c r="K6" s="83" t="str">
        <f>Calculation!O10</f>
        <v>N/A</v>
      </c>
      <c r="L6" s="83" t="str">
        <f>Calculation!P10</f>
        <v>N/A</v>
      </c>
      <c r="M6" s="83" t="str">
        <f>Calculation!Q10</f>
        <v>N/A</v>
      </c>
      <c r="O6" s="129"/>
      <c r="P6" s="131"/>
    </row>
    <row r="7" spans="2:16" x14ac:dyDescent="0.35">
      <c r="B7" s="89" t="s">
        <v>7</v>
      </c>
      <c r="C7" s="90" t="s">
        <v>84</v>
      </c>
      <c r="D7" s="84">
        <f>ROUNDDOWN(Calculation!H39,0)</f>
        <v>8542</v>
      </c>
      <c r="E7" s="84">
        <f>ROUNDDOWN(Calculation!I39,0)</f>
        <v>3651</v>
      </c>
      <c r="F7" s="84" t="str">
        <f>Calculation!J39</f>
        <v>-</v>
      </c>
      <c r="G7" s="84" t="str">
        <f>Calculation!K39</f>
        <v>-</v>
      </c>
      <c r="H7" s="84" t="str">
        <f>Calculation!L39</f>
        <v>-</v>
      </c>
      <c r="I7" s="86" t="str">
        <f>Calculation!M39</f>
        <v>-</v>
      </c>
      <c r="J7" s="86" t="str">
        <f>Calculation!N39</f>
        <v>-</v>
      </c>
      <c r="K7" s="86" t="str">
        <f>Calculation!O39</f>
        <v>-</v>
      </c>
      <c r="L7" s="86" t="str">
        <f>Calculation!P39</f>
        <v>-</v>
      </c>
      <c r="M7" s="86" t="str">
        <f>Calculation!Q39</f>
        <v>-</v>
      </c>
      <c r="O7" s="67">
        <f>ROUNDDOWN(SUM(D7:M7),0)</f>
        <v>12193</v>
      </c>
      <c r="P7" s="116">
        <f>MIN(O7,10000)</f>
        <v>10000</v>
      </c>
    </row>
    <row r="8" spans="2:16" ht="15" thickBot="1" x14ac:dyDescent="0.4">
      <c r="B8" s="91" t="s">
        <v>8</v>
      </c>
      <c r="C8" s="92" t="s">
        <v>85</v>
      </c>
      <c r="D8" s="85">
        <f>ROUNDDOWN(Calculation!H76,0)</f>
        <v>8388</v>
      </c>
      <c r="E8" s="85">
        <f>ROUNDDOWN(Calculation!I76,0)</f>
        <v>3905</v>
      </c>
      <c r="F8" s="85" t="str">
        <f>Calculation!J76</f>
        <v>-</v>
      </c>
      <c r="G8" s="85" t="str">
        <f>Calculation!K76</f>
        <v>-</v>
      </c>
      <c r="H8" s="85" t="str">
        <f>Calculation!L76</f>
        <v>-</v>
      </c>
      <c r="I8" s="85" t="str">
        <f>Calculation!M76</f>
        <v>-</v>
      </c>
      <c r="J8" s="85" t="str">
        <f>Calculation!N76</f>
        <v>-</v>
      </c>
      <c r="K8" s="85" t="str">
        <f>Calculation!O76</f>
        <v>-</v>
      </c>
      <c r="L8" s="85" t="str">
        <f>Calculation!P76</f>
        <v>-</v>
      </c>
      <c r="M8" s="85" t="str">
        <f>Calculation!Q76</f>
        <v>-</v>
      </c>
      <c r="O8" s="67">
        <f t="shared" ref="O8:O9" si="0">ROUNDDOWN(SUM(D8:M8),0)</f>
        <v>12293</v>
      </c>
      <c r="P8" s="115">
        <f t="shared" ref="P8:P11" si="1">MIN(O8,10000)</f>
        <v>10000</v>
      </c>
    </row>
    <row r="9" spans="2:16" ht="15" thickBot="1" x14ac:dyDescent="0.4">
      <c r="B9" s="114" t="s">
        <v>9</v>
      </c>
      <c r="C9" s="90" t="s">
        <v>86</v>
      </c>
      <c r="D9" s="85">
        <f>ROUNDDOWN(Calculation!H113,0)</f>
        <v>8486</v>
      </c>
      <c r="E9" s="85">
        <f>ROUNDDOWN(Calculation!I113,0)</f>
        <v>3714</v>
      </c>
      <c r="F9" s="85" t="str">
        <f>Calculation!J113</f>
        <v>-</v>
      </c>
      <c r="G9" s="85" t="str">
        <f>Calculation!K113</f>
        <v>-</v>
      </c>
      <c r="H9" s="85" t="str">
        <f>Calculation!L113</f>
        <v>-</v>
      </c>
      <c r="I9" s="85" t="str">
        <f>Calculation!M113</f>
        <v>-</v>
      </c>
      <c r="J9" s="85" t="str">
        <f>Calculation!N113</f>
        <v>-</v>
      </c>
      <c r="K9" s="85" t="str">
        <f>Calculation!O113</f>
        <v>-</v>
      </c>
      <c r="L9" s="85" t="str">
        <f>Calculation!P113</f>
        <v>-</v>
      </c>
      <c r="M9" s="85" t="str">
        <f>Calculation!Q113</f>
        <v>-</v>
      </c>
      <c r="O9" s="67">
        <f t="shared" si="0"/>
        <v>12200</v>
      </c>
      <c r="P9" s="115">
        <f t="shared" si="1"/>
        <v>10000</v>
      </c>
    </row>
    <row r="10" spans="2:16" ht="15" thickBot="1" x14ac:dyDescent="0.4">
      <c r="B10" s="89" t="s">
        <v>12</v>
      </c>
      <c r="C10" s="90" t="s">
        <v>87</v>
      </c>
      <c r="D10" s="85">
        <f>ROUNDDOWN(Calculation!H150,0)</f>
        <v>2148</v>
      </c>
      <c r="E10" s="85">
        <f>ROUNDDOWN(Calculation!I150,0)</f>
        <v>7747</v>
      </c>
      <c r="F10" s="85" t="str">
        <f>Calculation!J150</f>
        <v>-</v>
      </c>
      <c r="G10" s="85" t="str">
        <f>Calculation!K150</f>
        <v>-</v>
      </c>
      <c r="H10" s="85" t="str">
        <f>Calculation!L150</f>
        <v>-</v>
      </c>
      <c r="I10" s="85" t="str">
        <f>Calculation!M150</f>
        <v>-</v>
      </c>
      <c r="J10" s="85" t="str">
        <f>Calculation!N150</f>
        <v>-</v>
      </c>
      <c r="K10" s="85" t="str">
        <f>Calculation!O150</f>
        <v>-</v>
      </c>
      <c r="L10" s="85" t="str">
        <f>Calculation!P150</f>
        <v>-</v>
      </c>
      <c r="M10" s="85" t="str">
        <f>Calculation!Q150</f>
        <v>-</v>
      </c>
      <c r="O10" s="67">
        <f>ROUNDDOWN(SUM(D10:M10),0)</f>
        <v>9895</v>
      </c>
      <c r="P10" s="115">
        <f t="shared" si="1"/>
        <v>9895</v>
      </c>
    </row>
    <row r="11" spans="2:16" ht="15" thickBot="1" x14ac:dyDescent="0.4">
      <c r="B11" s="89" t="s">
        <v>119</v>
      </c>
      <c r="C11" s="90" t="s">
        <v>123</v>
      </c>
      <c r="D11" s="85">
        <f>ROUNDDOWN(Calculation!H187,0)</f>
        <v>0</v>
      </c>
      <c r="E11" s="85">
        <f>ROUNDDOWN(Calculation!I187,0)</f>
        <v>2599</v>
      </c>
      <c r="F11" s="85"/>
      <c r="G11" s="85"/>
      <c r="H11" s="85"/>
      <c r="I11" s="85"/>
      <c r="J11" s="85"/>
      <c r="K11" s="85"/>
      <c r="L11" s="85"/>
      <c r="M11" s="85"/>
      <c r="O11" s="67">
        <f>ROUNDDOWN(SUM(D11:M11),0)</f>
        <v>2599</v>
      </c>
      <c r="P11" s="117">
        <f t="shared" si="1"/>
        <v>2599</v>
      </c>
    </row>
    <row r="12" spans="2:16" x14ac:dyDescent="0.35">
      <c r="O12" s="95">
        <f>SUM(O7:O11)</f>
        <v>49180</v>
      </c>
      <c r="P12" s="95">
        <f>SUM(P7:P11)</f>
        <v>42494</v>
      </c>
    </row>
    <row r="15" spans="2:16" x14ac:dyDescent="0.35">
      <c r="D15" s="108"/>
    </row>
  </sheetData>
  <mergeCells count="3">
    <mergeCell ref="D5:M5"/>
    <mergeCell ref="O5:O6"/>
    <mergeCell ref="P5:P6"/>
  </mergeCells>
  <phoneticPr fontId="18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15D843-9598-4590-9B31-6125326E3EF7}">
  <dimension ref="C6:R188"/>
  <sheetViews>
    <sheetView showGridLines="0" tabSelected="1" topLeftCell="A154" zoomScale="80" zoomScaleNormal="80" workbookViewId="0">
      <selection activeCell="J161" sqref="J161"/>
    </sheetView>
  </sheetViews>
  <sheetFormatPr defaultRowHeight="14.5" outlineLevelRow="1" x14ac:dyDescent="0.35"/>
  <cols>
    <col min="2" max="2" width="4" customWidth="1"/>
    <col min="3" max="3" width="26.81640625" customWidth="1"/>
    <col min="4" max="4" width="32.453125" customWidth="1"/>
    <col min="5" max="5" width="33.81640625" customWidth="1"/>
    <col min="6" max="6" width="11.81640625" customWidth="1"/>
    <col min="7" max="7" width="13" customWidth="1"/>
    <col min="8" max="8" width="11.54296875" customWidth="1"/>
    <col min="9" max="9" width="18.453125" customWidth="1"/>
    <col min="10" max="10" width="39" customWidth="1"/>
    <col min="11" max="11" width="34.453125" customWidth="1"/>
    <col min="12" max="12" width="10.453125" customWidth="1"/>
    <col min="13" max="13" width="16.54296875" customWidth="1"/>
  </cols>
  <sheetData>
    <row r="6" spans="3:18" x14ac:dyDescent="0.35">
      <c r="C6" s="20"/>
    </row>
    <row r="7" spans="3:18" ht="15" thickBot="1" x14ac:dyDescent="0.4"/>
    <row r="8" spans="3:18" ht="15" thickBot="1" x14ac:dyDescent="0.4">
      <c r="C8" s="82" t="s">
        <v>7</v>
      </c>
    </row>
    <row r="9" spans="3:18" ht="15.5" outlineLevel="1" x14ac:dyDescent="0.35">
      <c r="G9" s="47"/>
      <c r="H9" s="112">
        <f>Input!$E$23</f>
        <v>2020</v>
      </c>
      <c r="I9" s="113">
        <f>IF(H9&lt;YEAR(Input!$E$13),H9+1,"N/A")</f>
        <v>2021</v>
      </c>
      <c r="J9" s="51" t="str">
        <f>IF(I9&lt;YEAR(Input!$E$13),I9+1,"N/A")</f>
        <v>N/A</v>
      </c>
      <c r="K9" s="51" t="str">
        <f>IF(J9&lt;YEAR(Input!$E$13),J9+1,"N/A")</f>
        <v>N/A</v>
      </c>
      <c r="L9" s="51" t="str">
        <f>IF(K9&lt;YEAR(Input!$E$13),K9+1,"N/A")</f>
        <v>N/A</v>
      </c>
      <c r="M9" s="51" t="str">
        <f>IF(L9&lt;YEAR(Input!$E$13),L9+1,"N/A")</f>
        <v>N/A</v>
      </c>
      <c r="N9" s="51" t="str">
        <f>IF(M9&lt;YEAR(Input!$E$13),M9+1,"N/A")</f>
        <v>N/A</v>
      </c>
      <c r="O9" s="51" t="str">
        <f>IF(N9&lt;YEAR(Input!$E$13),N9+1,"N/A")</f>
        <v>N/A</v>
      </c>
      <c r="P9" s="51" t="str">
        <f>IF(O9&lt;YEAR(Input!$E$13),O9+1,"N/A")</f>
        <v>N/A</v>
      </c>
      <c r="Q9" s="51" t="str">
        <f>IF(P9&lt;YEAR(Input!$E$13),P9+1,"N/A")</f>
        <v>N/A</v>
      </c>
      <c r="R9" s="68" t="s">
        <v>6</v>
      </c>
    </row>
    <row r="10" spans="3:18" ht="15.5" outlineLevel="1" x14ac:dyDescent="0.35">
      <c r="F10" s="20" t="s">
        <v>88</v>
      </c>
      <c r="G10" s="20" t="s">
        <v>89</v>
      </c>
      <c r="H10" s="52" t="str">
        <f>Input!L$13</f>
        <v>AG 1-2</v>
      </c>
      <c r="I10" s="52" t="str">
        <f>Input!M$13</f>
        <v>AG 0-1</v>
      </c>
      <c r="J10" s="52" t="str">
        <f>Input!N$13</f>
        <v>N/A</v>
      </c>
      <c r="K10" s="52" t="str">
        <f>Input!O$13</f>
        <v>N/A</v>
      </c>
      <c r="L10" s="52" t="str">
        <f>Input!P$13</f>
        <v>N/A</v>
      </c>
      <c r="M10" s="52" t="str">
        <f>Input!Q$13</f>
        <v>N/A</v>
      </c>
      <c r="N10" s="52" t="str">
        <f>Input!R$13</f>
        <v>N/A</v>
      </c>
      <c r="O10" s="52" t="str">
        <f>Input!S$13</f>
        <v>N/A</v>
      </c>
      <c r="P10" s="52" t="str">
        <f>Input!T$13</f>
        <v>N/A</v>
      </c>
      <c r="Q10" s="52" t="str">
        <f>Input!U$13</f>
        <v>N/A</v>
      </c>
    </row>
    <row r="11" spans="3:18" ht="15.5" outlineLevel="1" x14ac:dyDescent="0.35">
      <c r="C11" s="21" t="s">
        <v>90</v>
      </c>
      <c r="D11" s="5"/>
      <c r="E11" s="5"/>
      <c r="H11" s="30"/>
      <c r="I11" s="30"/>
      <c r="J11" s="30"/>
      <c r="K11" s="30"/>
      <c r="L11" s="30"/>
      <c r="M11" s="30"/>
      <c r="N11" s="30"/>
      <c r="O11" s="30"/>
      <c r="P11" s="30"/>
      <c r="Q11" s="30"/>
    </row>
    <row r="12" spans="3:18" outlineLevel="1" x14ac:dyDescent="0.35">
      <c r="C12" s="5"/>
      <c r="D12" s="5"/>
      <c r="E12" s="5"/>
      <c r="F12" t="s">
        <v>91</v>
      </c>
      <c r="H12" s="34">
        <f>IF(ISNUMBER(H14),H13*H14*H15*(H16*H17+H18)*(1-H19),"-")</f>
        <v>8992.346747243686</v>
      </c>
      <c r="I12" s="34">
        <f t="shared" ref="I12:Q12" si="0">IF(ISNUMBER(I14),I13*I14*I15*(I16*I17+I18)*(1-I19),"-")</f>
        <v>3843.6533537548744</v>
      </c>
      <c r="J12" s="34" t="str">
        <f t="shared" si="0"/>
        <v>-</v>
      </c>
      <c r="K12" s="34" t="str">
        <f t="shared" si="0"/>
        <v>-</v>
      </c>
      <c r="L12" s="34" t="str">
        <f t="shared" si="0"/>
        <v>-</v>
      </c>
      <c r="M12" s="34" t="str">
        <f t="shared" si="0"/>
        <v>-</v>
      </c>
      <c r="N12" s="34" t="str">
        <f t="shared" si="0"/>
        <v>-</v>
      </c>
      <c r="O12" s="34" t="str">
        <f t="shared" si="0"/>
        <v>-</v>
      </c>
      <c r="P12" s="34" t="str">
        <f t="shared" si="0"/>
        <v>-</v>
      </c>
      <c r="Q12" s="34" t="str">
        <f t="shared" si="0"/>
        <v>-</v>
      </c>
    </row>
    <row r="13" spans="3:18" outlineLevel="1" x14ac:dyDescent="0.35">
      <c r="C13" s="5" t="s">
        <v>92</v>
      </c>
      <c r="D13" t="s">
        <v>93</v>
      </c>
      <c r="H13" s="46">
        <f>VLOOKUP($C8,Input!$K$22:$V$25,2,FALSE)</f>
        <v>2179.2876712328766</v>
      </c>
      <c r="I13" s="46">
        <f>VLOOKUP($C8,Input!$K$22:$V$25,3,FALSE)</f>
        <v>837.71232876712327</v>
      </c>
      <c r="J13" s="46">
        <f>VLOOKUP($C8,Input!$K$22:$V$25,4,FALSE)</f>
        <v>0</v>
      </c>
      <c r="K13" s="46">
        <f>VLOOKUP($C8,Input!$K$22:$V$25,5,FALSE)</f>
        <v>0</v>
      </c>
      <c r="L13" s="46">
        <f>VLOOKUP($C8,Input!$K$22:$V$25,6,FALSE)</f>
        <v>0</v>
      </c>
      <c r="M13" s="46">
        <f>VLOOKUP($C8,Input!$K$22:$V$25,7,FALSE)</f>
        <v>0</v>
      </c>
      <c r="N13" s="46">
        <f>VLOOKUP($C8,Input!$K$22:$V$25,8,FALSE)</f>
        <v>0</v>
      </c>
      <c r="O13" s="46">
        <f>VLOOKUP($C8,Input!$K$22:$V$25,9,FALSE)</f>
        <v>0</v>
      </c>
      <c r="P13" s="46">
        <f>VLOOKUP($C8,Input!$K$22:$V$25,10,FALSE)</f>
        <v>0</v>
      </c>
      <c r="Q13" s="46">
        <f>VLOOKUP($C8,Input!$K$22:$V$25,11,FALSE)</f>
        <v>0</v>
      </c>
    </row>
    <row r="14" spans="3:18" outlineLevel="1" x14ac:dyDescent="0.35">
      <c r="C14" s="5" t="s">
        <v>94</v>
      </c>
      <c r="D14" t="s">
        <v>95</v>
      </c>
      <c r="F14" t="s">
        <v>96</v>
      </c>
      <c r="H14" s="23">
        <f t="shared" ref="H14:Q14" si="1">H23</f>
        <v>2.1319247938034662</v>
      </c>
      <c r="I14" s="23">
        <f t="shared" si="1"/>
        <v>2.1500287132348159</v>
      </c>
      <c r="J14" s="23" t="str">
        <f t="shared" si="1"/>
        <v>-</v>
      </c>
      <c r="K14" s="23" t="str">
        <f t="shared" si="1"/>
        <v>-</v>
      </c>
      <c r="L14" s="23" t="str">
        <f t="shared" si="1"/>
        <v>-</v>
      </c>
      <c r="M14" s="23" t="str">
        <f t="shared" si="1"/>
        <v>-</v>
      </c>
      <c r="N14" s="23" t="str">
        <f t="shared" si="1"/>
        <v>-</v>
      </c>
      <c r="O14" s="23" t="str">
        <f t="shared" si="1"/>
        <v>-</v>
      </c>
      <c r="P14" s="23" t="str">
        <f t="shared" si="1"/>
        <v>-</v>
      </c>
      <c r="Q14" s="23" t="str">
        <f t="shared" si="1"/>
        <v>-</v>
      </c>
    </row>
    <row r="15" spans="3:18" ht="12.65" customHeight="1" outlineLevel="1" x14ac:dyDescent="0.35">
      <c r="C15" s="5" t="s">
        <v>10</v>
      </c>
      <c r="D15" t="s">
        <v>97</v>
      </c>
      <c r="F15" t="s">
        <v>11</v>
      </c>
      <c r="H15" s="44">
        <f>Input!L$15</f>
        <v>0.9</v>
      </c>
      <c r="I15" s="44">
        <f>Input!M$15</f>
        <v>0.99090909090909096</v>
      </c>
      <c r="J15" s="44">
        <f>Input!N$15</f>
        <v>0</v>
      </c>
      <c r="K15" s="44">
        <f>Input!O$15</f>
        <v>0</v>
      </c>
      <c r="L15" s="44">
        <f>Input!P$15</f>
        <v>0</v>
      </c>
      <c r="M15" s="44">
        <f>Input!Q$15</f>
        <v>0</v>
      </c>
      <c r="N15" s="44">
        <f>Input!R$15</f>
        <v>0</v>
      </c>
      <c r="O15" s="44">
        <f>Input!S$15</f>
        <v>0</v>
      </c>
      <c r="P15" s="44">
        <f>Input!T$15</f>
        <v>0</v>
      </c>
      <c r="Q15" s="44">
        <f>Input!U$15</f>
        <v>0</v>
      </c>
    </row>
    <row r="16" spans="3:18" outlineLevel="1" x14ac:dyDescent="0.35">
      <c r="C16" s="5" t="s">
        <v>36</v>
      </c>
      <c r="D16" t="s">
        <v>98</v>
      </c>
      <c r="F16" t="s">
        <v>11</v>
      </c>
      <c r="H16" s="22">
        <f>Input!$E$43</f>
        <v>0.9</v>
      </c>
      <c r="I16" s="22">
        <f>Input!$E$43</f>
        <v>0.9</v>
      </c>
      <c r="J16" s="22">
        <f>Input!$E$43</f>
        <v>0.9</v>
      </c>
      <c r="K16" s="22">
        <f>Input!$E$43</f>
        <v>0.9</v>
      </c>
      <c r="L16" s="22">
        <f>Input!$E$43</f>
        <v>0.9</v>
      </c>
      <c r="M16" s="22">
        <f>Input!$E$43</f>
        <v>0.9</v>
      </c>
      <c r="N16" s="22">
        <f>Input!$E$43</f>
        <v>0.9</v>
      </c>
      <c r="O16" s="22">
        <f>Input!$E$43</f>
        <v>0.9</v>
      </c>
      <c r="P16" s="22">
        <f>Input!$E$43</f>
        <v>0.9</v>
      </c>
      <c r="Q16" s="22">
        <f>Input!$E$43</f>
        <v>0.9</v>
      </c>
    </row>
    <row r="17" spans="3:17" outlineLevel="1" x14ac:dyDescent="0.35">
      <c r="C17" s="5" t="s">
        <v>37</v>
      </c>
      <c r="D17" t="s">
        <v>99</v>
      </c>
      <c r="F17" t="s">
        <v>38</v>
      </c>
      <c r="H17" s="23">
        <f>Input!$E$44</f>
        <v>1.7471999999999999</v>
      </c>
      <c r="I17" s="23">
        <f>Input!$E$44</f>
        <v>1.7471999999999999</v>
      </c>
      <c r="J17" s="23">
        <f>Input!$E$44</f>
        <v>1.7471999999999999</v>
      </c>
      <c r="K17" s="23">
        <f>Input!$E$44</f>
        <v>1.7471999999999999</v>
      </c>
      <c r="L17" s="23">
        <f>Input!$E$44</f>
        <v>1.7471999999999999</v>
      </c>
      <c r="M17" s="23">
        <f>Input!$E$44</f>
        <v>1.7471999999999999</v>
      </c>
      <c r="N17" s="23">
        <f>Input!$E$44</f>
        <v>1.7471999999999999</v>
      </c>
      <c r="O17" s="23">
        <f>Input!$E$44</f>
        <v>1.7471999999999999</v>
      </c>
      <c r="P17" s="23">
        <f>Input!$E$44</f>
        <v>1.7471999999999999</v>
      </c>
      <c r="Q17" s="23">
        <f>Input!$E$44</f>
        <v>1.7471999999999999</v>
      </c>
    </row>
    <row r="18" spans="3:17" outlineLevel="1" x14ac:dyDescent="0.35">
      <c r="C18" s="5" t="s">
        <v>39</v>
      </c>
      <c r="D18" t="s">
        <v>100</v>
      </c>
      <c r="F18" t="s">
        <v>38</v>
      </c>
      <c r="H18" s="23">
        <f>Input!$E$45</f>
        <v>0.58115070000000002</v>
      </c>
      <c r="I18" s="23">
        <f>Input!$E$45</f>
        <v>0.58115070000000002</v>
      </c>
      <c r="J18" s="23">
        <f>Input!$E$45</f>
        <v>0.58115070000000002</v>
      </c>
      <c r="K18" s="23">
        <f>Input!$E$45</f>
        <v>0.58115070000000002</v>
      </c>
      <c r="L18" s="23">
        <f>Input!$E$45</f>
        <v>0.58115070000000002</v>
      </c>
      <c r="M18" s="23">
        <f>Input!$E$45</f>
        <v>0.58115070000000002</v>
      </c>
      <c r="N18" s="23">
        <f>Input!$E$45</f>
        <v>0.58115070000000002</v>
      </c>
      <c r="O18" s="23">
        <f>Input!$E$45</f>
        <v>0.58115070000000002</v>
      </c>
      <c r="P18" s="23">
        <f>Input!$E$45</f>
        <v>0.58115070000000002</v>
      </c>
      <c r="Q18" s="23">
        <f>Input!$E$45</f>
        <v>0.58115070000000002</v>
      </c>
    </row>
    <row r="19" spans="3:17" outlineLevel="1" x14ac:dyDescent="0.35">
      <c r="C19" s="5" t="s">
        <v>13</v>
      </c>
      <c r="D19" t="s">
        <v>101</v>
      </c>
      <c r="F19" t="s">
        <v>11</v>
      </c>
      <c r="H19" s="44">
        <f>Input!L$16</f>
        <v>1.443001443001443E-3</v>
      </c>
      <c r="I19" s="44">
        <f>Input!M$16</f>
        <v>0</v>
      </c>
      <c r="J19" s="44">
        <f>Input!N$16</f>
        <v>0</v>
      </c>
      <c r="K19" s="44">
        <f>Input!O$16</f>
        <v>0</v>
      </c>
      <c r="L19" s="44">
        <f>Input!P$16</f>
        <v>0</v>
      </c>
      <c r="M19" s="44">
        <f>Input!Q$16</f>
        <v>0</v>
      </c>
      <c r="N19" s="44">
        <f>Input!R$16</f>
        <v>0</v>
      </c>
      <c r="O19" s="44">
        <f>Input!S$16</f>
        <v>0</v>
      </c>
      <c r="P19" s="44">
        <f>Input!T$16</f>
        <v>0</v>
      </c>
      <c r="Q19" s="44">
        <f>Input!U$16</f>
        <v>0</v>
      </c>
    </row>
    <row r="20" spans="3:17" outlineLevel="1" x14ac:dyDescent="0.35"/>
    <row r="21" spans="3:17" outlineLevel="1" x14ac:dyDescent="0.35"/>
    <row r="22" spans="3:17" outlineLevel="1" x14ac:dyDescent="0.35">
      <c r="C22" s="21" t="s">
        <v>94</v>
      </c>
      <c r="D22" s="21" t="s">
        <v>95</v>
      </c>
      <c r="E22" s="5"/>
    </row>
    <row r="23" spans="3:17" outlineLevel="1" x14ac:dyDescent="0.35">
      <c r="C23" s="5"/>
      <c r="D23" s="5"/>
      <c r="E23" s="5"/>
      <c r="F23" t="s">
        <v>102</v>
      </c>
      <c r="H23" s="31">
        <f>IF(ISNUMBER(H26),H24*(1-H25/H26),"-")</f>
        <v>2.1319247938034662</v>
      </c>
      <c r="I23" s="31">
        <f t="shared" ref="I23:Q23" si="2">IF(ISNUMBER(I26),I24*(1-I25/I26),"-")</f>
        <v>2.1500287132348159</v>
      </c>
      <c r="J23" s="31" t="str">
        <f t="shared" si="2"/>
        <v>-</v>
      </c>
      <c r="K23" s="31" t="str">
        <f t="shared" si="2"/>
        <v>-</v>
      </c>
      <c r="L23" s="31" t="str">
        <f t="shared" si="2"/>
        <v>-</v>
      </c>
      <c r="M23" s="31" t="str">
        <f t="shared" si="2"/>
        <v>-</v>
      </c>
      <c r="N23" s="31" t="str">
        <f t="shared" si="2"/>
        <v>-</v>
      </c>
      <c r="O23" s="31" t="str">
        <f t="shared" si="2"/>
        <v>-</v>
      </c>
      <c r="P23" s="31" t="str">
        <f t="shared" si="2"/>
        <v>-</v>
      </c>
      <c r="Q23" s="31" t="str">
        <f t="shared" si="2"/>
        <v>-</v>
      </c>
    </row>
    <row r="24" spans="3:17" outlineLevel="1" x14ac:dyDescent="0.35">
      <c r="C24" s="5" t="s">
        <v>103</v>
      </c>
      <c r="D24" t="s">
        <v>104</v>
      </c>
      <c r="H24" s="23">
        <f>VLOOKUP($C8,Input!$C$36:$E$40,3,FALSE)</f>
        <v>3.9423167369383973</v>
      </c>
      <c r="I24" s="23">
        <f>VLOOKUP($C8,Input!$C$36:$E$40,3,FALSE)</f>
        <v>3.9423167369383973</v>
      </c>
      <c r="J24" s="23">
        <f>VLOOKUP($C8,Input!$C$36:$E$39,3,FALSE)</f>
        <v>3.9423167369383973</v>
      </c>
      <c r="K24" s="23">
        <f>VLOOKUP($C8,Input!$C$36:$E$39,3,FALSE)</f>
        <v>3.9423167369383973</v>
      </c>
      <c r="L24" s="23">
        <f>VLOOKUP($C8,Input!$C$36:$E$39,3,FALSE)</f>
        <v>3.9423167369383973</v>
      </c>
      <c r="M24" s="23">
        <f>VLOOKUP($C8,Input!$C$36:$E$39,3,FALSE)</f>
        <v>3.9423167369383973</v>
      </c>
      <c r="N24" s="23">
        <f>VLOOKUP($C8,Input!$C$36:$E$39,3,FALSE)</f>
        <v>3.9423167369383973</v>
      </c>
      <c r="O24" s="23">
        <f>VLOOKUP($C8,Input!$C$36:$E$39,3,FALSE)</f>
        <v>3.9423167369383973</v>
      </c>
      <c r="P24" s="23">
        <f>VLOOKUP($C8,Input!$C$36:$E$39,3,FALSE)</f>
        <v>3.9423167369383973</v>
      </c>
      <c r="Q24" s="23">
        <f>VLOOKUP($C8,Input!$C$36:$E$39,3,FALSE)</f>
        <v>3.9423167369383973</v>
      </c>
    </row>
    <row r="25" spans="3:17" outlineLevel="1" x14ac:dyDescent="0.35">
      <c r="C25" s="5" t="s">
        <v>105</v>
      </c>
      <c r="D25" t="s">
        <v>106</v>
      </c>
      <c r="F25" t="s">
        <v>11</v>
      </c>
      <c r="H25" s="22">
        <f>IF(Input!$E$49="Default",Input!$E$50,Input!$E$51)</f>
        <v>0.1</v>
      </c>
      <c r="I25" s="22">
        <f>IF(Input!$E$49="Default",Input!$E$50,Input!$E$51)</f>
        <v>0.1</v>
      </c>
      <c r="J25" s="22">
        <f>IF(Input!$E$49="Default",Input!$E$50,Input!$E$51)</f>
        <v>0.1</v>
      </c>
      <c r="K25" s="22">
        <f>IF(Input!$E$49="Default",Input!$E$50,Input!$E$51)</f>
        <v>0.1</v>
      </c>
      <c r="L25" s="22">
        <f>IF(Input!$E$49="Default",Input!$E$50,Input!$E$51)</f>
        <v>0.1</v>
      </c>
      <c r="M25" s="22">
        <f>IF(Input!$E$49="Default",Input!$E$50,Input!$E$51)</f>
        <v>0.1</v>
      </c>
      <c r="N25" s="22">
        <f>IF(Input!$E$49="Default",Input!$E$50,Input!$E$51)</f>
        <v>0.1</v>
      </c>
      <c r="O25" s="22">
        <f>IF(Input!$E$49="Default",Input!$E$50,Input!$E$51)</f>
        <v>0.1</v>
      </c>
      <c r="P25" s="22">
        <f>IF(Input!$E$49="Default",Input!$E$50,Input!$E$51)</f>
        <v>0.1</v>
      </c>
      <c r="Q25" s="22">
        <f>IF(Input!$E$49="Default",Input!$E$50,Input!$E$51)</f>
        <v>0.1</v>
      </c>
    </row>
    <row r="26" spans="3:17" outlineLevel="1" x14ac:dyDescent="0.35">
      <c r="C26" s="5" t="s">
        <v>107</v>
      </c>
      <c r="D26" t="s">
        <v>108</v>
      </c>
      <c r="F26" t="s">
        <v>11</v>
      </c>
      <c r="H26" s="22">
        <f>H30</f>
        <v>0.21776039999999999</v>
      </c>
      <c r="I26" s="22">
        <f t="shared" ref="I26:Q26" si="3">I30</f>
        <v>0.21995999999999999</v>
      </c>
      <c r="J26" s="22" t="str">
        <f t="shared" si="3"/>
        <v>-</v>
      </c>
      <c r="K26" s="22" t="str">
        <f t="shared" si="3"/>
        <v>-</v>
      </c>
      <c r="L26" s="22" t="str">
        <f t="shared" si="3"/>
        <v>-</v>
      </c>
      <c r="M26" s="22" t="str">
        <f t="shared" si="3"/>
        <v>-</v>
      </c>
      <c r="N26" s="22" t="str">
        <f t="shared" si="3"/>
        <v>-</v>
      </c>
      <c r="O26" s="22" t="str">
        <f t="shared" si="3"/>
        <v>-</v>
      </c>
      <c r="P26" s="22" t="str">
        <f t="shared" si="3"/>
        <v>-</v>
      </c>
      <c r="Q26" s="22" t="str">
        <f t="shared" si="3"/>
        <v>-</v>
      </c>
    </row>
    <row r="27" spans="3:17" outlineLevel="1" x14ac:dyDescent="0.35"/>
    <row r="28" spans="3:17" outlineLevel="1" x14ac:dyDescent="0.35"/>
    <row r="29" spans="3:17" outlineLevel="1" x14ac:dyDescent="0.35">
      <c r="C29" s="21" t="s">
        <v>107</v>
      </c>
      <c r="D29" s="21" t="s">
        <v>108</v>
      </c>
      <c r="E29" s="5"/>
    </row>
    <row r="30" spans="3:17" outlineLevel="1" x14ac:dyDescent="0.35">
      <c r="C30" s="5"/>
      <c r="D30" s="5"/>
      <c r="E30" s="5"/>
      <c r="F30" t="s">
        <v>11</v>
      </c>
      <c r="H30" s="32">
        <f>IF(ISNUMBER(H31),H31*H34,"-")</f>
        <v>0.21776039999999999</v>
      </c>
      <c r="I30" s="32">
        <f>IF(ISNUMBER(I31),I31*I34,"-")</f>
        <v>0.21995999999999999</v>
      </c>
      <c r="J30" s="32" t="str">
        <f t="shared" ref="J30:Q30" si="4">IF(ISNUMBER(J31),J31*J34,"-")</f>
        <v>-</v>
      </c>
      <c r="K30" s="32" t="str">
        <f t="shared" si="4"/>
        <v>-</v>
      </c>
      <c r="L30" s="32" t="str">
        <f t="shared" si="4"/>
        <v>-</v>
      </c>
      <c r="M30" s="32" t="str">
        <f t="shared" si="4"/>
        <v>-</v>
      </c>
      <c r="N30" s="32" t="str">
        <f t="shared" si="4"/>
        <v>-</v>
      </c>
      <c r="O30" s="32" t="str">
        <f t="shared" si="4"/>
        <v>-</v>
      </c>
      <c r="P30" s="32" t="str">
        <f t="shared" si="4"/>
        <v>-</v>
      </c>
      <c r="Q30" s="32" t="str">
        <f t="shared" si="4"/>
        <v>-</v>
      </c>
    </row>
    <row r="31" spans="3:17" outlineLevel="1" x14ac:dyDescent="0.35">
      <c r="C31" s="5" t="s">
        <v>109</v>
      </c>
      <c r="D31" t="s">
        <v>110</v>
      </c>
      <c r="F31" t="s">
        <v>11</v>
      </c>
      <c r="H31" s="81">
        <f>IF(Input!$E$53="default",IF(ISNUMBER(I9),I31*H33,IF(ISNUMBER(H9),Input!$E$52,"-")),"-")</f>
        <v>0.23166</v>
      </c>
      <c r="I31" s="81">
        <f>IF(Input!$E$53="default",IF(ISNUMBER(J9),J31*I33,IF(ISNUMBER(I9),Input!$E$52,"-")),"-")</f>
        <v>0.23400000000000001</v>
      </c>
      <c r="J31" s="81" t="str">
        <f>IF(Input!$E$53="default",IF(ISNUMBER(K9),K31*J33,IF(ISNUMBER(J9),Input!$E$52,"-")),"-")</f>
        <v>-</v>
      </c>
      <c r="K31" s="81" t="str">
        <f>IF(Input!$E$53="default",IF(ISNUMBER(L9),L31*K33,IF(ISNUMBER(K9),Input!$E$52,"-")),"-")</f>
        <v>-</v>
      </c>
      <c r="L31" s="81" t="str">
        <f>IF(Input!$E$53="default",IF(ISNUMBER(M9),M31*L33,IF(ISNUMBER(L9),Input!$E$52,"-")),"-")</f>
        <v>-</v>
      </c>
      <c r="M31" s="81" t="str">
        <f>IF(Input!$E$53="default",IF(ISNUMBER(N9),N31*M33,IF(ISNUMBER(M9),Input!$E$52,"-")),"-")</f>
        <v>-</v>
      </c>
      <c r="N31" s="81" t="str">
        <f>IF(Input!$E$53="default",IF(ISNUMBER(O9),O31*N33,IF(ISNUMBER(N9),Input!$E$52,"-")),"-")</f>
        <v>-</v>
      </c>
      <c r="O31" s="81" t="str">
        <f>IF(Input!$E$53="default",IF(ISNUMBER(P9),P31*O33,IF(ISNUMBER(O9),Input!$E$52,"-")),"-")</f>
        <v>-</v>
      </c>
      <c r="P31" s="81" t="str">
        <f>IF(Input!$E$53="default",IF(ISNUMBER(Q9),Q31*P33,IF(ISNUMBER(P9),Input!$E$52,"-")),"-")</f>
        <v>-</v>
      </c>
      <c r="Q31" s="81" t="str">
        <f>IF(Input!$E$53="default",IF(ISNUMBER(R9),R31*Q33,IF(ISNUMBER(Q9),Input!$E$52,"-")),"-")</f>
        <v>-</v>
      </c>
    </row>
    <row r="32" spans="3:17" outlineLevel="1" x14ac:dyDescent="0.35">
      <c r="C32" s="5"/>
      <c r="G32" s="18" t="s">
        <v>111</v>
      </c>
      <c r="H32" s="43"/>
      <c r="I32" s="43"/>
      <c r="J32" s="43"/>
      <c r="K32" s="43"/>
      <c r="L32" s="43"/>
      <c r="M32" s="43"/>
      <c r="N32" s="43"/>
      <c r="O32" s="43"/>
      <c r="P32" s="43"/>
      <c r="Q32" s="43"/>
    </row>
    <row r="33" spans="3:17" outlineLevel="1" x14ac:dyDescent="0.35">
      <c r="C33" s="5" t="s">
        <v>112</v>
      </c>
      <c r="D33" t="s">
        <v>113</v>
      </c>
      <c r="F33" t="s">
        <v>11</v>
      </c>
      <c r="H33" s="33">
        <v>0.99</v>
      </c>
      <c r="I33" s="33">
        <v>0.99</v>
      </c>
      <c r="J33" s="33">
        <v>0.99</v>
      </c>
      <c r="K33" s="33">
        <v>0.99</v>
      </c>
      <c r="L33" s="33">
        <v>0.99</v>
      </c>
      <c r="M33" s="33">
        <v>0.99</v>
      </c>
      <c r="N33" s="33">
        <v>0.99</v>
      </c>
      <c r="O33" s="33">
        <v>0.99</v>
      </c>
      <c r="P33" s="33">
        <v>0.99</v>
      </c>
      <c r="Q33" s="33">
        <v>0.99</v>
      </c>
    </row>
    <row r="34" spans="3:17" outlineLevel="1" x14ac:dyDescent="0.35">
      <c r="C34" s="5">
        <v>0.94</v>
      </c>
      <c r="D34" t="s">
        <v>114</v>
      </c>
      <c r="F34" s="19" t="s">
        <v>45</v>
      </c>
      <c r="H34" s="33">
        <v>0.94</v>
      </c>
      <c r="I34" s="33">
        <v>0.94</v>
      </c>
      <c r="J34" s="33">
        <v>0.94</v>
      </c>
      <c r="K34" s="33">
        <v>0.94</v>
      </c>
      <c r="L34" s="33">
        <v>0.94</v>
      </c>
      <c r="M34" s="33">
        <v>0.94</v>
      </c>
      <c r="N34" s="33">
        <v>0.94</v>
      </c>
      <c r="O34" s="33">
        <v>0.94</v>
      </c>
      <c r="P34" s="33">
        <v>0.94</v>
      </c>
      <c r="Q34" s="33">
        <v>0.94</v>
      </c>
    </row>
    <row r="35" spans="3:17" outlineLevel="1" x14ac:dyDescent="0.35"/>
    <row r="36" spans="3:17" outlineLevel="1" x14ac:dyDescent="0.35"/>
    <row r="37" spans="3:17" outlineLevel="1" x14ac:dyDescent="0.35">
      <c r="C37" s="21" t="s">
        <v>49</v>
      </c>
      <c r="D37" s="5"/>
      <c r="E37" s="5" t="s">
        <v>115</v>
      </c>
      <c r="H37" s="35">
        <f>IF(ISNUMBER(H12),IF(Input!$E$58="default",(1-Input!$E$59)*H12,(1-Input!$E$60)*H12),"-")</f>
        <v>449.61733736218468</v>
      </c>
      <c r="I37" s="35">
        <f>IF(ISNUMBER(I12),IF(Input!$E$58="default",(1-Input!$E$59)*I12,(1-Input!$E$60)*I12),"-")</f>
        <v>192.1826676877439</v>
      </c>
      <c r="J37" s="35" t="str">
        <f>IF(ISNUMBER(J12),IF(Input!$E$58="default",(1-Input!$E$59)*J12,(1-Input!$E$60)*J12),"-")</f>
        <v>-</v>
      </c>
      <c r="K37" s="35" t="str">
        <f>IF(ISNUMBER(K12),IF(Input!$E$58="default",(1-Input!$E$59)*K12,(1-Input!$E$60)*K12),"-")</f>
        <v>-</v>
      </c>
      <c r="L37" s="35" t="str">
        <f>IF(ISNUMBER(L12),IF(Input!$E$58="default",(1-Input!$E$59)*L12,(1-Input!$E$60)*L12),"-")</f>
        <v>-</v>
      </c>
      <c r="M37" s="35" t="str">
        <f>IF(ISNUMBER(M12),IF(Input!$E$58="default",(1-Input!$E$59)*M12,(1-Input!$E$60)*M12),"-")</f>
        <v>-</v>
      </c>
      <c r="N37" s="35" t="str">
        <f>IF(ISNUMBER(N12),IF(Input!$E$58="default",(1-Input!$E$59)*N12,(1-Input!$E$60)*N12),"-")</f>
        <v>-</v>
      </c>
      <c r="O37" s="35" t="str">
        <f>IF(ISNUMBER(O12),IF(Input!$E$58="default",(1-Input!$E$59)*O12,(1-Input!$E$60)*O12),"-")</f>
        <v>-</v>
      </c>
      <c r="P37" s="35" t="str">
        <f>IF(ISNUMBER(P12),IF(Input!$E$58="default",(1-Input!$E$59)*P12,(1-Input!$E$60)*P12),"-")</f>
        <v>-</v>
      </c>
      <c r="Q37" s="35" t="str">
        <f>IF(ISNUMBER(Q12),IF(Input!$E$58="default",(1-Input!$E$59)*Q12,(1-Input!$E$60)*Q12),"-")</f>
        <v>-</v>
      </c>
    </row>
    <row r="38" spans="3:17" ht="15" outlineLevel="1" thickBot="1" x14ac:dyDescent="0.4"/>
    <row r="39" spans="3:17" outlineLevel="1" x14ac:dyDescent="0.35">
      <c r="C39" s="54" t="s">
        <v>116</v>
      </c>
      <c r="D39" s="55"/>
      <c r="E39" s="55" t="s">
        <v>115</v>
      </c>
      <c r="F39" s="55"/>
      <c r="G39" s="55"/>
      <c r="H39" s="56">
        <f t="shared" ref="H39:Q39" si="5">IF(ISNUMBER(H37),H12-H37,"-")</f>
        <v>8542.7294098815019</v>
      </c>
      <c r="I39" s="56">
        <f t="shared" si="5"/>
        <v>3651.4706860671304</v>
      </c>
      <c r="J39" s="56" t="str">
        <f t="shared" si="5"/>
        <v>-</v>
      </c>
      <c r="K39" s="56" t="str">
        <f t="shared" si="5"/>
        <v>-</v>
      </c>
      <c r="L39" s="56" t="str">
        <f t="shared" si="5"/>
        <v>-</v>
      </c>
      <c r="M39" s="57" t="str">
        <f t="shared" si="5"/>
        <v>-</v>
      </c>
      <c r="N39" s="57" t="str">
        <f t="shared" si="5"/>
        <v>-</v>
      </c>
      <c r="O39" s="57" t="str">
        <f t="shared" si="5"/>
        <v>-</v>
      </c>
      <c r="P39" s="57" t="str">
        <f t="shared" si="5"/>
        <v>-</v>
      </c>
      <c r="Q39" s="58" t="str">
        <f t="shared" si="5"/>
        <v>-</v>
      </c>
    </row>
    <row r="40" spans="3:17" ht="15" outlineLevel="1" thickBot="1" x14ac:dyDescent="0.4">
      <c r="C40" s="59" t="s">
        <v>117</v>
      </c>
      <c r="D40" s="60"/>
      <c r="E40" s="61" t="s">
        <v>118</v>
      </c>
      <c r="F40" s="62"/>
      <c r="G40" s="60">
        <f>ROUNDDOWN(SUM(H39:Q39),0)</f>
        <v>12194</v>
      </c>
      <c r="H40" s="63"/>
      <c r="I40" s="63"/>
      <c r="J40" s="63"/>
      <c r="K40" s="63"/>
      <c r="L40" s="63"/>
      <c r="M40" s="63"/>
      <c r="N40" s="63"/>
      <c r="O40" s="63"/>
      <c r="P40" s="63"/>
      <c r="Q40" s="64"/>
    </row>
    <row r="41" spans="3:17" outlineLevel="1" x14ac:dyDescent="0.35"/>
    <row r="42" spans="3:17" ht="15" thickBot="1" x14ac:dyDescent="0.4"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</row>
    <row r="44" spans="3:17" ht="15" thickBot="1" x14ac:dyDescent="0.4"/>
    <row r="45" spans="3:17" ht="15" thickBot="1" x14ac:dyDescent="0.4">
      <c r="C45" s="82" t="s">
        <v>8</v>
      </c>
    </row>
    <row r="46" spans="3:17" ht="15.5" outlineLevel="1" x14ac:dyDescent="0.35">
      <c r="G46" s="47"/>
      <c r="H46" s="51">
        <f>Input!$E$23</f>
        <v>2020</v>
      </c>
      <c r="I46" s="51">
        <f>IF(H46&lt;YEAR(Input!$E$13),H46+1,"N/A")</f>
        <v>2021</v>
      </c>
      <c r="J46" s="51" t="str">
        <f>IF(I46&lt;YEAR(Input!$E$13),I46+1,"N/A")</f>
        <v>N/A</v>
      </c>
      <c r="K46" s="51" t="str">
        <f>IF(J46&lt;YEAR(Input!$E$13),J46+1,"N/A")</f>
        <v>N/A</v>
      </c>
      <c r="L46" s="51" t="str">
        <f>IF(K46&lt;YEAR(Input!$E$13),K46+1,"N/A")</f>
        <v>N/A</v>
      </c>
      <c r="M46" s="51" t="str">
        <f>IF(L46&lt;YEAR(Input!$E$13),L46+1,"N/A")</f>
        <v>N/A</v>
      </c>
      <c r="N46" s="51" t="str">
        <f>IF(M46&lt;YEAR(Input!$E$13),M46+1,"N/A")</f>
        <v>N/A</v>
      </c>
      <c r="O46" s="51" t="str">
        <f>IF(N46&lt;YEAR(Input!$E$13),N46+1,"N/A")</f>
        <v>N/A</v>
      </c>
      <c r="P46" s="51" t="str">
        <f>IF(O46&lt;YEAR(Input!$E$13),O46+1,"N/A")</f>
        <v>N/A</v>
      </c>
      <c r="Q46" s="51" t="str">
        <f>IF(P46&lt;YEAR(Input!$E$13),P46+1,"N/A")</f>
        <v>N/A</v>
      </c>
    </row>
    <row r="47" spans="3:17" ht="15.5" outlineLevel="1" x14ac:dyDescent="0.35">
      <c r="F47" s="20" t="s">
        <v>88</v>
      </c>
      <c r="G47" s="20" t="s">
        <v>89</v>
      </c>
      <c r="H47" s="52" t="str">
        <f>Input!L$13</f>
        <v>AG 1-2</v>
      </c>
      <c r="I47" s="52" t="str">
        <f>Input!M$13</f>
        <v>AG 0-1</v>
      </c>
      <c r="J47" s="52" t="str">
        <f>Input!N$13</f>
        <v>N/A</v>
      </c>
      <c r="K47" s="52" t="str">
        <f>Input!O$13</f>
        <v>N/A</v>
      </c>
      <c r="L47" s="52" t="str">
        <f>Input!P$13</f>
        <v>N/A</v>
      </c>
      <c r="M47" s="52" t="str">
        <f>Input!Q$13</f>
        <v>N/A</v>
      </c>
      <c r="N47" s="52" t="str">
        <f>Input!R$13</f>
        <v>N/A</v>
      </c>
      <c r="O47" s="52" t="str">
        <f>Input!S$13</f>
        <v>N/A</v>
      </c>
      <c r="P47" s="52" t="str">
        <f>Input!T$13</f>
        <v>N/A</v>
      </c>
      <c r="Q47" s="52" t="str">
        <f>Input!U$13</f>
        <v>N/A</v>
      </c>
    </row>
    <row r="48" spans="3:17" ht="15.5" outlineLevel="1" x14ac:dyDescent="0.35">
      <c r="C48" s="21" t="s">
        <v>90</v>
      </c>
      <c r="D48" s="5"/>
      <c r="E48" s="5"/>
      <c r="H48" s="30"/>
      <c r="I48" s="30"/>
      <c r="J48" s="30"/>
      <c r="K48" s="30"/>
      <c r="L48" s="30"/>
      <c r="M48" s="30"/>
      <c r="N48" s="30"/>
      <c r="O48" s="30"/>
      <c r="P48" s="30"/>
      <c r="Q48" s="30"/>
    </row>
    <row r="49" spans="3:17" outlineLevel="1" x14ac:dyDescent="0.35">
      <c r="C49" s="5"/>
      <c r="D49" s="5"/>
      <c r="E49" s="5"/>
      <c r="F49" t="s">
        <v>91</v>
      </c>
      <c r="H49" s="34">
        <f>IF(ISNUMBER(H51),H50*H51*H52*(H53*H54+H55)*(1-H56),"-")</f>
        <v>8830.1218455252074</v>
      </c>
      <c r="I49" s="34">
        <f t="shared" ref="I49:Q49" si="6">IF(ISNUMBER(I51),I50*I51*I52*(I53*I54+I55)*(1-I56),"-")</f>
        <v>4111.2188423970429</v>
      </c>
      <c r="J49" s="34" t="str">
        <f t="shared" si="6"/>
        <v>-</v>
      </c>
      <c r="K49" s="34" t="str">
        <f t="shared" si="6"/>
        <v>-</v>
      </c>
      <c r="L49" s="34" t="str">
        <f t="shared" si="6"/>
        <v>-</v>
      </c>
      <c r="M49" s="34" t="str">
        <f t="shared" si="6"/>
        <v>-</v>
      </c>
      <c r="N49" s="34" t="str">
        <f t="shared" si="6"/>
        <v>-</v>
      </c>
      <c r="O49" s="34" t="str">
        <f t="shared" si="6"/>
        <v>-</v>
      </c>
      <c r="P49" s="34" t="str">
        <f t="shared" si="6"/>
        <v>-</v>
      </c>
      <c r="Q49" s="34" t="str">
        <f t="shared" si="6"/>
        <v>-</v>
      </c>
    </row>
    <row r="50" spans="3:17" outlineLevel="1" x14ac:dyDescent="0.35">
      <c r="C50" s="5" t="s">
        <v>92</v>
      </c>
      <c r="D50" t="s">
        <v>93</v>
      </c>
      <c r="H50" s="46">
        <f>VLOOKUP($C45,Input!$K$22:$V$25,2,FALSE)</f>
        <v>2139.972602739726</v>
      </c>
      <c r="I50" s="46">
        <f>VLOOKUP($C45,Input!$K$22:$V$25,3,FALSE)</f>
        <v>896.02739726027403</v>
      </c>
      <c r="J50" s="46">
        <f>VLOOKUP($C45,Input!$K$22:$V$25,4,FALSE)</f>
        <v>0</v>
      </c>
      <c r="K50" s="46">
        <f>VLOOKUP($C45,Input!$K$22:$V$25,5,FALSE)</f>
        <v>0</v>
      </c>
      <c r="L50" s="46">
        <f>VLOOKUP($C45,Input!$K$22:$V$25,6,FALSE)</f>
        <v>0</v>
      </c>
      <c r="M50" s="46">
        <f>VLOOKUP($C45,Input!$K$22:$V$25,7,FALSE)</f>
        <v>0</v>
      </c>
      <c r="N50" s="46">
        <f>VLOOKUP($C45,Input!$K$22:$V$25,8,FALSE)</f>
        <v>0</v>
      </c>
      <c r="O50" s="46">
        <f>VLOOKUP($C45,Input!$K$22:$V$25,9,FALSE)</f>
        <v>0</v>
      </c>
      <c r="P50" s="46">
        <f>VLOOKUP($C45,Input!$K$22:$V$25,10,FALSE)</f>
        <v>0</v>
      </c>
      <c r="Q50" s="46">
        <f>VLOOKUP($C45,Input!$K$22:$V$25,11,FALSE)</f>
        <v>0</v>
      </c>
    </row>
    <row r="51" spans="3:17" outlineLevel="1" x14ac:dyDescent="0.35">
      <c r="C51" s="5" t="s">
        <v>94</v>
      </c>
      <c r="D51" t="s">
        <v>95</v>
      </c>
      <c r="F51" t="s">
        <v>96</v>
      </c>
      <c r="H51" s="23">
        <f t="shared" ref="H51:Q51" si="7">H60</f>
        <v>2.1319247938034662</v>
      </c>
      <c r="I51" s="23">
        <f t="shared" si="7"/>
        <v>2.1500287132348159</v>
      </c>
      <c r="J51" s="23" t="str">
        <f t="shared" si="7"/>
        <v>-</v>
      </c>
      <c r="K51" s="23" t="str">
        <f t="shared" si="7"/>
        <v>-</v>
      </c>
      <c r="L51" s="23" t="str">
        <f t="shared" si="7"/>
        <v>-</v>
      </c>
      <c r="M51" s="23" t="str">
        <f t="shared" si="7"/>
        <v>-</v>
      </c>
      <c r="N51" s="23" t="str">
        <f t="shared" si="7"/>
        <v>-</v>
      </c>
      <c r="O51" s="23" t="str">
        <f t="shared" si="7"/>
        <v>-</v>
      </c>
      <c r="P51" s="23" t="str">
        <f t="shared" si="7"/>
        <v>-</v>
      </c>
      <c r="Q51" s="23" t="str">
        <f t="shared" si="7"/>
        <v>-</v>
      </c>
    </row>
    <row r="52" spans="3:17" outlineLevel="1" x14ac:dyDescent="0.35">
      <c r="C52" s="5" t="s">
        <v>10</v>
      </c>
      <c r="D52" t="s">
        <v>97</v>
      </c>
      <c r="F52" t="s">
        <v>11</v>
      </c>
      <c r="H52" s="44">
        <f>Input!L$15</f>
        <v>0.9</v>
      </c>
      <c r="I52" s="44">
        <f>Input!M$15</f>
        <v>0.99090909090909096</v>
      </c>
      <c r="J52" s="44">
        <f>Input!N$15</f>
        <v>0</v>
      </c>
      <c r="K52" s="44">
        <f>Input!O$15</f>
        <v>0</v>
      </c>
      <c r="L52" s="44">
        <f>Input!P$15</f>
        <v>0</v>
      </c>
      <c r="M52" s="44">
        <f>Input!Q$15</f>
        <v>0</v>
      </c>
      <c r="N52" s="44">
        <f>Input!R$15</f>
        <v>0</v>
      </c>
      <c r="O52" s="44">
        <f>Input!S$15</f>
        <v>0</v>
      </c>
      <c r="P52" s="44">
        <f>Input!T$15</f>
        <v>0</v>
      </c>
      <c r="Q52" s="44">
        <f>Input!U$15</f>
        <v>0</v>
      </c>
    </row>
    <row r="53" spans="3:17" outlineLevel="1" x14ac:dyDescent="0.35">
      <c r="C53" s="5" t="s">
        <v>36</v>
      </c>
      <c r="D53" t="s">
        <v>98</v>
      </c>
      <c r="F53" t="s">
        <v>11</v>
      </c>
      <c r="H53" s="22">
        <f>Input!$E$43</f>
        <v>0.9</v>
      </c>
      <c r="I53" s="22">
        <f>Input!$E$43</f>
        <v>0.9</v>
      </c>
      <c r="J53" s="22">
        <f>Input!$E$43</f>
        <v>0.9</v>
      </c>
      <c r="K53" s="22">
        <f>Input!$E$43</f>
        <v>0.9</v>
      </c>
      <c r="L53" s="22">
        <f>Input!$E$43</f>
        <v>0.9</v>
      </c>
      <c r="M53" s="22">
        <f>Input!$E$43</f>
        <v>0.9</v>
      </c>
      <c r="N53" s="22">
        <f>Input!$E$43</f>
        <v>0.9</v>
      </c>
      <c r="O53" s="22">
        <f>Input!$E$43</f>
        <v>0.9</v>
      </c>
      <c r="P53" s="22">
        <f>Input!$E$43</f>
        <v>0.9</v>
      </c>
      <c r="Q53" s="22">
        <f>Input!$E$43</f>
        <v>0.9</v>
      </c>
    </row>
    <row r="54" spans="3:17" outlineLevel="1" x14ac:dyDescent="0.35">
      <c r="C54" s="5" t="s">
        <v>37</v>
      </c>
      <c r="D54" t="s">
        <v>99</v>
      </c>
      <c r="F54" t="s">
        <v>38</v>
      </c>
      <c r="H54" s="23">
        <f>Input!$E$44</f>
        <v>1.7471999999999999</v>
      </c>
      <c r="I54" s="23">
        <f>Input!$E$44</f>
        <v>1.7471999999999999</v>
      </c>
      <c r="J54" s="23">
        <f>Input!$E$44</f>
        <v>1.7471999999999999</v>
      </c>
      <c r="K54" s="23">
        <f>Input!$E$44</f>
        <v>1.7471999999999999</v>
      </c>
      <c r="L54" s="23">
        <f>Input!$E$44</f>
        <v>1.7471999999999999</v>
      </c>
      <c r="M54" s="23">
        <f>Input!$E$44</f>
        <v>1.7471999999999999</v>
      </c>
      <c r="N54" s="23">
        <f>Input!$E$44</f>
        <v>1.7471999999999999</v>
      </c>
      <c r="O54" s="23">
        <f>Input!$E$44</f>
        <v>1.7471999999999999</v>
      </c>
      <c r="P54" s="23">
        <f>Input!$E$44</f>
        <v>1.7471999999999999</v>
      </c>
      <c r="Q54" s="23">
        <f>Input!$E$44</f>
        <v>1.7471999999999999</v>
      </c>
    </row>
    <row r="55" spans="3:17" outlineLevel="1" x14ac:dyDescent="0.35">
      <c r="C55" s="5" t="s">
        <v>39</v>
      </c>
      <c r="D55" t="s">
        <v>100</v>
      </c>
      <c r="F55" t="s">
        <v>38</v>
      </c>
      <c r="H55" s="23">
        <f>Input!$E$45</f>
        <v>0.58115070000000002</v>
      </c>
      <c r="I55" s="23">
        <f>Input!$E$45</f>
        <v>0.58115070000000002</v>
      </c>
      <c r="J55" s="23">
        <f>Input!$E$45</f>
        <v>0.58115070000000002</v>
      </c>
      <c r="K55" s="23">
        <f>Input!$E$45</f>
        <v>0.58115070000000002</v>
      </c>
      <c r="L55" s="23">
        <f>Input!$E$45</f>
        <v>0.58115070000000002</v>
      </c>
      <c r="M55" s="23">
        <f>Input!$E$45</f>
        <v>0.58115070000000002</v>
      </c>
      <c r="N55" s="23">
        <f>Input!$E$45</f>
        <v>0.58115070000000002</v>
      </c>
      <c r="O55" s="23">
        <f>Input!$E$45</f>
        <v>0.58115070000000002</v>
      </c>
      <c r="P55" s="23">
        <f>Input!$E$45</f>
        <v>0.58115070000000002</v>
      </c>
      <c r="Q55" s="23">
        <f>Input!$E$45</f>
        <v>0.58115070000000002</v>
      </c>
    </row>
    <row r="56" spans="3:17" outlineLevel="1" x14ac:dyDescent="0.35">
      <c r="C56" s="5" t="s">
        <v>13</v>
      </c>
      <c r="D56" t="s">
        <v>101</v>
      </c>
      <c r="F56" t="s">
        <v>11</v>
      </c>
      <c r="H56" s="44">
        <f>Input!L$16</f>
        <v>1.443001443001443E-3</v>
      </c>
      <c r="I56" s="44">
        <f>Input!M$16</f>
        <v>0</v>
      </c>
      <c r="J56" s="44">
        <f>Input!N$16</f>
        <v>0</v>
      </c>
      <c r="K56" s="44">
        <f>Input!O$16</f>
        <v>0</v>
      </c>
      <c r="L56" s="44">
        <f>Input!P$16</f>
        <v>0</v>
      </c>
      <c r="M56" s="44">
        <f>Input!Q$16</f>
        <v>0</v>
      </c>
      <c r="N56" s="44">
        <f>Input!R$16</f>
        <v>0</v>
      </c>
      <c r="O56" s="44">
        <f>Input!S$16</f>
        <v>0</v>
      </c>
      <c r="P56" s="44">
        <f>Input!T$16</f>
        <v>0</v>
      </c>
      <c r="Q56" s="44">
        <f>Input!U$16</f>
        <v>0</v>
      </c>
    </row>
    <row r="57" spans="3:17" outlineLevel="1" x14ac:dyDescent="0.35"/>
    <row r="58" spans="3:17" outlineLevel="1" x14ac:dyDescent="0.35"/>
    <row r="59" spans="3:17" outlineLevel="1" x14ac:dyDescent="0.35">
      <c r="C59" s="21" t="s">
        <v>94</v>
      </c>
      <c r="D59" s="21" t="s">
        <v>95</v>
      </c>
      <c r="E59" s="5"/>
    </row>
    <row r="60" spans="3:17" outlineLevel="1" x14ac:dyDescent="0.35">
      <c r="C60" s="5"/>
      <c r="D60" s="5"/>
      <c r="E60" s="5"/>
      <c r="F60" t="s">
        <v>102</v>
      </c>
      <c r="H60" s="31">
        <f>IF(ISNUMBER(H63),H61*(1-H62/H63),"-")</f>
        <v>2.1319247938034662</v>
      </c>
      <c r="I60" s="31">
        <f t="shared" ref="I60:Q60" si="8">IF(ISNUMBER(I63),I61*(1-I62/I63),"-")</f>
        <v>2.1500287132348159</v>
      </c>
      <c r="J60" s="31" t="str">
        <f t="shared" si="8"/>
        <v>-</v>
      </c>
      <c r="K60" s="31" t="str">
        <f t="shared" si="8"/>
        <v>-</v>
      </c>
      <c r="L60" s="31" t="str">
        <f t="shared" si="8"/>
        <v>-</v>
      </c>
      <c r="M60" s="31" t="str">
        <f t="shared" si="8"/>
        <v>-</v>
      </c>
      <c r="N60" s="31" t="str">
        <f t="shared" si="8"/>
        <v>-</v>
      </c>
      <c r="O60" s="31" t="str">
        <f t="shared" si="8"/>
        <v>-</v>
      </c>
      <c r="P60" s="31" t="str">
        <f t="shared" si="8"/>
        <v>-</v>
      </c>
      <c r="Q60" s="31" t="str">
        <f t="shared" si="8"/>
        <v>-</v>
      </c>
    </row>
    <row r="61" spans="3:17" outlineLevel="1" x14ac:dyDescent="0.35">
      <c r="C61" s="5" t="s">
        <v>103</v>
      </c>
      <c r="D61" t="s">
        <v>104</v>
      </c>
      <c r="H61" s="23">
        <f>VLOOKUP($C45,Input!$C$36:$E$39,3,FALSE)</f>
        <v>3.9423167369383973</v>
      </c>
      <c r="I61" s="23">
        <f>VLOOKUP($C45,Input!$C$36:$E$39,3,FALSE)</f>
        <v>3.9423167369383973</v>
      </c>
      <c r="J61" s="23">
        <f>VLOOKUP($C45,Input!$C$36:$E$39,3,FALSE)</f>
        <v>3.9423167369383973</v>
      </c>
      <c r="K61" s="23">
        <f>VLOOKUP($C45,Input!$C$36:$E$39,3,FALSE)</f>
        <v>3.9423167369383973</v>
      </c>
      <c r="L61" s="23">
        <f>VLOOKUP($C45,Input!$C$36:$E$39,3,FALSE)</f>
        <v>3.9423167369383973</v>
      </c>
      <c r="M61" s="23">
        <f>VLOOKUP($C45,Input!$C$36:$E$39,3,FALSE)</f>
        <v>3.9423167369383973</v>
      </c>
      <c r="N61" s="23">
        <f>VLOOKUP($C45,Input!$C$36:$E$39,3,FALSE)</f>
        <v>3.9423167369383973</v>
      </c>
      <c r="O61" s="23">
        <f>VLOOKUP($C45,Input!$C$36:$E$39,3,FALSE)</f>
        <v>3.9423167369383973</v>
      </c>
      <c r="P61" s="23">
        <f>VLOOKUP($C45,Input!$C$36:$E$39,3,FALSE)</f>
        <v>3.9423167369383973</v>
      </c>
      <c r="Q61" s="23">
        <f>VLOOKUP($C45,Input!$C$36:$E$39,3,FALSE)</f>
        <v>3.9423167369383973</v>
      </c>
    </row>
    <row r="62" spans="3:17" outlineLevel="1" x14ac:dyDescent="0.35">
      <c r="C62" s="5" t="s">
        <v>105</v>
      </c>
      <c r="D62" t="s">
        <v>106</v>
      </c>
      <c r="F62" t="s">
        <v>11</v>
      </c>
      <c r="H62" s="22">
        <f>IF(Input!$E$49="Default",Input!$E$50,Input!$E$51)</f>
        <v>0.1</v>
      </c>
      <c r="I62" s="22">
        <f>IF(Input!$E$49="Default",Input!$E$50,Input!$E$51)</f>
        <v>0.1</v>
      </c>
      <c r="J62" s="22">
        <f>IF(Input!$E$49="Default",Input!$E$50,Input!$E$51)</f>
        <v>0.1</v>
      </c>
      <c r="K62" s="22">
        <f>IF(Input!$E$49="Default",Input!$E$50,Input!$E$51)</f>
        <v>0.1</v>
      </c>
      <c r="L62" s="22">
        <f>IF(Input!$E$49="Default",Input!$E$50,Input!$E$51)</f>
        <v>0.1</v>
      </c>
      <c r="M62" s="22">
        <f>IF(Input!$E$49="Default",Input!$E$50,Input!$E$51)</f>
        <v>0.1</v>
      </c>
      <c r="N62" s="22">
        <f>IF(Input!$E$49="Default",Input!$E$50,Input!$E$51)</f>
        <v>0.1</v>
      </c>
      <c r="O62" s="22">
        <f>IF(Input!$E$49="Default",Input!$E$50,Input!$E$51)</f>
        <v>0.1</v>
      </c>
      <c r="P62" s="22">
        <f>IF(Input!$E$49="Default",Input!$E$50,Input!$E$51)</f>
        <v>0.1</v>
      </c>
      <c r="Q62" s="22">
        <f>IF(Input!$E$49="Default",Input!$E$50,Input!$E$51)</f>
        <v>0.1</v>
      </c>
    </row>
    <row r="63" spans="3:17" outlineLevel="1" x14ac:dyDescent="0.35">
      <c r="C63" s="5" t="s">
        <v>107</v>
      </c>
      <c r="D63" t="s">
        <v>108</v>
      </c>
      <c r="F63" t="s">
        <v>11</v>
      </c>
      <c r="H63" s="22">
        <f>H67</f>
        <v>0.21776039999999999</v>
      </c>
      <c r="I63" s="22">
        <f t="shared" ref="I63:Q63" si="9">I67</f>
        <v>0.21995999999999999</v>
      </c>
      <c r="J63" s="22" t="str">
        <f t="shared" si="9"/>
        <v>-</v>
      </c>
      <c r="K63" s="22" t="str">
        <f t="shared" si="9"/>
        <v>-</v>
      </c>
      <c r="L63" s="22" t="str">
        <f t="shared" si="9"/>
        <v>-</v>
      </c>
      <c r="M63" s="22" t="str">
        <f t="shared" si="9"/>
        <v>-</v>
      </c>
      <c r="N63" s="22" t="str">
        <f t="shared" si="9"/>
        <v>-</v>
      </c>
      <c r="O63" s="22" t="str">
        <f t="shared" si="9"/>
        <v>-</v>
      </c>
      <c r="P63" s="22" t="str">
        <f t="shared" si="9"/>
        <v>-</v>
      </c>
      <c r="Q63" s="22" t="str">
        <f t="shared" si="9"/>
        <v>-</v>
      </c>
    </row>
    <row r="64" spans="3:17" outlineLevel="1" x14ac:dyDescent="0.35"/>
    <row r="65" spans="3:17" outlineLevel="1" x14ac:dyDescent="0.35"/>
    <row r="66" spans="3:17" outlineLevel="1" x14ac:dyDescent="0.35">
      <c r="C66" s="21" t="s">
        <v>107</v>
      </c>
      <c r="D66" s="21" t="s">
        <v>108</v>
      </c>
      <c r="E66" s="5"/>
    </row>
    <row r="67" spans="3:17" outlineLevel="1" x14ac:dyDescent="0.35">
      <c r="C67" s="5"/>
      <c r="D67" s="5"/>
      <c r="E67" s="5"/>
      <c r="F67" t="s">
        <v>11</v>
      </c>
      <c r="H67" s="32">
        <f>IF(ISNUMBER(H68),H68*H71,"-")</f>
        <v>0.21776039999999999</v>
      </c>
      <c r="I67" s="32">
        <f t="shared" ref="I67:Q67" si="10">IF(ISNUMBER(I68),I68*I71,"-")</f>
        <v>0.21995999999999999</v>
      </c>
      <c r="J67" s="32" t="str">
        <f t="shared" si="10"/>
        <v>-</v>
      </c>
      <c r="K67" s="32" t="str">
        <f t="shared" si="10"/>
        <v>-</v>
      </c>
      <c r="L67" s="32" t="str">
        <f t="shared" si="10"/>
        <v>-</v>
      </c>
      <c r="M67" s="32" t="str">
        <f t="shared" si="10"/>
        <v>-</v>
      </c>
      <c r="N67" s="32" t="str">
        <f t="shared" si="10"/>
        <v>-</v>
      </c>
      <c r="O67" s="32" t="str">
        <f t="shared" si="10"/>
        <v>-</v>
      </c>
      <c r="P67" s="32" t="str">
        <f t="shared" si="10"/>
        <v>-</v>
      </c>
      <c r="Q67" s="32" t="str">
        <f t="shared" si="10"/>
        <v>-</v>
      </c>
    </row>
    <row r="68" spans="3:17" outlineLevel="1" x14ac:dyDescent="0.35">
      <c r="C68" s="5" t="s">
        <v>109</v>
      </c>
      <c r="D68" t="s">
        <v>110</v>
      </c>
      <c r="F68" t="s">
        <v>11</v>
      </c>
      <c r="H68" s="81">
        <f>IF(Input!$E$53="default",IF(ISNUMBER(I46),I68*H70,IF(ISNUMBER(H46),Input!$E$52,"-")),"-")</f>
        <v>0.23166</v>
      </c>
      <c r="I68" s="81">
        <f>IF(Input!$E$53="default",IF(ISNUMBER(J46),J68*I70,IF(ISNUMBER(I46),Input!$E$52,"-")),"-")</f>
        <v>0.23400000000000001</v>
      </c>
      <c r="J68" s="81" t="str">
        <f>IF(Input!$E$53="default",IF(ISNUMBER(K46),K68*J70,IF(ISNUMBER(J46),Input!$E$52,"-")),"-")</f>
        <v>-</v>
      </c>
      <c r="K68" s="81" t="str">
        <f>IF(Input!$E$53="default",IF(ISNUMBER(L46),L68*K70,IF(ISNUMBER(K46),Input!$E$52,"-")),"-")</f>
        <v>-</v>
      </c>
      <c r="L68" s="81" t="str">
        <f>IF(Input!$E$53="default",IF(ISNUMBER(M46),M68*L70,IF(ISNUMBER(L46),Input!$E$52,"-")),"-")</f>
        <v>-</v>
      </c>
      <c r="M68" s="81" t="str">
        <f>IF(Input!$E$53="default",IF(ISNUMBER(N46),N68*M70,IF(ISNUMBER(M46),Input!$E$52,"-")),"-")</f>
        <v>-</v>
      </c>
      <c r="N68" s="81" t="str">
        <f>IF(Input!$E$53="default",IF(ISNUMBER(O46),O68*N70,IF(ISNUMBER(N46),Input!$E$52,"-")),"-")</f>
        <v>-</v>
      </c>
      <c r="O68" s="81" t="str">
        <f>IF(Input!$E$53="default",IF(ISNUMBER(P46),P68*O70,IF(ISNUMBER(O46),Input!$E$52,"-")),"-")</f>
        <v>-</v>
      </c>
      <c r="P68" s="81" t="str">
        <f>IF(Input!$E$53="default",IF(ISNUMBER(Q46),Q68*P70,IF(ISNUMBER(P46),Input!$E$52,"-")),"-")</f>
        <v>-</v>
      </c>
      <c r="Q68" s="81" t="str">
        <f>IF(Input!$E$53="default",IF(ISNUMBER(R46),R68*Q70,IF(ISNUMBER(Q46),Input!$E$52,"-")),"-")</f>
        <v>-</v>
      </c>
    </row>
    <row r="69" spans="3:17" outlineLevel="1" x14ac:dyDescent="0.35">
      <c r="C69" s="5"/>
      <c r="G69" s="18" t="s">
        <v>111</v>
      </c>
      <c r="H69" s="43"/>
      <c r="I69" s="43"/>
      <c r="J69" s="43"/>
      <c r="K69" s="43"/>
      <c r="L69" s="43"/>
      <c r="M69" s="43"/>
      <c r="N69" s="43"/>
      <c r="O69" s="43"/>
      <c r="P69" s="43"/>
      <c r="Q69" s="43"/>
    </row>
    <row r="70" spans="3:17" outlineLevel="1" x14ac:dyDescent="0.35">
      <c r="C70" s="5" t="s">
        <v>112</v>
      </c>
      <c r="D70" t="s">
        <v>113</v>
      </c>
      <c r="F70" t="s">
        <v>11</v>
      </c>
      <c r="H70" s="33">
        <v>0.99</v>
      </c>
      <c r="I70" s="33">
        <v>0.99</v>
      </c>
      <c r="J70" s="33">
        <v>0.99</v>
      </c>
      <c r="K70" s="33">
        <v>0.99</v>
      </c>
      <c r="L70" s="33">
        <v>0.99</v>
      </c>
      <c r="M70" s="33">
        <v>0.99</v>
      </c>
      <c r="N70" s="33">
        <v>0.99</v>
      </c>
      <c r="O70" s="33">
        <v>0.99</v>
      </c>
      <c r="P70" s="33">
        <v>0.99</v>
      </c>
      <c r="Q70" s="33">
        <v>0.99</v>
      </c>
    </row>
    <row r="71" spans="3:17" outlineLevel="1" x14ac:dyDescent="0.35">
      <c r="C71" s="5">
        <v>0.94</v>
      </c>
      <c r="D71" t="s">
        <v>114</v>
      </c>
      <c r="F71" s="19" t="s">
        <v>45</v>
      </c>
      <c r="H71" s="33">
        <v>0.94</v>
      </c>
      <c r="I71" s="33">
        <v>0.94</v>
      </c>
      <c r="J71" s="33">
        <v>0.94</v>
      </c>
      <c r="K71" s="33">
        <v>0.94</v>
      </c>
      <c r="L71" s="33">
        <v>0.94</v>
      </c>
      <c r="M71" s="33">
        <v>0.94</v>
      </c>
      <c r="N71" s="33">
        <v>0.94</v>
      </c>
      <c r="O71" s="33">
        <v>0.94</v>
      </c>
      <c r="P71" s="33">
        <v>0.94</v>
      </c>
      <c r="Q71" s="33">
        <v>0.94</v>
      </c>
    </row>
    <row r="72" spans="3:17" outlineLevel="1" x14ac:dyDescent="0.35"/>
    <row r="73" spans="3:17" outlineLevel="1" x14ac:dyDescent="0.35"/>
    <row r="74" spans="3:17" outlineLevel="1" x14ac:dyDescent="0.35">
      <c r="C74" s="21" t="s">
        <v>49</v>
      </c>
      <c r="D74" s="5"/>
      <c r="E74" s="5" t="s">
        <v>115</v>
      </c>
      <c r="H74" s="35">
        <f>IF(ISNUMBER(H49),IF(Input!$E$58="default",(1-Input!$E$59)*H49,(1-Input!$E$60)*H49),"-")</f>
        <v>441.50609227626074</v>
      </c>
      <c r="I74" s="35">
        <f>IF(ISNUMBER(I49),IF(Input!$E$58="default",(1-Input!$E$59)*I49,(1-Input!$E$60)*I49),"-")</f>
        <v>205.56094211985231</v>
      </c>
      <c r="J74" s="35" t="str">
        <f>IF(ISNUMBER(J49),IF(Input!$E$58="default",(1-Input!$E$59)*J49,(1-Input!$E$60)*J49),"-")</f>
        <v>-</v>
      </c>
      <c r="K74" s="35" t="str">
        <f>IF(ISNUMBER(K49),IF(Input!$E$58="default",(1-Input!$E$59)*K49,(1-Input!$E$60)*K49),"-")</f>
        <v>-</v>
      </c>
      <c r="L74" s="35" t="str">
        <f>IF(ISNUMBER(L49),IF(Input!$E$58="default",(1-Input!$E$59)*L49,(1-Input!$E$60)*L49),"-")</f>
        <v>-</v>
      </c>
      <c r="M74" s="35" t="str">
        <f>IF(ISNUMBER(M49),IF(Input!$E$58="default",(1-Input!$E$59)*M49,(1-Input!$E$60)*M49),"-")</f>
        <v>-</v>
      </c>
      <c r="N74" s="35" t="str">
        <f>IF(ISNUMBER(N49),IF(Input!$E$58="default",(1-Input!$E$59)*N49,(1-Input!$E$60)*N49),"-")</f>
        <v>-</v>
      </c>
      <c r="O74" s="35" t="str">
        <f>IF(ISNUMBER(O49),IF(Input!$E$58="default",(1-Input!$E$59)*O49,(1-Input!$E$60)*O49),"-")</f>
        <v>-</v>
      </c>
      <c r="P74" s="35" t="str">
        <f>IF(ISNUMBER(P49),IF(Input!$E$58="default",(1-Input!$E$59)*P49,(1-Input!$E$60)*P49),"-")</f>
        <v>-</v>
      </c>
      <c r="Q74" s="35" t="str">
        <f>IF(ISNUMBER(Q49),IF(Input!$E$58="default",(1-Input!$E$59)*Q49,(1-Input!$E$60)*Q49),"-")</f>
        <v>-</v>
      </c>
    </row>
    <row r="75" spans="3:17" ht="15" outlineLevel="1" thickBot="1" x14ac:dyDescent="0.4"/>
    <row r="76" spans="3:17" outlineLevel="1" x14ac:dyDescent="0.35">
      <c r="C76" s="54" t="s">
        <v>116</v>
      </c>
      <c r="D76" s="55"/>
      <c r="E76" s="55" t="s">
        <v>115</v>
      </c>
      <c r="F76" s="55"/>
      <c r="G76" s="55"/>
      <c r="H76" s="56">
        <f t="shared" ref="H76:Q76" si="11">IF(ISNUMBER(H74),H49-H74,"-")</f>
        <v>8388.6157532489469</v>
      </c>
      <c r="I76" s="56">
        <f t="shared" si="11"/>
        <v>3905.6579002771905</v>
      </c>
      <c r="J76" s="56" t="str">
        <f t="shared" si="11"/>
        <v>-</v>
      </c>
      <c r="K76" s="56" t="str">
        <f t="shared" si="11"/>
        <v>-</v>
      </c>
      <c r="L76" s="56" t="str">
        <f t="shared" si="11"/>
        <v>-</v>
      </c>
      <c r="M76" s="57" t="str">
        <f t="shared" si="11"/>
        <v>-</v>
      </c>
      <c r="N76" s="57" t="str">
        <f t="shared" si="11"/>
        <v>-</v>
      </c>
      <c r="O76" s="57" t="str">
        <f t="shared" si="11"/>
        <v>-</v>
      </c>
      <c r="P76" s="57" t="str">
        <f t="shared" si="11"/>
        <v>-</v>
      </c>
      <c r="Q76" s="58" t="str">
        <f t="shared" si="11"/>
        <v>-</v>
      </c>
    </row>
    <row r="77" spans="3:17" ht="15" outlineLevel="1" thickBot="1" x14ac:dyDescent="0.4">
      <c r="C77" s="59" t="s">
        <v>117</v>
      </c>
      <c r="D77" s="60"/>
      <c r="E77" s="61" t="s">
        <v>118</v>
      </c>
      <c r="F77" s="62"/>
      <c r="G77" s="60">
        <f>SUM(H76:Q76)</f>
        <v>12294.273653526137</v>
      </c>
      <c r="H77" s="63"/>
      <c r="I77" s="63"/>
      <c r="J77" s="63"/>
      <c r="K77" s="63"/>
      <c r="L77" s="63"/>
      <c r="M77" s="63"/>
      <c r="N77" s="63"/>
      <c r="O77" s="63"/>
      <c r="P77" s="63"/>
      <c r="Q77" s="64"/>
    </row>
    <row r="78" spans="3:17" outlineLevel="1" x14ac:dyDescent="0.35"/>
    <row r="79" spans="3:17" ht="15" thickBot="1" x14ac:dyDescent="0.4"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</row>
    <row r="81" spans="3:17" ht="15" thickBot="1" x14ac:dyDescent="0.4"/>
    <row r="82" spans="3:17" ht="15" thickBot="1" x14ac:dyDescent="0.4">
      <c r="C82" s="82" t="s">
        <v>9</v>
      </c>
    </row>
    <row r="83" spans="3:17" ht="15.5" outlineLevel="1" x14ac:dyDescent="0.35">
      <c r="G83" s="47"/>
      <c r="H83" s="51">
        <f>Input!$E$23</f>
        <v>2020</v>
      </c>
      <c r="I83" s="51">
        <f>IF(H83&lt;YEAR(Input!$E$13),H83+1,"N/A")</f>
        <v>2021</v>
      </c>
      <c r="J83" s="51" t="str">
        <f>IF(I83&lt;YEAR(Input!$E$13),I83+1,"N/A")</f>
        <v>N/A</v>
      </c>
      <c r="K83" s="51" t="str">
        <f>IF(J83&lt;YEAR(Input!$E$13),J83+1,"N/A")</f>
        <v>N/A</v>
      </c>
      <c r="L83" s="51" t="str">
        <f>IF(K83&lt;YEAR(Input!$E$13),K83+1,"N/A")</f>
        <v>N/A</v>
      </c>
      <c r="M83" s="51" t="str">
        <f>IF(L83&lt;YEAR(Input!$E$13),L83+1,"N/A")</f>
        <v>N/A</v>
      </c>
      <c r="N83" s="51" t="str">
        <f>IF(M83&lt;YEAR(Input!$E$13),M83+1,"N/A")</f>
        <v>N/A</v>
      </c>
      <c r="O83" s="51" t="str">
        <f>IF(N83&lt;YEAR(Input!$E$13),N83+1,"N/A")</f>
        <v>N/A</v>
      </c>
      <c r="P83" s="51" t="str">
        <f>IF(O83&lt;YEAR(Input!$E$13),O83+1,"N/A")</f>
        <v>N/A</v>
      </c>
      <c r="Q83" s="51" t="str">
        <f>IF(P83&lt;YEAR(Input!$E$13),P83+1,"N/A")</f>
        <v>N/A</v>
      </c>
    </row>
    <row r="84" spans="3:17" ht="15.5" outlineLevel="1" x14ac:dyDescent="0.35">
      <c r="F84" s="20" t="s">
        <v>88</v>
      </c>
      <c r="G84" s="20" t="s">
        <v>89</v>
      </c>
      <c r="H84" s="52" t="str">
        <f>Input!L$13</f>
        <v>AG 1-2</v>
      </c>
      <c r="I84" s="52" t="str">
        <f>Input!M$13</f>
        <v>AG 0-1</v>
      </c>
      <c r="J84" s="52" t="str">
        <f>Input!N$13</f>
        <v>N/A</v>
      </c>
      <c r="K84" s="52" t="str">
        <f>Input!O$13</f>
        <v>N/A</v>
      </c>
      <c r="L84" s="52" t="str">
        <f>Input!P$13</f>
        <v>N/A</v>
      </c>
      <c r="M84" s="52" t="str">
        <f>Input!Q$13</f>
        <v>N/A</v>
      </c>
      <c r="N84" s="52" t="str">
        <f>Input!R$13</f>
        <v>N/A</v>
      </c>
      <c r="O84" s="52" t="str">
        <f>Input!S$13</f>
        <v>N/A</v>
      </c>
      <c r="P84" s="52" t="str">
        <f>Input!T$13</f>
        <v>N/A</v>
      </c>
      <c r="Q84" s="52" t="str">
        <f>Input!U$13</f>
        <v>N/A</v>
      </c>
    </row>
    <row r="85" spans="3:17" ht="15.5" outlineLevel="1" x14ac:dyDescent="0.35">
      <c r="C85" s="21" t="s">
        <v>90</v>
      </c>
      <c r="D85" s="5"/>
      <c r="E85" s="5"/>
      <c r="H85" s="30"/>
      <c r="I85" s="30"/>
      <c r="J85" s="30"/>
      <c r="K85" s="30"/>
      <c r="L85" s="30"/>
      <c r="M85" s="30"/>
      <c r="N85" s="30"/>
      <c r="O85" s="30"/>
      <c r="P85" s="30"/>
      <c r="Q85" s="30"/>
    </row>
    <row r="86" spans="3:17" outlineLevel="1" x14ac:dyDescent="0.35">
      <c r="C86" s="5"/>
      <c r="D86" s="5"/>
      <c r="E86" s="5"/>
      <c r="F86" t="s">
        <v>91</v>
      </c>
      <c r="H86" s="34">
        <f>IF(ISNUMBER(H88),H87*H88*H89*(H90*H91+H92)*(1-H93),"-")</f>
        <v>8933.0640026714409</v>
      </c>
      <c r="I86" s="34">
        <f t="shared" ref="I86:Q86" si="12">IF(ISNUMBER(I88),I87*I88*I89*(I90*I91+I92)*(1-I93),"-")</f>
        <v>3909.5736460940584</v>
      </c>
      <c r="J86" s="34" t="str">
        <f t="shared" si="12"/>
        <v>-</v>
      </c>
      <c r="K86" s="34" t="str">
        <f t="shared" si="12"/>
        <v>-</v>
      </c>
      <c r="L86" s="34" t="str">
        <f t="shared" si="12"/>
        <v>-</v>
      </c>
      <c r="M86" s="34" t="str">
        <f t="shared" si="12"/>
        <v>-</v>
      </c>
      <c r="N86" s="34" t="str">
        <f t="shared" si="12"/>
        <v>-</v>
      </c>
      <c r="O86" s="34" t="str">
        <f t="shared" si="12"/>
        <v>-</v>
      </c>
      <c r="P86" s="34" t="str">
        <f t="shared" si="12"/>
        <v>-</v>
      </c>
      <c r="Q86" s="34" t="str">
        <f t="shared" si="12"/>
        <v>-</v>
      </c>
    </row>
    <row r="87" spans="3:17" outlineLevel="1" x14ac:dyDescent="0.35">
      <c r="C87" s="5" t="s">
        <v>92</v>
      </c>
      <c r="D87" t="s">
        <v>93</v>
      </c>
      <c r="H87" s="46">
        <f>VLOOKUP($C82,Input!$K$22:$V$25,2,FALSE)</f>
        <v>2164.9205479452053</v>
      </c>
      <c r="I87" s="46">
        <f>VLOOKUP($C82,Input!$K$22:$V$25,3,FALSE)</f>
        <v>852.0794520547945</v>
      </c>
      <c r="J87" s="46">
        <f>VLOOKUP($C82,Input!$K$22:$V$25,4,FALSE)</f>
        <v>0</v>
      </c>
      <c r="K87" s="46">
        <f>VLOOKUP($C82,Input!$K$22:$V$25,5,FALSE)</f>
        <v>0</v>
      </c>
      <c r="L87" s="46">
        <f>VLOOKUP($C82,Input!$K$22:$V$25,6,FALSE)</f>
        <v>0</v>
      </c>
      <c r="M87" s="46">
        <f>VLOOKUP($C82,Input!$K$22:$V$25,7,FALSE)</f>
        <v>0</v>
      </c>
      <c r="N87" s="46">
        <f>VLOOKUP($C82,Input!$K$22:$V$25,8,FALSE)</f>
        <v>0</v>
      </c>
      <c r="O87" s="46">
        <f>VLOOKUP($C82,Input!$K$22:$V$25,9,FALSE)</f>
        <v>0</v>
      </c>
      <c r="P87" s="46">
        <f>VLOOKUP($C82,Input!$K$22:$V$25,10,FALSE)</f>
        <v>0</v>
      </c>
      <c r="Q87" s="46">
        <f>VLOOKUP($C82,Input!$K$22:$V$25,11,FALSE)</f>
        <v>0</v>
      </c>
    </row>
    <row r="88" spans="3:17" outlineLevel="1" x14ac:dyDescent="0.35">
      <c r="C88" s="5" t="s">
        <v>94</v>
      </c>
      <c r="D88" t="s">
        <v>95</v>
      </c>
      <c r="F88" t="s">
        <v>96</v>
      </c>
      <c r="H88" s="23">
        <f t="shared" ref="H88:Q88" si="13">H97</f>
        <v>2.1319247938034662</v>
      </c>
      <c r="I88" s="23">
        <f t="shared" si="13"/>
        <v>2.1500287132348159</v>
      </c>
      <c r="J88" s="23" t="str">
        <f t="shared" si="13"/>
        <v>-</v>
      </c>
      <c r="K88" s="23" t="str">
        <f t="shared" si="13"/>
        <v>-</v>
      </c>
      <c r="L88" s="23" t="str">
        <f t="shared" si="13"/>
        <v>-</v>
      </c>
      <c r="M88" s="23" t="str">
        <f t="shared" si="13"/>
        <v>-</v>
      </c>
      <c r="N88" s="23" t="str">
        <f t="shared" si="13"/>
        <v>-</v>
      </c>
      <c r="O88" s="23" t="str">
        <f t="shared" si="13"/>
        <v>-</v>
      </c>
      <c r="P88" s="23" t="str">
        <f t="shared" si="13"/>
        <v>-</v>
      </c>
      <c r="Q88" s="23" t="str">
        <f t="shared" si="13"/>
        <v>-</v>
      </c>
    </row>
    <row r="89" spans="3:17" outlineLevel="1" x14ac:dyDescent="0.35">
      <c r="C89" s="5" t="s">
        <v>10</v>
      </c>
      <c r="D89" t="s">
        <v>97</v>
      </c>
      <c r="F89" t="s">
        <v>11</v>
      </c>
      <c r="H89" s="44">
        <f>Input!L$15</f>
        <v>0.9</v>
      </c>
      <c r="I89" s="44">
        <f>Input!M$15</f>
        <v>0.99090909090909096</v>
      </c>
      <c r="J89" s="44">
        <f>Input!N$15</f>
        <v>0</v>
      </c>
      <c r="K89" s="44">
        <f>Input!O$15</f>
        <v>0</v>
      </c>
      <c r="L89" s="44">
        <f>Input!P$15</f>
        <v>0</v>
      </c>
      <c r="M89" s="44">
        <f>Input!Q$15</f>
        <v>0</v>
      </c>
      <c r="N89" s="44">
        <f>Input!R$15</f>
        <v>0</v>
      </c>
      <c r="O89" s="44">
        <f>Input!S$15</f>
        <v>0</v>
      </c>
      <c r="P89" s="44">
        <f>Input!T$15</f>
        <v>0</v>
      </c>
      <c r="Q89" s="44">
        <f>Input!U$15</f>
        <v>0</v>
      </c>
    </row>
    <row r="90" spans="3:17" outlineLevel="1" x14ac:dyDescent="0.35">
      <c r="C90" s="5" t="s">
        <v>36</v>
      </c>
      <c r="D90" t="s">
        <v>98</v>
      </c>
      <c r="F90" t="s">
        <v>11</v>
      </c>
      <c r="H90" s="22">
        <f>Input!$E$43</f>
        <v>0.9</v>
      </c>
      <c r="I90" s="22">
        <f>Input!$E$43</f>
        <v>0.9</v>
      </c>
      <c r="J90" s="22">
        <f>Input!$E$43</f>
        <v>0.9</v>
      </c>
      <c r="K90" s="22">
        <f>Input!$E$43</f>
        <v>0.9</v>
      </c>
      <c r="L90" s="22">
        <f>Input!$E$43</f>
        <v>0.9</v>
      </c>
      <c r="M90" s="22">
        <f>Input!$E$43</f>
        <v>0.9</v>
      </c>
      <c r="N90" s="22">
        <f>Input!$E$43</f>
        <v>0.9</v>
      </c>
      <c r="O90" s="22">
        <f>Input!$E$43</f>
        <v>0.9</v>
      </c>
      <c r="P90" s="22">
        <f>Input!$E$43</f>
        <v>0.9</v>
      </c>
      <c r="Q90" s="22">
        <f>Input!$E$43</f>
        <v>0.9</v>
      </c>
    </row>
    <row r="91" spans="3:17" outlineLevel="1" x14ac:dyDescent="0.35">
      <c r="C91" s="5" t="s">
        <v>37</v>
      </c>
      <c r="D91" t="s">
        <v>99</v>
      </c>
      <c r="F91" t="s">
        <v>38</v>
      </c>
      <c r="H91" s="23">
        <f>Input!$E$44</f>
        <v>1.7471999999999999</v>
      </c>
      <c r="I91" s="23">
        <f>Input!$E$44</f>
        <v>1.7471999999999999</v>
      </c>
      <c r="J91" s="23">
        <f>Input!$E$44</f>
        <v>1.7471999999999999</v>
      </c>
      <c r="K91" s="23">
        <f>Input!$E$44</f>
        <v>1.7471999999999999</v>
      </c>
      <c r="L91" s="23">
        <f>Input!$E$44</f>
        <v>1.7471999999999999</v>
      </c>
      <c r="M91" s="23">
        <f>Input!$E$44</f>
        <v>1.7471999999999999</v>
      </c>
      <c r="N91" s="23">
        <f>Input!$E$44</f>
        <v>1.7471999999999999</v>
      </c>
      <c r="O91" s="23">
        <f>Input!$E$44</f>
        <v>1.7471999999999999</v>
      </c>
      <c r="P91" s="23">
        <f>Input!$E$44</f>
        <v>1.7471999999999999</v>
      </c>
      <c r="Q91" s="23">
        <f>Input!$E$44</f>
        <v>1.7471999999999999</v>
      </c>
    </row>
    <row r="92" spans="3:17" outlineLevel="1" x14ac:dyDescent="0.35">
      <c r="C92" s="5" t="s">
        <v>39</v>
      </c>
      <c r="D92" t="s">
        <v>100</v>
      </c>
      <c r="F92" t="s">
        <v>38</v>
      </c>
      <c r="H92" s="23">
        <f>Input!$E$45</f>
        <v>0.58115070000000002</v>
      </c>
      <c r="I92" s="23">
        <f>Input!$E$45</f>
        <v>0.58115070000000002</v>
      </c>
      <c r="J92" s="23">
        <f>Input!$E$45</f>
        <v>0.58115070000000002</v>
      </c>
      <c r="K92" s="23">
        <f>Input!$E$45</f>
        <v>0.58115070000000002</v>
      </c>
      <c r="L92" s="23">
        <f>Input!$E$45</f>
        <v>0.58115070000000002</v>
      </c>
      <c r="M92" s="23">
        <f>Input!$E$45</f>
        <v>0.58115070000000002</v>
      </c>
      <c r="N92" s="23">
        <f>Input!$E$45</f>
        <v>0.58115070000000002</v>
      </c>
      <c r="O92" s="23">
        <f>Input!$E$45</f>
        <v>0.58115070000000002</v>
      </c>
      <c r="P92" s="23">
        <f>Input!$E$45</f>
        <v>0.58115070000000002</v>
      </c>
      <c r="Q92" s="23">
        <f>Input!$E$45</f>
        <v>0.58115070000000002</v>
      </c>
    </row>
    <row r="93" spans="3:17" outlineLevel="1" x14ac:dyDescent="0.35">
      <c r="C93" s="5" t="s">
        <v>13</v>
      </c>
      <c r="D93" t="s">
        <v>101</v>
      </c>
      <c r="F93" t="s">
        <v>11</v>
      </c>
      <c r="H93" s="44">
        <f>Input!L$16</f>
        <v>1.443001443001443E-3</v>
      </c>
      <c r="I93" s="44">
        <f>Input!M$16</f>
        <v>0</v>
      </c>
      <c r="J93" s="44">
        <f>Input!N$16</f>
        <v>0</v>
      </c>
      <c r="K93" s="44">
        <f>Input!O$16</f>
        <v>0</v>
      </c>
      <c r="L93" s="44">
        <f>Input!P$16</f>
        <v>0</v>
      </c>
      <c r="M93" s="44">
        <f>Input!Q$16</f>
        <v>0</v>
      </c>
      <c r="N93" s="44">
        <f>Input!R$16</f>
        <v>0</v>
      </c>
      <c r="O93" s="44">
        <f>Input!S$16</f>
        <v>0</v>
      </c>
      <c r="P93" s="44">
        <f>Input!T$16</f>
        <v>0</v>
      </c>
      <c r="Q93" s="44">
        <f>Input!U$16</f>
        <v>0</v>
      </c>
    </row>
    <row r="94" spans="3:17" outlineLevel="1" x14ac:dyDescent="0.35"/>
    <row r="95" spans="3:17" outlineLevel="1" x14ac:dyDescent="0.35"/>
    <row r="96" spans="3:17" outlineLevel="1" x14ac:dyDescent="0.35">
      <c r="C96" s="21" t="s">
        <v>94</v>
      </c>
      <c r="D96" s="21" t="s">
        <v>95</v>
      </c>
      <c r="E96" s="5"/>
    </row>
    <row r="97" spans="3:17" outlineLevel="1" x14ac:dyDescent="0.35">
      <c r="C97" s="5"/>
      <c r="D97" s="5"/>
      <c r="E97" s="5"/>
      <c r="F97" t="s">
        <v>102</v>
      </c>
      <c r="H97" s="31">
        <f>IF(ISNUMBER(H100),H98*(1-H99/H100),"-")</f>
        <v>2.1319247938034662</v>
      </c>
      <c r="I97" s="31">
        <f t="shared" ref="I97:Q97" si="14">IF(ISNUMBER(I100),I98*(1-I99/I100),"-")</f>
        <v>2.1500287132348159</v>
      </c>
      <c r="J97" s="31" t="str">
        <f t="shared" si="14"/>
        <v>-</v>
      </c>
      <c r="K97" s="31" t="str">
        <f t="shared" si="14"/>
        <v>-</v>
      </c>
      <c r="L97" s="31" t="str">
        <f t="shared" si="14"/>
        <v>-</v>
      </c>
      <c r="M97" s="31" t="str">
        <f t="shared" si="14"/>
        <v>-</v>
      </c>
      <c r="N97" s="31" t="str">
        <f t="shared" si="14"/>
        <v>-</v>
      </c>
      <c r="O97" s="31" t="str">
        <f t="shared" si="14"/>
        <v>-</v>
      </c>
      <c r="P97" s="31" t="str">
        <f t="shared" si="14"/>
        <v>-</v>
      </c>
      <c r="Q97" s="31" t="str">
        <f t="shared" si="14"/>
        <v>-</v>
      </c>
    </row>
    <row r="98" spans="3:17" outlineLevel="1" x14ac:dyDescent="0.35">
      <c r="C98" s="5" t="s">
        <v>103</v>
      </c>
      <c r="D98" t="s">
        <v>104</v>
      </c>
      <c r="H98" s="23">
        <f>VLOOKUP($C82,Input!$C$36:$E$39,3,FALSE)</f>
        <v>3.9423167369383973</v>
      </c>
      <c r="I98" s="23">
        <f>VLOOKUP($C82,Input!$C$36:$E$39,3,FALSE)</f>
        <v>3.9423167369383973</v>
      </c>
      <c r="J98" s="23">
        <f>VLOOKUP($C82,Input!$C$36:$E$39,3,FALSE)</f>
        <v>3.9423167369383973</v>
      </c>
      <c r="K98" s="23">
        <f>VLOOKUP($C82,Input!$C$36:$E$39,3,FALSE)</f>
        <v>3.9423167369383973</v>
      </c>
      <c r="L98" s="23">
        <f>VLOOKUP($C82,Input!$C$36:$E$39,3,FALSE)</f>
        <v>3.9423167369383973</v>
      </c>
      <c r="M98" s="23">
        <f>VLOOKUP($C82,Input!$C$36:$E$39,3,FALSE)</f>
        <v>3.9423167369383973</v>
      </c>
      <c r="N98" s="23">
        <f>VLOOKUP($C82,Input!$C$36:$E$39,3,FALSE)</f>
        <v>3.9423167369383973</v>
      </c>
      <c r="O98" s="23">
        <f>VLOOKUP($C82,Input!$C$36:$E$39,3,FALSE)</f>
        <v>3.9423167369383973</v>
      </c>
      <c r="P98" s="23">
        <f>VLOOKUP($C82,Input!$C$36:$E$39,3,FALSE)</f>
        <v>3.9423167369383973</v>
      </c>
      <c r="Q98" s="23">
        <f>VLOOKUP($C82,Input!$C$36:$E$39,3,FALSE)</f>
        <v>3.9423167369383973</v>
      </c>
    </row>
    <row r="99" spans="3:17" outlineLevel="1" x14ac:dyDescent="0.35">
      <c r="C99" s="5" t="s">
        <v>105</v>
      </c>
      <c r="D99" t="s">
        <v>106</v>
      </c>
      <c r="F99" t="s">
        <v>11</v>
      </c>
      <c r="H99" s="22">
        <f>IF(Input!$E$49="Default",Input!$E$50,Input!$E$51)</f>
        <v>0.1</v>
      </c>
      <c r="I99" s="22">
        <f>IF(Input!$E$49="Default",Input!$E$50,Input!$E$51)</f>
        <v>0.1</v>
      </c>
      <c r="J99" s="22">
        <f>IF(Input!$E$49="Default",Input!$E$50,Input!$E$51)</f>
        <v>0.1</v>
      </c>
      <c r="K99" s="22">
        <f>IF(Input!$E$49="Default",Input!$E$50,Input!$E$51)</f>
        <v>0.1</v>
      </c>
      <c r="L99" s="22">
        <f>IF(Input!$E$49="Default",Input!$E$50,Input!$E$51)</f>
        <v>0.1</v>
      </c>
      <c r="M99" s="22">
        <f>IF(Input!$E$49="Default",Input!$E$50,Input!$E$51)</f>
        <v>0.1</v>
      </c>
      <c r="N99" s="22">
        <f>IF(Input!$E$49="Default",Input!$E$50,Input!$E$51)</f>
        <v>0.1</v>
      </c>
      <c r="O99" s="22">
        <f>IF(Input!$E$49="Default",Input!$E$50,Input!$E$51)</f>
        <v>0.1</v>
      </c>
      <c r="P99" s="22">
        <f>IF(Input!$E$49="Default",Input!$E$50,Input!$E$51)</f>
        <v>0.1</v>
      </c>
      <c r="Q99" s="22">
        <f>IF(Input!$E$49="Default",Input!$E$50,Input!$E$51)</f>
        <v>0.1</v>
      </c>
    </row>
    <row r="100" spans="3:17" outlineLevel="1" x14ac:dyDescent="0.35">
      <c r="C100" s="5" t="s">
        <v>107</v>
      </c>
      <c r="D100" t="s">
        <v>108</v>
      </c>
      <c r="F100" t="s">
        <v>11</v>
      </c>
      <c r="H100" s="22">
        <f>H104</f>
        <v>0.21776039999999999</v>
      </c>
      <c r="I100" s="22">
        <f t="shared" ref="I100:Q100" si="15">I104</f>
        <v>0.21995999999999999</v>
      </c>
      <c r="J100" s="22" t="str">
        <f t="shared" si="15"/>
        <v>-</v>
      </c>
      <c r="K100" s="22" t="str">
        <f t="shared" si="15"/>
        <v>-</v>
      </c>
      <c r="L100" s="22" t="str">
        <f t="shared" si="15"/>
        <v>-</v>
      </c>
      <c r="M100" s="22" t="str">
        <f t="shared" si="15"/>
        <v>-</v>
      </c>
      <c r="N100" s="22" t="str">
        <f t="shared" si="15"/>
        <v>-</v>
      </c>
      <c r="O100" s="22" t="str">
        <f t="shared" si="15"/>
        <v>-</v>
      </c>
      <c r="P100" s="22" t="str">
        <f t="shared" si="15"/>
        <v>-</v>
      </c>
      <c r="Q100" s="22" t="str">
        <f t="shared" si="15"/>
        <v>-</v>
      </c>
    </row>
    <row r="101" spans="3:17" outlineLevel="1" x14ac:dyDescent="0.35"/>
    <row r="102" spans="3:17" outlineLevel="1" x14ac:dyDescent="0.35"/>
    <row r="103" spans="3:17" outlineLevel="1" x14ac:dyDescent="0.35">
      <c r="C103" s="21" t="s">
        <v>107</v>
      </c>
      <c r="D103" s="21" t="s">
        <v>108</v>
      </c>
      <c r="E103" s="5"/>
    </row>
    <row r="104" spans="3:17" outlineLevel="1" x14ac:dyDescent="0.35">
      <c r="C104" s="5"/>
      <c r="D104" s="5"/>
      <c r="E104" s="5"/>
      <c r="F104" t="s">
        <v>11</v>
      </c>
      <c r="H104" s="32">
        <f>IF(ISNUMBER(H105),H105*H108,"-")</f>
        <v>0.21776039999999999</v>
      </c>
      <c r="I104" s="32">
        <f t="shared" ref="I104:Q104" si="16">IF(ISNUMBER(I105),I105*I108,"-")</f>
        <v>0.21995999999999999</v>
      </c>
      <c r="J104" s="32" t="str">
        <f t="shared" si="16"/>
        <v>-</v>
      </c>
      <c r="K104" s="32" t="str">
        <f t="shared" si="16"/>
        <v>-</v>
      </c>
      <c r="L104" s="32" t="str">
        <f t="shared" si="16"/>
        <v>-</v>
      </c>
      <c r="M104" s="32" t="str">
        <f t="shared" si="16"/>
        <v>-</v>
      </c>
      <c r="N104" s="32" t="str">
        <f t="shared" si="16"/>
        <v>-</v>
      </c>
      <c r="O104" s="32" t="str">
        <f t="shared" si="16"/>
        <v>-</v>
      </c>
      <c r="P104" s="32" t="str">
        <f t="shared" si="16"/>
        <v>-</v>
      </c>
      <c r="Q104" s="32" t="str">
        <f t="shared" si="16"/>
        <v>-</v>
      </c>
    </row>
    <row r="105" spans="3:17" outlineLevel="1" x14ac:dyDescent="0.35">
      <c r="C105" s="5" t="s">
        <v>109</v>
      </c>
      <c r="D105" t="s">
        <v>110</v>
      </c>
      <c r="F105" t="s">
        <v>11</v>
      </c>
      <c r="H105" s="81">
        <f>IF(Input!$E$53="default",IF(ISNUMBER(I83),I105*H107,IF(ISNUMBER(H83),Input!$E$52,"-")),"-")</f>
        <v>0.23166</v>
      </c>
      <c r="I105" s="81">
        <f>IF(Input!$E$53="default",IF(ISNUMBER(J83),J105*I107,IF(ISNUMBER(I83),Input!$E$52,"-")),"-")</f>
        <v>0.23400000000000001</v>
      </c>
      <c r="J105" s="81" t="str">
        <f>IF(Input!$E$53="default",IF(ISNUMBER(K83),K105*J107,IF(ISNUMBER(J83),Input!$E$52,"-")),"-")</f>
        <v>-</v>
      </c>
      <c r="K105" s="81" t="str">
        <f>IF(Input!$E$53="default",IF(ISNUMBER(L83),L105*K107,IF(ISNUMBER(K83),Input!$E$52,"-")),"-")</f>
        <v>-</v>
      </c>
      <c r="L105" s="81" t="str">
        <f>IF(Input!$E$53="default",IF(ISNUMBER(M83),M105*L107,IF(ISNUMBER(L83),Input!$E$52,"-")),"-")</f>
        <v>-</v>
      </c>
      <c r="M105" s="81" t="str">
        <f>IF(Input!$E$53="default",IF(ISNUMBER(N83),N105*M107,IF(ISNUMBER(M83),Input!$E$52,"-")),"-")</f>
        <v>-</v>
      </c>
      <c r="N105" s="81" t="str">
        <f>IF(Input!$E$53="default",IF(ISNUMBER(O83),O105*N107,IF(ISNUMBER(N83),Input!$E$52,"-")),"-")</f>
        <v>-</v>
      </c>
      <c r="O105" s="81" t="str">
        <f>IF(Input!$E$53="default",IF(ISNUMBER(P83),P105*O107,IF(ISNUMBER(O83),Input!$E$52,"-")),"-")</f>
        <v>-</v>
      </c>
      <c r="P105" s="81" t="str">
        <f>IF(Input!$E$53="default",IF(ISNUMBER(Q83),Q105*P107,IF(ISNUMBER(P83),Input!$E$52,"-")),"-")</f>
        <v>-</v>
      </c>
      <c r="Q105" s="81" t="str">
        <f>IF(Input!$E$53="default",IF(ISNUMBER(R83),R105*Q107,IF(ISNUMBER(Q83),Input!$E$52,"-")),"-")</f>
        <v>-</v>
      </c>
    </row>
    <row r="106" spans="3:17" outlineLevel="1" x14ac:dyDescent="0.35">
      <c r="C106" s="5"/>
      <c r="G106" s="18" t="s">
        <v>111</v>
      </c>
      <c r="H106" s="43"/>
      <c r="I106" s="43"/>
      <c r="J106" s="43"/>
      <c r="K106" s="43"/>
      <c r="L106" s="43"/>
      <c r="M106" s="43"/>
      <c r="N106" s="43"/>
      <c r="O106" s="43"/>
      <c r="P106" s="43"/>
      <c r="Q106" s="43"/>
    </row>
    <row r="107" spans="3:17" outlineLevel="1" x14ac:dyDescent="0.35">
      <c r="C107" s="5" t="s">
        <v>112</v>
      </c>
      <c r="D107" t="s">
        <v>113</v>
      </c>
      <c r="F107" t="s">
        <v>11</v>
      </c>
      <c r="H107" s="33">
        <v>0.99</v>
      </c>
      <c r="I107" s="33">
        <v>0.99</v>
      </c>
      <c r="J107" s="33">
        <v>0.99</v>
      </c>
      <c r="K107" s="33">
        <v>0.99</v>
      </c>
      <c r="L107" s="33">
        <v>0.99</v>
      </c>
      <c r="M107" s="33">
        <v>0.99</v>
      </c>
      <c r="N107" s="33">
        <v>0.99</v>
      </c>
      <c r="O107" s="33">
        <v>0.99</v>
      </c>
      <c r="P107" s="33">
        <v>0.99</v>
      </c>
      <c r="Q107" s="33">
        <v>0.99</v>
      </c>
    </row>
    <row r="108" spans="3:17" outlineLevel="1" x14ac:dyDescent="0.35">
      <c r="C108" s="5">
        <v>0.94</v>
      </c>
      <c r="D108" t="s">
        <v>114</v>
      </c>
      <c r="F108" s="19" t="s">
        <v>45</v>
      </c>
      <c r="H108" s="33">
        <v>0.94</v>
      </c>
      <c r="I108" s="33">
        <v>0.94</v>
      </c>
      <c r="J108" s="33">
        <v>0.94</v>
      </c>
      <c r="K108" s="33">
        <v>0.94</v>
      </c>
      <c r="L108" s="33">
        <v>0.94</v>
      </c>
      <c r="M108" s="33">
        <v>0.94</v>
      </c>
      <c r="N108" s="33">
        <v>0.94</v>
      </c>
      <c r="O108" s="33">
        <v>0.94</v>
      </c>
      <c r="P108" s="33">
        <v>0.94</v>
      </c>
      <c r="Q108" s="33">
        <v>0.94</v>
      </c>
    </row>
    <row r="109" spans="3:17" outlineLevel="1" x14ac:dyDescent="0.35"/>
    <row r="110" spans="3:17" outlineLevel="1" x14ac:dyDescent="0.35"/>
    <row r="111" spans="3:17" outlineLevel="1" x14ac:dyDescent="0.35">
      <c r="C111" s="21" t="s">
        <v>49</v>
      </c>
      <c r="D111" s="5"/>
      <c r="E111" s="5" t="s">
        <v>115</v>
      </c>
      <c r="H111" s="35">
        <f>IF(ISNUMBER(H86),IF(Input!$E$58="default",(1-Input!$E$59)*H86,(1-Input!$E$60)*H86),"-")</f>
        <v>446.65320013357245</v>
      </c>
      <c r="I111" s="35">
        <f>IF(ISNUMBER(I86),IF(Input!$E$58="default",(1-Input!$E$59)*I86,(1-Input!$E$60)*I86),"-")</f>
        <v>195.47868230470309</v>
      </c>
      <c r="J111" s="35" t="str">
        <f>IF(ISNUMBER(J86),IF(Input!$E$58="default",(1-Input!$E$59)*J86,(1-Input!$E$60)*J86),"-")</f>
        <v>-</v>
      </c>
      <c r="K111" s="35" t="str">
        <f>IF(ISNUMBER(K86),IF(Input!$E$58="default",(1-Input!$E$59)*K86,(1-Input!$E$60)*K86),"-")</f>
        <v>-</v>
      </c>
      <c r="L111" s="35" t="str">
        <f>IF(ISNUMBER(L86),IF(Input!$E$58="default",(1-Input!$E$59)*L86,(1-Input!$E$60)*L86),"-")</f>
        <v>-</v>
      </c>
      <c r="M111" s="35" t="str">
        <f>IF(ISNUMBER(M86),IF(Input!$E$58="default",(1-Input!$E$59)*M86,(1-Input!$E$60)*M86),"-")</f>
        <v>-</v>
      </c>
      <c r="N111" s="35" t="str">
        <f>IF(ISNUMBER(N86),IF(Input!$E$58="default",(1-Input!$E$59)*N86,(1-Input!$E$60)*N86),"-")</f>
        <v>-</v>
      </c>
      <c r="O111" s="35" t="str">
        <f>IF(ISNUMBER(O86),IF(Input!$E$58="default",(1-Input!$E$59)*O86,(1-Input!$E$60)*O86),"-")</f>
        <v>-</v>
      </c>
      <c r="P111" s="35" t="str">
        <f>IF(ISNUMBER(P86),IF(Input!$E$58="default",(1-Input!$E$59)*P86,(1-Input!$E$60)*P86),"-")</f>
        <v>-</v>
      </c>
      <c r="Q111" s="35" t="str">
        <f>IF(ISNUMBER(Q86),IF(Input!$E$58="default",(1-Input!$E$59)*Q86,(1-Input!$E$60)*Q86),"-")</f>
        <v>-</v>
      </c>
    </row>
    <row r="112" spans="3:17" ht="15" outlineLevel="1" thickBot="1" x14ac:dyDescent="0.4"/>
    <row r="113" spans="3:17" outlineLevel="1" x14ac:dyDescent="0.35">
      <c r="C113" s="54" t="s">
        <v>116</v>
      </c>
      <c r="D113" s="55"/>
      <c r="E113" s="55" t="s">
        <v>115</v>
      </c>
      <c r="F113" s="55"/>
      <c r="G113" s="55"/>
      <c r="H113" s="56">
        <f t="shared" ref="H113:Q113" si="17">IF(ISNUMBER(H111),H86-H111,"-")</f>
        <v>8486.4108025378682</v>
      </c>
      <c r="I113" s="56">
        <f t="shared" si="17"/>
        <v>3714.0949637893555</v>
      </c>
      <c r="J113" s="56" t="str">
        <f t="shared" si="17"/>
        <v>-</v>
      </c>
      <c r="K113" s="56" t="str">
        <f t="shared" si="17"/>
        <v>-</v>
      </c>
      <c r="L113" s="56" t="str">
        <f t="shared" si="17"/>
        <v>-</v>
      </c>
      <c r="M113" s="57" t="str">
        <f t="shared" si="17"/>
        <v>-</v>
      </c>
      <c r="N113" s="57" t="str">
        <f t="shared" si="17"/>
        <v>-</v>
      </c>
      <c r="O113" s="57" t="str">
        <f t="shared" si="17"/>
        <v>-</v>
      </c>
      <c r="P113" s="57" t="str">
        <f t="shared" si="17"/>
        <v>-</v>
      </c>
      <c r="Q113" s="58" t="str">
        <f t="shared" si="17"/>
        <v>-</v>
      </c>
    </row>
    <row r="114" spans="3:17" ht="15" outlineLevel="1" thickBot="1" x14ac:dyDescent="0.4">
      <c r="C114" s="59" t="s">
        <v>117</v>
      </c>
      <c r="D114" s="60"/>
      <c r="E114" s="61" t="s">
        <v>118</v>
      </c>
      <c r="F114" s="62"/>
      <c r="G114" s="60">
        <f>SUM(H113:Q113)</f>
        <v>12200.505766327224</v>
      </c>
      <c r="H114" s="63"/>
      <c r="I114" s="63"/>
      <c r="J114" s="63"/>
      <c r="K114" s="63"/>
      <c r="L114" s="63"/>
      <c r="M114" s="63"/>
      <c r="N114" s="63"/>
      <c r="O114" s="63"/>
      <c r="P114" s="63"/>
      <c r="Q114" s="64"/>
    </row>
    <row r="115" spans="3:17" outlineLevel="1" x14ac:dyDescent="0.35"/>
    <row r="116" spans="3:17" ht="15" thickBot="1" x14ac:dyDescent="0.4">
      <c r="C116" s="15"/>
      <c r="D116" s="15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15"/>
    </row>
    <row r="118" spans="3:17" ht="15" thickBot="1" x14ac:dyDescent="0.4"/>
    <row r="119" spans="3:17" ht="15" thickBot="1" x14ac:dyDescent="0.4">
      <c r="C119" s="82" t="s">
        <v>12</v>
      </c>
    </row>
    <row r="120" spans="3:17" ht="15.5" outlineLevel="1" x14ac:dyDescent="0.35">
      <c r="G120" s="47"/>
      <c r="H120" s="51">
        <f>Input!$E$23</f>
        <v>2020</v>
      </c>
      <c r="I120" s="51">
        <f>IF(H120&lt;YEAR(Input!$E$13),H120+1,"N/A")</f>
        <v>2021</v>
      </c>
      <c r="J120" s="51" t="str">
        <f>IF(I120&lt;YEAR(Input!$E$13),I120+1,"N/A")</f>
        <v>N/A</v>
      </c>
      <c r="K120" s="51" t="str">
        <f>IF(J120&lt;YEAR(Input!$E$13),J120+1,"N/A")</f>
        <v>N/A</v>
      </c>
      <c r="L120" s="51" t="str">
        <f>IF(K120&lt;YEAR(Input!$E$13),K120+1,"N/A")</f>
        <v>N/A</v>
      </c>
      <c r="M120" s="51" t="str">
        <f>IF(L120&lt;YEAR(Input!$E$13),L120+1,"N/A")</f>
        <v>N/A</v>
      </c>
      <c r="N120" s="51" t="str">
        <f>IF(M120&lt;YEAR(Input!$E$13),M120+1,"N/A")</f>
        <v>N/A</v>
      </c>
      <c r="O120" s="51" t="str">
        <f>IF(N120&lt;YEAR(Input!$E$13),N120+1,"N/A")</f>
        <v>N/A</v>
      </c>
      <c r="P120" s="51" t="str">
        <f>IF(O120&lt;YEAR(Input!$E$13),O120+1,"N/A")</f>
        <v>N/A</v>
      </c>
      <c r="Q120" s="51" t="str">
        <f>IF(P120&lt;YEAR(Input!$E$13),P120+1,"N/A")</f>
        <v>N/A</v>
      </c>
    </row>
    <row r="121" spans="3:17" ht="15.5" outlineLevel="1" x14ac:dyDescent="0.35">
      <c r="F121" s="20" t="s">
        <v>88</v>
      </c>
      <c r="G121" s="20" t="s">
        <v>89</v>
      </c>
      <c r="H121" s="52" t="str">
        <f>Input!L$13</f>
        <v>AG 1-2</v>
      </c>
      <c r="I121" s="52" t="str">
        <f>Input!M$13</f>
        <v>AG 0-1</v>
      </c>
      <c r="J121" s="52" t="str">
        <f>Input!N$13</f>
        <v>N/A</v>
      </c>
      <c r="K121" s="52" t="str">
        <f>Input!O$13</f>
        <v>N/A</v>
      </c>
      <c r="L121" s="52" t="str">
        <f>Input!P$13</f>
        <v>N/A</v>
      </c>
      <c r="M121" s="52" t="str">
        <f>Input!Q$13</f>
        <v>N/A</v>
      </c>
      <c r="N121" s="52" t="str">
        <f>Input!R$13</f>
        <v>N/A</v>
      </c>
      <c r="O121" s="52" t="str">
        <f>Input!S$13</f>
        <v>N/A</v>
      </c>
      <c r="P121" s="52" t="str">
        <f>Input!T$13</f>
        <v>N/A</v>
      </c>
      <c r="Q121" s="52" t="str">
        <f>Input!U$13</f>
        <v>N/A</v>
      </c>
    </row>
    <row r="122" spans="3:17" ht="15.5" outlineLevel="1" x14ac:dyDescent="0.35">
      <c r="C122" s="21" t="s">
        <v>90</v>
      </c>
      <c r="D122" s="5"/>
      <c r="E122" s="5"/>
      <c r="H122" s="30"/>
      <c r="I122" s="30"/>
      <c r="J122" s="30"/>
      <c r="K122" s="30"/>
      <c r="L122" s="30"/>
      <c r="M122" s="30"/>
      <c r="N122" s="30"/>
      <c r="O122" s="30"/>
      <c r="P122" s="30"/>
      <c r="Q122" s="30"/>
    </row>
    <row r="123" spans="3:17" outlineLevel="1" x14ac:dyDescent="0.35">
      <c r="C123" s="5"/>
      <c r="D123" s="5"/>
      <c r="E123" s="5"/>
      <c r="F123" t="s">
        <v>91</v>
      </c>
      <c r="H123" s="34">
        <f>IF(ISNUMBER(H125),H124*H125*H126*(H127*H128+H129)*(1-H130),"-")</f>
        <v>2261.1212033043994</v>
      </c>
      <c r="I123" s="34">
        <f t="shared" ref="I123:Q123" si="18">IF(ISNUMBER(I125),I124*I125*I126*(I127*I128+I129)*(1-I130),"-")</f>
        <v>8155.0466307837178</v>
      </c>
      <c r="J123" s="34" t="str">
        <f t="shared" si="18"/>
        <v>-</v>
      </c>
      <c r="K123" s="34" t="str">
        <f t="shared" si="18"/>
        <v>-</v>
      </c>
      <c r="L123" s="34" t="str">
        <f t="shared" si="18"/>
        <v>-</v>
      </c>
      <c r="M123" s="34" t="str">
        <f t="shared" si="18"/>
        <v>-</v>
      </c>
      <c r="N123" s="34" t="str">
        <f t="shared" si="18"/>
        <v>-</v>
      </c>
      <c r="O123" s="34" t="str">
        <f t="shared" si="18"/>
        <v>-</v>
      </c>
      <c r="P123" s="34" t="str">
        <f t="shared" si="18"/>
        <v>-</v>
      </c>
      <c r="Q123" s="34" t="str">
        <f t="shared" si="18"/>
        <v>-</v>
      </c>
    </row>
    <row r="124" spans="3:17" outlineLevel="1" x14ac:dyDescent="0.35">
      <c r="C124" s="5" t="s">
        <v>92</v>
      </c>
      <c r="D124" t="s">
        <v>93</v>
      </c>
      <c r="H124" s="46">
        <f>VLOOKUP($C119,Input!$K$22:$V$25,2,FALSE)</f>
        <v>547.98082191780827</v>
      </c>
      <c r="I124" s="46">
        <f>VLOOKUP($C119,Input!$K$22:$V$25,3,FALSE)</f>
        <v>1777.3671232876711</v>
      </c>
      <c r="J124" s="46">
        <f>VLOOKUP($C119,Input!$K$22:$V$25,4,FALSE)</f>
        <v>0</v>
      </c>
      <c r="K124" s="46">
        <f>VLOOKUP($C119,Input!$K$22:$V$25,5,FALSE)</f>
        <v>0</v>
      </c>
      <c r="L124" s="46">
        <f>VLOOKUP($C119,Input!$K$22:$V$25,6,FALSE)</f>
        <v>0</v>
      </c>
      <c r="M124" s="46">
        <f>VLOOKUP($C119,Input!$K$22:$V$25,7,FALSE)</f>
        <v>0</v>
      </c>
      <c r="N124" s="46">
        <f>VLOOKUP($C119,Input!$K$22:$V$25,8,FALSE)</f>
        <v>0</v>
      </c>
      <c r="O124" s="46">
        <f>VLOOKUP($C119,Input!$K$22:$V$25,9,FALSE)</f>
        <v>0</v>
      </c>
      <c r="P124" s="46">
        <f>VLOOKUP($C119,Input!$K$22:$V$25,10,FALSE)</f>
        <v>0</v>
      </c>
      <c r="Q124" s="46">
        <f>VLOOKUP($C119,Input!$K$22:$V$25,11,FALSE)</f>
        <v>0</v>
      </c>
    </row>
    <row r="125" spans="3:17" outlineLevel="1" x14ac:dyDescent="0.35">
      <c r="C125" s="5" t="s">
        <v>94</v>
      </c>
      <c r="D125" t="s">
        <v>95</v>
      </c>
      <c r="F125" t="s">
        <v>96</v>
      </c>
      <c r="H125" s="23">
        <f t="shared" ref="H125:Q125" si="19">H134</f>
        <v>2.1319247938034662</v>
      </c>
      <c r="I125" s="23">
        <f t="shared" si="19"/>
        <v>2.1500287132348159</v>
      </c>
      <c r="J125" s="23" t="str">
        <f t="shared" si="19"/>
        <v>-</v>
      </c>
      <c r="K125" s="23" t="str">
        <f t="shared" si="19"/>
        <v>-</v>
      </c>
      <c r="L125" s="23" t="str">
        <f t="shared" si="19"/>
        <v>-</v>
      </c>
      <c r="M125" s="23" t="str">
        <f t="shared" si="19"/>
        <v>-</v>
      </c>
      <c r="N125" s="23" t="str">
        <f t="shared" si="19"/>
        <v>-</v>
      </c>
      <c r="O125" s="23" t="str">
        <f t="shared" si="19"/>
        <v>-</v>
      </c>
      <c r="P125" s="23" t="str">
        <f t="shared" si="19"/>
        <v>-</v>
      </c>
      <c r="Q125" s="23" t="str">
        <f t="shared" si="19"/>
        <v>-</v>
      </c>
    </row>
    <row r="126" spans="3:17" outlineLevel="1" x14ac:dyDescent="0.35">
      <c r="C126" s="5" t="s">
        <v>10</v>
      </c>
      <c r="D126" t="s">
        <v>97</v>
      </c>
      <c r="F126" t="s">
        <v>11</v>
      </c>
      <c r="H126" s="44">
        <f>Input!L$15</f>
        <v>0.9</v>
      </c>
      <c r="I126" s="44">
        <f>Input!M$15</f>
        <v>0.99090909090909096</v>
      </c>
      <c r="J126" s="44">
        <f>Input!N$15</f>
        <v>0</v>
      </c>
      <c r="K126" s="44">
        <f>Input!O$15</f>
        <v>0</v>
      </c>
      <c r="L126" s="44">
        <f>Input!P$15</f>
        <v>0</v>
      </c>
      <c r="M126" s="44">
        <f>Input!Q$15</f>
        <v>0</v>
      </c>
      <c r="N126" s="44">
        <f>Input!R$15</f>
        <v>0</v>
      </c>
      <c r="O126" s="44">
        <f>Input!S$15</f>
        <v>0</v>
      </c>
      <c r="P126" s="44">
        <f>Input!T$15</f>
        <v>0</v>
      </c>
      <c r="Q126" s="44">
        <f>Input!U$15</f>
        <v>0</v>
      </c>
    </row>
    <row r="127" spans="3:17" outlineLevel="1" x14ac:dyDescent="0.35">
      <c r="C127" s="5" t="s">
        <v>36</v>
      </c>
      <c r="D127" t="s">
        <v>98</v>
      </c>
      <c r="F127" t="s">
        <v>11</v>
      </c>
      <c r="H127" s="22">
        <f>Input!$E$43</f>
        <v>0.9</v>
      </c>
      <c r="I127" s="22">
        <f>Input!$E$43</f>
        <v>0.9</v>
      </c>
      <c r="J127" s="22">
        <f>Input!$E$43</f>
        <v>0.9</v>
      </c>
      <c r="K127" s="22">
        <f>Input!$E$43</f>
        <v>0.9</v>
      </c>
      <c r="L127" s="22">
        <f>Input!$E$43</f>
        <v>0.9</v>
      </c>
      <c r="M127" s="22">
        <f>Input!$E$43</f>
        <v>0.9</v>
      </c>
      <c r="N127" s="22">
        <f>Input!$E$43</f>
        <v>0.9</v>
      </c>
      <c r="O127" s="22">
        <f>Input!$E$43</f>
        <v>0.9</v>
      </c>
      <c r="P127" s="22">
        <f>Input!$E$43</f>
        <v>0.9</v>
      </c>
      <c r="Q127" s="22">
        <f>Input!$E$43</f>
        <v>0.9</v>
      </c>
    </row>
    <row r="128" spans="3:17" outlineLevel="1" x14ac:dyDescent="0.35">
      <c r="C128" s="5" t="s">
        <v>37</v>
      </c>
      <c r="D128" t="s">
        <v>99</v>
      </c>
      <c r="F128" t="s">
        <v>38</v>
      </c>
      <c r="H128" s="23">
        <f>Input!$E$44</f>
        <v>1.7471999999999999</v>
      </c>
      <c r="I128" s="23">
        <f>Input!$E$44</f>
        <v>1.7471999999999999</v>
      </c>
      <c r="J128" s="23">
        <f>Input!$E$44</f>
        <v>1.7471999999999999</v>
      </c>
      <c r="K128" s="23">
        <f>Input!$E$44</f>
        <v>1.7471999999999999</v>
      </c>
      <c r="L128" s="23">
        <f>Input!$E$44</f>
        <v>1.7471999999999999</v>
      </c>
      <c r="M128" s="23">
        <f>Input!$E$44</f>
        <v>1.7471999999999999</v>
      </c>
      <c r="N128" s="23">
        <f>Input!$E$44</f>
        <v>1.7471999999999999</v>
      </c>
      <c r="O128" s="23">
        <f>Input!$E$44</f>
        <v>1.7471999999999999</v>
      </c>
      <c r="P128" s="23">
        <f>Input!$E$44</f>
        <v>1.7471999999999999</v>
      </c>
      <c r="Q128" s="23">
        <f>Input!$E$44</f>
        <v>1.7471999999999999</v>
      </c>
    </row>
    <row r="129" spans="3:17" outlineLevel="1" x14ac:dyDescent="0.35">
      <c r="C129" s="5" t="s">
        <v>39</v>
      </c>
      <c r="D129" t="s">
        <v>100</v>
      </c>
      <c r="F129" t="s">
        <v>38</v>
      </c>
      <c r="H129" s="23">
        <f>Input!$E$45</f>
        <v>0.58115070000000002</v>
      </c>
      <c r="I129" s="23">
        <f>Input!$E$45</f>
        <v>0.58115070000000002</v>
      </c>
      <c r="J129" s="23">
        <f>Input!$E$45</f>
        <v>0.58115070000000002</v>
      </c>
      <c r="K129" s="23">
        <f>Input!$E$45</f>
        <v>0.58115070000000002</v>
      </c>
      <c r="L129" s="23">
        <f>Input!$E$45</f>
        <v>0.58115070000000002</v>
      </c>
      <c r="M129" s="23">
        <f>Input!$E$45</f>
        <v>0.58115070000000002</v>
      </c>
      <c r="N129" s="23">
        <f>Input!$E$45</f>
        <v>0.58115070000000002</v>
      </c>
      <c r="O129" s="23">
        <f>Input!$E$45</f>
        <v>0.58115070000000002</v>
      </c>
      <c r="P129" s="23">
        <f>Input!$E$45</f>
        <v>0.58115070000000002</v>
      </c>
      <c r="Q129" s="23">
        <f>Input!$E$45</f>
        <v>0.58115070000000002</v>
      </c>
    </row>
    <row r="130" spans="3:17" outlineLevel="1" x14ac:dyDescent="0.35">
      <c r="C130" s="5" t="s">
        <v>13</v>
      </c>
      <c r="D130" t="s">
        <v>101</v>
      </c>
      <c r="F130" t="s">
        <v>11</v>
      </c>
      <c r="H130" s="44">
        <f>Input!L$16</f>
        <v>1.443001443001443E-3</v>
      </c>
      <c r="I130" s="44">
        <f>Input!M$16</f>
        <v>0</v>
      </c>
      <c r="J130" s="44">
        <f>Input!N$16</f>
        <v>0</v>
      </c>
      <c r="K130" s="44">
        <f>Input!O$16</f>
        <v>0</v>
      </c>
      <c r="L130" s="44">
        <f>Input!P$16</f>
        <v>0</v>
      </c>
      <c r="M130" s="44">
        <f>Input!Q$16</f>
        <v>0</v>
      </c>
      <c r="N130" s="44">
        <f>Input!R$16</f>
        <v>0</v>
      </c>
      <c r="O130" s="44">
        <f>Input!S$16</f>
        <v>0</v>
      </c>
      <c r="P130" s="44">
        <f>Input!T$16</f>
        <v>0</v>
      </c>
      <c r="Q130" s="44">
        <f>Input!U$16</f>
        <v>0</v>
      </c>
    </row>
    <row r="131" spans="3:17" outlineLevel="1" x14ac:dyDescent="0.35"/>
    <row r="132" spans="3:17" outlineLevel="1" x14ac:dyDescent="0.35"/>
    <row r="133" spans="3:17" outlineLevel="1" x14ac:dyDescent="0.35">
      <c r="C133" s="21" t="s">
        <v>94</v>
      </c>
      <c r="D133" s="21" t="s">
        <v>95</v>
      </c>
      <c r="E133" s="5"/>
    </row>
    <row r="134" spans="3:17" outlineLevel="1" x14ac:dyDescent="0.35">
      <c r="C134" s="5"/>
      <c r="D134" s="5"/>
      <c r="E134" s="5"/>
      <c r="F134" t="s">
        <v>102</v>
      </c>
      <c r="H134" s="31">
        <f>IF(ISNUMBER(H137),H135*(1-H136/H137),"-")</f>
        <v>2.1319247938034662</v>
      </c>
      <c r="I134" s="31">
        <f t="shared" ref="I134:Q134" si="20">IF(ISNUMBER(I137),I135*(1-I136/I137),"-")</f>
        <v>2.1500287132348159</v>
      </c>
      <c r="J134" s="31" t="str">
        <f t="shared" si="20"/>
        <v>-</v>
      </c>
      <c r="K134" s="31" t="str">
        <f t="shared" si="20"/>
        <v>-</v>
      </c>
      <c r="L134" s="31" t="str">
        <f t="shared" si="20"/>
        <v>-</v>
      </c>
      <c r="M134" s="31" t="str">
        <f t="shared" si="20"/>
        <v>-</v>
      </c>
      <c r="N134" s="31" t="str">
        <f t="shared" si="20"/>
        <v>-</v>
      </c>
      <c r="O134" s="31" t="str">
        <f t="shared" si="20"/>
        <v>-</v>
      </c>
      <c r="P134" s="31" t="str">
        <f t="shared" si="20"/>
        <v>-</v>
      </c>
      <c r="Q134" s="31" t="str">
        <f t="shared" si="20"/>
        <v>-</v>
      </c>
    </row>
    <row r="135" spans="3:17" outlineLevel="1" x14ac:dyDescent="0.35">
      <c r="C135" s="5" t="s">
        <v>103</v>
      </c>
      <c r="D135" t="s">
        <v>104</v>
      </c>
      <c r="H135" s="23">
        <f>VLOOKUP($C119,Input!$C$36:$E$39,3,FALSE)</f>
        <v>3.9423167369383973</v>
      </c>
      <c r="I135" s="23">
        <f>VLOOKUP($C119,Input!$C$36:$E$39,3,FALSE)</f>
        <v>3.9423167369383973</v>
      </c>
      <c r="J135" s="23">
        <f>VLOOKUP($C119,Input!$C$36:$E$39,3,FALSE)</f>
        <v>3.9423167369383973</v>
      </c>
      <c r="K135" s="23">
        <f>VLOOKUP($C119,Input!$C$36:$E$39,3,FALSE)</f>
        <v>3.9423167369383973</v>
      </c>
      <c r="L135" s="23">
        <f>VLOOKUP($C119,Input!$C$36:$E$39,3,FALSE)</f>
        <v>3.9423167369383973</v>
      </c>
      <c r="M135" s="23">
        <f>VLOOKUP($C119,Input!$C$36:$E$39,3,FALSE)</f>
        <v>3.9423167369383973</v>
      </c>
      <c r="N135" s="23">
        <f>VLOOKUP($C119,Input!$C$36:$E$39,3,FALSE)</f>
        <v>3.9423167369383973</v>
      </c>
      <c r="O135" s="23">
        <f>VLOOKUP($C119,Input!$C$36:$E$39,3,FALSE)</f>
        <v>3.9423167369383973</v>
      </c>
      <c r="P135" s="23">
        <f>VLOOKUP($C119,Input!$C$36:$E$39,3,FALSE)</f>
        <v>3.9423167369383973</v>
      </c>
      <c r="Q135" s="23">
        <f>VLOOKUP($C119,Input!$C$36:$E$39,3,FALSE)</f>
        <v>3.9423167369383973</v>
      </c>
    </row>
    <row r="136" spans="3:17" outlineLevel="1" x14ac:dyDescent="0.35">
      <c r="C136" s="5" t="s">
        <v>105</v>
      </c>
      <c r="D136" t="s">
        <v>106</v>
      </c>
      <c r="F136" t="s">
        <v>11</v>
      </c>
      <c r="H136" s="22">
        <f>IF(Input!$E$49="Default",Input!$E$50,Input!$E$51)</f>
        <v>0.1</v>
      </c>
      <c r="I136" s="22">
        <f>IF(Input!$E$49="Default",Input!$E$50,Input!$E$51)</f>
        <v>0.1</v>
      </c>
      <c r="J136" s="22">
        <f>IF(Input!$E$49="Default",Input!$E$50,Input!$E$51)</f>
        <v>0.1</v>
      </c>
      <c r="K136" s="22">
        <f>IF(Input!$E$49="Default",Input!$E$50,Input!$E$51)</f>
        <v>0.1</v>
      </c>
      <c r="L136" s="22">
        <f>IF(Input!$E$49="Default",Input!$E$50,Input!$E$51)</f>
        <v>0.1</v>
      </c>
      <c r="M136" s="22">
        <f>IF(Input!$E$49="Default",Input!$E$50,Input!$E$51)</f>
        <v>0.1</v>
      </c>
      <c r="N136" s="22">
        <f>IF(Input!$E$49="Default",Input!$E$50,Input!$E$51)</f>
        <v>0.1</v>
      </c>
      <c r="O136" s="22">
        <f>IF(Input!$E$49="Default",Input!$E$50,Input!$E$51)</f>
        <v>0.1</v>
      </c>
      <c r="P136" s="22">
        <f>IF(Input!$E$49="Default",Input!$E$50,Input!$E$51)</f>
        <v>0.1</v>
      </c>
      <c r="Q136" s="22">
        <f>IF(Input!$E$49="Default",Input!$E$50,Input!$E$51)</f>
        <v>0.1</v>
      </c>
    </row>
    <row r="137" spans="3:17" outlineLevel="1" x14ac:dyDescent="0.35">
      <c r="C137" s="5" t="s">
        <v>107</v>
      </c>
      <c r="D137" t="s">
        <v>108</v>
      </c>
      <c r="F137" t="s">
        <v>11</v>
      </c>
      <c r="H137" s="22">
        <f>H141</f>
        <v>0.21776039999999999</v>
      </c>
      <c r="I137" s="22">
        <f t="shared" ref="I137:Q137" si="21">I141</f>
        <v>0.21995999999999999</v>
      </c>
      <c r="J137" s="22" t="str">
        <f t="shared" si="21"/>
        <v>-</v>
      </c>
      <c r="K137" s="22" t="str">
        <f t="shared" si="21"/>
        <v>-</v>
      </c>
      <c r="L137" s="22" t="str">
        <f t="shared" si="21"/>
        <v>-</v>
      </c>
      <c r="M137" s="22" t="str">
        <f t="shared" si="21"/>
        <v>-</v>
      </c>
      <c r="N137" s="22" t="str">
        <f t="shared" si="21"/>
        <v>-</v>
      </c>
      <c r="O137" s="22" t="str">
        <f t="shared" si="21"/>
        <v>-</v>
      </c>
      <c r="P137" s="22" t="str">
        <f t="shared" si="21"/>
        <v>-</v>
      </c>
      <c r="Q137" s="22" t="str">
        <f t="shared" si="21"/>
        <v>-</v>
      </c>
    </row>
    <row r="138" spans="3:17" outlineLevel="1" x14ac:dyDescent="0.35"/>
    <row r="139" spans="3:17" outlineLevel="1" x14ac:dyDescent="0.35"/>
    <row r="140" spans="3:17" outlineLevel="1" x14ac:dyDescent="0.35">
      <c r="C140" s="21" t="s">
        <v>107</v>
      </c>
      <c r="D140" s="21" t="s">
        <v>108</v>
      </c>
      <c r="E140" s="5"/>
    </row>
    <row r="141" spans="3:17" outlineLevel="1" x14ac:dyDescent="0.35">
      <c r="C141" s="5"/>
      <c r="D141" s="5"/>
      <c r="E141" s="5"/>
      <c r="F141" t="s">
        <v>11</v>
      </c>
      <c r="H141" s="32">
        <f>IF(ISNUMBER(H142),H142*H145,"-")</f>
        <v>0.21776039999999999</v>
      </c>
      <c r="I141" s="32">
        <f t="shared" ref="I141:Q141" si="22">IF(ISNUMBER(I142),I142*I145,"-")</f>
        <v>0.21995999999999999</v>
      </c>
      <c r="J141" s="32" t="str">
        <f t="shared" si="22"/>
        <v>-</v>
      </c>
      <c r="K141" s="32" t="str">
        <f t="shared" si="22"/>
        <v>-</v>
      </c>
      <c r="L141" s="32" t="str">
        <f t="shared" si="22"/>
        <v>-</v>
      </c>
      <c r="M141" s="32" t="str">
        <f t="shared" si="22"/>
        <v>-</v>
      </c>
      <c r="N141" s="32" t="str">
        <f t="shared" si="22"/>
        <v>-</v>
      </c>
      <c r="O141" s="32" t="str">
        <f t="shared" si="22"/>
        <v>-</v>
      </c>
      <c r="P141" s="32" t="str">
        <f t="shared" si="22"/>
        <v>-</v>
      </c>
      <c r="Q141" s="32" t="str">
        <f t="shared" si="22"/>
        <v>-</v>
      </c>
    </row>
    <row r="142" spans="3:17" outlineLevel="1" x14ac:dyDescent="0.35">
      <c r="C142" s="5" t="s">
        <v>109</v>
      </c>
      <c r="D142" t="s">
        <v>110</v>
      </c>
      <c r="F142" t="s">
        <v>11</v>
      </c>
      <c r="H142" s="81">
        <f>IF(Input!$E$53="default",IF(ISNUMBER(I120),I142*H144,IF(ISNUMBER(H120),Input!$E$52,"-")),"-")</f>
        <v>0.23166</v>
      </c>
      <c r="I142" s="81">
        <f>IF(Input!$E$53="default",IF(ISNUMBER(J120),J142*I144,IF(ISNUMBER(I120),Input!$E$52,"-")),"-")</f>
        <v>0.23400000000000001</v>
      </c>
      <c r="J142" s="81" t="str">
        <f>IF(Input!$E$53="default",IF(ISNUMBER(K120),K142*J144,IF(ISNUMBER(J120),Input!$E$52,"-")),"-")</f>
        <v>-</v>
      </c>
      <c r="K142" s="81" t="str">
        <f>IF(Input!$E$53="default",IF(ISNUMBER(L120),L142*K144,IF(ISNUMBER(K120),Input!$E$52,"-")),"-")</f>
        <v>-</v>
      </c>
      <c r="L142" s="81" t="str">
        <f>IF(Input!$E$53="default",IF(ISNUMBER(M120),M142*L144,IF(ISNUMBER(L120),Input!$E$52,"-")),"-")</f>
        <v>-</v>
      </c>
      <c r="M142" s="81" t="str">
        <f>IF(Input!$E$53="default",IF(ISNUMBER(N120),N142*M144,IF(ISNUMBER(M120),Input!$E$52,"-")),"-")</f>
        <v>-</v>
      </c>
      <c r="N142" s="81" t="str">
        <f>IF(Input!$E$53="default",IF(ISNUMBER(O120),O142*N144,IF(ISNUMBER(N120),Input!$E$52,"-")),"-")</f>
        <v>-</v>
      </c>
      <c r="O142" s="81" t="str">
        <f>IF(Input!$E$53="default",IF(ISNUMBER(P120),P142*O144,IF(ISNUMBER(O120),Input!$E$52,"-")),"-")</f>
        <v>-</v>
      </c>
      <c r="P142" s="81" t="str">
        <f>IF(Input!$E$53="default",IF(ISNUMBER(Q120),Q142*P144,IF(ISNUMBER(P120),Input!$E$52,"-")),"-")</f>
        <v>-</v>
      </c>
      <c r="Q142" s="81" t="str">
        <f>IF(Input!$E$53="default",IF(ISNUMBER(R120),R142*Q144,IF(ISNUMBER(Q120),Input!$E$52,"-")),"-")</f>
        <v>-</v>
      </c>
    </row>
    <row r="143" spans="3:17" outlineLevel="1" x14ac:dyDescent="0.35">
      <c r="C143" s="5"/>
      <c r="G143" s="18" t="s">
        <v>111</v>
      </c>
      <c r="H143" s="43"/>
      <c r="I143" s="43"/>
      <c r="J143" s="43"/>
      <c r="K143" s="43"/>
      <c r="L143" s="43"/>
      <c r="M143" s="43"/>
      <c r="N143" s="43"/>
      <c r="O143" s="43"/>
      <c r="P143" s="43"/>
      <c r="Q143" s="43"/>
    </row>
    <row r="144" spans="3:17" outlineLevel="1" x14ac:dyDescent="0.35">
      <c r="C144" s="5" t="s">
        <v>112</v>
      </c>
      <c r="D144" t="s">
        <v>113</v>
      </c>
      <c r="F144" t="s">
        <v>11</v>
      </c>
      <c r="H144" s="33">
        <v>0.99</v>
      </c>
      <c r="I144" s="33">
        <v>0.99</v>
      </c>
      <c r="J144" s="33">
        <v>0.99</v>
      </c>
      <c r="K144" s="33">
        <v>0.99</v>
      </c>
      <c r="L144" s="33">
        <v>0.99</v>
      </c>
      <c r="M144" s="33">
        <v>0.99</v>
      </c>
      <c r="N144" s="33">
        <v>0.99</v>
      </c>
      <c r="O144" s="33">
        <v>0.99</v>
      </c>
      <c r="P144" s="33">
        <v>0.99</v>
      </c>
      <c r="Q144" s="33">
        <v>0.99</v>
      </c>
    </row>
    <row r="145" spans="3:17" outlineLevel="1" x14ac:dyDescent="0.35">
      <c r="C145" s="5">
        <v>0.94</v>
      </c>
      <c r="D145" t="s">
        <v>114</v>
      </c>
      <c r="F145" s="19" t="s">
        <v>45</v>
      </c>
      <c r="H145" s="33">
        <v>0.94</v>
      </c>
      <c r="I145" s="33">
        <v>0.94</v>
      </c>
      <c r="J145" s="33">
        <v>0.94</v>
      </c>
      <c r="K145" s="33">
        <v>0.94</v>
      </c>
      <c r="L145" s="33">
        <v>0.94</v>
      </c>
      <c r="M145" s="33">
        <v>0.94</v>
      </c>
      <c r="N145" s="33">
        <v>0.94</v>
      </c>
      <c r="O145" s="33">
        <v>0.94</v>
      </c>
      <c r="P145" s="33">
        <v>0.94</v>
      </c>
      <c r="Q145" s="33">
        <v>0.94</v>
      </c>
    </row>
    <row r="146" spans="3:17" outlineLevel="1" x14ac:dyDescent="0.35"/>
    <row r="147" spans="3:17" outlineLevel="1" x14ac:dyDescent="0.35"/>
    <row r="148" spans="3:17" outlineLevel="1" x14ac:dyDescent="0.35">
      <c r="C148" s="21" t="s">
        <v>49</v>
      </c>
      <c r="D148" s="5"/>
      <c r="E148" s="5" t="s">
        <v>115</v>
      </c>
      <c r="H148" s="35">
        <f>IF(ISNUMBER(H123),IF(Input!$E$58="default",(1-Input!$E$59)*H123,(1-Input!$E$60)*H123),"-")</f>
        <v>113.05606016522007</v>
      </c>
      <c r="I148" s="35">
        <f>IF(ISNUMBER(I123),IF(Input!$E$58="default",(1-Input!$E$59)*I123,(1-Input!$E$60)*I123),"-")</f>
        <v>407.75233153918623</v>
      </c>
      <c r="J148" s="35" t="str">
        <f>IF(ISNUMBER(J123),IF(Input!$E$58="default",(1-Input!$E$59)*J123,(1-Input!$E$60)*J123),"-")</f>
        <v>-</v>
      </c>
      <c r="K148" s="35" t="str">
        <f>IF(ISNUMBER(K123),IF(Input!$E$58="default",(1-Input!$E$59)*K123,(1-Input!$E$60)*K123),"-")</f>
        <v>-</v>
      </c>
      <c r="L148" s="35" t="str">
        <f>IF(ISNUMBER(L123),IF(Input!$E$58="default",(1-Input!$E$59)*L123,(1-Input!$E$60)*L123),"-")</f>
        <v>-</v>
      </c>
      <c r="M148" s="35" t="str">
        <f>IF(ISNUMBER(M123),IF(Input!$E$58="default",(1-Input!$E$59)*M123,(1-Input!$E$60)*M123),"-")</f>
        <v>-</v>
      </c>
      <c r="N148" s="35" t="str">
        <f>IF(ISNUMBER(N123),IF(Input!$E$58="default",(1-Input!$E$59)*N123,(1-Input!$E$60)*N123),"-")</f>
        <v>-</v>
      </c>
      <c r="O148" s="35" t="str">
        <f>IF(ISNUMBER(O123),IF(Input!$E$58="default",(1-Input!$E$59)*O123,(1-Input!$E$60)*O123),"-")</f>
        <v>-</v>
      </c>
      <c r="P148" s="35" t="str">
        <f>IF(ISNUMBER(P123),IF(Input!$E$58="default",(1-Input!$E$59)*P123,(1-Input!$E$60)*P123),"-")</f>
        <v>-</v>
      </c>
      <c r="Q148" s="35" t="str">
        <f>IF(ISNUMBER(Q123),IF(Input!$E$58="default",(1-Input!$E$59)*Q123,(1-Input!$E$60)*Q123),"-")</f>
        <v>-</v>
      </c>
    </row>
    <row r="149" spans="3:17" ht="15" outlineLevel="1" thickBot="1" x14ac:dyDescent="0.4"/>
    <row r="150" spans="3:17" outlineLevel="1" x14ac:dyDescent="0.35">
      <c r="C150" s="54" t="s">
        <v>116</v>
      </c>
      <c r="D150" s="55"/>
      <c r="E150" s="55" t="s">
        <v>115</v>
      </c>
      <c r="F150" s="55"/>
      <c r="G150" s="55"/>
      <c r="H150" s="56">
        <f t="shared" ref="H150:Q150" si="23">IF(ISNUMBER(H148),H123-H148,"-")</f>
        <v>2148.0651431391793</v>
      </c>
      <c r="I150" s="56">
        <f t="shared" si="23"/>
        <v>7747.2942992445314</v>
      </c>
      <c r="J150" s="56" t="str">
        <f t="shared" si="23"/>
        <v>-</v>
      </c>
      <c r="K150" s="56" t="str">
        <f t="shared" si="23"/>
        <v>-</v>
      </c>
      <c r="L150" s="56" t="str">
        <f t="shared" si="23"/>
        <v>-</v>
      </c>
      <c r="M150" s="57" t="str">
        <f t="shared" si="23"/>
        <v>-</v>
      </c>
      <c r="N150" s="57" t="str">
        <f t="shared" si="23"/>
        <v>-</v>
      </c>
      <c r="O150" s="57" t="str">
        <f t="shared" si="23"/>
        <v>-</v>
      </c>
      <c r="P150" s="57" t="str">
        <f t="shared" si="23"/>
        <v>-</v>
      </c>
      <c r="Q150" s="58" t="str">
        <f t="shared" si="23"/>
        <v>-</v>
      </c>
    </row>
    <row r="151" spans="3:17" ht="15" outlineLevel="1" thickBot="1" x14ac:dyDescent="0.4">
      <c r="C151" s="59" t="s">
        <v>117</v>
      </c>
      <c r="D151" s="60"/>
      <c r="E151" s="61" t="s">
        <v>118</v>
      </c>
      <c r="F151" s="62"/>
      <c r="G151" s="60">
        <f>SUM(H150:Q150)</f>
        <v>9895.3594423837112</v>
      </c>
      <c r="H151" s="63"/>
      <c r="I151" s="63"/>
      <c r="J151" s="63"/>
      <c r="K151" s="63"/>
      <c r="L151" s="63"/>
      <c r="M151" s="63"/>
      <c r="N151" s="63"/>
      <c r="O151" s="63"/>
      <c r="P151" s="63"/>
      <c r="Q151" s="64"/>
    </row>
    <row r="152" spans="3:17" outlineLevel="1" x14ac:dyDescent="0.35"/>
    <row r="153" spans="3:17" ht="15" thickBot="1" x14ac:dyDescent="0.4">
      <c r="C153" s="15"/>
      <c r="D153" s="15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15"/>
    </row>
    <row r="155" spans="3:17" ht="15" thickBot="1" x14ac:dyDescent="0.4"/>
    <row r="156" spans="3:17" ht="15" thickBot="1" x14ac:dyDescent="0.4">
      <c r="C156" s="82" t="s">
        <v>119</v>
      </c>
    </row>
    <row r="157" spans="3:17" ht="15.5" x14ac:dyDescent="0.35">
      <c r="G157" s="47"/>
      <c r="H157" s="51">
        <f>Input!$E$23</f>
        <v>2020</v>
      </c>
      <c r="I157" s="51">
        <f>IF(H157&lt;YEAR(Input!$E$13),H157+1,"N/A")</f>
        <v>2021</v>
      </c>
      <c r="J157" s="51" t="str">
        <f>IF(I157&lt;YEAR(Input!$E$13),I157+1,"N/A")</f>
        <v>N/A</v>
      </c>
      <c r="K157" s="51" t="str">
        <f>IF(J157&lt;YEAR(Input!$E$13),J157+1,"N/A")</f>
        <v>N/A</v>
      </c>
      <c r="L157" s="51" t="str">
        <f>IF(K157&lt;YEAR(Input!$E$13),K157+1,"N/A")</f>
        <v>N/A</v>
      </c>
      <c r="M157" s="51" t="str">
        <f>IF(L157&lt;YEAR(Input!$E$13),L157+1,"N/A")</f>
        <v>N/A</v>
      </c>
      <c r="N157" s="51" t="str">
        <f>IF(M157&lt;YEAR(Input!$E$13),M157+1,"N/A")</f>
        <v>N/A</v>
      </c>
      <c r="O157" s="51" t="str">
        <f>IF(N157&lt;YEAR(Input!$E$13),N157+1,"N/A")</f>
        <v>N/A</v>
      </c>
      <c r="P157" s="51" t="str">
        <f>IF(O157&lt;YEAR(Input!$E$13),O157+1,"N/A")</f>
        <v>N/A</v>
      </c>
      <c r="Q157" s="51" t="str">
        <f>IF(P157&lt;YEAR(Input!$E$13),P157+1,"N/A")</f>
        <v>N/A</v>
      </c>
    </row>
    <row r="158" spans="3:17" ht="15.5" x14ac:dyDescent="0.35">
      <c r="F158" s="20" t="s">
        <v>88</v>
      </c>
      <c r="G158" s="20" t="s">
        <v>89</v>
      </c>
      <c r="H158" s="52" t="str">
        <f>Input!L$13</f>
        <v>AG 1-2</v>
      </c>
      <c r="I158" s="52" t="str">
        <f>Input!M$13</f>
        <v>AG 0-1</v>
      </c>
      <c r="J158" s="52" t="str">
        <f>Input!N$13</f>
        <v>N/A</v>
      </c>
      <c r="K158" s="52" t="str">
        <f>Input!O$13</f>
        <v>N/A</v>
      </c>
      <c r="L158" s="52" t="str">
        <f>Input!P$13</f>
        <v>N/A</v>
      </c>
      <c r="M158" s="52" t="str">
        <f>Input!Q$13</f>
        <v>N/A</v>
      </c>
      <c r="N158" s="52" t="str">
        <f>Input!R$13</f>
        <v>N/A</v>
      </c>
      <c r="O158" s="52" t="str">
        <f>Input!S$13</f>
        <v>N/A</v>
      </c>
      <c r="P158" s="52" t="str">
        <f>Input!T$13</f>
        <v>N/A</v>
      </c>
      <c r="Q158" s="52" t="str">
        <f>Input!U$13</f>
        <v>N/A</v>
      </c>
    </row>
    <row r="159" spans="3:17" ht="15.5" x14ac:dyDescent="0.35">
      <c r="C159" s="21" t="s">
        <v>90</v>
      </c>
      <c r="D159" s="5"/>
      <c r="E159" s="5"/>
      <c r="H159" s="30"/>
      <c r="I159" s="30"/>
      <c r="J159" s="30"/>
      <c r="K159" s="30"/>
      <c r="L159" s="30"/>
      <c r="M159" s="30"/>
      <c r="N159" s="30"/>
      <c r="O159" s="30"/>
      <c r="P159" s="30"/>
      <c r="Q159" s="30"/>
    </row>
    <row r="160" spans="3:17" x14ac:dyDescent="0.35">
      <c r="C160" s="5"/>
      <c r="D160" s="5"/>
      <c r="E160" s="5"/>
      <c r="F160" t="s">
        <v>91</v>
      </c>
      <c r="H160" s="34">
        <f>IF(ISNUMBER(H162),H161*H162*H163*(H164*H165+H166)*(1-H167),"-")</f>
        <v>0</v>
      </c>
      <c r="I160" s="34">
        <f>IF(ISNUMBER(I162),I161*I162*I163*(I164*I165+I166)*(1-I167),"-")</f>
        <v>2736.7480635323659</v>
      </c>
      <c r="J160" s="34" t="str">
        <f t="shared" ref="J160:Q160" si="24">IF(ISNUMBER(J162),J161*J162*J163*(J164*J165+J166)*(1-J167),"-")</f>
        <v>-</v>
      </c>
      <c r="K160" s="34" t="str">
        <f t="shared" si="24"/>
        <v>-</v>
      </c>
      <c r="L160" s="34" t="str">
        <f t="shared" si="24"/>
        <v>-</v>
      </c>
      <c r="M160" s="34" t="str">
        <f t="shared" si="24"/>
        <v>-</v>
      </c>
      <c r="N160" s="34" t="str">
        <f t="shared" si="24"/>
        <v>-</v>
      </c>
      <c r="O160" s="34" t="str">
        <f t="shared" si="24"/>
        <v>-</v>
      </c>
      <c r="P160" s="34" t="str">
        <f t="shared" si="24"/>
        <v>-</v>
      </c>
      <c r="Q160" s="34" t="str">
        <f t="shared" si="24"/>
        <v>-</v>
      </c>
    </row>
    <row r="161" spans="3:17" x14ac:dyDescent="0.35">
      <c r="C161" s="5" t="s">
        <v>92</v>
      </c>
      <c r="D161" t="s">
        <v>93</v>
      </c>
      <c r="H161" s="46">
        <f>VLOOKUP($C156,Input!$K$22:$V$26,2,FALSE)</f>
        <v>0</v>
      </c>
      <c r="I161" s="46">
        <f>VLOOKUP($C156,Input!$K$22:$V$26,3,FALSE)</f>
        <v>596.46575342465758</v>
      </c>
      <c r="J161" s="46" t="e">
        <f>VLOOKUP($C156,Input!$K$22:$V$25,4,FALSE)</f>
        <v>#N/A</v>
      </c>
      <c r="K161" s="46" t="e">
        <f>VLOOKUP($C156,Input!$K$22:$V$25,5,FALSE)</f>
        <v>#N/A</v>
      </c>
      <c r="L161" s="46" t="e">
        <f>VLOOKUP($C156,Input!$K$22:$V$25,6,FALSE)</f>
        <v>#N/A</v>
      </c>
      <c r="M161" s="46" t="e">
        <f>VLOOKUP($C156,Input!$K$22:$V$25,7,FALSE)</f>
        <v>#N/A</v>
      </c>
      <c r="N161" s="46" t="e">
        <f>VLOOKUP($C156,Input!$K$22:$V$25,8,FALSE)</f>
        <v>#N/A</v>
      </c>
      <c r="O161" s="46" t="e">
        <f>VLOOKUP($C156,Input!$K$22:$V$25,9,FALSE)</f>
        <v>#N/A</v>
      </c>
      <c r="P161" s="46" t="e">
        <f>VLOOKUP($C156,Input!$K$22:$V$25,10,FALSE)</f>
        <v>#N/A</v>
      </c>
      <c r="Q161" s="46" t="e">
        <f>VLOOKUP($C156,Input!$K$22:$V$25,11,FALSE)</f>
        <v>#N/A</v>
      </c>
    </row>
    <row r="162" spans="3:17" x14ac:dyDescent="0.35">
      <c r="C162" s="5" t="s">
        <v>94</v>
      </c>
      <c r="D162" t="s">
        <v>95</v>
      </c>
      <c r="F162" t="s">
        <v>96</v>
      </c>
      <c r="H162" s="23">
        <f t="shared" ref="H162:Q162" si="25">H171</f>
        <v>2.1319247938034662</v>
      </c>
      <c r="I162" s="23">
        <f>I171</f>
        <v>2.1500287132348159</v>
      </c>
      <c r="J162" s="23" t="str">
        <f t="shared" si="25"/>
        <v>-</v>
      </c>
      <c r="K162" s="23" t="str">
        <f t="shared" si="25"/>
        <v>-</v>
      </c>
      <c r="L162" s="23" t="str">
        <f t="shared" si="25"/>
        <v>-</v>
      </c>
      <c r="M162" s="23" t="str">
        <f t="shared" si="25"/>
        <v>-</v>
      </c>
      <c r="N162" s="23" t="str">
        <f t="shared" si="25"/>
        <v>-</v>
      </c>
      <c r="O162" s="23" t="str">
        <f t="shared" si="25"/>
        <v>-</v>
      </c>
      <c r="P162" s="23" t="str">
        <f t="shared" si="25"/>
        <v>-</v>
      </c>
      <c r="Q162" s="23" t="str">
        <f t="shared" si="25"/>
        <v>-</v>
      </c>
    </row>
    <row r="163" spans="3:17" x14ac:dyDescent="0.35">
      <c r="C163" s="5" t="s">
        <v>10</v>
      </c>
      <c r="D163" t="s">
        <v>97</v>
      </c>
      <c r="F163" t="s">
        <v>11</v>
      </c>
      <c r="H163" s="44">
        <f>Input!L$15</f>
        <v>0.9</v>
      </c>
      <c r="I163" s="44">
        <f>Input!M$15</f>
        <v>0.99090909090909096</v>
      </c>
      <c r="J163" s="44">
        <f>Input!N$15</f>
        <v>0</v>
      </c>
      <c r="K163" s="44">
        <f>Input!O$15</f>
        <v>0</v>
      </c>
      <c r="L163" s="44">
        <f>Input!P$15</f>
        <v>0</v>
      </c>
      <c r="M163" s="44">
        <f>Input!Q$15</f>
        <v>0</v>
      </c>
      <c r="N163" s="44">
        <f>Input!R$15</f>
        <v>0</v>
      </c>
      <c r="O163" s="44">
        <f>Input!S$15</f>
        <v>0</v>
      </c>
      <c r="P163" s="44">
        <f>Input!T$15</f>
        <v>0</v>
      </c>
      <c r="Q163" s="44">
        <f>Input!U$15</f>
        <v>0</v>
      </c>
    </row>
    <row r="164" spans="3:17" x14ac:dyDescent="0.35">
      <c r="C164" s="5" t="s">
        <v>36</v>
      </c>
      <c r="D164" t="s">
        <v>98</v>
      </c>
      <c r="F164" t="s">
        <v>11</v>
      </c>
      <c r="H164" s="22">
        <f>Input!$E$43</f>
        <v>0.9</v>
      </c>
      <c r="I164" s="22">
        <f>Input!$E$43</f>
        <v>0.9</v>
      </c>
      <c r="J164" s="22">
        <f>Input!$E$43</f>
        <v>0.9</v>
      </c>
      <c r="K164" s="22">
        <f>Input!$E$43</f>
        <v>0.9</v>
      </c>
      <c r="L164" s="22">
        <f>Input!$E$43</f>
        <v>0.9</v>
      </c>
      <c r="M164" s="22">
        <f>Input!$E$43</f>
        <v>0.9</v>
      </c>
      <c r="N164" s="22">
        <f>Input!$E$43</f>
        <v>0.9</v>
      </c>
      <c r="O164" s="22">
        <f>Input!$E$43</f>
        <v>0.9</v>
      </c>
      <c r="P164" s="22">
        <f>Input!$E$43</f>
        <v>0.9</v>
      </c>
      <c r="Q164" s="22">
        <f>Input!$E$43</f>
        <v>0.9</v>
      </c>
    </row>
    <row r="165" spans="3:17" x14ac:dyDescent="0.35">
      <c r="C165" s="5" t="s">
        <v>37</v>
      </c>
      <c r="D165" t="s">
        <v>99</v>
      </c>
      <c r="F165" t="s">
        <v>38</v>
      </c>
      <c r="H165" s="23">
        <f>Input!$E$44</f>
        <v>1.7471999999999999</v>
      </c>
      <c r="I165" s="23">
        <f>Input!$E$44</f>
        <v>1.7471999999999999</v>
      </c>
      <c r="J165" s="23">
        <f>Input!$E$44</f>
        <v>1.7471999999999999</v>
      </c>
      <c r="K165" s="23">
        <f>Input!$E$44</f>
        <v>1.7471999999999999</v>
      </c>
      <c r="L165" s="23">
        <f>Input!$E$44</f>
        <v>1.7471999999999999</v>
      </c>
      <c r="M165" s="23">
        <f>Input!$E$44</f>
        <v>1.7471999999999999</v>
      </c>
      <c r="N165" s="23">
        <f>Input!$E$44</f>
        <v>1.7471999999999999</v>
      </c>
      <c r="O165" s="23">
        <f>Input!$E$44</f>
        <v>1.7471999999999999</v>
      </c>
      <c r="P165" s="23">
        <f>Input!$E$44</f>
        <v>1.7471999999999999</v>
      </c>
      <c r="Q165" s="23">
        <f>Input!$E$44</f>
        <v>1.7471999999999999</v>
      </c>
    </row>
    <row r="166" spans="3:17" x14ac:dyDescent="0.35">
      <c r="C166" s="5" t="s">
        <v>39</v>
      </c>
      <c r="D166" t="s">
        <v>100</v>
      </c>
      <c r="F166" t="s">
        <v>38</v>
      </c>
      <c r="H166" s="23">
        <f>Input!$E$45</f>
        <v>0.58115070000000002</v>
      </c>
      <c r="I166" s="23">
        <f>Input!$E$45</f>
        <v>0.58115070000000002</v>
      </c>
      <c r="J166" s="23">
        <f>Input!$E$45</f>
        <v>0.58115070000000002</v>
      </c>
      <c r="K166" s="23">
        <f>Input!$E$45</f>
        <v>0.58115070000000002</v>
      </c>
      <c r="L166" s="23">
        <f>Input!$E$45</f>
        <v>0.58115070000000002</v>
      </c>
      <c r="M166" s="23">
        <f>Input!$E$45</f>
        <v>0.58115070000000002</v>
      </c>
      <c r="N166" s="23">
        <f>Input!$E$45</f>
        <v>0.58115070000000002</v>
      </c>
      <c r="O166" s="23">
        <f>Input!$E$45</f>
        <v>0.58115070000000002</v>
      </c>
      <c r="P166" s="23">
        <f>Input!$E$45</f>
        <v>0.58115070000000002</v>
      </c>
      <c r="Q166" s="23">
        <f>Input!$E$45</f>
        <v>0.58115070000000002</v>
      </c>
    </row>
    <row r="167" spans="3:17" x14ac:dyDescent="0.35">
      <c r="C167" s="5" t="s">
        <v>13</v>
      </c>
      <c r="D167" t="s">
        <v>101</v>
      </c>
      <c r="F167" t="s">
        <v>11</v>
      </c>
      <c r="H167" s="44">
        <f>Input!L$16</f>
        <v>1.443001443001443E-3</v>
      </c>
      <c r="I167" s="44">
        <f>Input!M$16</f>
        <v>0</v>
      </c>
      <c r="J167" s="44">
        <f>Input!N$16</f>
        <v>0</v>
      </c>
      <c r="K167" s="44">
        <f>Input!O$16</f>
        <v>0</v>
      </c>
      <c r="L167" s="44">
        <f>Input!P$16</f>
        <v>0</v>
      </c>
      <c r="M167" s="44">
        <f>Input!Q$16</f>
        <v>0</v>
      </c>
      <c r="N167" s="44">
        <f>Input!R$16</f>
        <v>0</v>
      </c>
      <c r="O167" s="44">
        <f>Input!S$16</f>
        <v>0</v>
      </c>
      <c r="P167" s="44">
        <f>Input!T$16</f>
        <v>0</v>
      </c>
      <c r="Q167" s="44">
        <f>Input!U$16</f>
        <v>0</v>
      </c>
    </row>
    <row r="170" spans="3:17" x14ac:dyDescent="0.35">
      <c r="C170" s="21" t="s">
        <v>94</v>
      </c>
      <c r="D170" s="21" t="s">
        <v>95</v>
      </c>
      <c r="E170" s="5"/>
    </row>
    <row r="171" spans="3:17" x14ac:dyDescent="0.35">
      <c r="C171" s="5"/>
      <c r="D171" s="5"/>
      <c r="E171" s="5"/>
      <c r="F171" t="s">
        <v>102</v>
      </c>
      <c r="H171" s="31">
        <f>IF(ISNUMBER(H174),H172*(1-H173/H174),"-")</f>
        <v>2.1319247938034662</v>
      </c>
      <c r="I171" s="31">
        <f t="shared" ref="I171:Q171" si="26">IF(ISNUMBER(I174),I172*(1-I173/I174),"-")</f>
        <v>2.1500287132348159</v>
      </c>
      <c r="J171" s="31" t="str">
        <f t="shared" si="26"/>
        <v>-</v>
      </c>
      <c r="K171" s="31" t="str">
        <f t="shared" si="26"/>
        <v>-</v>
      </c>
      <c r="L171" s="31" t="str">
        <f t="shared" si="26"/>
        <v>-</v>
      </c>
      <c r="M171" s="31" t="str">
        <f t="shared" si="26"/>
        <v>-</v>
      </c>
      <c r="N171" s="31" t="str">
        <f t="shared" si="26"/>
        <v>-</v>
      </c>
      <c r="O171" s="31" t="str">
        <f t="shared" si="26"/>
        <v>-</v>
      </c>
      <c r="P171" s="31" t="str">
        <f t="shared" si="26"/>
        <v>-</v>
      </c>
      <c r="Q171" s="31" t="str">
        <f t="shared" si="26"/>
        <v>-</v>
      </c>
    </row>
    <row r="172" spans="3:17" x14ac:dyDescent="0.35">
      <c r="C172" s="5" t="s">
        <v>103</v>
      </c>
      <c r="D172" t="s">
        <v>104</v>
      </c>
      <c r="H172" s="23">
        <f>VLOOKUP($C156,Input!$C$36:$E$40,3,FALSE)</f>
        <v>3.9423167369383973</v>
      </c>
      <c r="I172" s="23">
        <f>VLOOKUP($C156,Input!$C$36:$E$40,3,FALSE)</f>
        <v>3.9423167369383973</v>
      </c>
      <c r="J172" s="23" t="e">
        <f>VLOOKUP($C156,Input!$C$36:$E$39,3,FALSE)</f>
        <v>#N/A</v>
      </c>
      <c r="K172" s="23" t="e">
        <f>VLOOKUP($C156,Input!$C$36:$E$39,3,FALSE)</f>
        <v>#N/A</v>
      </c>
      <c r="L172" s="23" t="e">
        <f>VLOOKUP($C156,Input!$C$36:$E$39,3,FALSE)</f>
        <v>#N/A</v>
      </c>
      <c r="M172" s="23" t="e">
        <f>VLOOKUP($C156,Input!$C$36:$E$39,3,FALSE)</f>
        <v>#N/A</v>
      </c>
      <c r="N172" s="23" t="e">
        <f>VLOOKUP($C156,Input!$C$36:$E$39,3,FALSE)</f>
        <v>#N/A</v>
      </c>
      <c r="O172" s="23" t="e">
        <f>VLOOKUP($C156,Input!$C$36:$E$39,3,FALSE)</f>
        <v>#N/A</v>
      </c>
      <c r="P172" s="23" t="e">
        <f>VLOOKUP($C156,Input!$C$36:$E$39,3,FALSE)</f>
        <v>#N/A</v>
      </c>
      <c r="Q172" s="23" t="e">
        <f>VLOOKUP($C156,Input!$C$36:$E$39,3,FALSE)</f>
        <v>#N/A</v>
      </c>
    </row>
    <row r="173" spans="3:17" x14ac:dyDescent="0.35">
      <c r="C173" s="5" t="s">
        <v>105</v>
      </c>
      <c r="D173" t="s">
        <v>106</v>
      </c>
      <c r="F173" t="s">
        <v>11</v>
      </c>
      <c r="H173" s="22">
        <f>IF(Input!$E$49="Default",Input!$E$50,Input!$E$51)</f>
        <v>0.1</v>
      </c>
      <c r="I173" s="22">
        <f>IF(Input!$E$49="Default",Input!$E$50,Input!$E$51)</f>
        <v>0.1</v>
      </c>
      <c r="J173" s="22">
        <f>IF(Input!$E$49="Default",Input!$E$50,Input!$E$51)</f>
        <v>0.1</v>
      </c>
      <c r="K173" s="22">
        <f>IF(Input!$E$49="Default",Input!$E$50,Input!$E$51)</f>
        <v>0.1</v>
      </c>
      <c r="L173" s="22">
        <f>IF(Input!$E$49="Default",Input!$E$50,Input!$E$51)</f>
        <v>0.1</v>
      </c>
      <c r="M173" s="22">
        <f>IF(Input!$E$49="Default",Input!$E$50,Input!$E$51)</f>
        <v>0.1</v>
      </c>
      <c r="N173" s="22">
        <f>IF(Input!$E$49="Default",Input!$E$50,Input!$E$51)</f>
        <v>0.1</v>
      </c>
      <c r="O173" s="22">
        <f>IF(Input!$E$49="Default",Input!$E$50,Input!$E$51)</f>
        <v>0.1</v>
      </c>
      <c r="P173" s="22">
        <f>IF(Input!$E$49="Default",Input!$E$50,Input!$E$51)</f>
        <v>0.1</v>
      </c>
      <c r="Q173" s="22">
        <f>IF(Input!$E$49="Default",Input!$E$50,Input!$E$51)</f>
        <v>0.1</v>
      </c>
    </row>
    <row r="174" spans="3:17" x14ac:dyDescent="0.35">
      <c r="C174" s="5" t="s">
        <v>107</v>
      </c>
      <c r="D174" t="s">
        <v>108</v>
      </c>
      <c r="F174" t="s">
        <v>11</v>
      </c>
      <c r="H174" s="22">
        <f>H178</f>
        <v>0.21776039999999999</v>
      </c>
      <c r="I174" s="22">
        <f t="shared" ref="I174:Q174" si="27">I178</f>
        <v>0.21995999999999999</v>
      </c>
      <c r="J174" s="22" t="str">
        <f t="shared" si="27"/>
        <v>-</v>
      </c>
      <c r="K174" s="22" t="str">
        <f t="shared" si="27"/>
        <v>-</v>
      </c>
      <c r="L174" s="22" t="str">
        <f t="shared" si="27"/>
        <v>-</v>
      </c>
      <c r="M174" s="22" t="str">
        <f t="shared" si="27"/>
        <v>-</v>
      </c>
      <c r="N174" s="22" t="str">
        <f t="shared" si="27"/>
        <v>-</v>
      </c>
      <c r="O174" s="22" t="str">
        <f t="shared" si="27"/>
        <v>-</v>
      </c>
      <c r="P174" s="22" t="str">
        <f t="shared" si="27"/>
        <v>-</v>
      </c>
      <c r="Q174" s="22" t="str">
        <f t="shared" si="27"/>
        <v>-</v>
      </c>
    </row>
    <row r="177" spans="3:17" x14ac:dyDescent="0.35">
      <c r="C177" s="21" t="s">
        <v>107</v>
      </c>
      <c r="D177" s="21" t="s">
        <v>108</v>
      </c>
      <c r="E177" s="5"/>
    </row>
    <row r="178" spans="3:17" x14ac:dyDescent="0.35">
      <c r="C178" s="5"/>
      <c r="D178" s="5"/>
      <c r="E178" s="5"/>
      <c r="F178" t="s">
        <v>11</v>
      </c>
      <c r="H178" s="32">
        <f>IF(ISNUMBER(H179),H179*H182,"-")</f>
        <v>0.21776039999999999</v>
      </c>
      <c r="I178" s="32">
        <f t="shared" ref="I178:Q178" si="28">IF(ISNUMBER(I179),I179*I182,"-")</f>
        <v>0.21995999999999999</v>
      </c>
      <c r="J178" s="32" t="str">
        <f t="shared" si="28"/>
        <v>-</v>
      </c>
      <c r="K178" s="32" t="str">
        <f t="shared" si="28"/>
        <v>-</v>
      </c>
      <c r="L178" s="32" t="str">
        <f t="shared" si="28"/>
        <v>-</v>
      </c>
      <c r="M178" s="32" t="str">
        <f t="shared" si="28"/>
        <v>-</v>
      </c>
      <c r="N178" s="32" t="str">
        <f t="shared" si="28"/>
        <v>-</v>
      </c>
      <c r="O178" s="32" t="str">
        <f t="shared" si="28"/>
        <v>-</v>
      </c>
      <c r="P178" s="32" t="str">
        <f t="shared" si="28"/>
        <v>-</v>
      </c>
      <c r="Q178" s="32" t="str">
        <f t="shared" si="28"/>
        <v>-</v>
      </c>
    </row>
    <row r="179" spans="3:17" x14ac:dyDescent="0.35">
      <c r="C179" s="5" t="s">
        <v>109</v>
      </c>
      <c r="D179" t="s">
        <v>110</v>
      </c>
      <c r="F179" t="s">
        <v>11</v>
      </c>
      <c r="H179" s="81">
        <f>IF(Input!$E$53="default",IF(ISNUMBER(I157),I179*H181,IF(ISNUMBER(H157),Input!$E$52,"-")),"-")</f>
        <v>0.23166</v>
      </c>
      <c r="I179" s="81">
        <f>IF(Input!$E$53="default",IF(ISNUMBER(J157),J179*I181,IF(ISNUMBER(I157),Input!$E$52,"-")),"-")</f>
        <v>0.23400000000000001</v>
      </c>
      <c r="J179" s="81" t="str">
        <f>IF(Input!$E$53="default",IF(ISNUMBER(K157),K179*J181,IF(ISNUMBER(J157),Input!$E$52,"-")),"-")</f>
        <v>-</v>
      </c>
      <c r="K179" s="81" t="str">
        <f>IF(Input!$E$53="default",IF(ISNUMBER(L157),L179*K181,IF(ISNUMBER(K157),Input!$E$52,"-")),"-")</f>
        <v>-</v>
      </c>
      <c r="L179" s="81" t="str">
        <f>IF(Input!$E$53="default",IF(ISNUMBER(M157),M179*L181,IF(ISNUMBER(L157),Input!$E$52,"-")),"-")</f>
        <v>-</v>
      </c>
      <c r="M179" s="81" t="str">
        <f>IF(Input!$E$53="default",IF(ISNUMBER(N157),N179*M181,IF(ISNUMBER(M157),Input!$E$52,"-")),"-")</f>
        <v>-</v>
      </c>
      <c r="N179" s="81" t="str">
        <f>IF(Input!$E$53="default",IF(ISNUMBER(O157),O179*N181,IF(ISNUMBER(N157),Input!$E$52,"-")),"-")</f>
        <v>-</v>
      </c>
      <c r="O179" s="81" t="str">
        <f>IF(Input!$E$53="default",IF(ISNUMBER(P157),P179*O181,IF(ISNUMBER(O157),Input!$E$52,"-")),"-")</f>
        <v>-</v>
      </c>
      <c r="P179" s="81" t="str">
        <f>IF(Input!$E$53="default",IF(ISNUMBER(Q157),Q179*P181,IF(ISNUMBER(P157),Input!$E$52,"-")),"-")</f>
        <v>-</v>
      </c>
      <c r="Q179" s="81" t="str">
        <f>IF(Input!$E$53="default",IF(ISNUMBER(R157),R179*Q181,IF(ISNUMBER(Q157),Input!$E$52,"-")),"-")</f>
        <v>-</v>
      </c>
    </row>
    <row r="180" spans="3:17" x14ac:dyDescent="0.35">
      <c r="C180" s="5"/>
      <c r="G180" s="18" t="s">
        <v>111</v>
      </c>
      <c r="H180" s="43"/>
      <c r="I180" s="43"/>
      <c r="J180" s="43"/>
      <c r="K180" s="43"/>
      <c r="L180" s="43"/>
      <c r="M180" s="43"/>
      <c r="N180" s="43"/>
      <c r="O180" s="43"/>
      <c r="P180" s="43"/>
      <c r="Q180" s="43"/>
    </row>
    <row r="181" spans="3:17" x14ac:dyDescent="0.35">
      <c r="C181" s="5" t="s">
        <v>112</v>
      </c>
      <c r="D181" t="s">
        <v>113</v>
      </c>
      <c r="F181" t="s">
        <v>11</v>
      </c>
      <c r="H181" s="33">
        <v>0.99</v>
      </c>
      <c r="I181" s="33">
        <v>0.99</v>
      </c>
      <c r="J181" s="33">
        <v>0.99</v>
      </c>
      <c r="K181" s="33">
        <v>0.99</v>
      </c>
      <c r="L181" s="33">
        <v>0.99</v>
      </c>
      <c r="M181" s="33">
        <v>0.99</v>
      </c>
      <c r="N181" s="33">
        <v>0.99</v>
      </c>
      <c r="O181" s="33">
        <v>0.99</v>
      </c>
      <c r="P181" s="33">
        <v>0.99</v>
      </c>
      <c r="Q181" s="33">
        <v>0.99</v>
      </c>
    </row>
    <row r="182" spans="3:17" x14ac:dyDescent="0.35">
      <c r="C182" s="5">
        <v>0.94</v>
      </c>
      <c r="D182" t="s">
        <v>114</v>
      </c>
      <c r="F182" s="19" t="s">
        <v>45</v>
      </c>
      <c r="H182" s="33">
        <v>0.94</v>
      </c>
      <c r="I182" s="33">
        <v>0.94</v>
      </c>
      <c r="J182" s="33">
        <v>0.94</v>
      </c>
      <c r="K182" s="33">
        <v>0.94</v>
      </c>
      <c r="L182" s="33">
        <v>0.94</v>
      </c>
      <c r="M182" s="33">
        <v>0.94</v>
      </c>
      <c r="N182" s="33">
        <v>0.94</v>
      </c>
      <c r="O182" s="33">
        <v>0.94</v>
      </c>
      <c r="P182" s="33">
        <v>0.94</v>
      </c>
      <c r="Q182" s="33">
        <v>0.94</v>
      </c>
    </row>
    <row r="185" spans="3:17" x14ac:dyDescent="0.35">
      <c r="C185" s="21" t="s">
        <v>49</v>
      </c>
      <c r="D185" s="5"/>
      <c r="E185" s="5" t="s">
        <v>115</v>
      </c>
      <c r="H185" s="35">
        <f>IF(ISNUMBER(H160),IF(Input!$E$58="default",(1-Input!$E$59)*H160,(1-Input!$E$60)*H160),"-")</f>
        <v>0</v>
      </c>
      <c r="I185" s="35">
        <f>IF(ISNUMBER(I160),IF(Input!$E$58="default",(1-Input!$E$59)*I160,(1-Input!$E$60)*I160),"-")</f>
        <v>136.83740317661841</v>
      </c>
      <c r="J185" s="35" t="str">
        <f>IF(ISNUMBER(J160),IF(Input!$E$58="default",(1-Input!$E$59)*J160,(1-Input!$E$60)*J160),"-")</f>
        <v>-</v>
      </c>
      <c r="K185" s="35" t="str">
        <f>IF(ISNUMBER(K160),IF(Input!$E$58="default",(1-Input!$E$59)*K160,(1-Input!$E$60)*K160),"-")</f>
        <v>-</v>
      </c>
      <c r="L185" s="35" t="str">
        <f>IF(ISNUMBER(L160),IF(Input!$E$58="default",(1-Input!$E$59)*L160,(1-Input!$E$60)*L160),"-")</f>
        <v>-</v>
      </c>
      <c r="M185" s="35" t="str">
        <f>IF(ISNUMBER(M160),IF(Input!$E$58="default",(1-Input!$E$59)*M160,(1-Input!$E$60)*M160),"-")</f>
        <v>-</v>
      </c>
      <c r="N185" s="35" t="str">
        <f>IF(ISNUMBER(N160),IF(Input!$E$58="default",(1-Input!$E$59)*N160,(1-Input!$E$60)*N160),"-")</f>
        <v>-</v>
      </c>
      <c r="O185" s="35" t="str">
        <f>IF(ISNUMBER(O160),IF(Input!$E$58="default",(1-Input!$E$59)*O160,(1-Input!$E$60)*O160),"-")</f>
        <v>-</v>
      </c>
      <c r="P185" s="35" t="str">
        <f>IF(ISNUMBER(P160),IF(Input!$E$58="default",(1-Input!$E$59)*P160,(1-Input!$E$60)*P160),"-")</f>
        <v>-</v>
      </c>
      <c r="Q185" s="35" t="str">
        <f>IF(ISNUMBER(Q160),IF(Input!$E$58="default",(1-Input!$E$59)*Q160,(1-Input!$E$60)*Q160),"-")</f>
        <v>-</v>
      </c>
    </row>
    <row r="186" spans="3:17" ht="15" thickBot="1" x14ac:dyDescent="0.4"/>
    <row r="187" spans="3:17" x14ac:dyDescent="0.35">
      <c r="C187" s="54" t="s">
        <v>116</v>
      </c>
      <c r="D187" s="55"/>
      <c r="E187" s="55" t="s">
        <v>115</v>
      </c>
      <c r="F187" s="55"/>
      <c r="G187" s="55"/>
      <c r="H187" s="56">
        <f t="shared" ref="H187:Q187" si="29">IF(ISNUMBER(H185),H160-H185,"-")</f>
        <v>0</v>
      </c>
      <c r="I187" s="56">
        <f>IF(ISNUMBER(I185),I160-I185,"-")</f>
        <v>2599.9106603557475</v>
      </c>
      <c r="J187" s="56" t="str">
        <f t="shared" si="29"/>
        <v>-</v>
      </c>
      <c r="K187" s="56" t="str">
        <f t="shared" si="29"/>
        <v>-</v>
      </c>
      <c r="L187" s="56" t="str">
        <f t="shared" si="29"/>
        <v>-</v>
      </c>
      <c r="M187" s="57" t="str">
        <f t="shared" si="29"/>
        <v>-</v>
      </c>
      <c r="N187" s="57" t="str">
        <f t="shared" si="29"/>
        <v>-</v>
      </c>
      <c r="O187" s="57" t="str">
        <f t="shared" si="29"/>
        <v>-</v>
      </c>
      <c r="P187" s="57" t="str">
        <f t="shared" si="29"/>
        <v>-</v>
      </c>
      <c r="Q187" s="58" t="str">
        <f t="shared" si="29"/>
        <v>-</v>
      </c>
    </row>
    <row r="188" spans="3:17" ht="15" thickBot="1" x14ac:dyDescent="0.4">
      <c r="C188" s="59" t="s">
        <v>117</v>
      </c>
      <c r="D188" s="60"/>
      <c r="E188" s="61" t="s">
        <v>118</v>
      </c>
      <c r="F188" s="62"/>
      <c r="G188" s="60">
        <f>SUM(H187:Q187)</f>
        <v>2599.9106603557475</v>
      </c>
      <c r="H188" s="63"/>
      <c r="I188" s="63"/>
      <c r="J188" s="63"/>
      <c r="K188" s="63"/>
      <c r="L188" s="63"/>
      <c r="M188" s="63"/>
      <c r="N188" s="63"/>
      <c r="O188" s="63"/>
      <c r="P188" s="63"/>
      <c r="Q188" s="64"/>
    </row>
  </sheetData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314251798576C42B90B41FFCE5D698B" ma:contentTypeVersion="16" ma:contentTypeDescription="Create a new document." ma:contentTypeScope="" ma:versionID="3a0dca1b89474caf597b0d8620644d0b">
  <xsd:schema xmlns:xsd="http://www.w3.org/2001/XMLSchema" xmlns:xs="http://www.w3.org/2001/XMLSchema" xmlns:p="http://schemas.microsoft.com/office/2006/metadata/properties" xmlns:ns2="d7343a7c-9e42-4a88-945f-1a57865d2ee3" xmlns:ns3="896fd384-b557-4242-8ebd-875baf592b38" xmlns:ns4="229cd273-e6a8-441a-be96-ca165f2ef484" targetNamespace="http://schemas.microsoft.com/office/2006/metadata/properties" ma:root="true" ma:fieldsID="82ec22816d403aa3cefdc7a97163ec51" ns2:_="" ns3:_="" ns4:_="">
    <xsd:import namespace="d7343a7c-9e42-4a88-945f-1a57865d2ee3"/>
    <xsd:import namespace="896fd384-b557-4242-8ebd-875baf592b38"/>
    <xsd:import namespace="229cd273-e6a8-441a-be96-ca165f2ef484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4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343a7c-9e42-4a88-945f-1a57865d2ee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6fd384-b557-4242-8ebd-875baf592b3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67130a6f-f85e-4512-91b8-fbeda0f83bb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9cd273-e6a8-441a-be96-ca165f2ef484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fb1e51f1-af49-4a8c-9b61-1a661ff7577f}" ma:internalName="TaxCatchAll" ma:showField="CatchAllData" ma:web="229cd273-e6a8-441a-be96-ca165f2ef48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29cd273-e6a8-441a-be96-ca165f2ef484" xsi:nil="true"/>
    <lcf76f155ced4ddcb4097134ff3c332f xmlns="896fd384-b557-4242-8ebd-875baf592b38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5E04F5B-26C6-49F9-983F-290AE86C806B}"/>
</file>

<file path=customXml/itemProps2.xml><?xml version="1.0" encoding="utf-8"?>
<ds:datastoreItem xmlns:ds="http://schemas.openxmlformats.org/officeDocument/2006/customXml" ds:itemID="{C4E6D32C-1B11-4AD8-AAEF-7A2603D0924F}">
  <ds:schemaRefs>
    <ds:schemaRef ds:uri="http://schemas.microsoft.com/office/2006/metadata/properties"/>
    <ds:schemaRef ds:uri="http://schemas.microsoft.com/office/infopath/2007/PartnerControls"/>
    <ds:schemaRef ds:uri="bf1e5839-4a01-4f82-8044-9bc560be97b6"/>
    <ds:schemaRef ds:uri="1bf6f4c0-764d-4ab3-835f-635578128eae"/>
  </ds:schemaRefs>
</ds:datastoreItem>
</file>

<file path=customXml/itemProps3.xml><?xml version="1.0" encoding="utf-8"?>
<ds:datastoreItem xmlns:ds="http://schemas.openxmlformats.org/officeDocument/2006/customXml" ds:itemID="{E6F69A4C-B3B0-4FBC-AFEE-0B083358481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Input</vt:lpstr>
      <vt:lpstr>EF calculation</vt:lpstr>
      <vt:lpstr>Results</vt:lpstr>
      <vt:lpstr>Calculation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Tosca</dc:creator>
  <cp:keywords/>
  <dc:description/>
  <cp:lastModifiedBy>Victor</cp:lastModifiedBy>
  <cp:revision/>
  <dcterms:created xsi:type="dcterms:W3CDTF">2020-08-25T13:33:04Z</dcterms:created>
  <dcterms:modified xsi:type="dcterms:W3CDTF">2022-10-18T10:40:47Z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0x010100E314251798576C42B90B41FFCE5D698B</vt:lpwstr>
  </property>
  <property fmtid="{D5CDD505-2E9C-101B-9397-08002B2CF9AE}" pid="3" name="Order">
    <vt:r8>5700</vt:r8>
  </property>
</Properties>
</file>