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filterPrivacy="1" showInkAnnotation="0" autoCompressPictures="0"/>
  <xr:revisionPtr revIDLastSave="0" documentId="13_ncr:1_{51028CF1-CD03-B140-8DC3-2170E0B1BC97}" xr6:coauthVersionLast="47" xr6:coauthVersionMax="47" xr10:uidLastSave="{00000000-0000-0000-0000-000000000000}"/>
  <bookViews>
    <workbookView xWindow="0" yWindow="720" windowWidth="28800" windowHeight="16540" tabRatio="865" activeTab="2" xr2:uid="{00000000-000D-0000-FFFF-FFFF00000000}"/>
  </bookViews>
  <sheets>
    <sheet name="ER Calculation" sheetId="20" r:id="rId1"/>
    <sheet name="SDG 13 ER Summary" sheetId="21" r:id="rId2"/>
    <sheet name="SDG 6" sheetId="22" r:id="rId3"/>
    <sheet name="SDG 8" sheetId="23" r:id="rId4"/>
  </sheets>
  <definedNames>
    <definedName name="_xlnm._FilterDatabase" localSheetId="0" hidden="1">'ER Calculation'!#REF!</definedName>
    <definedName name="D_CPA10_Incl" localSheetId="0">'ER Calculation'!#REF!</definedName>
    <definedName name="D_CPA2_Incl" localSheetId="0">'ER Calculation'!#REF!</definedName>
    <definedName name="D_CPA21_Incl" localSheetId="0">'ER Calculation'!#REF!</definedName>
    <definedName name="D_CPA22_Incl" localSheetId="0">'ER Calculation'!#REF!</definedName>
    <definedName name="D_CPA3_Incl" localSheetId="0">'ER Calculation'!#REF!</definedName>
    <definedName name="D_CPA9_Incl" localSheetId="0">'ER Calculation'!#REF!</definedName>
    <definedName name="OLE_LINK35" localSheetId="1">'SDG 13 ER Summary'!#REF!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23" l="1"/>
  <c r="D3" i="23"/>
  <c r="D4" i="23"/>
  <c r="D5" i="23"/>
  <c r="D2" i="23"/>
  <c r="C3" i="23"/>
  <c r="C4" i="23"/>
  <c r="C5" i="23"/>
  <c r="C2" i="23"/>
  <c r="F4" i="22"/>
  <c r="F6" i="22"/>
  <c r="F3" i="22"/>
  <c r="F5" i="22"/>
  <c r="F2" i="22"/>
  <c r="E3" i="22"/>
  <c r="E5" i="22"/>
  <c r="D5" i="22"/>
  <c r="D4" i="22"/>
  <c r="D3" i="22"/>
  <c r="D2" i="22"/>
  <c r="C5" i="22"/>
  <c r="C4" i="22"/>
  <c r="E4" i="22" s="1"/>
  <c r="C3" i="22"/>
  <c r="C2" i="22"/>
  <c r="E2" i="22" s="1"/>
  <c r="G58" i="20"/>
  <c r="F58" i="20"/>
  <c r="E58" i="20"/>
  <c r="D58" i="20"/>
  <c r="C6" i="23" l="1"/>
  <c r="E6" i="22"/>
  <c r="E17" i="20"/>
  <c r="F17" i="20" s="1"/>
  <c r="G17" i="20" s="1"/>
  <c r="E41" i="20" l="1"/>
  <c r="F41" i="20" s="1"/>
  <c r="G41" i="20" s="1"/>
  <c r="E62" i="20"/>
  <c r="F62" i="20" s="1"/>
  <c r="G62" i="20" s="1"/>
  <c r="E63" i="20" l="1"/>
  <c r="F63" i="20" s="1"/>
  <c r="G63" i="20" s="1"/>
  <c r="D39" i="20" l="1"/>
  <c r="D21" i="20" l="1"/>
  <c r="E39" i="20"/>
  <c r="E59" i="20"/>
  <c r="E21" i="20"/>
  <c r="F39" i="20"/>
  <c r="F59" i="20"/>
  <c r="F21" i="20"/>
  <c r="G39" i="20"/>
  <c r="G59" i="20"/>
  <c r="G21" i="20"/>
  <c r="H6" i="21"/>
  <c r="G2" i="21"/>
  <c r="G3" i="21"/>
  <c r="G4" i="21"/>
  <c r="G5" i="21"/>
  <c r="D6" i="21"/>
  <c r="D47" i="20"/>
  <c r="E47" i="20"/>
  <c r="F47" i="20"/>
  <c r="G47" i="20"/>
  <c r="D59" i="20" l="1"/>
  <c r="D54" i="20" s="1"/>
  <c r="G6" i="21"/>
  <c r="F54" i="20"/>
  <c r="E54" i="20"/>
  <c r="G54" i="20"/>
  <c r="E53" i="20" l="1"/>
  <c r="D53" i="20"/>
  <c r="G53" i="20"/>
  <c r="F53" i="20"/>
  <c r="D36" i="20" l="1"/>
  <c r="D15" i="20" s="1"/>
  <c r="D16" i="20" s="1"/>
  <c r="D9" i="20" s="1"/>
  <c r="F36" i="20"/>
  <c r="F15" i="20" s="1"/>
  <c r="G36" i="20"/>
  <c r="G15" i="20" s="1"/>
  <c r="E36" i="20"/>
  <c r="E15" i="20" s="1"/>
  <c r="E16" i="20" s="1"/>
  <c r="C3" i="21" s="1"/>
  <c r="G16" i="20" l="1"/>
  <c r="F16" i="20"/>
  <c r="F9" i="20" s="1"/>
  <c r="E4" i="21" s="1"/>
  <c r="C2" i="21"/>
  <c r="D6" i="20"/>
  <c r="F2" i="21" s="1"/>
  <c r="E2" i="21"/>
  <c r="E9" i="20"/>
  <c r="G9" i="20" l="1"/>
  <c r="E5" i="21" s="1"/>
  <c r="C5" i="21"/>
  <c r="C4" i="21"/>
  <c r="F6" i="20"/>
  <c r="F4" i="21" s="1"/>
  <c r="E3" i="21"/>
  <c r="E6" i="20"/>
  <c r="F3" i="21" s="1"/>
  <c r="C6" i="21" l="1"/>
  <c r="E6" i="21"/>
  <c r="G6" i="20"/>
  <c r="F5" i="21" s="1"/>
  <c r="F6" i="21" l="1"/>
</calcChain>
</file>

<file path=xl/sharedStrings.xml><?xml version="1.0" encoding="utf-8"?>
<sst xmlns="http://schemas.openxmlformats.org/spreadsheetml/2006/main" count="223" uniqueCount="153">
  <si>
    <t>Refill#</t>
  </si>
  <si>
    <t>DESCRIPTION</t>
  </si>
  <si>
    <t>PARAMETER</t>
  </si>
  <si>
    <t>UNITS</t>
  </si>
  <si>
    <t>CALCULATION</t>
  </si>
  <si>
    <t>SOURCE OF DATA</t>
  </si>
  <si>
    <t>Calculation</t>
  </si>
  <si>
    <t>-</t>
  </si>
  <si>
    <t>Leakage adjustment</t>
  </si>
  <si>
    <t>Default value</t>
  </si>
  <si>
    <t>Baseline emissions</t>
  </si>
  <si>
    <t>tCO2e</t>
  </si>
  <si>
    <t>Specific energy consumption (SEC)</t>
  </si>
  <si>
    <t>Specific energy consumption required to boil one litre of water</t>
  </si>
  <si>
    <t>SEC</t>
  </si>
  <si>
    <t>kJ/L</t>
  </si>
  <si>
    <t>Specific heat of water (kJ/L°C)</t>
  </si>
  <si>
    <t>WH</t>
  </si>
  <si>
    <t>Final temperature (°C)</t>
  </si>
  <si>
    <t>Initial temperature of water (°C)</t>
  </si>
  <si>
    <t>Latent heat of water evaporation (kJ/L)</t>
  </si>
  <si>
    <t>WHE</t>
  </si>
  <si>
    <t>Baseline survey</t>
  </si>
  <si>
    <t>Non-renewable biomass</t>
  </si>
  <si>
    <t>Emission Factor</t>
  </si>
  <si>
    <t>Emission factor</t>
  </si>
  <si>
    <t>EF</t>
  </si>
  <si>
    <t>tCO2e/TJ</t>
  </si>
  <si>
    <t>Quantity of purified water</t>
  </si>
  <si>
    <t>liters (L)</t>
  </si>
  <si>
    <t>Cap on quantity of purified water</t>
  </si>
  <si>
    <t>Dispenser installations and population</t>
  </si>
  <si>
    <t>Number of water points replaced with piped water supply</t>
  </si>
  <si>
    <t>Piped water</t>
  </si>
  <si>
    <t>Functionality</t>
  </si>
  <si>
    <t>Average # people with access to a dispenser</t>
  </si>
  <si>
    <t>Fraction of hh who would have boiled their water</t>
  </si>
  <si>
    <t>Average volume of drinking water per person per day</t>
  </si>
  <si>
    <t>L/day</t>
  </si>
  <si>
    <t>Sampled quantity of purified water</t>
  </si>
  <si>
    <t>Dispenser capacity and usage</t>
  </si>
  <si>
    <t>Average # of refills delivered in year y per functional dispenser</t>
  </si>
  <si>
    <t>Capacity of the water purification equipment</t>
  </si>
  <si>
    <t>Average chlorine dosage per 20 L</t>
  </si>
  <si>
    <t>Average dosage</t>
  </si>
  <si>
    <t>ml</t>
  </si>
  <si>
    <t>Dispenser database</t>
  </si>
  <si>
    <t>Fraction of delivered chlorine available for use in dispenser</t>
  </si>
  <si>
    <t>Refill%</t>
  </si>
  <si>
    <t>Promoter survey</t>
  </si>
  <si>
    <t>Fraction of water treated with the dispenser that is actually drunk</t>
  </si>
  <si>
    <t>Drink%</t>
  </si>
  <si>
    <t>Leakage</t>
  </si>
  <si>
    <t>Length of monitoring period</t>
  </si>
  <si>
    <t>MP</t>
  </si>
  <si>
    <t>days</t>
  </si>
  <si>
    <t>Treatment capacity per chlorine refill.</t>
  </si>
  <si>
    <t>Number of functional dispensers</t>
    <phoneticPr fontId="10" type="noConversion"/>
  </si>
  <si>
    <t xml:space="preserve">Dispenser functionality rate </t>
    <phoneticPr fontId="10" type="noConversion"/>
  </si>
  <si>
    <t>Efficiency of the water boiling systems being replaced</t>
    <phoneticPr fontId="10" type="noConversion"/>
  </si>
  <si>
    <t xml:space="preserve"> = 5 L / average dosage * 20 L * Refill</t>
    <phoneticPr fontId="10" type="noConversion"/>
  </si>
  <si>
    <t>Water quality survey</t>
  </si>
  <si>
    <t>% WQ</t>
  </si>
  <si>
    <t>% Leak</t>
  </si>
  <si>
    <t>CPA-DD (WP verification)</t>
  </si>
  <si>
    <t>Project emissions</t>
  </si>
  <si>
    <t>CPA-DD</t>
  </si>
  <si>
    <t>CERs</t>
  </si>
  <si>
    <t>Fraction of non-renewable biomass for Uganda</t>
  </si>
  <si>
    <t>Quantity of water purified per jerrican chlorine</t>
    <phoneticPr fontId="10" type="noConversion"/>
  </si>
  <si>
    <t>Total chlorine used in this monitoring period*</t>
    <phoneticPr fontId="10" type="noConversion"/>
  </si>
  <si>
    <t>jerrican</t>
    <phoneticPr fontId="10" type="noConversion"/>
  </si>
  <si>
    <r>
      <t xml:space="preserve">Certified Emission Reductions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</t>
    </r>
  </si>
  <si>
    <r>
      <t>CERs = (BE</t>
    </r>
    <r>
      <rPr>
        <vertAlign val="subscript"/>
        <sz val="10"/>
        <rFont val="Arial"/>
        <family val="2"/>
      </rPr>
      <t>y,adjusted</t>
    </r>
    <r>
      <rPr>
        <sz val="10"/>
        <rFont val="Arial"/>
        <family val="2"/>
      </rPr>
      <t xml:space="preserve"> - PE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>) * % Leak</t>
    </r>
  </si>
  <si>
    <r>
      <t xml:space="preserve">Project emissions during the year y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</t>
    </r>
  </si>
  <si>
    <r>
      <t>PE</t>
    </r>
    <r>
      <rPr>
        <vertAlign val="subscript"/>
        <sz val="10"/>
        <rFont val="Arial"/>
        <family val="2"/>
      </rPr>
      <t>y</t>
    </r>
  </si>
  <si>
    <r>
      <t xml:space="preserve">Baseline emissions during the year y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</t>
    </r>
  </si>
  <si>
    <r>
      <t xml:space="preserve">Baseline emissions during the year y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 (WQT adjusted)</t>
    </r>
  </si>
  <si>
    <r>
      <t>BE</t>
    </r>
    <r>
      <rPr>
        <vertAlign val="subscript"/>
        <sz val="10"/>
        <rFont val="Arial"/>
        <family val="2"/>
      </rPr>
      <t>y,adjusted</t>
    </r>
  </si>
  <si>
    <r>
      <t>SEC = [WH * (T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- T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 + 0.01*WHE]/</t>
    </r>
    <r>
      <rPr>
        <sz val="10"/>
        <rFont val="Calibri"/>
        <family val="2"/>
      </rPr>
      <t>η</t>
    </r>
    <r>
      <rPr>
        <vertAlign val="subscript"/>
        <sz val="8"/>
        <rFont val="Arial"/>
        <family val="2"/>
      </rPr>
      <t>WB</t>
    </r>
  </si>
  <si>
    <r>
      <t>T</t>
    </r>
    <r>
      <rPr>
        <vertAlign val="subscript"/>
        <sz val="10"/>
        <rFont val="Arial"/>
        <family val="2"/>
      </rPr>
      <t>f</t>
    </r>
  </si>
  <si>
    <r>
      <t>T</t>
    </r>
    <r>
      <rPr>
        <vertAlign val="subscript"/>
        <sz val="10"/>
        <rFont val="Arial"/>
        <family val="2"/>
      </rPr>
      <t>i</t>
    </r>
  </si>
  <si>
    <r>
      <t>ƞ</t>
    </r>
    <r>
      <rPr>
        <vertAlign val="subscript"/>
        <sz val="10"/>
        <rFont val="Arial"/>
        <family val="2"/>
      </rPr>
      <t>wb</t>
    </r>
  </si>
  <si>
    <r>
      <t>f</t>
    </r>
    <r>
      <rPr>
        <vertAlign val="subscript"/>
        <sz val="10"/>
        <rFont val="Arial"/>
        <family val="2"/>
      </rPr>
      <t>NRB</t>
    </r>
  </si>
  <si>
    <r>
      <t xml:space="preserve">Quantity of purified water in year y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</t>
    </r>
  </si>
  <si>
    <r>
      <t>QPW</t>
    </r>
    <r>
      <rPr>
        <vertAlign val="subscript"/>
        <sz val="10"/>
        <rFont val="Arial"/>
        <family val="2"/>
      </rPr>
      <t>y</t>
    </r>
  </si>
  <si>
    <r>
      <t>QPW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min(QPW</t>
    </r>
    <r>
      <rPr>
        <vertAlign val="subscript"/>
        <sz val="10"/>
        <rFont val="Arial"/>
        <family val="2"/>
      </rPr>
      <t xml:space="preserve">y,cap </t>
    </r>
    <r>
      <rPr>
        <sz val="10"/>
        <rFont val="Arial"/>
        <family val="2"/>
      </rPr>
      <t>,QPW</t>
    </r>
    <r>
      <rPr>
        <vertAlign val="subscript"/>
        <sz val="10"/>
        <rFont val="Arial"/>
        <family val="2"/>
      </rPr>
      <t>y,sample</t>
    </r>
    <r>
      <rPr>
        <sz val="10"/>
        <rFont val="Arial"/>
        <family val="2"/>
      </rPr>
      <t>)</t>
    </r>
  </si>
  <si>
    <r>
      <t>QPW</t>
    </r>
    <r>
      <rPr>
        <vertAlign val="subscript"/>
        <sz val="10"/>
        <rFont val="Arial"/>
        <family val="2"/>
      </rPr>
      <t>y,cap</t>
    </r>
  </si>
  <si>
    <r>
      <t>QPW</t>
    </r>
    <r>
      <rPr>
        <vertAlign val="subscript"/>
        <sz val="10"/>
        <rFont val="Arial"/>
        <family val="2"/>
      </rPr>
      <t>y,cap</t>
    </r>
    <r>
      <rPr>
        <sz val="10"/>
        <rFont val="Arial"/>
        <family val="2"/>
      </rPr>
      <t xml:space="preserve"> = N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* POP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* POP</t>
    </r>
    <r>
      <rPr>
        <vertAlign val="subscript"/>
        <sz val="10"/>
        <rFont val="Arial"/>
        <family val="2"/>
      </rPr>
      <t>BOILING</t>
    </r>
    <r>
      <rPr>
        <sz val="10"/>
        <rFont val="Arial"/>
        <family val="2"/>
      </rPr>
      <t xml:space="preserve"> * DW</t>
    </r>
    <r>
      <rPr>
        <vertAlign val="subscript"/>
        <sz val="10"/>
        <rFont val="Arial"/>
        <family val="2"/>
      </rPr>
      <t>POP</t>
    </r>
    <r>
      <rPr>
        <sz val="10"/>
        <rFont val="Arial"/>
        <family val="2"/>
      </rPr>
      <t xml:space="preserve"> * MP</t>
    </r>
  </si>
  <si>
    <r>
      <t>N</t>
    </r>
    <r>
      <rPr>
        <vertAlign val="subscript"/>
        <sz val="10"/>
        <rFont val="Arial"/>
        <family val="2"/>
      </rPr>
      <t>y</t>
    </r>
  </si>
  <si>
    <r>
      <t>N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= (Dispenser</t>
    </r>
    <r>
      <rPr>
        <vertAlign val="subscript"/>
        <sz val="10"/>
        <rFont val="Arial"/>
        <family val="2"/>
      </rPr>
      <t>total</t>
    </r>
    <r>
      <rPr>
        <sz val="10"/>
        <rFont val="Arial"/>
        <family val="2"/>
      </rPr>
      <t xml:space="preserve"> - Piped water) * Functionality</t>
    </r>
  </si>
  <si>
    <r>
      <t>Dispenser</t>
    </r>
    <r>
      <rPr>
        <vertAlign val="subscript"/>
        <sz val="10"/>
        <rFont val="Arial"/>
        <family val="2"/>
      </rPr>
      <t>total</t>
    </r>
  </si>
  <si>
    <r>
      <t>POP</t>
    </r>
    <r>
      <rPr>
        <vertAlign val="subscript"/>
        <sz val="10"/>
        <rFont val="Arial"/>
        <family val="2"/>
      </rPr>
      <t>Boiling</t>
    </r>
  </si>
  <si>
    <r>
      <t>DW</t>
    </r>
    <r>
      <rPr>
        <vertAlign val="subscript"/>
        <sz val="10"/>
        <rFont val="Arial"/>
        <family val="2"/>
      </rPr>
      <t>POP</t>
    </r>
  </si>
  <si>
    <r>
      <t xml:space="preserve">Sampled quantity of purified water in year y for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dispensers</t>
    </r>
  </si>
  <si>
    <r>
      <t>QPW</t>
    </r>
    <r>
      <rPr>
        <vertAlign val="subscript"/>
        <sz val="10"/>
        <rFont val="Arial"/>
        <family val="2"/>
      </rPr>
      <t>y,sample</t>
    </r>
  </si>
  <si>
    <r>
      <t>QPW</t>
    </r>
    <r>
      <rPr>
        <vertAlign val="subscript"/>
        <sz val="10"/>
        <rFont val="Arial"/>
        <family val="2"/>
      </rPr>
      <t xml:space="preserve">y,sample </t>
    </r>
    <r>
      <rPr>
        <sz val="10"/>
        <rFont val="Arial"/>
        <family val="2"/>
      </rPr>
      <t>= N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* L</t>
    </r>
    <r>
      <rPr>
        <sz val="6"/>
        <rFont val="Arial"/>
        <family val="2"/>
      </rPr>
      <t>P,adjusted</t>
    </r>
    <r>
      <rPr>
        <sz val="10"/>
        <rFont val="Arial"/>
        <family val="2"/>
      </rPr>
      <t xml:space="preserve"> * POP</t>
    </r>
    <r>
      <rPr>
        <sz val="6"/>
        <rFont val="Arial"/>
        <family val="2"/>
      </rPr>
      <t>Boiling</t>
    </r>
  </si>
  <si>
    <r>
      <t xml:space="preserve">Sampled quantity of purified water in year y for </t>
    </r>
    <r>
      <rPr>
        <b/>
        <sz val="10"/>
        <rFont val="Arial"/>
        <family val="2"/>
      </rPr>
      <t>one</t>
    </r>
    <r>
      <rPr>
        <sz val="10"/>
        <rFont val="Arial"/>
        <family val="2"/>
      </rPr>
      <t xml:space="preserve"> dispenser</t>
    </r>
  </si>
  <si>
    <r>
      <t>L</t>
    </r>
    <r>
      <rPr>
        <vertAlign val="subscript"/>
        <sz val="10"/>
        <rFont val="Arial"/>
        <family val="2"/>
      </rPr>
      <t>P,adjusted</t>
    </r>
  </si>
  <si>
    <r>
      <t>L</t>
    </r>
    <r>
      <rPr>
        <vertAlign val="subscript"/>
        <sz val="10"/>
        <rFont val="Arial"/>
        <family val="2"/>
      </rPr>
      <t>P,adjusted</t>
    </r>
    <r>
      <rPr>
        <sz val="10"/>
        <rFont val="Arial"/>
        <family val="2"/>
      </rPr>
      <t xml:space="preserve"> = L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* Refill# * Refill % * Drink %</t>
    </r>
  </si>
  <si>
    <r>
      <t>Refill = # all refills / Dispensers</t>
    </r>
    <r>
      <rPr>
        <vertAlign val="subscript"/>
        <sz val="10"/>
        <rFont val="Arial"/>
        <family val="2"/>
      </rPr>
      <t>total, functional</t>
    </r>
  </si>
  <si>
    <r>
      <t>L</t>
    </r>
    <r>
      <rPr>
        <vertAlign val="subscript"/>
        <sz val="10"/>
        <rFont val="Arial"/>
        <family val="2"/>
      </rPr>
      <t>P</t>
    </r>
    <phoneticPr fontId="10" type="noConversion"/>
  </si>
  <si>
    <r>
      <t>POP</t>
    </r>
    <r>
      <rPr>
        <vertAlign val="subscript"/>
        <sz val="10"/>
        <rFont val="Arial"/>
        <family val="2"/>
      </rPr>
      <t>P</t>
    </r>
  </si>
  <si>
    <r>
      <t>POP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= HHs per dispenser * HH size</t>
    </r>
  </si>
  <si>
    <t>Chlorine usage data</t>
    <phoneticPr fontId="10" type="noConversion"/>
  </si>
  <si>
    <t>Survey</t>
    <phoneticPr fontId="10" type="noConversion"/>
  </si>
  <si>
    <t xml:space="preserve">Baseline GHG emissions or baseline net GHG removals 
(t CO2e)
</t>
    <phoneticPr fontId="10" type="noConversion"/>
  </si>
  <si>
    <t xml:space="preserve">Project GHG emissions or actual net GHG removals 
(t CO2e)
</t>
    <phoneticPr fontId="10" type="noConversion"/>
  </si>
  <si>
    <t xml:space="preserve">Leakage GHG emissions
(t CO2e)
</t>
    <phoneticPr fontId="10" type="noConversion"/>
  </si>
  <si>
    <t xml:space="preserve">GHG emission reductions or net anthropogenic GHG removals 
(t CO2e)
</t>
    <phoneticPr fontId="10" type="noConversion"/>
  </si>
  <si>
    <t>Total</t>
  </si>
  <si>
    <t>Duriation of monitoring period</t>
    <phoneticPr fontId="10" type="noConversion"/>
  </si>
  <si>
    <t>Start of monitoring period</t>
    <phoneticPr fontId="10" type="noConversion"/>
  </si>
  <si>
    <t>End of monitoring period</t>
    <phoneticPr fontId="10" type="noConversion"/>
  </si>
  <si>
    <t>Leakage</t>
    <phoneticPr fontId="10" type="noConversion"/>
  </si>
  <si>
    <r>
      <t>LE</t>
    </r>
    <r>
      <rPr>
        <vertAlign val="subscript"/>
        <sz val="10"/>
        <rFont val="Arial"/>
        <family val="2"/>
      </rPr>
      <t>y</t>
    </r>
    <phoneticPr fontId="10" type="noConversion"/>
  </si>
  <si>
    <t xml:space="preserve">Amount estimated ex ante  
(t CO2e)
</t>
    <phoneticPr fontId="10" type="noConversion"/>
  </si>
  <si>
    <r>
      <t xml:space="preserve">Cap for quantity of purified water in year y for </t>
    </r>
    <r>
      <rPr>
        <b/>
        <sz val="10"/>
        <rFont val="Arial"/>
        <family val="2"/>
      </rPr>
      <t xml:space="preserve">all </t>
    </r>
    <r>
      <rPr>
        <sz val="10"/>
        <rFont val="Arial"/>
        <family val="2"/>
      </rPr>
      <t>dispensers</t>
    </r>
    <phoneticPr fontId="10" type="noConversion"/>
  </si>
  <si>
    <r>
      <t>LE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>=BE</t>
    </r>
    <r>
      <rPr>
        <vertAlign val="subscript"/>
        <sz val="10"/>
        <rFont val="Arial"/>
        <family val="2"/>
      </rPr>
      <t xml:space="preserve">y,adjusted </t>
    </r>
    <r>
      <rPr>
        <sz val="10"/>
        <rFont val="Arial"/>
        <family val="2"/>
      </rPr>
      <t>(1-%Leak)</t>
    </r>
    <phoneticPr fontId="10" type="noConversion"/>
  </si>
  <si>
    <t>Population survey</t>
    <phoneticPr fontId="10" type="noConversion"/>
  </si>
  <si>
    <t>CPA ID</t>
    <phoneticPr fontId="10" type="noConversion"/>
  </si>
  <si>
    <t>CPA 2</t>
    <phoneticPr fontId="10" type="noConversion"/>
  </si>
  <si>
    <t>CPA 3</t>
    <phoneticPr fontId="10" type="noConversion"/>
  </si>
  <si>
    <t>CPA 9</t>
    <phoneticPr fontId="10" type="noConversion"/>
  </si>
  <si>
    <t>CPA 10</t>
    <phoneticPr fontId="10" type="noConversion"/>
  </si>
  <si>
    <t>Fraction quality tests with &lt; 10 CFU/100 ml</t>
    <phoneticPr fontId="10" type="noConversion"/>
  </si>
  <si>
    <t>Number of eligible dispensers installed in project boundary</t>
    <phoneticPr fontId="10" type="noConversion"/>
  </si>
  <si>
    <r>
      <t xml:space="preserve"> QPW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* SEC * f</t>
    </r>
    <r>
      <rPr>
        <vertAlign val="subscript"/>
        <sz val="10"/>
        <rFont val="Arial"/>
        <family val="2"/>
      </rPr>
      <t>NRB</t>
    </r>
    <r>
      <rPr>
        <sz val="10"/>
        <rFont val="Arial"/>
        <family val="2"/>
      </rPr>
      <t xml:space="preserve"> * EF * 10</t>
    </r>
    <r>
      <rPr>
        <vertAlign val="superscript"/>
        <sz val="10"/>
        <rFont val="Arial"/>
        <family val="2"/>
      </rPr>
      <t>-9</t>
    </r>
    <phoneticPr fontId="10" type="noConversion"/>
  </si>
  <si>
    <r>
      <t>BE</t>
    </r>
    <r>
      <rPr>
        <vertAlign val="subscript"/>
        <sz val="10"/>
        <rFont val="Arial"/>
        <family val="2"/>
      </rPr>
      <t>y,adjusted</t>
    </r>
    <r>
      <rPr>
        <sz val="10"/>
        <rFont val="Arial"/>
        <family val="2"/>
      </rPr>
      <t xml:space="preserve"> = QPWy * SEC * fNRB * EF * 10-9 * % WQ</t>
    </r>
    <phoneticPr fontId="10" type="noConversion"/>
  </si>
  <si>
    <r>
      <t>QPW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 xml:space="preserve"> * SEC * f</t>
    </r>
    <r>
      <rPr>
        <vertAlign val="subscript"/>
        <sz val="10"/>
        <rFont val="Arial"/>
        <family val="2"/>
      </rPr>
      <t>NRB</t>
    </r>
    <r>
      <rPr>
        <sz val="10"/>
        <rFont val="Arial"/>
        <family val="2"/>
      </rPr>
      <t xml:space="preserve"> * EF * 10</t>
    </r>
    <r>
      <rPr>
        <vertAlign val="superscript"/>
        <sz val="10"/>
        <rFont val="Arial"/>
        <family val="2"/>
      </rPr>
      <t>-9</t>
    </r>
    <phoneticPr fontId="10" type="noConversion"/>
  </si>
  <si>
    <t>5962-P1-0009-CP1 (CPA 10)</t>
    <phoneticPr fontId="10" type="noConversion"/>
  </si>
  <si>
    <t>5962-P1-0003-CP1 (CPA 3)</t>
    <phoneticPr fontId="10" type="noConversion"/>
  </si>
  <si>
    <t>5962-P1-0002-CP1 (CPA 2)</t>
    <phoneticPr fontId="10" type="noConversion"/>
  </si>
  <si>
    <t>5962-P1-0008-CP1  (CPA 9)</t>
    <phoneticPr fontId="10" type="noConversion"/>
  </si>
  <si>
    <t>ER Calculation: International Water Purification Programme (Uganda:CPA2/3/9/10), 7th monitoring period: 01/01/2020  - 31/12/2020</t>
  </si>
  <si>
    <t>CPA ID</t>
  </si>
  <si>
    <t>CPA 2</t>
  </si>
  <si>
    <t>CPA 3</t>
  </si>
  <si>
    <t>CPA 9</t>
  </si>
  <si>
    <t>CPA 10</t>
  </si>
  <si>
    <r>
      <t>Number of functional dispensers (N</t>
    </r>
    <r>
      <rPr>
        <b/>
        <sz val="9"/>
        <color rgb="FF000000"/>
        <rFont val="Arial"/>
        <family val="2"/>
      </rPr>
      <t>y</t>
    </r>
    <r>
      <rPr>
        <b/>
        <sz val="11"/>
        <color rgb="FF000000"/>
        <rFont val="Arial"/>
        <family val="2"/>
      </rPr>
      <t xml:space="preserve">)
</t>
    </r>
  </si>
  <si>
    <t xml:space="preserve">Average number of people with access to a dispenser (POP)
</t>
  </si>
  <si>
    <t xml:space="preserve">SDG 6: Number of people who have access to clean water
</t>
  </si>
  <si>
    <t>Amount estimated ex ante</t>
  </si>
  <si>
    <t xml:space="preserve">SDG 8: Number of full time and part time jobs provided by CPAs
</t>
  </si>
  <si>
    <t>CPA UNFCCC reference number and GS ID</t>
  </si>
  <si>
    <t xml:space="preserve">5962-P1-0002-CP1
GS2735 </t>
  </si>
  <si>
    <t>5962-P1-0003-CP1
GS3668</t>
  </si>
  <si>
    <t>5962-P1-0008-CP1
GS5051</t>
  </si>
  <si>
    <t>5962-P1-0009-CP1
GS5052</t>
  </si>
  <si>
    <t>ER value in approved Transition Annex (annual average)</t>
  </si>
  <si>
    <t xml:space="preserve">Number of functional dispensers in approved Transition Annex
</t>
  </si>
  <si>
    <t>Average number of people with access to a dispenser in approved Transition Annex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</si>
</sst>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#,##0.000"/>
    <numFmt numFmtId="168" formatCode="_-* #,##0_-;\-* #,##0_-;_-* &quot;-&quot;??_-;_-@_-"/>
    <numFmt numFmtId="169" formatCode="0_ "/>
    <numFmt numFmtId="170" formatCode="dd/mm/yyyy;@"/>
    <numFmt numFmtId="171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name val="Calibri"/>
      <family val="2"/>
    </font>
    <font>
      <vertAlign val="subscript"/>
      <sz val="8"/>
      <name val="Arial"/>
      <family val="2"/>
    </font>
    <font>
      <sz val="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rgb="FFFF5050"/>
      <name val="Arial"/>
      <family val="2"/>
    </font>
    <font>
      <b/>
      <sz val="10"/>
      <color rgb="FFFF5050"/>
      <name val="Arial"/>
      <family val="2"/>
    </font>
    <font>
      <b/>
      <sz val="10"/>
      <color rgb="FFFF0000"/>
      <name val="Arial"/>
      <family val="2"/>
    </font>
    <font>
      <b/>
      <sz val="10"/>
      <color rgb="FF92D050"/>
      <name val="Arial"/>
      <family val="2"/>
    </font>
    <font>
      <sz val="10"/>
      <color rgb="FF00B0F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8" fillId="0" borderId="0" xfId="0" applyFont="1" applyAlignment="1">
      <alignment vertical="center"/>
    </xf>
    <xf numFmtId="10" fontId="5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0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9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9" fontId="3" fillId="0" borderId="0" xfId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8" fontId="13" fillId="0" borderId="0" xfId="7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22" fillId="4" borderId="4" xfId="0" applyFont="1" applyFill="1" applyBorder="1" applyAlignment="1">
      <alignment vertical="center" wrapText="1"/>
    </xf>
    <xf numFmtId="0" fontId="24" fillId="5" borderId="4" xfId="0" applyFont="1" applyFill="1" applyBorder="1" applyAlignment="1">
      <alignment horizontal="justify" vertical="center" wrapText="1"/>
    </xf>
    <xf numFmtId="49" fontId="8" fillId="0" borderId="4" xfId="0" applyNumberFormat="1" applyFont="1" applyBorder="1" applyAlignment="1">
      <alignment horizontal="justify" vertical="center" wrapText="1"/>
    </xf>
    <xf numFmtId="169" fontId="8" fillId="0" borderId="4" xfId="0" applyNumberFormat="1" applyFont="1" applyBorder="1" applyAlignment="1">
      <alignment horizontal="justify" vertical="center" wrapText="1"/>
    </xf>
    <xf numFmtId="0" fontId="25" fillId="6" borderId="4" xfId="0" applyFont="1" applyFill="1" applyBorder="1" applyAlignment="1">
      <alignment vertical="center" wrapText="1"/>
    </xf>
    <xf numFmtId="0" fontId="23" fillId="0" borderId="4" xfId="0" applyFont="1" applyBorder="1"/>
    <xf numFmtId="168" fontId="23" fillId="0" borderId="4" xfId="7" applyNumberFormat="1" applyFont="1" applyBorder="1"/>
    <xf numFmtId="0" fontId="26" fillId="0" borderId="4" xfId="0" applyFont="1" applyBorder="1"/>
    <xf numFmtId="166" fontId="23" fillId="0" borderId="4" xfId="0" applyNumberFormat="1" applyFont="1" applyBorder="1"/>
    <xf numFmtId="3" fontId="23" fillId="0" borderId="4" xfId="0" applyNumberFormat="1" applyFont="1" applyBorder="1"/>
    <xf numFmtId="3" fontId="26" fillId="0" borderId="4" xfId="0" applyNumberFormat="1" applyFont="1" applyBorder="1"/>
    <xf numFmtId="3" fontId="22" fillId="0" borderId="4" xfId="0" applyNumberFormat="1" applyFont="1" applyBorder="1"/>
    <xf numFmtId="3" fontId="5" fillId="3" borderId="0" xfId="0" applyNumberFormat="1" applyFont="1" applyFill="1" applyAlignment="1">
      <alignment vertical="center"/>
    </xf>
    <xf numFmtId="10" fontId="13" fillId="0" borderId="0" xfId="1" applyNumberFormat="1" applyFont="1" applyFill="1" applyAlignment="1">
      <alignment vertical="center"/>
    </xf>
    <xf numFmtId="170" fontId="8" fillId="0" borderId="4" xfId="0" applyNumberFormat="1" applyFont="1" applyBorder="1" applyAlignment="1">
      <alignment horizontal="justify" vertical="center" wrapText="1"/>
    </xf>
    <xf numFmtId="10" fontId="3" fillId="0" borderId="3" xfId="0" applyNumberFormat="1" applyFont="1" applyBorder="1" applyAlignment="1">
      <alignment vertical="center"/>
    </xf>
    <xf numFmtId="3" fontId="0" fillId="0" borderId="0" xfId="0" applyNumberFormat="1"/>
    <xf numFmtId="0" fontId="22" fillId="7" borderId="4" xfId="0" applyFont="1" applyFill="1" applyBorder="1" applyAlignment="1">
      <alignment vertical="center" wrapText="1"/>
    </xf>
    <xf numFmtId="3" fontId="23" fillId="7" borderId="4" xfId="0" applyNumberFormat="1" applyFont="1" applyFill="1" applyBorder="1"/>
    <xf numFmtId="3" fontId="22" fillId="7" borderId="4" xfId="0" applyNumberFormat="1" applyFont="1" applyFill="1" applyBorder="1"/>
    <xf numFmtId="170" fontId="0" fillId="0" borderId="0" xfId="0" applyNumberFormat="1"/>
    <xf numFmtId="169" fontId="0" fillId="0" borderId="0" xfId="0" applyNumberFormat="1"/>
    <xf numFmtId="49" fontId="5" fillId="0" borderId="4" xfId="0" applyNumberFormat="1" applyFont="1" applyBorder="1" applyAlignment="1">
      <alignment horizontal="justify" vertical="center" wrapText="1"/>
    </xf>
    <xf numFmtId="3" fontId="27" fillId="0" borderId="4" xfId="0" applyNumberFormat="1" applyFont="1" applyBorder="1"/>
    <xf numFmtId="0" fontId="27" fillId="0" borderId="4" xfId="0" applyFont="1" applyBorder="1"/>
    <xf numFmtId="3" fontId="27" fillId="7" borderId="4" xfId="0" applyNumberFormat="1" applyFont="1" applyFill="1" applyBorder="1"/>
    <xf numFmtId="166" fontId="27" fillId="0" borderId="4" xfId="0" applyNumberFormat="1" applyFont="1" applyBorder="1"/>
    <xf numFmtId="168" fontId="27" fillId="0" borderId="4" xfId="7" applyNumberFormat="1" applyFont="1" applyBorder="1"/>
    <xf numFmtId="0" fontId="28" fillId="0" borderId="0" xfId="0" applyFont="1"/>
    <xf numFmtId="14" fontId="0" fillId="0" borderId="0" xfId="0" applyNumberFormat="1"/>
    <xf numFmtId="3" fontId="3" fillId="0" borderId="1" xfId="0" applyNumberFormat="1" applyFont="1" applyBorder="1" applyAlignment="1">
      <alignment vertical="center"/>
    </xf>
    <xf numFmtId="9" fontId="29" fillId="0" borderId="0" xfId="1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5" fillId="0" borderId="0" xfId="1" applyFont="1" applyFill="1" applyAlignment="1">
      <alignment vertical="center"/>
    </xf>
    <xf numFmtId="0" fontId="23" fillId="0" borderId="0" xfId="0" applyFont="1"/>
    <xf numFmtId="10" fontId="31" fillId="0" borderId="0" xfId="1" applyNumberFormat="1" applyFont="1" applyFill="1" applyAlignment="1">
      <alignment vertical="center"/>
    </xf>
    <xf numFmtId="3" fontId="31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166" fontId="0" fillId="0" borderId="0" xfId="0" applyNumberFormat="1"/>
    <xf numFmtId="10" fontId="32" fillId="0" borderId="0" xfId="1" applyNumberFormat="1" applyFont="1" applyFill="1" applyAlignment="1">
      <alignment vertical="center"/>
    </xf>
    <xf numFmtId="3" fontId="33" fillId="0" borderId="0" xfId="0" applyNumberFormat="1" applyFont="1" applyAlignment="1">
      <alignment vertical="center"/>
    </xf>
    <xf numFmtId="3" fontId="33" fillId="2" borderId="0" xfId="0" applyNumberFormat="1" applyFont="1" applyFill="1" applyAlignment="1">
      <alignment vertical="center"/>
    </xf>
    <xf numFmtId="0" fontId="25" fillId="6" borderId="5" xfId="0" applyFont="1" applyFill="1" applyBorder="1" applyAlignment="1">
      <alignment vertical="center" wrapText="1"/>
    </xf>
    <xf numFmtId="0" fontId="25" fillId="8" borderId="5" xfId="0" applyFont="1" applyFill="1" applyBorder="1" applyAlignment="1">
      <alignment vertical="center" wrapText="1"/>
    </xf>
    <xf numFmtId="49" fontId="34" fillId="0" borderId="6" xfId="0" applyNumberFormat="1" applyFont="1" applyBorder="1" applyAlignment="1">
      <alignment horizontal="justify" vertical="center" wrapText="1"/>
    </xf>
    <xf numFmtId="49" fontId="34" fillId="0" borderId="7" xfId="0" applyNumberFormat="1" applyFont="1" applyBorder="1" applyAlignment="1">
      <alignment horizontal="justify" vertical="center" wrapText="1"/>
    </xf>
    <xf numFmtId="3" fontId="26" fillId="0" borderId="7" xfId="0" applyNumberFormat="1" applyFont="1" applyBorder="1"/>
    <xf numFmtId="3" fontId="26" fillId="8" borderId="7" xfId="0" applyNumberFormat="1" applyFont="1" applyFill="1" applyBorder="1"/>
    <xf numFmtId="166" fontId="26" fillId="0" borderId="7" xfId="0" applyNumberFormat="1" applyFont="1" applyBorder="1"/>
    <xf numFmtId="168" fontId="26" fillId="0" borderId="7" xfId="0" applyNumberFormat="1" applyFont="1" applyBorder="1"/>
    <xf numFmtId="49" fontId="5" fillId="0" borderId="6" xfId="0" applyNumberFormat="1" applyFont="1" applyBorder="1" applyAlignment="1">
      <alignment horizontal="justify" vertical="center" wrapText="1"/>
    </xf>
    <xf numFmtId="49" fontId="5" fillId="0" borderId="7" xfId="0" applyNumberFormat="1" applyFont="1" applyBorder="1" applyAlignment="1">
      <alignment horizontal="justify" vertical="center" wrapText="1"/>
    </xf>
    <xf numFmtId="166" fontId="27" fillId="0" borderId="7" xfId="0" applyNumberFormat="1" applyFont="1" applyBorder="1"/>
    <xf numFmtId="168" fontId="27" fillId="0" borderId="7" xfId="0" applyNumberFormat="1" applyFont="1" applyBorder="1"/>
    <xf numFmtId="0" fontId="35" fillId="6" borderId="6" xfId="0" applyFont="1" applyFill="1" applyBorder="1" applyAlignment="1">
      <alignment horizontal="justify" vertical="center" wrapText="1"/>
    </xf>
    <xf numFmtId="0" fontId="35" fillId="6" borderId="7" xfId="0" applyFont="1" applyFill="1" applyBorder="1" applyAlignment="1">
      <alignment horizontal="justify" vertical="center" wrapText="1"/>
    </xf>
    <xf numFmtId="3" fontId="25" fillId="0" borderId="7" xfId="0" applyNumberFormat="1" applyFont="1" applyBorder="1"/>
    <xf numFmtId="3" fontId="25" fillId="8" borderId="7" xfId="0" applyNumberFormat="1" applyFont="1" applyFill="1" applyBorder="1"/>
    <xf numFmtId="3" fontId="25" fillId="7" borderId="7" xfId="0" applyNumberFormat="1" applyFont="1" applyFill="1" applyBorder="1"/>
    <xf numFmtId="0" fontId="25" fillId="4" borderId="5" xfId="0" applyFont="1" applyFill="1" applyBorder="1" applyAlignment="1">
      <alignment vertical="center" wrapText="1"/>
    </xf>
    <xf numFmtId="171" fontId="27" fillId="0" borderId="7" xfId="0" applyNumberFormat="1" applyFont="1" applyBorder="1"/>
    <xf numFmtId="49" fontId="34" fillId="0" borderId="4" xfId="0" applyNumberFormat="1" applyFont="1" applyBorder="1" applyAlignment="1">
      <alignment horizontal="justify" vertical="center" wrapText="1"/>
    </xf>
  </cellXfs>
  <cellStyles count="378">
    <cellStyle name="Comma" xfId="7" builtinId="3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Normal" xfId="0" builtinId="0"/>
    <cellStyle name="Normal 2" xfId="2" xr:uid="{00000000-0005-0000-0000-000000000000}"/>
    <cellStyle name="Normal 3" xfId="3" xr:uid="{00000000-0005-0000-0000-000001000000}"/>
    <cellStyle name="Normal 3 2" xfId="5" xr:uid="{00000000-0005-0000-0000-000002000000}"/>
    <cellStyle name="Normal 3 3" xfId="9" xr:uid="{00000000-0005-0000-0000-000003000000}"/>
    <cellStyle name="Normal 4" xfId="4" xr:uid="{00000000-0005-0000-0000-000004000000}"/>
    <cellStyle name="Normal 4 2" xfId="11" xr:uid="{00000000-0005-0000-0000-000005000000}"/>
    <cellStyle name="Normal 5" xfId="8" xr:uid="{00000000-0005-0000-0000-000006000000}"/>
    <cellStyle name="Normal 5 2" xfId="13" xr:uid="{00000000-0005-0000-0000-000007000000}"/>
    <cellStyle name="Percent" xfId="1" builtinId="5"/>
    <cellStyle name="Percent 2" xfId="6" xr:uid="{00000000-0005-0000-0000-000008000000}"/>
    <cellStyle name="Percent 2 2" xfId="12" xr:uid="{00000000-0005-0000-0000-000009000000}"/>
    <cellStyle name="Percent 3" xfId="10" xr:uid="{00000000-0005-0000-0000-00000A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30"/>
  <sheetViews>
    <sheetView zoomScaleNormal="100" zoomScalePageLayoutView="130" workbookViewId="0">
      <pane ySplit="4" topLeftCell="A5" activePane="bottomLeft" state="frozen"/>
      <selection activeCell="B1" sqref="B1"/>
      <selection pane="bottomLeft" activeCell="D48" sqref="D48:G48"/>
    </sheetView>
  </sheetViews>
  <sheetFormatPr baseColWidth="10" defaultColWidth="14.1640625" defaultRowHeight="13" x14ac:dyDescent="0.2"/>
  <cols>
    <col min="1" max="1" width="3.5" style="1" customWidth="1"/>
    <col min="2" max="2" width="60.33203125" style="1" customWidth="1"/>
    <col min="3" max="3" width="20.1640625" style="1" customWidth="1"/>
    <col min="4" max="4" width="24.33203125" style="8" customWidth="1"/>
    <col min="5" max="5" width="27.5" style="8" customWidth="1"/>
    <col min="6" max="6" width="25.33203125" style="3" customWidth="1"/>
    <col min="7" max="7" width="25.5" style="1" customWidth="1"/>
    <col min="8" max="8" width="16.1640625" style="1" bestFit="1" customWidth="1"/>
    <col min="9" max="9" width="47.5" style="1" customWidth="1"/>
    <col min="10" max="10" width="36" style="1" customWidth="1"/>
    <col min="11" max="11" width="19" style="1" customWidth="1"/>
    <col min="12" max="16384" width="14.1640625" style="1"/>
  </cols>
  <sheetData>
    <row r="1" spans="2:10" ht="18" customHeight="1" x14ac:dyDescent="0.2"/>
    <row r="2" spans="2:10" s="10" customFormat="1" ht="25.5" customHeight="1" x14ac:dyDescent="0.2">
      <c r="B2" s="10" t="s">
        <v>134</v>
      </c>
    </row>
    <row r="3" spans="2:10" s="11" customFormat="1" ht="18" customHeight="1" x14ac:dyDescent="0.2"/>
    <row r="4" spans="2:10" s="3" customFormat="1" ht="18" customHeight="1" thickBot="1" x14ac:dyDescent="0.25">
      <c r="B4" s="62" t="s">
        <v>1</v>
      </c>
      <c r="C4" s="62" t="s">
        <v>2</v>
      </c>
      <c r="D4" s="62" t="s">
        <v>132</v>
      </c>
      <c r="E4" s="62" t="s">
        <v>131</v>
      </c>
      <c r="F4" s="62" t="s">
        <v>133</v>
      </c>
      <c r="G4" s="62" t="s">
        <v>130</v>
      </c>
      <c r="H4" s="62" t="s">
        <v>3</v>
      </c>
      <c r="I4" s="62" t="s">
        <v>4</v>
      </c>
      <c r="J4" s="62" t="s">
        <v>5</v>
      </c>
    </row>
    <row r="5" spans="2:10" s="3" customFormat="1" ht="18" customHeight="1" thickBot="1" x14ac:dyDescent="0.25">
      <c r="B5" s="12" t="s">
        <v>67</v>
      </c>
      <c r="C5" s="12"/>
      <c r="D5" s="12"/>
      <c r="E5" s="12"/>
      <c r="F5" s="12"/>
      <c r="G5" s="12"/>
      <c r="H5" s="12"/>
      <c r="I5" s="13"/>
      <c r="J5" s="12"/>
    </row>
    <row r="6" spans="2:10" s="3" customFormat="1" ht="18" customHeight="1" thickBot="1" x14ac:dyDescent="0.25">
      <c r="B6" s="3" t="s">
        <v>72</v>
      </c>
      <c r="C6" s="3" t="s">
        <v>67</v>
      </c>
      <c r="D6" s="59">
        <f t="shared" ref="D6:G6" si="0">ROUNDDOWN((D16-D12-D9),0)</f>
        <v>51409</v>
      </c>
      <c r="E6" s="59">
        <f t="shared" si="0"/>
        <v>38482</v>
      </c>
      <c r="F6" s="59">
        <f t="shared" si="0"/>
        <v>42768</v>
      </c>
      <c r="G6" s="59">
        <f t="shared" si="0"/>
        <v>36999</v>
      </c>
      <c r="H6" s="9"/>
      <c r="I6" s="3" t="s">
        <v>73</v>
      </c>
      <c r="J6" s="3" t="s">
        <v>6</v>
      </c>
    </row>
    <row r="7" spans="2:10" s="3" customFormat="1" ht="18" customHeight="1" x14ac:dyDescent="0.2">
      <c r="B7" s="14" t="s">
        <v>52</v>
      </c>
      <c r="C7" s="13"/>
      <c r="D7" s="41"/>
      <c r="E7" s="41"/>
      <c r="F7" s="41"/>
      <c r="G7" s="41"/>
      <c r="H7" s="13"/>
      <c r="I7" s="13"/>
      <c r="J7" s="13"/>
    </row>
    <row r="8" spans="2:10" s="3" customFormat="1" ht="18" customHeight="1" x14ac:dyDescent="0.2">
      <c r="B8" s="3" t="s">
        <v>8</v>
      </c>
      <c r="C8" s="3" t="s">
        <v>63</v>
      </c>
      <c r="D8" s="15">
        <v>0.95</v>
      </c>
      <c r="E8" s="15">
        <v>0.95</v>
      </c>
      <c r="F8" s="15">
        <v>0.95</v>
      </c>
      <c r="G8" s="15">
        <v>0.95</v>
      </c>
      <c r="I8" s="3" t="s">
        <v>7</v>
      </c>
      <c r="J8" s="3" t="s">
        <v>9</v>
      </c>
    </row>
    <row r="9" spans="2:10" s="3" customFormat="1" ht="18" customHeight="1" x14ac:dyDescent="0.2">
      <c r="B9" s="3" t="s">
        <v>114</v>
      </c>
      <c r="C9" s="3" t="s">
        <v>115</v>
      </c>
      <c r="D9" s="4">
        <f t="shared" ref="D9:G9" si="1">ROUNDUP(D16*(1-D8),0)</f>
        <v>2706</v>
      </c>
      <c r="E9" s="4">
        <f t="shared" si="1"/>
        <v>2026</v>
      </c>
      <c r="F9" s="4">
        <f t="shared" si="1"/>
        <v>2251</v>
      </c>
      <c r="G9" s="4">
        <f t="shared" si="1"/>
        <v>1948</v>
      </c>
      <c r="H9" s="4"/>
      <c r="I9" s="3" t="s">
        <v>118</v>
      </c>
      <c r="J9" s="3" t="s">
        <v>6</v>
      </c>
    </row>
    <row r="10" spans="2:10" s="3" customFormat="1" ht="18" customHeight="1" x14ac:dyDescent="0.2"/>
    <row r="11" spans="2:10" s="3" customFormat="1" ht="18" customHeight="1" x14ac:dyDescent="0.2">
      <c r="B11" s="14" t="s">
        <v>65</v>
      </c>
      <c r="C11" s="13"/>
      <c r="D11" s="13"/>
      <c r="E11" s="13"/>
      <c r="F11" s="13"/>
      <c r="G11" s="13"/>
      <c r="H11" s="13"/>
      <c r="I11" s="13"/>
      <c r="J11" s="13"/>
    </row>
    <row r="12" spans="2:10" s="3" customFormat="1" ht="18" customHeight="1" x14ac:dyDescent="0.2">
      <c r="B12" s="3" t="s">
        <v>74</v>
      </c>
      <c r="C12" s="3" t="s">
        <v>75</v>
      </c>
      <c r="D12" s="4">
        <v>0</v>
      </c>
      <c r="E12" s="4">
        <v>0</v>
      </c>
      <c r="F12" s="4">
        <v>0</v>
      </c>
      <c r="G12" s="4">
        <v>0</v>
      </c>
      <c r="H12" s="3" t="s">
        <v>11</v>
      </c>
      <c r="J12" s="3" t="s">
        <v>66</v>
      </c>
    </row>
    <row r="13" spans="2:10" s="3" customFormat="1" ht="18" customHeight="1" x14ac:dyDescent="0.2"/>
    <row r="14" spans="2:10" s="3" customFormat="1" ht="18" customHeight="1" x14ac:dyDescent="0.2">
      <c r="B14" s="14" t="s">
        <v>10</v>
      </c>
      <c r="C14" s="13"/>
      <c r="D14" s="13"/>
      <c r="E14" s="13"/>
      <c r="F14" s="13"/>
      <c r="G14" s="13"/>
      <c r="H14" s="13"/>
      <c r="I14" s="13"/>
      <c r="J14" s="13"/>
    </row>
    <row r="15" spans="2:10" s="3" customFormat="1" ht="18" customHeight="1" x14ac:dyDescent="0.2">
      <c r="B15" s="3" t="s">
        <v>76</v>
      </c>
      <c r="C15" s="3" t="s">
        <v>129</v>
      </c>
      <c r="D15" s="4">
        <f>D36*D21*D29*D32*10^(-9)</f>
        <v>56849.96613104549</v>
      </c>
      <c r="E15" s="4">
        <f>E36*E21*E29*E32*10^(-9)</f>
        <v>42555.82659766006</v>
      </c>
      <c r="F15" s="4">
        <f>F36*F21*F29*F32*10^(-9)</f>
        <v>47294.0628697375</v>
      </c>
      <c r="G15" s="4">
        <f t="shared" ref="G15" si="2">G36*G21*G29*G32*10^(-9)</f>
        <v>40915.452880111421</v>
      </c>
      <c r="H15" s="3" t="s">
        <v>11</v>
      </c>
      <c r="I15" s="3" t="s">
        <v>127</v>
      </c>
      <c r="J15" s="3" t="s">
        <v>6</v>
      </c>
    </row>
    <row r="16" spans="2:10" s="3" customFormat="1" ht="18" customHeight="1" x14ac:dyDescent="0.2">
      <c r="B16" s="3" t="s">
        <v>77</v>
      </c>
      <c r="C16" s="3" t="s">
        <v>78</v>
      </c>
      <c r="D16" s="4">
        <f t="shared" ref="D16:G16" si="3">ROUNDDOWN(D15*D17,0)</f>
        <v>54115</v>
      </c>
      <c r="E16" s="4">
        <f t="shared" si="3"/>
        <v>40508</v>
      </c>
      <c r="F16" s="4">
        <f t="shared" si="3"/>
        <v>45019</v>
      </c>
      <c r="G16" s="4">
        <f t="shared" si="3"/>
        <v>38947</v>
      </c>
      <c r="H16" s="3" t="s">
        <v>11</v>
      </c>
      <c r="I16" s="3" t="s">
        <v>128</v>
      </c>
      <c r="J16" s="3" t="s">
        <v>6</v>
      </c>
    </row>
    <row r="17" spans="2:16" s="3" customFormat="1" ht="18" customHeight="1" x14ac:dyDescent="0.2">
      <c r="B17" s="3" t="s">
        <v>125</v>
      </c>
      <c r="C17" s="3" t="s">
        <v>62</v>
      </c>
      <c r="D17" s="42">
        <v>0.95189999999999997</v>
      </c>
      <c r="E17" s="42">
        <f>D17</f>
        <v>0.95189999999999997</v>
      </c>
      <c r="F17" s="42">
        <f t="shared" ref="F17:G17" si="4">E17</f>
        <v>0.95189999999999997</v>
      </c>
      <c r="G17" s="42">
        <f t="shared" si="4"/>
        <v>0.95189999999999997</v>
      </c>
      <c r="H17" s="4"/>
      <c r="I17" s="3" t="s">
        <v>7</v>
      </c>
      <c r="J17" s="3" t="s">
        <v>61</v>
      </c>
      <c r="P17" s="5"/>
    </row>
    <row r="18" spans="2:16" s="16" customFormat="1" ht="18" customHeight="1" thickBot="1" x14ac:dyDescent="0.25">
      <c r="D18" s="17"/>
      <c r="E18" s="44"/>
      <c r="F18" s="17"/>
      <c r="G18" s="17"/>
      <c r="J18" s="18"/>
      <c r="P18" s="18"/>
    </row>
    <row r="19" spans="2:16" s="3" customFormat="1" ht="18" customHeight="1" thickTop="1" x14ac:dyDescent="0.2">
      <c r="P19" s="11"/>
    </row>
    <row r="20" spans="2:16" s="3" customFormat="1" ht="18" customHeight="1" x14ac:dyDescent="0.2">
      <c r="B20" s="19" t="s">
        <v>12</v>
      </c>
      <c r="C20" s="20"/>
      <c r="D20" s="20"/>
      <c r="E20" s="20"/>
      <c r="F20" s="20"/>
      <c r="G20" s="20"/>
      <c r="H20" s="20"/>
      <c r="I20" s="20"/>
      <c r="J20" s="20"/>
      <c r="P20" s="11"/>
    </row>
    <row r="21" spans="2:16" s="3" customFormat="1" ht="18" customHeight="1" x14ac:dyDescent="0.2">
      <c r="B21" s="3" t="s">
        <v>13</v>
      </c>
      <c r="C21" s="3" t="s">
        <v>14</v>
      </c>
      <c r="D21" s="4">
        <f>(D22*(D23-D24)+0.01*D25)/D26</f>
        <v>3300.8310249307483</v>
      </c>
      <c r="E21" s="4">
        <f t="shared" ref="E21:G21" si="5">(E22*(E23-E24)+0.01*E25)/E26</f>
        <v>3273.6263736263736</v>
      </c>
      <c r="F21" s="4">
        <f t="shared" si="5"/>
        <v>3356.6197183098593</v>
      </c>
      <c r="G21" s="4">
        <f t="shared" si="5"/>
        <v>3424.1379310344828</v>
      </c>
      <c r="H21" s="3" t="s">
        <v>15</v>
      </c>
      <c r="I21" s="3" t="s">
        <v>79</v>
      </c>
      <c r="J21" s="3" t="s">
        <v>6</v>
      </c>
      <c r="P21" s="11"/>
    </row>
    <row r="22" spans="2:16" s="3" customFormat="1" ht="18" customHeight="1" x14ac:dyDescent="0.2">
      <c r="B22" s="3" t="s">
        <v>16</v>
      </c>
      <c r="C22" s="3" t="s">
        <v>17</v>
      </c>
      <c r="D22" s="3">
        <v>4.1859999999999999</v>
      </c>
      <c r="E22" s="3">
        <v>4.1859999999999999</v>
      </c>
      <c r="F22" s="3">
        <v>4.1859999999999999</v>
      </c>
      <c r="G22" s="3">
        <v>4.1859999999999999</v>
      </c>
      <c r="I22" s="3" t="s">
        <v>7</v>
      </c>
      <c r="J22" s="3" t="s">
        <v>9</v>
      </c>
    </row>
    <row r="23" spans="2:16" s="3" customFormat="1" ht="18" customHeight="1" x14ac:dyDescent="0.2">
      <c r="B23" s="3" t="s">
        <v>18</v>
      </c>
      <c r="C23" s="3" t="s">
        <v>80</v>
      </c>
      <c r="D23" s="3">
        <v>100</v>
      </c>
      <c r="E23" s="3">
        <v>100</v>
      </c>
      <c r="F23" s="3">
        <v>100</v>
      </c>
      <c r="G23" s="3">
        <v>100</v>
      </c>
      <c r="I23" s="3" t="s">
        <v>7</v>
      </c>
      <c r="J23" s="3" t="s">
        <v>9</v>
      </c>
    </row>
    <row r="24" spans="2:16" s="3" customFormat="1" ht="18" customHeight="1" x14ac:dyDescent="0.2">
      <c r="B24" s="3" t="s">
        <v>19</v>
      </c>
      <c r="C24" s="3" t="s">
        <v>81</v>
      </c>
      <c r="D24" s="3">
        <v>20</v>
      </c>
      <c r="E24" s="3">
        <v>20</v>
      </c>
      <c r="F24" s="3">
        <v>20</v>
      </c>
      <c r="G24" s="3">
        <v>20</v>
      </c>
      <c r="I24" s="3" t="s">
        <v>7</v>
      </c>
      <c r="J24" s="3" t="s">
        <v>9</v>
      </c>
    </row>
    <row r="25" spans="2:16" s="3" customFormat="1" ht="18" customHeight="1" x14ac:dyDescent="0.2">
      <c r="B25" s="3" t="s">
        <v>20</v>
      </c>
      <c r="C25" s="3" t="s">
        <v>21</v>
      </c>
      <c r="D25" s="4">
        <v>2260</v>
      </c>
      <c r="E25" s="4">
        <v>2260</v>
      </c>
      <c r="F25" s="4">
        <v>2260</v>
      </c>
      <c r="G25" s="4">
        <v>2260</v>
      </c>
      <c r="I25" s="3" t="s">
        <v>7</v>
      </c>
      <c r="J25" s="3" t="s">
        <v>9</v>
      </c>
    </row>
    <row r="26" spans="2:16" s="3" customFormat="1" ht="18" customHeight="1" x14ac:dyDescent="0.2">
      <c r="B26" s="3" t="s">
        <v>59</v>
      </c>
      <c r="C26" s="3" t="s">
        <v>82</v>
      </c>
      <c r="D26" s="2">
        <v>0.10829999999999999</v>
      </c>
      <c r="E26" s="2">
        <v>0.10920000000000001</v>
      </c>
      <c r="F26" s="2">
        <v>0.1065</v>
      </c>
      <c r="G26" s="2">
        <v>0.10440000000000001</v>
      </c>
      <c r="I26" s="3" t="s">
        <v>7</v>
      </c>
      <c r="J26" s="3" t="s">
        <v>22</v>
      </c>
    </row>
    <row r="27" spans="2:16" s="3" customFormat="1" ht="18" customHeight="1" x14ac:dyDescent="0.2">
      <c r="D27" s="21"/>
      <c r="E27" s="21"/>
      <c r="F27" s="21"/>
      <c r="G27" s="21"/>
    </row>
    <row r="28" spans="2:16" s="3" customFormat="1" ht="18" customHeight="1" x14ac:dyDescent="0.2">
      <c r="B28" s="19" t="s">
        <v>23</v>
      </c>
      <c r="C28" s="20"/>
      <c r="D28" s="20"/>
      <c r="E28" s="20"/>
      <c r="F28" s="20"/>
      <c r="G28" s="20"/>
      <c r="H28" s="20"/>
      <c r="I28" s="20"/>
      <c r="J28" s="20"/>
    </row>
    <row r="29" spans="2:16" s="3" customFormat="1" ht="15" x14ac:dyDescent="0.2">
      <c r="B29" s="3" t="s">
        <v>68</v>
      </c>
      <c r="C29" s="3" t="s">
        <v>83</v>
      </c>
      <c r="D29" s="22">
        <v>0.82</v>
      </c>
      <c r="E29" s="22">
        <v>0.82</v>
      </c>
      <c r="F29" s="22">
        <v>0.82</v>
      </c>
      <c r="G29" s="22">
        <v>0.82</v>
      </c>
      <c r="I29" s="3" t="s">
        <v>7</v>
      </c>
      <c r="J29" s="3" t="s">
        <v>9</v>
      </c>
    </row>
    <row r="30" spans="2:16" s="3" customFormat="1" ht="18" customHeight="1" x14ac:dyDescent="0.2">
      <c r="D30" s="5"/>
      <c r="E30" s="5"/>
      <c r="F30" s="5"/>
      <c r="G30" s="5"/>
    </row>
    <row r="31" spans="2:16" s="3" customFormat="1" ht="18" customHeight="1" x14ac:dyDescent="0.2">
      <c r="B31" s="19" t="s">
        <v>24</v>
      </c>
      <c r="C31" s="20"/>
      <c r="D31" s="20"/>
      <c r="E31" s="20"/>
      <c r="F31" s="20"/>
      <c r="G31" s="20"/>
      <c r="H31" s="20"/>
      <c r="I31" s="20"/>
      <c r="J31" s="20"/>
    </row>
    <row r="32" spans="2:16" s="3" customFormat="1" ht="18" customHeight="1" x14ac:dyDescent="0.2">
      <c r="B32" s="3" t="s">
        <v>25</v>
      </c>
      <c r="C32" s="3" t="s">
        <v>26</v>
      </c>
      <c r="D32" s="3">
        <v>81.599999999999994</v>
      </c>
      <c r="E32" s="3">
        <v>81.599999999999994</v>
      </c>
      <c r="F32" s="3">
        <v>81.599999999999994</v>
      </c>
      <c r="G32" s="3">
        <v>81.599999999999994</v>
      </c>
      <c r="H32" s="3" t="s">
        <v>27</v>
      </c>
      <c r="I32" s="3" t="s">
        <v>7</v>
      </c>
      <c r="J32" s="3" t="s">
        <v>9</v>
      </c>
    </row>
    <row r="33" spans="2:16" s="3" customFormat="1" ht="18" customHeight="1" x14ac:dyDescent="0.2"/>
    <row r="34" spans="2:16" s="3" customFormat="1" ht="18" customHeight="1" x14ac:dyDescent="0.2"/>
    <row r="35" spans="2:16" s="3" customFormat="1" ht="18" customHeight="1" x14ac:dyDescent="0.2">
      <c r="B35" s="19" t="s">
        <v>28</v>
      </c>
      <c r="C35" s="20"/>
      <c r="D35" s="20"/>
      <c r="E35" s="20"/>
      <c r="F35" s="20"/>
      <c r="G35" s="20"/>
      <c r="H35" s="20"/>
      <c r="I35" s="20"/>
      <c r="J35" s="20"/>
    </row>
    <row r="36" spans="2:16" s="3" customFormat="1" ht="18" customHeight="1" x14ac:dyDescent="0.2">
      <c r="B36" s="3" t="s">
        <v>84</v>
      </c>
      <c r="C36" s="3" t="s">
        <v>85</v>
      </c>
      <c r="D36" s="4">
        <f t="shared" ref="D36:G36" si="6">MIN(D39,D53)</f>
        <v>257396659.61421365</v>
      </c>
      <c r="E36" s="4">
        <f t="shared" si="6"/>
        <v>194279022</v>
      </c>
      <c r="F36" s="4">
        <f t="shared" si="6"/>
        <v>210571927.11532554</v>
      </c>
      <c r="G36" s="4">
        <f t="shared" si="6"/>
        <v>178579704.8618232</v>
      </c>
      <c r="H36" s="3" t="s">
        <v>29</v>
      </c>
      <c r="I36" s="3" t="s">
        <v>86</v>
      </c>
      <c r="J36" s="3" t="s">
        <v>6</v>
      </c>
    </row>
    <row r="37" spans="2:16" s="3" customFormat="1" ht="18" customHeight="1" x14ac:dyDescent="0.2">
      <c r="P37" s="5"/>
    </row>
    <row r="38" spans="2:16" s="3" customFormat="1" ht="18" customHeight="1" x14ac:dyDescent="0.2">
      <c r="B38" s="19" t="s">
        <v>30</v>
      </c>
      <c r="C38" s="20"/>
      <c r="D38" s="20"/>
      <c r="E38" s="20"/>
      <c r="F38" s="20"/>
      <c r="G38" s="20"/>
      <c r="H38" s="20"/>
      <c r="I38" s="20"/>
      <c r="J38" s="20"/>
    </row>
    <row r="39" spans="2:16" s="3" customFormat="1" ht="18" customHeight="1" x14ac:dyDescent="0.2">
      <c r="B39" s="3" t="s">
        <v>117</v>
      </c>
      <c r="C39" s="3" t="s">
        <v>87</v>
      </c>
      <c r="D39" s="4">
        <f>D44*D48*D49*D50*D41</f>
        <v>277606791</v>
      </c>
      <c r="E39" s="4">
        <f t="shared" ref="E39:G39" si="7">E44*E48*E49*E50*E41</f>
        <v>194279022</v>
      </c>
      <c r="F39" s="4">
        <f t="shared" si="7"/>
        <v>223104043.00800002</v>
      </c>
      <c r="G39" s="4">
        <f t="shared" si="7"/>
        <v>195077085</v>
      </c>
      <c r="H39" s="3" t="s">
        <v>29</v>
      </c>
      <c r="I39" s="3" t="s">
        <v>88</v>
      </c>
      <c r="J39" s="3" t="s">
        <v>6</v>
      </c>
    </row>
    <row r="40" spans="2:16" s="3" customFormat="1" ht="18" customHeight="1" x14ac:dyDescent="0.2">
      <c r="D40" s="60"/>
      <c r="E40" s="60"/>
      <c r="F40" s="63"/>
      <c r="G40" s="60"/>
    </row>
    <row r="41" spans="2:16" s="3" customFormat="1" ht="18" customHeight="1" x14ac:dyDescent="0.2">
      <c r="B41" s="3" t="s">
        <v>53</v>
      </c>
      <c r="C41" s="3" t="s">
        <v>54</v>
      </c>
      <c r="D41" s="4">
        <v>366</v>
      </c>
      <c r="E41" s="4">
        <f>D41</f>
        <v>366</v>
      </c>
      <c r="F41" s="4">
        <f t="shared" ref="F41:G41" si="8">E41</f>
        <v>366</v>
      </c>
      <c r="G41" s="4">
        <f t="shared" si="8"/>
        <v>366</v>
      </c>
      <c r="H41" s="3" t="s">
        <v>55</v>
      </c>
    </row>
    <row r="42" spans="2:16" s="3" customFormat="1" ht="18" customHeight="1" x14ac:dyDescent="0.2">
      <c r="D42" s="60"/>
      <c r="E42" s="60"/>
      <c r="F42" s="60"/>
      <c r="G42" s="60"/>
      <c r="H42" s="23"/>
      <c r="I42" s="24"/>
      <c r="J42" s="24"/>
    </row>
    <row r="43" spans="2:16" s="3" customFormat="1" ht="21" customHeight="1" x14ac:dyDescent="0.2">
      <c r="B43" s="19" t="s">
        <v>31</v>
      </c>
      <c r="C43" s="20"/>
      <c r="D43" s="61"/>
      <c r="E43" s="61"/>
      <c r="F43" s="61"/>
      <c r="G43" s="61"/>
      <c r="H43" s="20"/>
      <c r="I43" s="20"/>
      <c r="J43" s="20"/>
    </row>
    <row r="44" spans="2:16" s="3" customFormat="1" ht="21" customHeight="1" x14ac:dyDescent="0.2">
      <c r="B44" s="3" t="s">
        <v>57</v>
      </c>
      <c r="C44" s="3" t="s">
        <v>89</v>
      </c>
      <c r="D44" s="66">
        <v>1089</v>
      </c>
      <c r="E44" s="66">
        <v>966</v>
      </c>
      <c r="F44" s="66">
        <v>1152</v>
      </c>
      <c r="G44" s="66">
        <v>665</v>
      </c>
      <c r="H44" s="3" t="s">
        <v>7</v>
      </c>
      <c r="I44" s="3" t="s">
        <v>90</v>
      </c>
      <c r="J44" s="3" t="s">
        <v>6</v>
      </c>
    </row>
    <row r="45" spans="2:16" s="3" customFormat="1" ht="21" customHeight="1" x14ac:dyDescent="0.2">
      <c r="B45" s="3" t="s">
        <v>32</v>
      </c>
      <c r="C45" s="3" t="s">
        <v>33</v>
      </c>
      <c r="D45" s="4">
        <v>0</v>
      </c>
      <c r="E45" s="4">
        <v>0</v>
      </c>
      <c r="F45" s="4">
        <v>0</v>
      </c>
      <c r="G45" s="4">
        <v>0</v>
      </c>
      <c r="H45" s="5" t="s">
        <v>7</v>
      </c>
      <c r="J45" s="3" t="s">
        <v>105</v>
      </c>
    </row>
    <row r="46" spans="2:16" s="3" customFormat="1" ht="21" customHeight="1" x14ac:dyDescent="0.2">
      <c r="B46" s="3" t="s">
        <v>126</v>
      </c>
      <c r="C46" s="3" t="s">
        <v>91</v>
      </c>
      <c r="D46" s="27">
        <v>1148</v>
      </c>
      <c r="E46" s="27">
        <v>1012</v>
      </c>
      <c r="F46" s="27">
        <v>1195</v>
      </c>
      <c r="G46" s="27">
        <v>821</v>
      </c>
      <c r="H46" s="3" t="s">
        <v>7</v>
      </c>
      <c r="I46" s="5"/>
      <c r="J46" s="3" t="s">
        <v>46</v>
      </c>
    </row>
    <row r="47" spans="2:16" s="3" customFormat="1" ht="20.25" customHeight="1" x14ac:dyDescent="0.2">
      <c r="B47" s="3" t="s">
        <v>58</v>
      </c>
      <c r="C47" s="3" t="s">
        <v>34</v>
      </c>
      <c r="D47" s="28">
        <f>D44/D46</f>
        <v>0.94860627177700352</v>
      </c>
      <c r="E47" s="28">
        <f t="shared" ref="E47:G47" si="9">E44/E46</f>
        <v>0.95454545454545459</v>
      </c>
      <c r="F47" s="28">
        <f t="shared" si="9"/>
        <v>0.96401673640167362</v>
      </c>
      <c r="G47" s="28">
        <f t="shared" si="9"/>
        <v>0.80998781973203415</v>
      </c>
      <c r="H47" s="3" t="s">
        <v>7</v>
      </c>
      <c r="J47" s="3" t="s">
        <v>46</v>
      </c>
    </row>
    <row r="48" spans="2:16" s="3" customFormat="1" ht="20.25" customHeight="1" x14ac:dyDescent="0.2">
      <c r="B48" s="3" t="s">
        <v>35</v>
      </c>
      <c r="C48" s="3" t="s">
        <v>102</v>
      </c>
      <c r="D48" s="4">
        <v>199</v>
      </c>
      <c r="E48" s="4">
        <v>157</v>
      </c>
      <c r="F48" s="4">
        <v>176</v>
      </c>
      <c r="G48" s="4">
        <v>229</v>
      </c>
      <c r="H48" s="5" t="s">
        <v>7</v>
      </c>
      <c r="I48" s="3" t="s">
        <v>103</v>
      </c>
      <c r="J48" s="3" t="s">
        <v>119</v>
      </c>
    </row>
    <row r="49" spans="2:10" s="3" customFormat="1" ht="21" customHeight="1" x14ac:dyDescent="0.2">
      <c r="B49" s="3" t="s">
        <v>36</v>
      </c>
      <c r="C49" s="3" t="s">
        <v>92</v>
      </c>
      <c r="D49" s="6">
        <v>1</v>
      </c>
      <c r="E49" s="6">
        <v>1</v>
      </c>
      <c r="F49" s="6">
        <v>0.85899999999999999</v>
      </c>
      <c r="G49" s="6">
        <v>1</v>
      </c>
      <c r="H49" s="3" t="s">
        <v>7</v>
      </c>
      <c r="I49" s="3" t="s">
        <v>7</v>
      </c>
      <c r="J49" s="3" t="s">
        <v>22</v>
      </c>
    </row>
    <row r="50" spans="2:10" s="3" customFormat="1" ht="21" customHeight="1" x14ac:dyDescent="0.2">
      <c r="B50" s="3" t="s">
        <v>37</v>
      </c>
      <c r="C50" s="3" t="s">
        <v>93</v>
      </c>
      <c r="D50" s="3">
        <v>3.5</v>
      </c>
      <c r="E50" s="3">
        <v>3.5</v>
      </c>
      <c r="F50" s="3">
        <v>3.5</v>
      </c>
      <c r="G50" s="3">
        <v>3.5</v>
      </c>
      <c r="H50" s="3" t="s">
        <v>38</v>
      </c>
      <c r="J50" s="3" t="s">
        <v>9</v>
      </c>
    </row>
    <row r="51" spans="2:10" s="3" customFormat="1" ht="21" customHeight="1" x14ac:dyDescent="0.2">
      <c r="D51" s="70"/>
      <c r="E51" s="70"/>
      <c r="F51" s="70"/>
      <c r="G51" s="70"/>
    </row>
    <row r="52" spans="2:10" s="3" customFormat="1" ht="21" customHeight="1" x14ac:dyDescent="0.2">
      <c r="B52" s="19" t="s">
        <v>39</v>
      </c>
      <c r="C52" s="20"/>
      <c r="D52" s="71"/>
      <c r="E52" s="71"/>
      <c r="F52" s="71"/>
      <c r="G52" s="71"/>
      <c r="H52" s="20"/>
      <c r="I52" s="20"/>
      <c r="J52" s="20"/>
    </row>
    <row r="53" spans="2:10" s="3" customFormat="1" ht="21" customHeight="1" x14ac:dyDescent="0.2">
      <c r="B53" s="3" t="s">
        <v>94</v>
      </c>
      <c r="C53" s="3" t="s">
        <v>95</v>
      </c>
      <c r="D53" s="4">
        <f>D54*D44*D49</f>
        <v>257396659.61421365</v>
      </c>
      <c r="E53" s="4">
        <f t="shared" ref="E53:F53" si="10">E54*E44*E49</f>
        <v>196232569.92643198</v>
      </c>
      <c r="F53" s="4">
        <f t="shared" si="10"/>
        <v>210571927.11532554</v>
      </c>
      <c r="G53" s="4">
        <f>G54*G44*G49</f>
        <v>178579704.8618232</v>
      </c>
      <c r="H53" s="3" t="s">
        <v>29</v>
      </c>
      <c r="I53" s="3" t="s">
        <v>96</v>
      </c>
      <c r="J53" s="3" t="s">
        <v>6</v>
      </c>
    </row>
    <row r="54" spans="2:10" s="3" customFormat="1" ht="21" customHeight="1" x14ac:dyDescent="0.2">
      <c r="B54" s="3" t="s">
        <v>97</v>
      </c>
      <c r="C54" s="3" t="s">
        <v>98</v>
      </c>
      <c r="D54" s="4">
        <f>D59*D62*D63</f>
        <v>236360.5689754028</v>
      </c>
      <c r="E54" s="4">
        <f t="shared" ref="E54:G54" si="11">E59*E62*E63</f>
        <v>203139.3063420621</v>
      </c>
      <c r="F54" s="4">
        <f t="shared" si="11"/>
        <v>212791.77086903129</v>
      </c>
      <c r="G54" s="4">
        <f t="shared" si="11"/>
        <v>268540.90956665145</v>
      </c>
      <c r="H54" s="3" t="s">
        <v>29</v>
      </c>
      <c r="I54" s="3" t="s">
        <v>99</v>
      </c>
      <c r="J54" s="3" t="s">
        <v>6</v>
      </c>
    </row>
    <row r="55" spans="2:10" s="3" customFormat="1" ht="21" customHeight="1" x14ac:dyDescent="0.2"/>
    <row r="56" spans="2:10" s="3" customFormat="1" ht="21" customHeight="1" x14ac:dyDescent="0.2">
      <c r="B56" s="19" t="s">
        <v>40</v>
      </c>
      <c r="C56" s="20"/>
      <c r="D56" s="25"/>
      <c r="E56" s="25"/>
      <c r="F56" s="25"/>
      <c r="G56" s="25"/>
      <c r="H56" s="20"/>
      <c r="I56" s="20"/>
      <c r="J56" s="20"/>
    </row>
    <row r="57" spans="2:10" s="3" customFormat="1" ht="21" customHeight="1" x14ac:dyDescent="0.2">
      <c r="B57" s="3" t="s">
        <v>70</v>
      </c>
      <c r="D57" s="26">
        <v>7919</v>
      </c>
      <c r="E57" s="26">
        <v>6091</v>
      </c>
      <c r="F57" s="26">
        <v>7509</v>
      </c>
      <c r="G57" s="26">
        <v>5441</v>
      </c>
      <c r="H57" s="3" t="s">
        <v>71</v>
      </c>
      <c r="J57" s="3" t="s">
        <v>104</v>
      </c>
    </row>
    <row r="58" spans="2:10" s="3" customFormat="1" ht="21" customHeight="1" x14ac:dyDescent="0.2">
      <c r="B58" s="3" t="s">
        <v>41</v>
      </c>
      <c r="C58" s="3" t="s">
        <v>0</v>
      </c>
      <c r="D58" s="67">
        <f>D57/D44</f>
        <v>7.2718089990817267</v>
      </c>
      <c r="E58" s="67">
        <f>E57/E44</f>
        <v>6.3053830227743273</v>
      </c>
      <c r="F58" s="67">
        <f t="shared" ref="F58:G58" si="12">F57/F44</f>
        <v>6.518229166666667</v>
      </c>
      <c r="G58" s="67">
        <f t="shared" si="12"/>
        <v>8.1819548872180459</v>
      </c>
      <c r="H58" s="3" t="s">
        <v>7</v>
      </c>
      <c r="I58" s="3" t="s">
        <v>100</v>
      </c>
      <c r="J58" s="3" t="s">
        <v>6</v>
      </c>
    </row>
    <row r="59" spans="2:10" s="3" customFormat="1" ht="21" customHeight="1" x14ac:dyDescent="0.2">
      <c r="B59" s="3" t="s">
        <v>42</v>
      </c>
      <c r="D59" s="4">
        <f>D60*D58</f>
        <v>239758.81450872362</v>
      </c>
      <c r="E59" s="4">
        <f>E60*E58</f>
        <v>206059.91718426501</v>
      </c>
      <c r="F59" s="4">
        <f>F60*F58</f>
        <v>215851.15885416669</v>
      </c>
      <c r="G59" s="4">
        <f t="shared" ref="G59" si="13">G60*G58</f>
        <v>272401.82406015042</v>
      </c>
      <c r="H59" s="3" t="s">
        <v>29</v>
      </c>
      <c r="I59" s="3" t="s">
        <v>60</v>
      </c>
      <c r="J59" s="3" t="s">
        <v>6</v>
      </c>
    </row>
    <row r="60" spans="2:10" s="3" customFormat="1" ht="21" customHeight="1" x14ac:dyDescent="0.2">
      <c r="B60" s="3" t="s">
        <v>69</v>
      </c>
      <c r="C60" s="3" t="s">
        <v>101</v>
      </c>
      <c r="D60" s="4">
        <v>32971</v>
      </c>
      <c r="E60" s="4">
        <v>32680</v>
      </c>
      <c r="F60" s="4">
        <v>33115</v>
      </c>
      <c r="G60" s="4">
        <v>33293</v>
      </c>
      <c r="H60" s="3" t="s">
        <v>29</v>
      </c>
      <c r="I60" s="3" t="s">
        <v>56</v>
      </c>
      <c r="J60" s="3" t="s">
        <v>64</v>
      </c>
    </row>
    <row r="61" spans="2:10" s="3" customFormat="1" ht="21" customHeight="1" x14ac:dyDescent="0.2">
      <c r="B61" s="3" t="s">
        <v>43</v>
      </c>
      <c r="C61" s="3" t="s">
        <v>44</v>
      </c>
      <c r="D61" s="7">
        <v>3.0329999999999999</v>
      </c>
      <c r="E61" s="7">
        <v>3.06</v>
      </c>
      <c r="F61" s="7">
        <v>3.02</v>
      </c>
      <c r="G61" s="7">
        <v>3.004</v>
      </c>
      <c r="H61" s="3" t="s">
        <v>45</v>
      </c>
      <c r="J61" s="3" t="s">
        <v>64</v>
      </c>
    </row>
    <row r="62" spans="2:10" s="3" customFormat="1" ht="21" customHeight="1" x14ac:dyDescent="0.2">
      <c r="B62" s="3" t="s">
        <v>47</v>
      </c>
      <c r="C62" s="3" t="s">
        <v>48</v>
      </c>
      <c r="D62" s="69">
        <v>0.99780000000000002</v>
      </c>
      <c r="E62" s="69">
        <f>D62</f>
        <v>0.99780000000000002</v>
      </c>
      <c r="F62" s="69">
        <f t="shared" ref="F62:G62" si="14">E62</f>
        <v>0.99780000000000002</v>
      </c>
      <c r="G62" s="69">
        <f t="shared" si="14"/>
        <v>0.99780000000000002</v>
      </c>
      <c r="I62" s="3" t="s">
        <v>7</v>
      </c>
      <c r="J62" s="3" t="s">
        <v>49</v>
      </c>
    </row>
    <row r="63" spans="2:10" s="3" customFormat="1" ht="21" customHeight="1" x14ac:dyDescent="0.2">
      <c r="B63" s="3" t="s">
        <v>50</v>
      </c>
      <c r="C63" s="3" t="s">
        <v>51</v>
      </c>
      <c r="D63" s="69">
        <v>0.98799999999999999</v>
      </c>
      <c r="E63" s="69">
        <f>D63</f>
        <v>0.98799999999999999</v>
      </c>
      <c r="F63" s="69">
        <f t="shared" ref="F63:G63" si="15">E63</f>
        <v>0.98799999999999999</v>
      </c>
      <c r="G63" s="69">
        <f t="shared" si="15"/>
        <v>0.98799999999999999</v>
      </c>
      <c r="I63" s="3" t="s">
        <v>7</v>
      </c>
      <c r="J63" s="3" t="s">
        <v>61</v>
      </c>
    </row>
    <row r="64" spans="2:10" s="3" customFormat="1" ht="21" customHeight="1" x14ac:dyDescent="0.2">
      <c r="D64" s="65"/>
      <c r="E64" s="65"/>
      <c r="F64" s="65"/>
      <c r="G64" s="65"/>
    </row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  <row r="1031" ht="18" customHeight="1" x14ac:dyDescent="0.2"/>
    <row r="1032" ht="18" customHeight="1" x14ac:dyDescent="0.2"/>
    <row r="1033" ht="18" customHeight="1" x14ac:dyDescent="0.2"/>
    <row r="1034" ht="18" customHeight="1" x14ac:dyDescent="0.2"/>
    <row r="1035" ht="18" customHeight="1" x14ac:dyDescent="0.2"/>
    <row r="1036" ht="18" customHeight="1" x14ac:dyDescent="0.2"/>
    <row r="1037" ht="18" customHeight="1" x14ac:dyDescent="0.2"/>
    <row r="1038" ht="18" customHeight="1" x14ac:dyDescent="0.2"/>
    <row r="1039" ht="18" customHeight="1" x14ac:dyDescent="0.2"/>
    <row r="1040" ht="18" customHeight="1" x14ac:dyDescent="0.2"/>
    <row r="1041" ht="18" customHeight="1" x14ac:dyDescent="0.2"/>
    <row r="1042" ht="18" customHeight="1" x14ac:dyDescent="0.2"/>
    <row r="1043" ht="18" customHeight="1" x14ac:dyDescent="0.2"/>
    <row r="1044" ht="18" customHeight="1" x14ac:dyDescent="0.2"/>
    <row r="1045" ht="18" customHeight="1" x14ac:dyDescent="0.2"/>
    <row r="1046" ht="18" customHeight="1" x14ac:dyDescent="0.2"/>
    <row r="1047" ht="18" customHeight="1" x14ac:dyDescent="0.2"/>
    <row r="1048" ht="18" customHeight="1" x14ac:dyDescent="0.2"/>
    <row r="1049" ht="18" customHeight="1" x14ac:dyDescent="0.2"/>
    <row r="1050" ht="18" customHeight="1" x14ac:dyDescent="0.2"/>
    <row r="1051" ht="18" customHeight="1" x14ac:dyDescent="0.2"/>
    <row r="1052" ht="18" customHeight="1" x14ac:dyDescent="0.2"/>
    <row r="1053" ht="18" customHeight="1" x14ac:dyDescent="0.2"/>
    <row r="1054" ht="18" customHeight="1" x14ac:dyDescent="0.2"/>
    <row r="1055" ht="18" customHeight="1" x14ac:dyDescent="0.2"/>
    <row r="1056" ht="18" customHeight="1" x14ac:dyDescent="0.2"/>
    <row r="1057" ht="18" customHeight="1" x14ac:dyDescent="0.2"/>
    <row r="1058" ht="18" customHeight="1" x14ac:dyDescent="0.2"/>
    <row r="1059" ht="18" customHeight="1" x14ac:dyDescent="0.2"/>
    <row r="1060" ht="18" customHeight="1" x14ac:dyDescent="0.2"/>
    <row r="1061" ht="18" customHeight="1" x14ac:dyDescent="0.2"/>
    <row r="1062" ht="18" customHeight="1" x14ac:dyDescent="0.2"/>
    <row r="1063" ht="18" customHeight="1" x14ac:dyDescent="0.2"/>
    <row r="1064" ht="18" customHeight="1" x14ac:dyDescent="0.2"/>
    <row r="1065" ht="18" customHeight="1" x14ac:dyDescent="0.2"/>
    <row r="1066" ht="18" customHeight="1" x14ac:dyDescent="0.2"/>
    <row r="1067" ht="18" customHeight="1" x14ac:dyDescent="0.2"/>
    <row r="1068" ht="18" customHeight="1" x14ac:dyDescent="0.2"/>
    <row r="1069" ht="18" customHeight="1" x14ac:dyDescent="0.2"/>
    <row r="1070" ht="18" customHeight="1" x14ac:dyDescent="0.2"/>
    <row r="1071" ht="18" customHeight="1" x14ac:dyDescent="0.2"/>
    <row r="1072" ht="18" customHeight="1" x14ac:dyDescent="0.2"/>
    <row r="1073" ht="18" customHeight="1" x14ac:dyDescent="0.2"/>
    <row r="1074" ht="18" customHeight="1" x14ac:dyDescent="0.2"/>
    <row r="1075" ht="18" customHeight="1" x14ac:dyDescent="0.2"/>
    <row r="1076" ht="18" customHeight="1" x14ac:dyDescent="0.2"/>
    <row r="1077" ht="18" customHeight="1" x14ac:dyDescent="0.2"/>
    <row r="1078" ht="18" customHeight="1" x14ac:dyDescent="0.2"/>
    <row r="1079" ht="18" customHeight="1" x14ac:dyDescent="0.2"/>
    <row r="1080" ht="18" customHeight="1" x14ac:dyDescent="0.2"/>
    <row r="1081" ht="18" customHeight="1" x14ac:dyDescent="0.2"/>
    <row r="1082" ht="18" customHeight="1" x14ac:dyDescent="0.2"/>
    <row r="1083" ht="18" customHeight="1" x14ac:dyDescent="0.2"/>
    <row r="1084" ht="18" customHeight="1" x14ac:dyDescent="0.2"/>
    <row r="1085" ht="18" customHeight="1" x14ac:dyDescent="0.2"/>
    <row r="1086" ht="18" customHeight="1" x14ac:dyDescent="0.2"/>
    <row r="1087" ht="18" customHeight="1" x14ac:dyDescent="0.2"/>
    <row r="1088" ht="18" customHeight="1" x14ac:dyDescent="0.2"/>
    <row r="1089" ht="18" customHeight="1" x14ac:dyDescent="0.2"/>
    <row r="1090" ht="18" customHeight="1" x14ac:dyDescent="0.2"/>
    <row r="1091" ht="18" customHeight="1" x14ac:dyDescent="0.2"/>
    <row r="1092" ht="18" customHeight="1" x14ac:dyDescent="0.2"/>
    <row r="1093" ht="18" customHeight="1" x14ac:dyDescent="0.2"/>
    <row r="1094" ht="18" customHeight="1" x14ac:dyDescent="0.2"/>
    <row r="1095" ht="18" customHeight="1" x14ac:dyDescent="0.2"/>
    <row r="1096" ht="18" customHeight="1" x14ac:dyDescent="0.2"/>
    <row r="1097" ht="18" customHeight="1" x14ac:dyDescent="0.2"/>
    <row r="1098" ht="18" customHeight="1" x14ac:dyDescent="0.2"/>
    <row r="1099" ht="18" customHeight="1" x14ac:dyDescent="0.2"/>
    <row r="1100" ht="18" customHeight="1" x14ac:dyDescent="0.2"/>
    <row r="1101" ht="18" customHeight="1" x14ac:dyDescent="0.2"/>
    <row r="1102" ht="18" customHeight="1" x14ac:dyDescent="0.2"/>
    <row r="1103" ht="18" customHeight="1" x14ac:dyDescent="0.2"/>
    <row r="1104" ht="18" customHeight="1" x14ac:dyDescent="0.2"/>
    <row r="1105" ht="18" customHeight="1" x14ac:dyDescent="0.2"/>
    <row r="1106" ht="18" customHeight="1" x14ac:dyDescent="0.2"/>
    <row r="1107" ht="18" customHeight="1" x14ac:dyDescent="0.2"/>
    <row r="1108" ht="18" customHeight="1" x14ac:dyDescent="0.2"/>
    <row r="1109" ht="18" customHeight="1" x14ac:dyDescent="0.2"/>
    <row r="1110" ht="18" customHeight="1" x14ac:dyDescent="0.2"/>
    <row r="1111" ht="18" customHeight="1" x14ac:dyDescent="0.2"/>
    <row r="1112" ht="18" customHeight="1" x14ac:dyDescent="0.2"/>
    <row r="1113" ht="18" customHeight="1" x14ac:dyDescent="0.2"/>
    <row r="1114" ht="18" customHeight="1" x14ac:dyDescent="0.2"/>
    <row r="1115" ht="18" customHeight="1" x14ac:dyDescent="0.2"/>
    <row r="1116" ht="18" customHeight="1" x14ac:dyDescent="0.2"/>
    <row r="1117" ht="18" customHeight="1" x14ac:dyDescent="0.2"/>
    <row r="1118" ht="18" customHeight="1" x14ac:dyDescent="0.2"/>
    <row r="1119" ht="18" customHeight="1" x14ac:dyDescent="0.2"/>
    <row r="1120" ht="18" customHeight="1" x14ac:dyDescent="0.2"/>
    <row r="1121" ht="18" customHeight="1" x14ac:dyDescent="0.2"/>
    <row r="1122" ht="18" customHeight="1" x14ac:dyDescent="0.2"/>
    <row r="1123" ht="18" customHeight="1" x14ac:dyDescent="0.2"/>
    <row r="1124" ht="18" customHeight="1" x14ac:dyDescent="0.2"/>
    <row r="1125" ht="18" customHeight="1" x14ac:dyDescent="0.2"/>
    <row r="1126" ht="18" customHeight="1" x14ac:dyDescent="0.2"/>
    <row r="1127" ht="18" customHeight="1" x14ac:dyDescent="0.2"/>
    <row r="1128" ht="18" customHeight="1" x14ac:dyDescent="0.2"/>
    <row r="1129" ht="18" customHeight="1" x14ac:dyDescent="0.2"/>
    <row r="1130" ht="18" customHeight="1" x14ac:dyDescent="0.2"/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zoomScaleNormal="100" zoomScalePageLayoutView="140" workbookViewId="0">
      <selection activeCell="G6" sqref="G6"/>
    </sheetView>
  </sheetViews>
  <sheetFormatPr baseColWidth="10" defaultColWidth="11" defaultRowHeight="15" x14ac:dyDescent="0.2"/>
  <cols>
    <col min="1" max="1" width="29.83203125" customWidth="1"/>
    <col min="3" max="3" width="15.33203125" customWidth="1"/>
    <col min="4" max="4" width="16.1640625" customWidth="1"/>
    <col min="5" max="5" width="14.1640625" customWidth="1"/>
    <col min="6" max="6" width="15.83203125" customWidth="1"/>
    <col min="7" max="7" width="15.33203125" customWidth="1"/>
    <col min="8" max="8" width="14.83203125" customWidth="1"/>
    <col min="9" max="9" width="13.83203125" customWidth="1"/>
    <col min="10" max="11" width="12" bestFit="1" customWidth="1"/>
  </cols>
  <sheetData>
    <row r="1" spans="1:13" ht="102" customHeight="1" x14ac:dyDescent="0.2">
      <c r="A1" s="29" t="s">
        <v>145</v>
      </c>
      <c r="B1" s="29" t="s">
        <v>120</v>
      </c>
      <c r="C1" s="29" t="s">
        <v>106</v>
      </c>
      <c r="D1" s="29" t="s">
        <v>107</v>
      </c>
      <c r="E1" s="29" t="s">
        <v>108</v>
      </c>
      <c r="F1" s="46" t="s">
        <v>109</v>
      </c>
      <c r="G1" s="29" t="s">
        <v>116</v>
      </c>
      <c r="H1" s="29" t="s">
        <v>150</v>
      </c>
      <c r="I1" s="29" t="s">
        <v>111</v>
      </c>
      <c r="J1" s="33" t="s">
        <v>112</v>
      </c>
      <c r="K1" s="33" t="s">
        <v>113</v>
      </c>
    </row>
    <row r="2" spans="1:13" ht="28" x14ac:dyDescent="0.2">
      <c r="A2" s="31" t="s">
        <v>146</v>
      </c>
      <c r="B2" s="31" t="s">
        <v>121</v>
      </c>
      <c r="C2" s="38">
        <f>'ER Calculation'!D16</f>
        <v>54115</v>
      </c>
      <c r="D2" s="36">
        <v>0</v>
      </c>
      <c r="E2" s="39">
        <f>'ER Calculation'!D9</f>
        <v>2706</v>
      </c>
      <c r="F2" s="47">
        <f>'ER Calculation'!D6</f>
        <v>51409</v>
      </c>
      <c r="G2" s="37">
        <f>H2*I2/365</f>
        <v>58445.687671232874</v>
      </c>
      <c r="H2" s="35">
        <v>58286</v>
      </c>
      <c r="I2" s="32">
        <v>366</v>
      </c>
      <c r="J2" s="43">
        <v>43831</v>
      </c>
      <c r="K2" s="43">
        <v>44196</v>
      </c>
      <c r="M2" s="68"/>
    </row>
    <row r="3" spans="1:13" ht="28" x14ac:dyDescent="0.2">
      <c r="A3" s="31" t="s">
        <v>147</v>
      </c>
      <c r="B3" s="31" t="s">
        <v>122</v>
      </c>
      <c r="C3" s="38">
        <f>'ER Calculation'!E16</f>
        <v>40508</v>
      </c>
      <c r="D3" s="34">
        <v>0</v>
      </c>
      <c r="E3" s="38">
        <f>'ER Calculation'!E9</f>
        <v>2026</v>
      </c>
      <c r="F3" s="47">
        <f>'ER Calculation'!E6</f>
        <v>38482</v>
      </c>
      <c r="G3" s="37">
        <f t="shared" ref="G3:G5" si="0">H3*I3/365</f>
        <v>44864.580821917807</v>
      </c>
      <c r="H3" s="35">
        <v>44742</v>
      </c>
      <c r="I3" s="32">
        <v>366</v>
      </c>
      <c r="J3" s="43">
        <v>43831</v>
      </c>
      <c r="K3" s="43">
        <v>44196</v>
      </c>
      <c r="M3" s="68"/>
    </row>
    <row r="4" spans="1:13" s="57" customFormat="1" ht="28" x14ac:dyDescent="0.2">
      <c r="A4" s="51" t="s">
        <v>148</v>
      </c>
      <c r="B4" s="51" t="s">
        <v>123</v>
      </c>
      <c r="C4" s="52">
        <f>'ER Calculation'!F16</f>
        <v>45019</v>
      </c>
      <c r="D4" s="53">
        <v>0</v>
      </c>
      <c r="E4" s="52">
        <f>'ER Calculation'!F9</f>
        <v>2251</v>
      </c>
      <c r="F4" s="54">
        <f>'ER Calculation'!F6</f>
        <v>42768</v>
      </c>
      <c r="G4" s="55">
        <f t="shared" si="0"/>
        <v>59501.572602739725</v>
      </c>
      <c r="H4" s="56">
        <v>59339</v>
      </c>
      <c r="I4" s="32">
        <v>366</v>
      </c>
      <c r="J4" s="43">
        <v>43831</v>
      </c>
      <c r="K4" s="43">
        <v>44196</v>
      </c>
      <c r="M4" s="68"/>
    </row>
    <row r="5" spans="1:13" s="57" customFormat="1" ht="28" x14ac:dyDescent="0.2">
      <c r="A5" s="51" t="s">
        <v>149</v>
      </c>
      <c r="B5" s="51" t="s">
        <v>124</v>
      </c>
      <c r="C5" s="52">
        <f>'ER Calculation'!G16</f>
        <v>38947</v>
      </c>
      <c r="D5" s="53">
        <v>0</v>
      </c>
      <c r="E5" s="52">
        <f>'ER Calculation'!G9</f>
        <v>1948</v>
      </c>
      <c r="F5" s="54">
        <f>'ER Calculation'!G6</f>
        <v>36999</v>
      </c>
      <c r="G5" s="55">
        <f t="shared" si="0"/>
        <v>57484.060273972602</v>
      </c>
      <c r="H5" s="56">
        <v>57327</v>
      </c>
      <c r="I5" s="32">
        <v>366</v>
      </c>
      <c r="J5" s="43">
        <v>43831</v>
      </c>
      <c r="K5" s="43">
        <v>44196</v>
      </c>
      <c r="M5" s="68"/>
    </row>
    <row r="6" spans="1:13" ht="26" customHeight="1" x14ac:dyDescent="0.2">
      <c r="A6" s="30" t="s">
        <v>110</v>
      </c>
      <c r="B6" s="30"/>
      <c r="C6" s="40">
        <f t="shared" ref="C6:H6" si="1">SUM(C2:C5)</f>
        <v>178589</v>
      </c>
      <c r="D6" s="40">
        <f t="shared" si="1"/>
        <v>0</v>
      </c>
      <c r="E6" s="40">
        <f t="shared" si="1"/>
        <v>8931</v>
      </c>
      <c r="F6" s="48">
        <f t="shared" si="1"/>
        <v>169658</v>
      </c>
      <c r="G6" s="40">
        <f t="shared" si="1"/>
        <v>220295.90136986302</v>
      </c>
      <c r="H6" s="40">
        <f t="shared" si="1"/>
        <v>219694</v>
      </c>
    </row>
    <row r="7" spans="1:13" x14ac:dyDescent="0.2">
      <c r="J7" s="58"/>
      <c r="K7" s="49"/>
    </row>
    <row r="8" spans="1:13" x14ac:dyDescent="0.2">
      <c r="F8" s="45"/>
      <c r="I8" s="50"/>
      <c r="J8" s="58"/>
    </row>
    <row r="18" spans="3:7" x14ac:dyDescent="0.2">
      <c r="C18" s="64"/>
      <c r="D18" s="58"/>
    </row>
    <row r="19" spans="3:7" x14ac:dyDescent="0.2">
      <c r="D19" s="58"/>
      <c r="G19" s="45"/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BCFC-6584-A64E-A2F7-509D731CBE6D}">
  <dimension ref="A1:H6"/>
  <sheetViews>
    <sheetView tabSelected="1" workbookViewId="0">
      <selection activeCell="H2" sqref="H2"/>
    </sheetView>
  </sheetViews>
  <sheetFormatPr baseColWidth="10" defaultRowHeight="15" x14ac:dyDescent="0.2"/>
  <cols>
    <col min="1" max="1" width="18.83203125" customWidth="1"/>
    <col min="3" max="3" width="15.5" customWidth="1"/>
    <col min="4" max="4" width="20.6640625" customWidth="1"/>
    <col min="5" max="5" width="17.33203125" customWidth="1"/>
    <col min="6" max="6" width="13.83203125" customWidth="1"/>
    <col min="7" max="7" width="13.5" customWidth="1"/>
    <col min="8" max="8" width="15.1640625" customWidth="1"/>
  </cols>
  <sheetData>
    <row r="1" spans="1:8" ht="120" x14ac:dyDescent="0.2">
      <c r="A1" s="33" t="s">
        <v>145</v>
      </c>
      <c r="B1" s="72" t="s">
        <v>135</v>
      </c>
      <c r="C1" s="72" t="s">
        <v>140</v>
      </c>
      <c r="D1" s="72" t="s">
        <v>141</v>
      </c>
      <c r="E1" s="73" t="s">
        <v>142</v>
      </c>
      <c r="F1" s="89" t="s">
        <v>143</v>
      </c>
      <c r="G1" s="72" t="s">
        <v>151</v>
      </c>
      <c r="H1" s="72" t="s">
        <v>152</v>
      </c>
    </row>
    <row r="2" spans="1:8" ht="28" x14ac:dyDescent="0.2">
      <c r="A2" s="91" t="s">
        <v>146</v>
      </c>
      <c r="B2" s="75" t="s">
        <v>136</v>
      </c>
      <c r="C2" s="76">
        <f>'ER Calculation'!D44</f>
        <v>1089</v>
      </c>
      <c r="D2" s="76">
        <f>'ER Calculation'!D48</f>
        <v>199</v>
      </c>
      <c r="E2" s="77">
        <f>C2*D2</f>
        <v>216711</v>
      </c>
      <c r="F2" s="76">
        <f>G2*H2</f>
        <v>329294</v>
      </c>
      <c r="G2" s="78">
        <v>1094</v>
      </c>
      <c r="H2" s="79">
        <v>301</v>
      </c>
    </row>
    <row r="3" spans="1:8" ht="28" x14ac:dyDescent="0.2">
      <c r="A3" s="74" t="s">
        <v>147</v>
      </c>
      <c r="B3" s="75" t="s">
        <v>137</v>
      </c>
      <c r="C3" s="76">
        <f>'ER Calculation'!E44</f>
        <v>966</v>
      </c>
      <c r="D3" s="76">
        <f>'ER Calculation'!E48</f>
        <v>157</v>
      </c>
      <c r="E3" s="77">
        <f t="shared" ref="E3:E5" si="0">C3*D3</f>
        <v>151662</v>
      </c>
      <c r="F3" s="76">
        <f t="shared" ref="F3:F5" si="1">G3*H3</f>
        <v>272650</v>
      </c>
      <c r="G3" s="78">
        <v>950</v>
      </c>
      <c r="H3" s="79">
        <v>287</v>
      </c>
    </row>
    <row r="4" spans="1:8" ht="28" x14ac:dyDescent="0.2">
      <c r="A4" s="80" t="s">
        <v>148</v>
      </c>
      <c r="B4" s="81" t="s">
        <v>138</v>
      </c>
      <c r="C4" s="76">
        <f>'ER Calculation'!F44</f>
        <v>1152</v>
      </c>
      <c r="D4" s="76">
        <f>'ER Calculation'!F48</f>
        <v>176</v>
      </c>
      <c r="E4" s="77">
        <f t="shared" si="0"/>
        <v>202752</v>
      </c>
      <c r="F4" s="76">
        <f>ROUNDDOWN(G4*H4,0)</f>
        <v>288562</v>
      </c>
      <c r="G4" s="90">
        <v>1187.5</v>
      </c>
      <c r="H4" s="83">
        <v>243</v>
      </c>
    </row>
    <row r="5" spans="1:8" ht="28" x14ac:dyDescent="0.2">
      <c r="A5" s="80" t="s">
        <v>149</v>
      </c>
      <c r="B5" s="81" t="s">
        <v>139</v>
      </c>
      <c r="C5" s="76">
        <f>'ER Calculation'!G44</f>
        <v>665</v>
      </c>
      <c r="D5" s="76">
        <f>'ER Calculation'!G48</f>
        <v>229</v>
      </c>
      <c r="E5" s="77">
        <f t="shared" si="0"/>
        <v>152285</v>
      </c>
      <c r="F5" s="76">
        <f t="shared" si="1"/>
        <v>271488</v>
      </c>
      <c r="G5" s="82">
        <v>808</v>
      </c>
      <c r="H5" s="83">
        <v>336</v>
      </c>
    </row>
    <row r="6" spans="1:8" ht="25" customHeight="1" x14ac:dyDescent="0.2">
      <c r="A6" s="84" t="s">
        <v>110</v>
      </c>
      <c r="B6" s="85"/>
      <c r="C6" s="76" t="s">
        <v>7</v>
      </c>
      <c r="D6" s="76" t="s">
        <v>7</v>
      </c>
      <c r="E6" s="88">
        <f>SUM(E2:E5)</f>
        <v>723410</v>
      </c>
      <c r="F6" s="86">
        <f>SUM(F2:F5)</f>
        <v>1161994</v>
      </c>
      <c r="G6" s="86" t="s">
        <v>7</v>
      </c>
      <c r="H6" s="86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9C38-A3BA-EA4E-96C8-ECCEF74B0BE5}">
  <dimension ref="A1:D6"/>
  <sheetViews>
    <sheetView workbookViewId="0">
      <selection activeCell="B13" sqref="B13"/>
    </sheetView>
  </sheetViews>
  <sheetFormatPr baseColWidth="10" defaultRowHeight="15" x14ac:dyDescent="0.2"/>
  <cols>
    <col min="1" max="1" width="18.5" customWidth="1"/>
    <col min="3" max="3" width="17.6640625" customWidth="1"/>
    <col min="4" max="4" width="13.83203125" customWidth="1"/>
  </cols>
  <sheetData>
    <row r="1" spans="1:4" ht="75" x14ac:dyDescent="0.2">
      <c r="A1" s="33" t="s">
        <v>145</v>
      </c>
      <c r="B1" s="72" t="s">
        <v>135</v>
      </c>
      <c r="C1" s="73" t="s">
        <v>144</v>
      </c>
      <c r="D1" s="72" t="s">
        <v>143</v>
      </c>
    </row>
    <row r="2" spans="1:4" ht="28" x14ac:dyDescent="0.2">
      <c r="A2" s="91" t="s">
        <v>146</v>
      </c>
      <c r="B2" s="75" t="s">
        <v>136</v>
      </c>
      <c r="C2" s="77">
        <f>ROUNDDOWN(49/6,0)</f>
        <v>8</v>
      </c>
      <c r="D2" s="76">
        <f>ROUNDDOWN(49/6,0)</f>
        <v>8</v>
      </c>
    </row>
    <row r="3" spans="1:4" ht="28" x14ac:dyDescent="0.2">
      <c r="A3" s="74" t="s">
        <v>147</v>
      </c>
      <c r="B3" s="75" t="s">
        <v>137</v>
      </c>
      <c r="C3" s="77">
        <f t="shared" ref="C3:D5" si="0">ROUNDDOWN(49/6,0)</f>
        <v>8</v>
      </c>
      <c r="D3" s="76">
        <f t="shared" si="0"/>
        <v>8</v>
      </c>
    </row>
    <row r="4" spans="1:4" ht="28" x14ac:dyDescent="0.2">
      <c r="A4" s="80" t="s">
        <v>148</v>
      </c>
      <c r="B4" s="81" t="s">
        <v>138</v>
      </c>
      <c r="C4" s="77">
        <f t="shared" si="0"/>
        <v>8</v>
      </c>
      <c r="D4" s="76">
        <f t="shared" si="0"/>
        <v>8</v>
      </c>
    </row>
    <row r="5" spans="1:4" ht="28" x14ac:dyDescent="0.2">
      <c r="A5" s="80" t="s">
        <v>149</v>
      </c>
      <c r="B5" s="81" t="s">
        <v>139</v>
      </c>
      <c r="C5" s="77">
        <f t="shared" si="0"/>
        <v>8</v>
      </c>
      <c r="D5" s="76">
        <f t="shared" si="0"/>
        <v>8</v>
      </c>
    </row>
    <row r="6" spans="1:4" ht="27" customHeight="1" x14ac:dyDescent="0.2">
      <c r="A6" s="84" t="s">
        <v>110</v>
      </c>
      <c r="B6" s="85"/>
      <c r="C6" s="87">
        <f>SUM(C2:C5)</f>
        <v>32</v>
      </c>
      <c r="D6" s="86">
        <f>SUM(D2:D5)</f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 Calculation</vt:lpstr>
      <vt:lpstr>SDG 13 ER Summary</vt:lpstr>
      <vt:lpstr>SDG 6</vt:lpstr>
      <vt:lpstr>SDG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2017-03-21T02:24:37Z</dcterms:created>
  <dcterms:modified xsi:type="dcterms:W3CDTF">2023-06-08T08:00:01Z</dcterms:modified>
</cp:coreProperties>
</file>