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efin\Dropbox\Gishwati Project Documents\VPAs\VPA47 GS10740 Gishwati\2. Validation\Review Round 5\"/>
    </mc:Choice>
  </mc:AlternateContent>
  <xr:revisionPtr revIDLastSave="0" documentId="8_{7164E85A-0FAB-413B-98E9-78207786C5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R Calculations" sheetId="1" r:id="rId1"/>
    <sheet name="ICS Output (Baseline)" sheetId="6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F14" i="1" s="1"/>
  <c r="F13" i="1"/>
  <c r="F12" i="1"/>
  <c r="F39" i="1" l="1"/>
  <c r="F47" i="1" l="1"/>
  <c r="O5" i="6" l="1"/>
  <c r="O3" i="6"/>
  <c r="O4" i="6" s="1"/>
  <c r="O6" i="6" s="1"/>
  <c r="C3" i="6" s="1"/>
  <c r="C4" i="6" l="1"/>
  <c r="J6" i="6" s="1"/>
  <c r="J8" i="6" s="1"/>
  <c r="L6" i="6" l="1"/>
  <c r="L8" i="6" s="1"/>
  <c r="K6" i="6"/>
  <c r="K8" i="6" s="1"/>
  <c r="D6" i="6"/>
  <c r="D8" i="6" s="1"/>
  <c r="E6" i="6"/>
  <c r="E8" i="6" s="1"/>
  <c r="F6" i="6"/>
  <c r="F8" i="6" s="1"/>
  <c r="G6" i="6"/>
  <c r="G8" i="6" s="1"/>
  <c r="I6" i="6"/>
  <c r="I8" i="6" s="1"/>
  <c r="C6" i="6"/>
  <c r="C8" i="6" s="1"/>
  <c r="H6" i="6"/>
  <c r="H8" i="6" s="1"/>
  <c r="F51" i="1"/>
  <c r="F19" i="1" l="1"/>
  <c r="F18" i="1" l="1"/>
  <c r="F34" i="1" s="1"/>
  <c r="F27" i="1"/>
  <c r="F40" i="1"/>
  <c r="F52" i="1"/>
  <c r="F28" i="1" l="1"/>
  <c r="F26" i="1" s="1"/>
  <c r="F35" i="1" s="1"/>
  <c r="F37" i="1" s="1"/>
  <c r="F38" i="1" l="1"/>
  <c r="F4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 Howard</author>
  </authors>
  <commentList>
    <comment ref="O2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
http://www.ipcc-nggip.iges.or.jp/public/2006gl/pdf/2_Volume2/V2_1_Ch1_Introduction.pdf
 Table 1.2, wood/wood waste value. </t>
        </r>
      </text>
    </comment>
  </commentList>
</comments>
</file>

<file path=xl/sharedStrings.xml><?xml version="1.0" encoding="utf-8"?>
<sst xmlns="http://schemas.openxmlformats.org/spreadsheetml/2006/main" count="130" uniqueCount="90">
  <si>
    <r>
      <t>N</t>
    </r>
    <r>
      <rPr>
        <vertAlign val="subscript"/>
        <sz val="11"/>
        <color theme="1"/>
        <rFont val="Calibri"/>
        <family val="2"/>
        <scheme val="minor"/>
      </rPr>
      <t>py</t>
    </r>
  </si>
  <si>
    <t>Project technology-days</t>
  </si>
  <si>
    <r>
      <t>P</t>
    </r>
    <r>
      <rPr>
        <vertAlign val="subscript"/>
        <sz val="11"/>
        <color theme="1"/>
        <rFont val="Calibri"/>
        <family val="2"/>
        <scheme val="minor"/>
      </rPr>
      <t>by</t>
    </r>
  </si>
  <si>
    <t>tons/day</t>
  </si>
  <si>
    <t>Specific fuel consumption for an individual technology in baseline scenario b during year y</t>
  </si>
  <si>
    <r>
      <t>P</t>
    </r>
    <r>
      <rPr>
        <vertAlign val="subscript"/>
        <sz val="11"/>
        <color theme="1"/>
        <rFont val="Calibri"/>
        <family val="2"/>
        <scheme val="minor"/>
      </rPr>
      <t>py</t>
    </r>
  </si>
  <si>
    <t>Specific fuel consumption for an individual technology in project scenario p during year y</t>
  </si>
  <si>
    <r>
      <t>U</t>
    </r>
    <r>
      <rPr>
        <vertAlign val="subscript"/>
        <sz val="11"/>
        <color theme="1"/>
        <rFont val="Calibri"/>
        <family val="2"/>
        <scheme val="minor"/>
      </rPr>
      <t>py</t>
    </r>
  </si>
  <si>
    <t>Usage rate</t>
  </si>
  <si>
    <t>Baseline Emissions</t>
  </si>
  <si>
    <r>
      <t>BE</t>
    </r>
    <r>
      <rPr>
        <vertAlign val="subscript"/>
        <sz val="11"/>
        <color theme="1"/>
        <rFont val="Calibri"/>
        <family val="2"/>
        <scheme val="minor"/>
      </rPr>
      <t>by</t>
    </r>
  </si>
  <si>
    <r>
      <t>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</t>
    </r>
  </si>
  <si>
    <t>Emissions for baseline scenario b during the year y</t>
  </si>
  <si>
    <r>
      <t>B</t>
    </r>
    <r>
      <rPr>
        <vertAlign val="subscript"/>
        <sz val="11"/>
        <color theme="1"/>
        <rFont val="Calibri"/>
        <family val="2"/>
        <scheme val="minor"/>
      </rPr>
      <t>by</t>
    </r>
  </si>
  <si>
    <t>tons/yr</t>
  </si>
  <si>
    <t>Quantity of fuel consumed in baseline scenario b during year y</t>
  </si>
  <si>
    <r>
      <t>fNRB</t>
    </r>
    <r>
      <rPr>
        <vertAlign val="subscript"/>
        <sz val="11"/>
        <color theme="1"/>
        <rFont val="Calibri"/>
        <family val="2"/>
        <scheme val="minor"/>
      </rPr>
      <t>y</t>
    </r>
  </si>
  <si>
    <t>Fraction</t>
  </si>
  <si>
    <t>Fraction of non-renewable biomass</t>
  </si>
  <si>
    <r>
      <t>NCV</t>
    </r>
    <r>
      <rPr>
        <vertAlign val="subscript"/>
        <sz val="11"/>
        <color theme="1"/>
        <rFont val="Calibri"/>
        <family val="2"/>
        <scheme val="minor"/>
      </rPr>
      <t>bfuel</t>
    </r>
  </si>
  <si>
    <t>TJ/ton</t>
  </si>
  <si>
    <t>Net calorific value of fuel (wood) reduced</t>
  </si>
  <si>
    <r>
      <t>EF</t>
    </r>
    <r>
      <rPr>
        <vertAlign val="subscript"/>
        <sz val="11"/>
        <color theme="1"/>
        <rFont val="Calibri"/>
        <family val="2"/>
        <scheme val="minor"/>
      </rPr>
      <t>bfuelco2</t>
    </r>
  </si>
  <si>
    <r>
      <t>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/TJ</t>
    </r>
  </si>
  <si>
    <r>
      <t>CO</t>
    </r>
    <r>
      <rPr>
        <vertAlign val="subscript"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>emission factor of wood reduced</t>
    </r>
  </si>
  <si>
    <r>
      <t>EF</t>
    </r>
    <r>
      <rPr>
        <vertAlign val="subscript"/>
        <sz val="11"/>
        <color theme="1"/>
        <rFont val="Calibri"/>
        <family val="2"/>
        <scheme val="minor"/>
      </rPr>
      <t>bfuelnonco2</t>
    </r>
  </si>
  <si>
    <r>
      <t>Non-CO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emission factor of wood reduced</t>
    </r>
  </si>
  <si>
    <t>Project Emissions</t>
  </si>
  <si>
    <r>
      <t>PE</t>
    </r>
    <r>
      <rPr>
        <vertAlign val="subscript"/>
        <sz val="11"/>
        <color theme="1"/>
        <rFont val="Calibri"/>
        <family val="2"/>
        <scheme val="minor"/>
      </rPr>
      <t>py</t>
    </r>
  </si>
  <si>
    <r>
      <t>B</t>
    </r>
    <r>
      <rPr>
        <vertAlign val="subscript"/>
        <sz val="11"/>
        <color theme="1"/>
        <rFont val="Calibri"/>
        <family val="2"/>
        <scheme val="minor"/>
      </rPr>
      <t>py</t>
    </r>
  </si>
  <si>
    <t>Quantity of fuel consumed in project scenario p during year y</t>
  </si>
  <si>
    <r>
      <t>NCV</t>
    </r>
    <r>
      <rPr>
        <vertAlign val="subscript"/>
        <sz val="11"/>
        <color theme="1"/>
        <rFont val="Calibri"/>
        <family val="2"/>
        <scheme val="minor"/>
      </rPr>
      <t>pfuel</t>
    </r>
  </si>
  <si>
    <t>Net calorific value of project fuel (wood)</t>
  </si>
  <si>
    <r>
      <t>EF</t>
    </r>
    <r>
      <rPr>
        <vertAlign val="subscript"/>
        <sz val="11"/>
        <color theme="1"/>
        <rFont val="Calibri"/>
        <family val="2"/>
        <scheme val="minor"/>
      </rPr>
      <t>pfuelco2</t>
    </r>
  </si>
  <si>
    <r>
      <t>CO</t>
    </r>
    <r>
      <rPr>
        <vertAlign val="subscript"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>emission factor of project fuel</t>
    </r>
  </si>
  <si>
    <r>
      <t>EF</t>
    </r>
    <r>
      <rPr>
        <vertAlign val="subscript"/>
        <sz val="11"/>
        <color theme="1"/>
        <rFont val="Calibri"/>
        <family val="2"/>
        <scheme val="minor"/>
      </rPr>
      <t>pfuelnonco2</t>
    </r>
  </si>
  <si>
    <r>
      <t>Non-CO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emission factor of project fuel</t>
    </r>
  </si>
  <si>
    <t>Emissions Reductions</t>
  </si>
  <si>
    <r>
      <t>LE</t>
    </r>
    <r>
      <rPr>
        <vertAlign val="subscript"/>
        <sz val="11"/>
        <color theme="1"/>
        <rFont val="Calibri"/>
        <family val="2"/>
        <scheme val="minor"/>
      </rPr>
      <t>py</t>
    </r>
  </si>
  <si>
    <t>Leakage</t>
  </si>
  <si>
    <r>
      <t>ER</t>
    </r>
    <r>
      <rPr>
        <vertAlign val="subscript"/>
        <sz val="11"/>
        <color theme="1"/>
        <rFont val="Calibri"/>
        <family val="2"/>
        <scheme val="minor"/>
      </rPr>
      <t>y</t>
    </r>
  </si>
  <si>
    <t>Emission Reductions</t>
  </si>
  <si>
    <t>Emission Reductions per Stove</t>
  </si>
  <si>
    <t>Emissions for project scenario b during the year y</t>
  </si>
  <si>
    <t>ER Cap for MP</t>
  </si>
  <si>
    <t>Claimed ERs</t>
  </si>
  <si>
    <t>Daily cap per stove based on 10,000 ERs per year</t>
  </si>
  <si>
    <t xml:space="preserve">SDG 3 (Good Health and Well-being) </t>
  </si>
  <si>
    <t>SDG 7 (Affordable and Clean Energy)</t>
  </si>
  <si>
    <r>
      <t>SDG 13 (Climate Action)</t>
    </r>
    <r>
      <rPr>
        <sz val="11"/>
        <color theme="1"/>
        <rFont val="Avenir Book"/>
      </rPr>
      <t xml:space="preserve"> </t>
    </r>
  </si>
  <si>
    <t>No</t>
  </si>
  <si>
    <t>Number of stoves installed</t>
  </si>
  <si>
    <r>
      <t>S</t>
    </r>
    <r>
      <rPr>
        <vertAlign val="subscript"/>
        <sz val="11"/>
        <color theme="1"/>
        <rFont val="Calibri"/>
        <family val="2"/>
        <scheme val="minor"/>
      </rPr>
      <t>install</t>
    </r>
  </si>
  <si>
    <t>Share</t>
  </si>
  <si>
    <t>Share of households confirming less smoke through improved stove</t>
  </si>
  <si>
    <t>No of households with improved in-air quality</t>
  </si>
  <si>
    <t>No of active stoves</t>
  </si>
  <si>
    <r>
      <t>S</t>
    </r>
    <r>
      <rPr>
        <vertAlign val="subscript"/>
        <sz val="11"/>
        <color theme="1"/>
        <rFont val="Calibri"/>
        <family val="2"/>
        <scheme val="minor"/>
      </rPr>
      <t>active</t>
    </r>
  </si>
  <si>
    <r>
      <t>S</t>
    </r>
    <r>
      <rPr>
        <vertAlign val="subscript"/>
        <sz val="11"/>
        <color theme="1"/>
        <rFont val="Calibri"/>
        <family val="2"/>
        <scheme val="minor"/>
      </rPr>
      <t>less smoke</t>
    </r>
  </si>
  <si>
    <r>
      <t>HH</t>
    </r>
    <r>
      <rPr>
        <vertAlign val="subscript"/>
        <sz val="11"/>
        <color theme="1"/>
        <rFont val="Calibri"/>
        <family val="2"/>
        <scheme val="minor"/>
      </rPr>
      <t>less smoke,y</t>
    </r>
  </si>
  <si>
    <t>Source</t>
  </si>
  <si>
    <t>Total stove distribution record</t>
  </si>
  <si>
    <t>Baseline FT</t>
  </si>
  <si>
    <t xml:space="preserve">Total sales record/project FT </t>
  </si>
  <si>
    <t>Usage Surveys</t>
  </si>
  <si>
    <t xml:space="preserve">CDM default value </t>
  </si>
  <si>
    <t>IPCC default value</t>
  </si>
  <si>
    <t>Monitoring Kitchen Survey</t>
  </si>
  <si>
    <t>Useful output (kW)</t>
  </si>
  <si>
    <t>Assumed thermal efficiency of stove</t>
  </si>
  <si>
    <t>NCV Biomass (kWh/t)</t>
  </si>
  <si>
    <t>NCV biomass (J/t)#</t>
  </si>
  <si>
    <t>Estimated daily use (hours)</t>
  </si>
  <si>
    <t>kWh/J</t>
  </si>
  <si>
    <t>Mean stove energy consumption (kWh/stove/day)</t>
  </si>
  <si>
    <t>J/kWh</t>
  </si>
  <si>
    <t>NCV biomass (TJ/t)</t>
  </si>
  <si>
    <t>Mean stove wood consumption (t/stove/day)</t>
  </si>
  <si>
    <t>Estimated fuel consumption (kWh) per hour</t>
  </si>
  <si>
    <t>Baseline Wood Use</t>
  </si>
  <si>
    <t>tons/aps/day</t>
  </si>
  <si>
    <t>Baseline Household Size</t>
  </si>
  <si>
    <t>BLS</t>
  </si>
  <si>
    <t>aps/HH</t>
  </si>
  <si>
    <t>Project Wood Use</t>
  </si>
  <si>
    <t>Project Household Size</t>
  </si>
  <si>
    <t>Number of stoves</t>
  </si>
  <si>
    <t>aps - adult person served</t>
  </si>
  <si>
    <t>Project KPT</t>
  </si>
  <si>
    <t>VPA90 Gishwati-Mukura Forest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</si>
</sst>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0"/>
    <numFmt numFmtId="166" formatCode="0.0000"/>
    <numFmt numFmtId="167" formatCode="0.0"/>
  </numFmts>
  <fonts count="16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Avenir Book"/>
    </font>
    <font>
      <sz val="11"/>
      <color theme="1"/>
      <name val="Avenir Book"/>
    </font>
    <font>
      <b/>
      <sz val="14"/>
      <color theme="1"/>
      <name val="Avenir Book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6" fillId="0" borderId="0"/>
    <xf numFmtId="0" fontId="7" fillId="0" borderId="0"/>
  </cellStyleXfs>
  <cellXfs count="8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9" xfId="0" applyBorder="1"/>
    <xf numFmtId="0" fontId="0" fillId="0" borderId="0" xfId="0" applyBorder="1" applyAlignment="1">
      <alignment horizontal="left"/>
    </xf>
    <xf numFmtId="0" fontId="0" fillId="0" borderId="0" xfId="0" applyFill="1" applyBorder="1"/>
    <xf numFmtId="0" fontId="0" fillId="0" borderId="4" xfId="0" applyBorder="1" applyAlignment="1">
      <alignment horizontal="left"/>
    </xf>
    <xf numFmtId="0" fontId="0" fillId="0" borderId="9" xfId="0" applyFill="1" applyBorder="1"/>
    <xf numFmtId="1" fontId="0" fillId="0" borderId="5" xfId="0" applyNumberFormat="1" applyBorder="1"/>
    <xf numFmtId="2" fontId="0" fillId="0" borderId="0" xfId="0" applyNumberFormat="1"/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8" xfId="0" applyBorder="1"/>
    <xf numFmtId="164" fontId="0" fillId="7" borderId="7" xfId="0" applyNumberFormat="1" applyFill="1" applyBorder="1"/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7" xfId="0" applyFill="1" applyBorder="1"/>
    <xf numFmtId="0" fontId="0" fillId="0" borderId="5" xfId="0" applyFill="1" applyBorder="1"/>
    <xf numFmtId="0" fontId="7" fillId="0" borderId="6" xfId="0" applyFont="1" applyBorder="1"/>
    <xf numFmtId="0" fontId="7" fillId="0" borderId="9" xfId="0" applyFont="1" applyBorder="1"/>
    <xf numFmtId="1" fontId="8" fillId="7" borderId="7" xfId="0" applyNumberFormat="1" applyFont="1" applyFill="1" applyBorder="1"/>
    <xf numFmtId="0" fontId="10" fillId="0" borderId="0" xfId="0" applyFont="1"/>
    <xf numFmtId="0" fontId="0" fillId="0" borderId="10" xfId="0" applyBorder="1"/>
    <xf numFmtId="0" fontId="0" fillId="0" borderId="11" xfId="0" applyBorder="1"/>
    <xf numFmtId="9" fontId="0" fillId="0" borderId="5" xfId="0" applyNumberFormat="1" applyBorder="1"/>
    <xf numFmtId="1" fontId="0" fillId="0" borderId="7" xfId="0" applyNumberFormat="1" applyBorder="1"/>
    <xf numFmtId="0" fontId="12" fillId="0" borderId="0" xfId="0" applyFont="1"/>
    <xf numFmtId="165" fontId="0" fillId="0" borderId="5" xfId="0" applyNumberFormat="1" applyBorder="1" applyAlignment="1">
      <alignment vertical="center"/>
    </xf>
    <xf numFmtId="0" fontId="0" fillId="0" borderId="4" xfId="0" applyFont="1" applyBorder="1"/>
    <xf numFmtId="0" fontId="7" fillId="0" borderId="0" xfId="0" applyFont="1" applyBorder="1"/>
    <xf numFmtId="0" fontId="7" fillId="0" borderId="5" xfId="0" applyFont="1" applyBorder="1"/>
    <xf numFmtId="0" fontId="0" fillId="0" borderId="2" xfId="0" applyBorder="1"/>
    <xf numFmtId="0" fontId="0" fillId="0" borderId="2" xfId="0" applyFill="1" applyBorder="1"/>
    <xf numFmtId="166" fontId="0" fillId="0" borderId="3" xfId="0" applyNumberFormat="1" applyFill="1" applyBorder="1" applyAlignment="1">
      <alignment horizontal="right" vertical="center"/>
    </xf>
    <xf numFmtId="0" fontId="9" fillId="0" borderId="1" xfId="2" applyFont="1" applyFill="1" applyBorder="1"/>
    <xf numFmtId="0" fontId="8" fillId="0" borderId="0" xfId="0" applyFont="1" applyAlignment="1">
      <alignment horizontal="center"/>
    </xf>
    <xf numFmtId="0" fontId="0" fillId="8" borderId="0" xfId="0" applyFill="1"/>
    <xf numFmtId="0" fontId="0" fillId="8" borderId="0" xfId="0" applyFont="1" applyFill="1"/>
    <xf numFmtId="0" fontId="13" fillId="8" borderId="0" xfId="0" applyFont="1" applyFill="1"/>
    <xf numFmtId="2" fontId="0" fillId="8" borderId="12" xfId="0" applyNumberFormat="1" applyFont="1" applyFill="1" applyBorder="1"/>
    <xf numFmtId="0" fontId="0" fillId="8" borderId="12" xfId="0" applyFont="1" applyFill="1" applyBorder="1"/>
    <xf numFmtId="0" fontId="0" fillId="0" borderId="0" xfId="0" applyFont="1" applyFill="1"/>
    <xf numFmtId="9" fontId="0" fillId="8" borderId="12" xfId="0" applyNumberFormat="1" applyFont="1" applyFill="1" applyBorder="1"/>
    <xf numFmtId="3" fontId="0" fillId="8" borderId="12" xfId="0" applyNumberFormat="1" applyFont="1" applyFill="1" applyBorder="1"/>
    <xf numFmtId="0" fontId="0" fillId="9" borderId="12" xfId="0" applyFont="1" applyFill="1" applyBorder="1"/>
    <xf numFmtId="4" fontId="0" fillId="8" borderId="12" xfId="0" applyNumberFormat="1" applyFont="1" applyFill="1" applyBorder="1"/>
    <xf numFmtId="4" fontId="0" fillId="8" borderId="13" xfId="0" applyNumberFormat="1" applyFont="1" applyFill="1" applyBorder="1"/>
    <xf numFmtId="4" fontId="0" fillId="0" borderId="14" xfId="0" applyNumberFormat="1" applyFont="1" applyFill="1" applyBorder="1" applyAlignment="1">
      <alignment horizontal="center"/>
    </xf>
    <xf numFmtId="4" fontId="0" fillId="8" borderId="15" xfId="0" applyNumberFormat="1" applyFont="1" applyFill="1" applyBorder="1"/>
    <xf numFmtId="0" fontId="0" fillId="8" borderId="13" xfId="0" applyFont="1" applyFill="1" applyBorder="1"/>
    <xf numFmtId="0" fontId="0" fillId="0" borderId="16" xfId="0" applyFont="1" applyFill="1" applyBorder="1" applyAlignment="1">
      <alignment horizontal="center"/>
    </xf>
    <xf numFmtId="0" fontId="0" fillId="8" borderId="15" xfId="0" applyFont="1" applyFill="1" applyBorder="1"/>
    <xf numFmtId="0" fontId="0" fillId="8" borderId="12" xfId="0" applyFill="1" applyBorder="1"/>
    <xf numFmtId="0" fontId="14" fillId="8" borderId="12" xfId="0" applyFont="1" applyFill="1" applyBorder="1"/>
    <xf numFmtId="167" fontId="0" fillId="0" borderId="5" xfId="0" applyNumberFormat="1" applyFill="1" applyBorder="1"/>
    <xf numFmtId="0" fontId="2" fillId="3" borderId="10" xfId="2" applyBorder="1"/>
    <xf numFmtId="165" fontId="0" fillId="10" borderId="11" xfId="0" applyNumberFormat="1" applyFill="1" applyBorder="1" applyAlignment="1">
      <alignment horizontal="left" vertical="center"/>
    </xf>
    <xf numFmtId="0" fontId="2" fillId="3" borderId="4" xfId="2" applyBorder="1"/>
    <xf numFmtId="4" fontId="0" fillId="10" borderId="5" xfId="0" applyNumberFormat="1" applyFill="1" applyBorder="1" applyAlignment="1">
      <alignment horizontal="left" vertical="center"/>
    </xf>
    <xf numFmtId="165" fontId="0" fillId="10" borderId="5" xfId="0" applyNumberFormat="1" applyFill="1" applyBorder="1" applyAlignment="1">
      <alignment horizontal="left" vertical="center"/>
    </xf>
    <xf numFmtId="2" fontId="0" fillId="10" borderId="5" xfId="0" applyNumberFormat="1" applyFill="1" applyBorder="1" applyAlignment="1">
      <alignment horizontal="left" vertical="center"/>
    </xf>
    <xf numFmtId="0" fontId="2" fillId="3" borderId="6" xfId="2" applyBorder="1"/>
    <xf numFmtId="1" fontId="0" fillId="10" borderId="7" xfId="0" applyNumberFormat="1" applyFill="1" applyBorder="1" applyAlignment="1">
      <alignment horizontal="left" vertical="center"/>
    </xf>
    <xf numFmtId="0" fontId="2" fillId="0" borderId="0" xfId="2" applyFill="1" applyBorder="1"/>
    <xf numFmtId="1" fontId="0" fillId="0" borderId="0" xfId="0" applyNumberFormat="1" applyFill="1" applyBorder="1" applyAlignment="1">
      <alignment horizontal="left" vertical="center"/>
    </xf>
    <xf numFmtId="1" fontId="0" fillId="0" borderId="0" xfId="0" applyNumberFormat="1"/>
    <xf numFmtId="0" fontId="1" fillId="2" borderId="1" xfId="1" applyBorder="1" applyAlignment="1">
      <alignment horizontal="center"/>
    </xf>
    <xf numFmtId="0" fontId="1" fillId="2" borderId="2" xfId="1" applyBorder="1" applyAlignment="1">
      <alignment horizontal="center"/>
    </xf>
    <xf numFmtId="0" fontId="1" fillId="2" borderId="3" xfId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9" xfId="0" applyBorder="1" applyAlignment="1">
      <alignment horizontal="left"/>
    </xf>
    <xf numFmtId="0" fontId="3" fillId="4" borderId="1" xfId="3" applyBorder="1" applyAlignment="1">
      <alignment horizontal="center"/>
    </xf>
    <xf numFmtId="0" fontId="3" fillId="4" borderId="2" xfId="3" applyBorder="1" applyAlignment="1">
      <alignment horizontal="center"/>
    </xf>
    <xf numFmtId="0" fontId="3" fillId="4" borderId="3" xfId="3" applyBorder="1" applyAlignment="1">
      <alignment horizontal="center"/>
    </xf>
    <xf numFmtId="0" fontId="4" fillId="5" borderId="1" xfId="4" applyBorder="1" applyAlignment="1">
      <alignment horizontal="center"/>
    </xf>
    <xf numFmtId="0" fontId="4" fillId="5" borderId="2" xfId="4" applyBorder="1" applyAlignment="1">
      <alignment horizontal="center"/>
    </xf>
    <xf numFmtId="0" fontId="4" fillId="5" borderId="3" xfId="4" applyBorder="1" applyAlignment="1">
      <alignment horizontal="center"/>
    </xf>
    <xf numFmtId="0" fontId="0" fillId="0" borderId="0" xfId="0" applyFill="1" applyBorder="1" applyAlignment="1">
      <alignment horizontal="left"/>
    </xf>
    <xf numFmtId="0" fontId="4" fillId="6" borderId="1" xfId="5" applyBorder="1" applyAlignment="1">
      <alignment horizontal="center"/>
    </xf>
    <xf numFmtId="0" fontId="4" fillId="6" borderId="2" xfId="5" applyBorder="1" applyAlignment="1">
      <alignment horizontal="center"/>
    </xf>
    <xf numFmtId="0" fontId="4" fillId="6" borderId="3" xfId="5" applyBorder="1" applyAlignment="1">
      <alignment horizontal="center"/>
    </xf>
  </cellXfs>
  <cellStyles count="8">
    <cellStyle name="60% - Accent2" xfId="4" builtinId="36"/>
    <cellStyle name="60% - Accent4" xfId="5" builtinId="44"/>
    <cellStyle name="Bad" xfId="2" builtinId="27"/>
    <cellStyle name="Good" xfId="1" builtinId="26"/>
    <cellStyle name="Neutral" xfId="3" builtinId="28"/>
    <cellStyle name="Normal" xfId="0" builtinId="0"/>
    <cellStyle name="Normal 2" xfId="6" xr:uid="{00000000-0005-0000-0000-000004000000}"/>
    <cellStyle name="Normal 3" xfId="7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198438</xdr:colOff>
      <xdr:row>16</xdr:row>
      <xdr:rowOff>39688</xdr:rowOff>
    </xdr:from>
    <xdr:to>
      <xdr:col>16</xdr:col>
      <xdr:colOff>286385</xdr:colOff>
      <xdr:row>18</xdr:row>
      <xdr:rowOff>96838</xdr:rowOff>
    </xdr:to>
    <xdr:pic>
      <xdr:nvPicPr>
        <xdr:cNvPr id="2050" name="Picture 2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53688" y="2047876"/>
          <a:ext cx="4418012" cy="4445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9</xdr:col>
      <xdr:colOff>196850</xdr:colOff>
      <xdr:row>19</xdr:row>
      <xdr:rowOff>141287</xdr:rowOff>
    </xdr:from>
    <xdr:to>
      <xdr:col>11</xdr:col>
      <xdr:colOff>555307</xdr:colOff>
      <xdr:row>21</xdr:row>
      <xdr:rowOff>93662</xdr:rowOff>
    </xdr:to>
    <xdr:pic>
      <xdr:nvPicPr>
        <xdr:cNvPr id="2052" name="Picture 4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452100" y="2752725"/>
          <a:ext cx="1608137" cy="3746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9</xdr:col>
      <xdr:colOff>220663</xdr:colOff>
      <xdr:row>24</xdr:row>
      <xdr:rowOff>47624</xdr:rowOff>
    </xdr:from>
    <xdr:to>
      <xdr:col>16</xdr:col>
      <xdr:colOff>249555</xdr:colOff>
      <xdr:row>26</xdr:row>
      <xdr:rowOff>55244</xdr:rowOff>
    </xdr:to>
    <xdr:pic>
      <xdr:nvPicPr>
        <xdr:cNvPr id="2054" name="Picture 6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475913" y="3682999"/>
          <a:ext cx="4370387" cy="3968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9</xdr:col>
      <xdr:colOff>307975</xdr:colOff>
      <xdr:row>31</xdr:row>
      <xdr:rowOff>90488</xdr:rowOff>
    </xdr:from>
    <xdr:to>
      <xdr:col>13</xdr:col>
      <xdr:colOff>306387</xdr:colOff>
      <xdr:row>33</xdr:row>
      <xdr:rowOff>136208</xdr:rowOff>
    </xdr:to>
    <xdr:pic>
      <xdr:nvPicPr>
        <xdr:cNvPr id="2056" name="Picture 8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563225" y="5162551"/>
          <a:ext cx="2474912" cy="4381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2"/>
  <sheetViews>
    <sheetView tabSelected="1" zoomScale="80" zoomScaleNormal="80" workbookViewId="0">
      <selection activeCell="B1" sqref="B1"/>
    </sheetView>
  </sheetViews>
  <sheetFormatPr defaultColWidth="8.77734375" defaultRowHeight="14.4"/>
  <cols>
    <col min="2" max="2" width="31" customWidth="1"/>
    <col min="3" max="3" width="10.77734375" bestFit="1" customWidth="1"/>
    <col min="4" max="4" width="11.77734375" customWidth="1"/>
    <col min="5" max="5" width="48.21875" customWidth="1"/>
    <col min="7" max="7" width="9.5546875" bestFit="1" customWidth="1"/>
  </cols>
  <sheetData>
    <row r="1" spans="2:7" ht="17.399999999999999">
      <c r="B1" s="32" t="s">
        <v>89</v>
      </c>
    </row>
    <row r="2" spans="2:7" ht="15" thickBot="1">
      <c r="B2" s="27" t="s">
        <v>49</v>
      </c>
    </row>
    <row r="3" spans="2:7">
      <c r="B3" s="61" t="s">
        <v>79</v>
      </c>
      <c r="C3" s="18" t="s">
        <v>82</v>
      </c>
      <c r="D3" s="18" t="s">
        <v>80</v>
      </c>
      <c r="E3" s="62">
        <v>2.96E-3</v>
      </c>
    </row>
    <row r="4" spans="2:7">
      <c r="B4" s="63" t="s">
        <v>81</v>
      </c>
      <c r="C4" s="5" t="s">
        <v>82</v>
      </c>
      <c r="D4" s="5" t="s">
        <v>83</v>
      </c>
      <c r="E4" s="64">
        <v>2.9632999999999998</v>
      </c>
    </row>
    <row r="5" spans="2:7">
      <c r="B5" s="63" t="s">
        <v>84</v>
      </c>
      <c r="C5" s="5" t="s">
        <v>88</v>
      </c>
      <c r="D5" s="5" t="s">
        <v>80</v>
      </c>
      <c r="E5" s="65">
        <f>0.004/E6</f>
        <v>1.3513513513513514E-3</v>
      </c>
    </row>
    <row r="6" spans="2:7">
      <c r="B6" s="63" t="s">
        <v>85</v>
      </c>
      <c r="C6" s="5" t="s">
        <v>88</v>
      </c>
      <c r="D6" s="11" t="s">
        <v>83</v>
      </c>
      <c r="E6" s="66">
        <v>2.96</v>
      </c>
    </row>
    <row r="7" spans="2:7" ht="15" thickBot="1">
      <c r="B7" s="67" t="s">
        <v>86</v>
      </c>
      <c r="C7" s="9"/>
      <c r="D7" s="9"/>
      <c r="E7" s="68">
        <v>2500</v>
      </c>
    </row>
    <row r="8" spans="2:7">
      <c r="B8" s="69" t="s">
        <v>87</v>
      </c>
      <c r="C8" s="11"/>
      <c r="D8" s="11"/>
      <c r="E8" s="70"/>
    </row>
    <row r="9" spans="2:7">
      <c r="B9" s="27"/>
    </row>
    <row r="10" spans="2:7" ht="15" thickBot="1">
      <c r="B10" s="27"/>
    </row>
    <row r="11" spans="2:7" ht="15" thickBot="1">
      <c r="B11" s="72"/>
      <c r="C11" s="73"/>
      <c r="D11" s="73"/>
      <c r="E11" s="73"/>
      <c r="F11" s="74"/>
      <c r="G11" s="41" t="s">
        <v>60</v>
      </c>
    </row>
    <row r="12" spans="2:7" ht="15.6">
      <c r="B12" s="1" t="s">
        <v>0</v>
      </c>
      <c r="C12" s="5"/>
      <c r="D12" s="75" t="s">
        <v>1</v>
      </c>
      <c r="E12" s="75"/>
      <c r="F12" s="14">
        <f>+E7*365</f>
        <v>912500</v>
      </c>
      <c r="G12" t="s">
        <v>61</v>
      </c>
    </row>
    <row r="13" spans="2:7" ht="31.5" customHeight="1">
      <c r="B13" s="6" t="s">
        <v>2</v>
      </c>
      <c r="C13" s="7" t="s">
        <v>3</v>
      </c>
      <c r="D13" s="76" t="s">
        <v>4</v>
      </c>
      <c r="E13" s="76"/>
      <c r="F13" s="33">
        <f>+E3*E4</f>
        <v>8.7713679999999999E-3</v>
      </c>
      <c r="G13" t="s">
        <v>62</v>
      </c>
    </row>
    <row r="14" spans="2:7" ht="30.75" customHeight="1">
      <c r="B14" s="6" t="s">
        <v>5</v>
      </c>
      <c r="C14" s="7" t="s">
        <v>3</v>
      </c>
      <c r="D14" s="76" t="s">
        <v>6</v>
      </c>
      <c r="E14" s="76"/>
      <c r="F14" s="8">
        <f>+E5*E6</f>
        <v>4.0000000000000001E-3</v>
      </c>
      <c r="G14" t="s">
        <v>63</v>
      </c>
    </row>
    <row r="15" spans="2:7" ht="16.2" thickBot="1">
      <c r="B15" s="3" t="s">
        <v>7</v>
      </c>
      <c r="C15" s="9"/>
      <c r="D15" s="78" t="s">
        <v>8</v>
      </c>
      <c r="E15" s="78"/>
      <c r="F15" s="22">
        <v>0.9</v>
      </c>
      <c r="G15" t="s">
        <v>64</v>
      </c>
    </row>
    <row r="16" spans="2:7" ht="15" thickBot="1">
      <c r="B16" s="5"/>
      <c r="C16" s="5"/>
      <c r="D16" s="10"/>
      <c r="E16" s="10"/>
      <c r="F16" s="11"/>
    </row>
    <row r="17" spans="2:7" ht="15" thickBot="1">
      <c r="B17" s="79" t="s">
        <v>9</v>
      </c>
      <c r="C17" s="80"/>
      <c r="D17" s="80"/>
      <c r="E17" s="80"/>
      <c r="F17" s="81"/>
    </row>
    <row r="18" spans="2:7" ht="15.6">
      <c r="B18" s="12" t="s">
        <v>10</v>
      </c>
      <c r="C18" s="16" t="s">
        <v>11</v>
      </c>
      <c r="D18" s="75" t="s">
        <v>12</v>
      </c>
      <c r="E18" s="75"/>
      <c r="F18" s="2">
        <f>(F12*F13)*((F20*F22)+F23)*F21</f>
        <v>11949.142527036001</v>
      </c>
    </row>
    <row r="19" spans="2:7" ht="15.6">
      <c r="B19" s="1" t="s">
        <v>13</v>
      </c>
      <c r="C19" s="5" t="s">
        <v>14</v>
      </c>
      <c r="D19" s="77" t="s">
        <v>15</v>
      </c>
      <c r="E19" s="77"/>
      <c r="F19" s="2">
        <f>F12*F13</f>
        <v>8003.8733000000002</v>
      </c>
    </row>
    <row r="20" spans="2:7" ht="15.6">
      <c r="B20" s="1" t="s">
        <v>16</v>
      </c>
      <c r="C20" s="5" t="s">
        <v>17</v>
      </c>
      <c r="D20" s="77" t="s">
        <v>18</v>
      </c>
      <c r="E20" s="77"/>
      <c r="F20" s="23">
        <v>0.77</v>
      </c>
      <c r="G20" t="s">
        <v>65</v>
      </c>
    </row>
    <row r="21" spans="2:7" ht="15.6">
      <c r="B21" s="1" t="s">
        <v>19</v>
      </c>
      <c r="C21" s="11" t="s">
        <v>20</v>
      </c>
      <c r="D21" s="77" t="s">
        <v>21</v>
      </c>
      <c r="E21" s="77"/>
      <c r="F21" s="2">
        <v>1.5599999999999999E-2</v>
      </c>
      <c r="G21" t="s">
        <v>66</v>
      </c>
    </row>
    <row r="22" spans="2:7" ht="15.6">
      <c r="B22" s="1" t="s">
        <v>22</v>
      </c>
      <c r="C22" s="11" t="s">
        <v>23</v>
      </c>
      <c r="D22" s="77" t="s">
        <v>24</v>
      </c>
      <c r="E22" s="77"/>
      <c r="F22" s="2">
        <v>112</v>
      </c>
      <c r="G22" t="s">
        <v>66</v>
      </c>
    </row>
    <row r="23" spans="2:7" ht="16.2" thickBot="1">
      <c r="B23" s="3" t="s">
        <v>25</v>
      </c>
      <c r="C23" s="13" t="s">
        <v>23</v>
      </c>
      <c r="D23" s="78" t="s">
        <v>26</v>
      </c>
      <c r="E23" s="78"/>
      <c r="F23" s="4">
        <v>9.4600000000000009</v>
      </c>
      <c r="G23" t="s">
        <v>66</v>
      </c>
    </row>
    <row r="24" spans="2:7" ht="15" thickBot="1"/>
    <row r="25" spans="2:7" ht="15" thickBot="1">
      <c r="B25" s="82" t="s">
        <v>27</v>
      </c>
      <c r="C25" s="83"/>
      <c r="D25" s="83"/>
      <c r="E25" s="83"/>
      <c r="F25" s="84"/>
    </row>
    <row r="26" spans="2:7" ht="15.6">
      <c r="B26" s="20" t="s">
        <v>28</v>
      </c>
      <c r="C26" s="17" t="s">
        <v>11</v>
      </c>
      <c r="D26" s="75" t="s">
        <v>43</v>
      </c>
      <c r="E26" s="75"/>
      <c r="F26" s="21">
        <f>F27*((F28*F30)+F31)*F29</f>
        <v>6099.1564527036007</v>
      </c>
    </row>
    <row r="27" spans="2:7" ht="15.6">
      <c r="B27" s="1" t="s">
        <v>29</v>
      </c>
      <c r="C27" s="5" t="s">
        <v>14</v>
      </c>
      <c r="D27" s="77" t="s">
        <v>30</v>
      </c>
      <c r="E27" s="77"/>
      <c r="F27" s="2">
        <f>F12*((F14*F15)+(F13*(1-F15)))</f>
        <v>4085.38733</v>
      </c>
    </row>
    <row r="28" spans="2:7" ht="15.6">
      <c r="B28" s="1" t="s">
        <v>16</v>
      </c>
      <c r="C28" s="5" t="s">
        <v>17</v>
      </c>
      <c r="D28" s="77" t="s">
        <v>18</v>
      </c>
      <c r="E28" s="77"/>
      <c r="F28" s="2">
        <f>F20</f>
        <v>0.77</v>
      </c>
      <c r="G28" t="s">
        <v>65</v>
      </c>
    </row>
    <row r="29" spans="2:7" ht="15.6">
      <c r="B29" s="1" t="s">
        <v>31</v>
      </c>
      <c r="C29" s="11" t="s">
        <v>20</v>
      </c>
      <c r="D29" s="77" t="s">
        <v>32</v>
      </c>
      <c r="E29" s="77"/>
      <c r="F29" s="2">
        <v>1.5599999999999999E-2</v>
      </c>
      <c r="G29" t="s">
        <v>66</v>
      </c>
    </row>
    <row r="30" spans="2:7" ht="15.6">
      <c r="B30" s="1" t="s">
        <v>33</v>
      </c>
      <c r="C30" s="11" t="s">
        <v>23</v>
      </c>
      <c r="D30" s="77" t="s">
        <v>34</v>
      </c>
      <c r="E30" s="77"/>
      <c r="F30" s="2">
        <v>112</v>
      </c>
      <c r="G30" t="s">
        <v>66</v>
      </c>
    </row>
    <row r="31" spans="2:7" ht="16.2" thickBot="1">
      <c r="B31" s="3" t="s">
        <v>35</v>
      </c>
      <c r="C31" s="13" t="s">
        <v>23</v>
      </c>
      <c r="D31" s="78" t="s">
        <v>36</v>
      </c>
      <c r="E31" s="78"/>
      <c r="F31" s="4">
        <v>9.4600000000000009</v>
      </c>
      <c r="G31" t="s">
        <v>66</v>
      </c>
    </row>
    <row r="32" spans="2:7" ht="15" thickBot="1"/>
    <row r="33" spans="2:11" ht="15" thickBot="1">
      <c r="B33" s="86" t="s">
        <v>37</v>
      </c>
      <c r="C33" s="87"/>
      <c r="D33" s="87"/>
      <c r="E33" s="87"/>
      <c r="F33" s="88"/>
    </row>
    <row r="34" spans="2:11" ht="15.6">
      <c r="B34" s="1" t="s">
        <v>10</v>
      </c>
      <c r="C34" s="10" t="s">
        <v>11</v>
      </c>
      <c r="D34" s="5" t="s">
        <v>9</v>
      </c>
      <c r="E34" s="5"/>
      <c r="F34" s="14">
        <f>ROUNDDOWN(F18,0)</f>
        <v>11949</v>
      </c>
      <c r="G34" s="15"/>
    </row>
    <row r="35" spans="2:11" ht="15.6">
      <c r="B35" s="1" t="s">
        <v>28</v>
      </c>
      <c r="C35" s="10" t="s">
        <v>11</v>
      </c>
      <c r="D35" s="5" t="s">
        <v>27</v>
      </c>
      <c r="E35" s="5"/>
      <c r="F35" s="14">
        <f>ROUNDDOWN(F26,0)</f>
        <v>6099</v>
      </c>
    </row>
    <row r="36" spans="2:11" ht="15.6">
      <c r="B36" s="1" t="s">
        <v>38</v>
      </c>
      <c r="C36" s="10" t="s">
        <v>11</v>
      </c>
      <c r="D36" s="77" t="s">
        <v>39</v>
      </c>
      <c r="E36" s="77"/>
      <c r="F36" s="2">
        <v>0</v>
      </c>
      <c r="G36" t="s">
        <v>67</v>
      </c>
    </row>
    <row r="37" spans="2:11" ht="15.6">
      <c r="B37" s="1" t="s">
        <v>40</v>
      </c>
      <c r="C37" s="10" t="s">
        <v>11</v>
      </c>
      <c r="D37" s="85" t="s">
        <v>41</v>
      </c>
      <c r="E37" s="85"/>
      <c r="F37" s="14">
        <f>ROUNDDOWN(F34-F35-F36,0)</f>
        <v>5850</v>
      </c>
      <c r="H37" s="15"/>
    </row>
    <row r="38" spans="2:11" ht="15" thickBot="1">
      <c r="B38" s="3"/>
      <c r="C38" s="9"/>
      <c r="D38" s="78" t="s">
        <v>42</v>
      </c>
      <c r="E38" s="78"/>
      <c r="F38" s="19">
        <f>+F37/2500</f>
        <v>2.34</v>
      </c>
    </row>
    <row r="39" spans="2:11" ht="15" thickBot="1">
      <c r="B39" s="40" t="s">
        <v>46</v>
      </c>
      <c r="C39" s="37"/>
      <c r="D39" s="37"/>
      <c r="E39" s="38"/>
      <c r="F39" s="39">
        <f>10000/(2500*365)</f>
        <v>1.0958904109589041E-2</v>
      </c>
    </row>
    <row r="40" spans="2:11">
      <c r="B40" s="5"/>
      <c r="C40" s="5"/>
      <c r="D40" s="34" t="s">
        <v>44</v>
      </c>
      <c r="E40" s="35"/>
      <c r="F40" s="36">
        <f>ROUNDDOWN(F12*F39,0)</f>
        <v>10000</v>
      </c>
      <c r="K40" s="71"/>
    </row>
    <row r="41" spans="2:11" ht="15" thickBot="1">
      <c r="B41" s="5"/>
      <c r="C41" s="5"/>
      <c r="D41" s="24" t="s">
        <v>45</v>
      </c>
      <c r="E41" s="25"/>
      <c r="F41" s="26">
        <f>IF(F37&gt;F40,F40,F37)</f>
        <v>5850</v>
      </c>
    </row>
    <row r="43" spans="2:11" ht="15" thickBot="1">
      <c r="B43" s="27" t="s">
        <v>47</v>
      </c>
    </row>
    <row r="44" spans="2:11" ht="15.6">
      <c r="B44" s="28" t="s">
        <v>52</v>
      </c>
      <c r="C44" s="18" t="s">
        <v>50</v>
      </c>
      <c r="D44" s="18" t="s">
        <v>51</v>
      </c>
      <c r="E44" s="18"/>
      <c r="F44" s="29">
        <v>2500</v>
      </c>
    </row>
    <row r="45" spans="2:11" ht="15.6">
      <c r="B45" s="1" t="s">
        <v>59</v>
      </c>
      <c r="C45" s="5" t="s">
        <v>53</v>
      </c>
      <c r="D45" s="5" t="s">
        <v>54</v>
      </c>
      <c r="E45" s="5"/>
      <c r="F45" s="30">
        <v>0.5</v>
      </c>
    </row>
    <row r="46" spans="2:11" ht="15.6">
      <c r="B46" s="1" t="s">
        <v>7</v>
      </c>
      <c r="C46" s="5" t="s">
        <v>17</v>
      </c>
      <c r="D46" s="77" t="s">
        <v>8</v>
      </c>
      <c r="E46" s="77"/>
      <c r="F46" s="60">
        <v>0.9</v>
      </c>
    </row>
    <row r="47" spans="2:11" ht="16.2" thickBot="1">
      <c r="B47" s="3" t="s">
        <v>58</v>
      </c>
      <c r="C47" s="9" t="s">
        <v>50</v>
      </c>
      <c r="D47" s="9" t="s">
        <v>55</v>
      </c>
      <c r="E47" s="9"/>
      <c r="F47" s="31">
        <f>+F44*F45*F46</f>
        <v>1125</v>
      </c>
    </row>
    <row r="49" spans="2:6" ht="15" thickBot="1">
      <c r="B49" s="27" t="s">
        <v>48</v>
      </c>
    </row>
    <row r="50" spans="2:6" ht="15.6">
      <c r="B50" s="28" t="s">
        <v>52</v>
      </c>
      <c r="C50" s="18" t="s">
        <v>50</v>
      </c>
      <c r="D50" s="18" t="s">
        <v>51</v>
      </c>
      <c r="E50" s="18"/>
      <c r="F50" s="29">
        <v>2500</v>
      </c>
    </row>
    <row r="51" spans="2:6" ht="15.6">
      <c r="B51" s="1" t="s">
        <v>7</v>
      </c>
      <c r="C51" s="5" t="s">
        <v>17</v>
      </c>
      <c r="D51" s="77" t="s">
        <v>8</v>
      </c>
      <c r="E51" s="77"/>
      <c r="F51" s="23">
        <f>+F15</f>
        <v>0.9</v>
      </c>
    </row>
    <row r="52" spans="2:6" ht="16.2" thickBot="1">
      <c r="B52" s="3" t="s">
        <v>57</v>
      </c>
      <c r="C52" s="9" t="s">
        <v>50</v>
      </c>
      <c r="D52" s="9" t="s">
        <v>56</v>
      </c>
      <c r="E52" s="9"/>
      <c r="F52" s="31">
        <f>+F50*F51</f>
        <v>2250</v>
      </c>
    </row>
  </sheetData>
  <mergeCells count="25">
    <mergeCell ref="D51:E51"/>
    <mergeCell ref="D37:E37"/>
    <mergeCell ref="D38:E38"/>
    <mergeCell ref="D28:E28"/>
    <mergeCell ref="D29:E29"/>
    <mergeCell ref="D30:E30"/>
    <mergeCell ref="D31:E31"/>
    <mergeCell ref="B33:F33"/>
    <mergeCell ref="D36:E36"/>
    <mergeCell ref="D46:E46"/>
    <mergeCell ref="B11:F11"/>
    <mergeCell ref="D12:E12"/>
    <mergeCell ref="D13:E13"/>
    <mergeCell ref="D14:E14"/>
    <mergeCell ref="D27:E27"/>
    <mergeCell ref="D15:E15"/>
    <mergeCell ref="B17:F17"/>
    <mergeCell ref="D18:E18"/>
    <mergeCell ref="D19:E19"/>
    <mergeCell ref="D21:E21"/>
    <mergeCell ref="D22:E22"/>
    <mergeCell ref="D23:E23"/>
    <mergeCell ref="B25:F25"/>
    <mergeCell ref="D26:E26"/>
    <mergeCell ref="D20:E2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7"/>
  <sheetViews>
    <sheetView workbookViewId="0">
      <selection activeCell="C3" sqref="C3"/>
    </sheetView>
  </sheetViews>
  <sheetFormatPr defaultColWidth="8.77734375" defaultRowHeight="14.4"/>
  <cols>
    <col min="1" max="1" width="3.44140625" style="42" customWidth="1"/>
    <col min="2" max="2" width="48.5546875" style="42" bestFit="1" customWidth="1"/>
    <col min="3" max="12" width="9.44140625" style="42" bestFit="1" customWidth="1"/>
    <col min="13" max="13" width="8.77734375" style="42"/>
    <col min="14" max="14" width="19.5546875" style="42" bestFit="1" customWidth="1"/>
    <col min="15" max="15" width="15.5546875" style="42" bestFit="1" customWidth="1"/>
    <col min="16" max="16384" width="8.77734375" style="42"/>
  </cols>
  <sheetData>
    <row r="1" spans="1:19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9">
      <c r="A2" s="43"/>
      <c r="B2" s="58" t="s">
        <v>77</v>
      </c>
      <c r="C2" s="59">
        <v>1.031E-2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50" t="s">
        <v>76</v>
      </c>
      <c r="O2" s="46">
        <v>1.5599999999999999E-2</v>
      </c>
      <c r="P2" s="44"/>
      <c r="Q2" s="44"/>
      <c r="R2" s="44"/>
      <c r="S2" s="44"/>
    </row>
    <row r="3" spans="1:19">
      <c r="A3" s="43"/>
      <c r="B3" s="46" t="s">
        <v>70</v>
      </c>
      <c r="C3" s="49">
        <f>O6</f>
        <v>4333.333333333333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50" t="s">
        <v>75</v>
      </c>
      <c r="O3" s="49">
        <f>60*60*1000</f>
        <v>3600000</v>
      </c>
      <c r="P3" s="44"/>
      <c r="Q3" s="44"/>
      <c r="R3" s="44"/>
      <c r="S3" s="44"/>
    </row>
    <row r="4" spans="1:19" ht="15" thickBot="1">
      <c r="A4" s="43"/>
      <c r="B4" s="58" t="s">
        <v>74</v>
      </c>
      <c r="C4" s="51">
        <f>C3*C2</f>
        <v>44.676666666666662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50" t="s">
        <v>73</v>
      </c>
      <c r="O4" s="46">
        <f>1/O3</f>
        <v>2.7777777777777776E-7</v>
      </c>
      <c r="P4" s="44"/>
      <c r="Q4" s="44"/>
      <c r="R4" s="44"/>
      <c r="S4" s="44"/>
    </row>
    <row r="5" spans="1:19">
      <c r="A5" s="43"/>
      <c r="B5" s="46" t="s">
        <v>72</v>
      </c>
      <c r="C5" s="46">
        <v>1</v>
      </c>
      <c r="D5" s="55">
        <v>2</v>
      </c>
      <c r="E5" s="46">
        <v>3</v>
      </c>
      <c r="F5" s="46">
        <v>4</v>
      </c>
      <c r="G5" s="57">
        <v>5</v>
      </c>
      <c r="H5" s="56">
        <v>6</v>
      </c>
      <c r="I5" s="55">
        <v>7</v>
      </c>
      <c r="J5" s="46">
        <v>8</v>
      </c>
      <c r="K5" s="46">
        <v>9</v>
      </c>
      <c r="L5" s="46">
        <v>10</v>
      </c>
      <c r="M5" s="43"/>
      <c r="N5" s="50" t="s">
        <v>71</v>
      </c>
      <c r="O5" s="49">
        <f>O2*1000000000000</f>
        <v>15600000000</v>
      </c>
      <c r="P5" s="44"/>
      <c r="Q5" s="44"/>
      <c r="R5" s="44"/>
      <c r="S5" s="44"/>
    </row>
    <row r="6" spans="1:19" ht="15" thickBot="1">
      <c r="A6" s="43"/>
      <c r="B6" s="46" t="s">
        <v>78</v>
      </c>
      <c r="C6" s="51">
        <f>$C$4/C5</f>
        <v>44.676666666666662</v>
      </c>
      <c r="D6" s="52">
        <f>$C$4/D5</f>
        <v>22.338333333333331</v>
      </c>
      <c r="E6" s="51">
        <f t="shared" ref="E6:K6" si="0">$C$4/E5</f>
        <v>14.892222222222221</v>
      </c>
      <c r="F6" s="51">
        <f t="shared" si="0"/>
        <v>11.169166666666666</v>
      </c>
      <c r="G6" s="54">
        <f t="shared" si="0"/>
        <v>8.9353333333333325</v>
      </c>
      <c r="H6" s="53">
        <f>$C$4/H5</f>
        <v>7.4461111111111107</v>
      </c>
      <c r="I6" s="52">
        <f t="shared" si="0"/>
        <v>6.3823809523809514</v>
      </c>
      <c r="J6" s="51">
        <f t="shared" si="0"/>
        <v>5.5845833333333328</v>
      </c>
      <c r="K6" s="51">
        <f t="shared" si="0"/>
        <v>4.9640740740740732</v>
      </c>
      <c r="L6" s="51">
        <f>$C$4/L5</f>
        <v>4.4676666666666662</v>
      </c>
      <c r="M6" s="43"/>
      <c r="N6" s="50" t="s">
        <v>70</v>
      </c>
      <c r="O6" s="49">
        <f>O5*O4</f>
        <v>4333.333333333333</v>
      </c>
      <c r="P6" s="44"/>
      <c r="Q6" s="44"/>
      <c r="R6" s="44"/>
      <c r="S6" s="44"/>
    </row>
    <row r="7" spans="1:19">
      <c r="A7" s="43"/>
      <c r="B7" s="46" t="s">
        <v>69</v>
      </c>
      <c r="C7" s="48">
        <v>0.1</v>
      </c>
      <c r="D7" s="43"/>
      <c r="E7" s="43"/>
      <c r="F7" s="43"/>
      <c r="G7" s="43"/>
      <c r="H7" s="47"/>
      <c r="I7" s="43"/>
      <c r="J7" s="43"/>
      <c r="K7" s="43"/>
      <c r="L7" s="43"/>
      <c r="M7" s="43"/>
      <c r="N7" s="43"/>
      <c r="O7" s="43"/>
      <c r="P7" s="44"/>
      <c r="Q7" s="44"/>
      <c r="R7" s="44"/>
      <c r="S7" s="44"/>
    </row>
    <row r="8" spans="1:19">
      <c r="A8" s="43"/>
      <c r="B8" s="46" t="s">
        <v>68</v>
      </c>
      <c r="C8" s="45">
        <f>$C$7*C6</f>
        <v>4.4676666666666662</v>
      </c>
      <c r="D8" s="45">
        <f t="shared" ref="D8:L8" si="1">$C$7*D6</f>
        <v>2.2338333333333331</v>
      </c>
      <c r="E8" s="45">
        <f t="shared" si="1"/>
        <v>1.4892222222222222</v>
      </c>
      <c r="F8" s="45">
        <f t="shared" si="1"/>
        <v>1.1169166666666666</v>
      </c>
      <c r="G8" s="45">
        <f t="shared" si="1"/>
        <v>0.89353333333333329</v>
      </c>
      <c r="H8" s="45">
        <f>$C$7*H6</f>
        <v>0.74461111111111111</v>
      </c>
      <c r="I8" s="45">
        <f t="shared" si="1"/>
        <v>0.63823809523809516</v>
      </c>
      <c r="J8" s="45">
        <f t="shared" si="1"/>
        <v>0.55845833333333328</v>
      </c>
      <c r="K8" s="45">
        <f t="shared" si="1"/>
        <v>0.49640740740740735</v>
      </c>
      <c r="L8" s="45">
        <f t="shared" si="1"/>
        <v>0.44676666666666665</v>
      </c>
      <c r="M8" s="43"/>
      <c r="N8" s="43"/>
      <c r="O8" s="43"/>
      <c r="P8" s="44"/>
      <c r="Q8" s="44"/>
      <c r="R8" s="44"/>
      <c r="S8" s="44"/>
    </row>
    <row r="9" spans="1:19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4"/>
      <c r="Q9" s="44"/>
      <c r="R9" s="44"/>
      <c r="S9" s="44"/>
    </row>
    <row r="10" spans="1:19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4"/>
      <c r="Q10" s="44"/>
      <c r="R10" s="44"/>
      <c r="S10" s="44"/>
    </row>
    <row r="11" spans="1:19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4"/>
      <c r="Q11" s="44"/>
      <c r="R11" s="44"/>
      <c r="S11" s="44"/>
    </row>
    <row r="12" spans="1:19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4"/>
      <c r="Q12" s="44"/>
      <c r="R12" s="44"/>
      <c r="S12" s="44"/>
    </row>
    <row r="13" spans="1:19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4"/>
      <c r="Q13" s="44"/>
      <c r="R13" s="44"/>
      <c r="S13" s="44"/>
    </row>
    <row r="14" spans="1:19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4"/>
      <c r="Q14" s="44"/>
      <c r="R14" s="44"/>
      <c r="S14" s="44"/>
    </row>
    <row r="15" spans="1:19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</row>
    <row r="16" spans="1:19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</row>
    <row r="17" spans="1:15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</row>
    <row r="18" spans="1:15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</row>
    <row r="19" spans="1:15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</row>
    <row r="20" spans="1:1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</row>
    <row r="21" spans="1:15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</row>
    <row r="22" spans="1:15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</row>
    <row r="23" spans="1:15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</row>
    <row r="24" spans="1:15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</row>
    <row r="25" spans="1:1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</row>
    <row r="26" spans="1:1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</row>
    <row r="27" spans="1:1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7D8FF0EBC1E34CAA966933F5D9F9ED" ma:contentTypeVersion="9" ma:contentTypeDescription="Create a new document." ma:contentTypeScope="" ma:versionID="23ade730099a38590fa2ea42b4f3cf1e">
  <xsd:schema xmlns:xsd="http://www.w3.org/2001/XMLSchema" xmlns:xs="http://www.w3.org/2001/XMLSchema" xmlns:p="http://schemas.microsoft.com/office/2006/metadata/properties" xmlns:ns1="http://schemas.microsoft.com/sharepoint/v3" xmlns:ns2="8bcd9205-aa71-43b1-82fe-dcc00a36dd04" xmlns:ns3="83a6049c-05c8-4e22-bd03-2c19a5f84a8b" targetNamespace="http://schemas.microsoft.com/office/2006/metadata/properties" ma:root="true" ma:fieldsID="61a5ee04cdea7b426cad81e08d955a68" ns1:_="" ns2:_="" ns3:_="">
    <xsd:import namespace="http://schemas.microsoft.com/sharepoint/v3"/>
    <xsd:import namespace="8bcd9205-aa71-43b1-82fe-dcc00a36dd04"/>
    <xsd:import namespace="83a6049c-05c8-4e22-bd03-2c19a5f84a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1:PublishingStartDate" minOccurs="0"/>
                <xsd:element ref="ns1:PublishingExpirationDat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2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3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cd9205-aa71-43b1-82fe-dcc00a36d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6049c-05c8-4e22-bd03-2c19a5f84a8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7E8336-D983-4597-9A26-C84D44596F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6D6273-7E30-45E1-97D1-C9AB510FE396}">
  <ds:schemaRefs>
    <ds:schemaRef ds:uri="http://schemas.openxmlformats.org/package/2006/metadata/core-properties"/>
    <ds:schemaRef ds:uri="http://schemas.microsoft.com/sharepoint/v3"/>
    <ds:schemaRef ds:uri="http://purl.org/dc/terms/"/>
    <ds:schemaRef ds:uri="http://schemas.microsoft.com/office/2006/documentManagement/types"/>
    <ds:schemaRef ds:uri="8bcd9205-aa71-43b1-82fe-dcc00a36dd04"/>
    <ds:schemaRef ds:uri="http://schemas.microsoft.com/office/infopath/2007/PartnerControls"/>
    <ds:schemaRef ds:uri="http://purl.org/dc/elements/1.1/"/>
    <ds:schemaRef ds:uri="http://schemas.microsoft.com/office/2006/metadata/properties"/>
    <ds:schemaRef ds:uri="83a6049c-05c8-4e22-bd03-2c19a5f84a8b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6423C87-B521-4CD6-B0B3-2B4D4B6287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bcd9205-aa71-43b1-82fe-dcc00a36dd04"/>
    <ds:schemaRef ds:uri="83a6049c-05c8-4e22-bd03-2c19a5f84a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ER Calculations</vt:lpstr>
      <vt:lpstr>ICS Output (Baseline)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Ellie</dc:creator>
  <cp:lastModifiedBy>Josefin</cp:lastModifiedBy>
  <dcterms:created xsi:type="dcterms:W3CDTF">2013-01-18T15:45:24Z</dcterms:created>
  <dcterms:modified xsi:type="dcterms:W3CDTF">2021-10-12T10:22:38Z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0x010100467D8FF0EBC1E34CAA966933F5D9F9ED</vt:lpwstr>
  </property>
</Properties>
</file>