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arendra/OneDrive/Kosher/Kosher Projects/Homebiogas Kenya/Final Docs/VPA/GS review/Round II/"/>
    </mc:Choice>
  </mc:AlternateContent>
  <xr:revisionPtr revIDLastSave="0" documentId="13_ncr:1_{DC218B9C-A0C7-2940-8564-139F93B95C1C}" xr6:coauthVersionLast="47" xr6:coauthVersionMax="47" xr10:uidLastSave="{00000000-0000-0000-0000-000000000000}"/>
  <bookViews>
    <workbookView xWindow="20" yWindow="500" windowWidth="28800" windowHeight="15880" tabRatio="764" activeTab="4" xr2:uid="{00000000-000D-0000-FFFF-FFFF00000000}"/>
  </bookViews>
  <sheets>
    <sheet name="Baseline Survey" sheetId="12" r:id="rId1"/>
    <sheet name="Baseline KPT" sheetId="13" r:id="rId2"/>
    <sheet name="Baseline Emission" sheetId="2" r:id="rId3"/>
    <sheet name="Project Emission" sheetId="3" r:id="rId4"/>
    <sheet name="Emission Reduction" sheetId="4" r:id="rId5"/>
    <sheet name="Thermal Energy" sheetId="10" r:id="rId6"/>
    <sheet name="fNRB" sheetId="8" r:id="rId7"/>
    <sheet name="wood density" sheetId="9" r:id="rId8"/>
  </sheets>
  <definedNames>
    <definedName name="_xlnm._FilterDatabase" localSheetId="0" hidden="1">'Baseline Survey'!$A$1:$AJ$228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" l="1"/>
  <c r="D14" i="3"/>
  <c r="E9" i="3"/>
  <c r="E9" i="2"/>
  <c r="H97" i="8"/>
  <c r="H82" i="8"/>
  <c r="H88" i="8"/>
  <c r="H94" i="8"/>
  <c r="H93" i="8"/>
  <c r="H86" i="8"/>
  <c r="H92" i="8"/>
  <c r="H91" i="8"/>
  <c r="H90" i="8"/>
  <c r="H87" i="8"/>
  <c r="H85" i="8"/>
  <c r="H84" i="8"/>
  <c r="H81" i="8"/>
  <c r="H80" i="8"/>
  <c r="H79" i="8"/>
  <c r="H78" i="8"/>
  <c r="H75" i="8"/>
  <c r="H74" i="8"/>
  <c r="H73" i="8"/>
  <c r="H72" i="8"/>
  <c r="K240" i="12"/>
  <c r="K242" i="12"/>
  <c r="H50" i="8"/>
  <c r="H95" i="8" l="1"/>
  <c r="H49" i="8"/>
  <c r="R241" i="12"/>
  <c r="Q241" i="12"/>
  <c r="R238" i="12"/>
  <c r="Q238" i="12"/>
  <c r="R237" i="12"/>
  <c r="Q237" i="12"/>
  <c r="R236" i="12"/>
  <c r="Q236" i="12"/>
  <c r="Q240" i="12" l="1"/>
  <c r="Q242" i="12" s="1"/>
  <c r="R240" i="12"/>
  <c r="R242" i="12" s="1"/>
  <c r="M236" i="12"/>
  <c r="M237" i="12"/>
  <c r="M238" i="12"/>
  <c r="M241" i="12"/>
  <c r="L236" i="12"/>
  <c r="L237" i="12"/>
  <c r="L238" i="12"/>
  <c r="L241" i="12"/>
  <c r="K241" i="12"/>
  <c r="K237" i="12"/>
  <c r="K238" i="12"/>
  <c r="K236" i="12"/>
  <c r="L231" i="12"/>
  <c r="G232" i="12"/>
  <c r="E46" i="3"/>
  <c r="E33" i="3"/>
  <c r="E26" i="3"/>
  <c r="E47" i="3"/>
  <c r="D47" i="3"/>
  <c r="E35" i="3"/>
  <c r="M240" i="12" l="1"/>
  <c r="M242" i="12" s="1"/>
  <c r="L240" i="12"/>
  <c r="L242" i="12" s="1"/>
  <c r="J10" i="3"/>
  <c r="U74" i="13" l="1"/>
  <c r="U65" i="13"/>
  <c r="U66" i="13"/>
  <c r="U70" i="13"/>
  <c r="U67" i="13"/>
  <c r="T34" i="13"/>
  <c r="S34" i="13"/>
  <c r="R34" i="13"/>
  <c r="U34" i="13" s="1"/>
  <c r="T33" i="13"/>
  <c r="S33" i="13"/>
  <c r="R33" i="13"/>
  <c r="U33" i="13" s="1"/>
  <c r="U32" i="13"/>
  <c r="T32" i="13"/>
  <c r="S32" i="13"/>
  <c r="R32" i="13"/>
  <c r="T31" i="13"/>
  <c r="S31" i="13"/>
  <c r="R31" i="13"/>
  <c r="U31" i="13" s="1"/>
  <c r="U30" i="13"/>
  <c r="T30" i="13"/>
  <c r="S30" i="13"/>
  <c r="R30" i="13"/>
  <c r="T29" i="13"/>
  <c r="S29" i="13"/>
  <c r="R29" i="13"/>
  <c r="U29" i="13" s="1"/>
  <c r="U28" i="13"/>
  <c r="T28" i="13"/>
  <c r="S28" i="13"/>
  <c r="R28" i="13"/>
  <c r="T27" i="13"/>
  <c r="S27" i="13"/>
  <c r="R27" i="13"/>
  <c r="U27" i="13" s="1"/>
  <c r="T26" i="13"/>
  <c r="S26" i="13"/>
  <c r="R26" i="13"/>
  <c r="U26" i="13" s="1"/>
  <c r="T25" i="13"/>
  <c r="S25" i="13"/>
  <c r="R25" i="13"/>
  <c r="U25" i="13" s="1"/>
  <c r="T24" i="13"/>
  <c r="S24" i="13"/>
  <c r="R24" i="13"/>
  <c r="U24" i="13" s="1"/>
  <c r="T23" i="13"/>
  <c r="S23" i="13"/>
  <c r="R23" i="13"/>
  <c r="U23" i="13" s="1"/>
  <c r="U22" i="13"/>
  <c r="T22" i="13"/>
  <c r="S22" i="13"/>
  <c r="R22" i="13"/>
  <c r="T21" i="13"/>
  <c r="S21" i="13"/>
  <c r="R21" i="13"/>
  <c r="U21" i="13" s="1"/>
  <c r="U20" i="13"/>
  <c r="T20" i="13"/>
  <c r="S20" i="13"/>
  <c r="R20" i="13"/>
  <c r="T19" i="13"/>
  <c r="S19" i="13"/>
  <c r="R19" i="13"/>
  <c r="U19" i="13" s="1"/>
  <c r="U18" i="13"/>
  <c r="T18" i="13"/>
  <c r="S18" i="13"/>
  <c r="R18" i="13"/>
  <c r="T17" i="13"/>
  <c r="S17" i="13"/>
  <c r="R17" i="13"/>
  <c r="U17" i="13" s="1"/>
  <c r="U16" i="13"/>
  <c r="T16" i="13"/>
  <c r="S16" i="13"/>
  <c r="R16" i="13"/>
  <c r="T15" i="13"/>
  <c r="S15" i="13"/>
  <c r="R15" i="13"/>
  <c r="U15" i="13" s="1"/>
  <c r="U14" i="13"/>
  <c r="T14" i="13"/>
  <c r="S14" i="13"/>
  <c r="R14" i="13"/>
  <c r="T13" i="13"/>
  <c r="S13" i="13"/>
  <c r="R13" i="13"/>
  <c r="U13" i="13" s="1"/>
  <c r="U12" i="13"/>
  <c r="T12" i="13"/>
  <c r="S12" i="13"/>
  <c r="R12" i="13"/>
  <c r="T11" i="13"/>
  <c r="S11" i="13"/>
  <c r="R11" i="13"/>
  <c r="U11" i="13" s="1"/>
  <c r="U10" i="13"/>
  <c r="T10" i="13"/>
  <c r="S10" i="13"/>
  <c r="R10" i="13"/>
  <c r="T9" i="13"/>
  <c r="S9" i="13"/>
  <c r="R9" i="13"/>
  <c r="U9" i="13" s="1"/>
  <c r="U8" i="13"/>
  <c r="T8" i="13"/>
  <c r="S8" i="13"/>
  <c r="R8" i="13"/>
  <c r="T7" i="13"/>
  <c r="S7" i="13"/>
  <c r="R7" i="13"/>
  <c r="U7" i="13" s="1"/>
  <c r="U6" i="13"/>
  <c r="T6" i="13"/>
  <c r="S6" i="13"/>
  <c r="R6" i="13"/>
  <c r="T5" i="13"/>
  <c r="S5" i="13"/>
  <c r="R5" i="13"/>
  <c r="U5" i="13" s="1"/>
  <c r="U4" i="13"/>
  <c r="T4" i="13"/>
  <c r="S4" i="13"/>
  <c r="R4" i="13"/>
  <c r="T3" i="13"/>
  <c r="S3" i="13"/>
  <c r="R3" i="13"/>
  <c r="U3" i="13" s="1"/>
  <c r="U45" i="13"/>
  <c r="U69" i="13" l="1"/>
  <c r="U71" i="13" s="1"/>
  <c r="U76" i="13" l="1"/>
  <c r="U41" i="13"/>
  <c r="U38" i="13"/>
  <c r="U37" i="13"/>
  <c r="U44" i="13" s="1"/>
  <c r="U46" i="13" s="1"/>
  <c r="U36" i="13"/>
  <c r="U40" i="13" l="1"/>
  <c r="U42" i="13" s="1"/>
  <c r="D4" i="2"/>
  <c r="K231" i="12" l="1"/>
  <c r="C69" i="13" s="1"/>
  <c r="K230" i="12"/>
  <c r="C68" i="13" l="1"/>
  <c r="C72" i="13"/>
  <c r="C73" i="13" s="1"/>
  <c r="X230" i="12"/>
  <c r="N230" i="12" l="1"/>
  <c r="O230" i="12"/>
  <c r="M230" i="12"/>
  <c r="C34" i="4" l="1"/>
  <c r="C35" i="4" s="1"/>
  <c r="U75" i="13"/>
  <c r="S56" i="13"/>
  <c r="T63" i="13"/>
  <c r="S63" i="13"/>
  <c r="R63" i="13"/>
  <c r="T62" i="13"/>
  <c r="S62" i="13"/>
  <c r="R62" i="13"/>
  <c r="T61" i="13"/>
  <c r="S61" i="13"/>
  <c r="R61" i="13"/>
  <c r="T60" i="13"/>
  <c r="S60" i="13"/>
  <c r="R60" i="13"/>
  <c r="T59" i="13"/>
  <c r="S59" i="13"/>
  <c r="R59" i="13"/>
  <c r="T58" i="13"/>
  <c r="S58" i="13"/>
  <c r="R58" i="13"/>
  <c r="T57" i="13"/>
  <c r="S57" i="13"/>
  <c r="R57" i="13"/>
  <c r="T56" i="13"/>
  <c r="R56" i="13"/>
  <c r="T55" i="13"/>
  <c r="S55" i="13"/>
  <c r="R55" i="13"/>
  <c r="U55" i="13" s="1"/>
  <c r="L34" i="13"/>
  <c r="P34" i="13" s="1"/>
  <c r="H4" i="13"/>
  <c r="L4" i="13" s="1"/>
  <c r="P4" i="13" s="1"/>
  <c r="H5" i="13"/>
  <c r="L5" i="13" s="1"/>
  <c r="P5" i="13" s="1"/>
  <c r="H6" i="13"/>
  <c r="L6" i="13" s="1"/>
  <c r="P6" i="13" s="1"/>
  <c r="H7" i="13"/>
  <c r="L7" i="13" s="1"/>
  <c r="P7" i="13" s="1"/>
  <c r="H8" i="13"/>
  <c r="L8" i="13" s="1"/>
  <c r="P8" i="13" s="1"/>
  <c r="H9" i="13"/>
  <c r="L9" i="13" s="1"/>
  <c r="P9" i="13" s="1"/>
  <c r="H10" i="13"/>
  <c r="L10" i="13" s="1"/>
  <c r="P10" i="13" s="1"/>
  <c r="H11" i="13"/>
  <c r="L11" i="13" s="1"/>
  <c r="P11" i="13" s="1"/>
  <c r="H12" i="13"/>
  <c r="L12" i="13" s="1"/>
  <c r="P12" i="13" s="1"/>
  <c r="H13" i="13"/>
  <c r="L13" i="13" s="1"/>
  <c r="P13" i="13" s="1"/>
  <c r="H14" i="13"/>
  <c r="L14" i="13" s="1"/>
  <c r="P14" i="13" s="1"/>
  <c r="H15" i="13"/>
  <c r="L15" i="13" s="1"/>
  <c r="P15" i="13" s="1"/>
  <c r="H16" i="13"/>
  <c r="L16" i="13" s="1"/>
  <c r="P16" i="13" s="1"/>
  <c r="H17" i="13"/>
  <c r="L17" i="13" s="1"/>
  <c r="P17" i="13" s="1"/>
  <c r="H18" i="13"/>
  <c r="L18" i="13" s="1"/>
  <c r="P18" i="13" s="1"/>
  <c r="H19" i="13"/>
  <c r="L19" i="13" s="1"/>
  <c r="P19" i="13" s="1"/>
  <c r="H20" i="13"/>
  <c r="L20" i="13" s="1"/>
  <c r="P20" i="13" s="1"/>
  <c r="H21" i="13"/>
  <c r="L21" i="13" s="1"/>
  <c r="P21" i="13" s="1"/>
  <c r="H22" i="13"/>
  <c r="L22" i="13" s="1"/>
  <c r="P22" i="13" s="1"/>
  <c r="H23" i="13"/>
  <c r="L23" i="13" s="1"/>
  <c r="P23" i="13" s="1"/>
  <c r="H24" i="13"/>
  <c r="L24" i="13" s="1"/>
  <c r="P24" i="13" s="1"/>
  <c r="H25" i="13"/>
  <c r="L25" i="13" s="1"/>
  <c r="P25" i="13" s="1"/>
  <c r="H26" i="13"/>
  <c r="L26" i="13" s="1"/>
  <c r="P26" i="13" s="1"/>
  <c r="H27" i="13"/>
  <c r="L27" i="13" s="1"/>
  <c r="P27" i="13" s="1"/>
  <c r="H28" i="13"/>
  <c r="L28" i="13" s="1"/>
  <c r="P28" i="13" s="1"/>
  <c r="H29" i="13"/>
  <c r="L29" i="13" s="1"/>
  <c r="P29" i="13" s="1"/>
  <c r="H30" i="13"/>
  <c r="L30" i="13" s="1"/>
  <c r="P30" i="13" s="1"/>
  <c r="H31" i="13"/>
  <c r="L31" i="13" s="1"/>
  <c r="P31" i="13" s="1"/>
  <c r="H32" i="13"/>
  <c r="L32" i="13" s="1"/>
  <c r="P32" i="13" s="1"/>
  <c r="H33" i="13"/>
  <c r="L33" i="13" s="1"/>
  <c r="P33" i="13" s="1"/>
  <c r="H34" i="13"/>
  <c r="H3" i="13"/>
  <c r="L3" i="13"/>
  <c r="P3" i="13" s="1"/>
  <c r="U60" i="13" l="1"/>
  <c r="U56" i="13"/>
  <c r="U62" i="13"/>
  <c r="U59" i="13"/>
  <c r="U58" i="13"/>
  <c r="U61" i="13"/>
  <c r="U63" i="13"/>
  <c r="U57" i="13"/>
  <c r="AD2" i="12" l="1"/>
  <c r="AD4" i="12" s="1"/>
  <c r="E29" i="2" s="1"/>
  <c r="AC2" i="12"/>
  <c r="AC4" i="12" s="1"/>
  <c r="AB2" i="12"/>
  <c r="AB4" i="12" s="1"/>
  <c r="Z8" i="12"/>
  <c r="Z191" i="12"/>
  <c r="Z192" i="12"/>
  <c r="Z193" i="12"/>
  <c r="Z194" i="12"/>
  <c r="Z226" i="12"/>
  <c r="Z3" i="12"/>
  <c r="Z4" i="12"/>
  <c r="Z5" i="12"/>
  <c r="Z6" i="12"/>
  <c r="Z7" i="12"/>
  <c r="Z9" i="12"/>
  <c r="Z10" i="12"/>
  <c r="Z11" i="12"/>
  <c r="Z12" i="12"/>
  <c r="Z13" i="12"/>
  <c r="Z14" i="12"/>
  <c r="Z15" i="12"/>
  <c r="Z16" i="12"/>
  <c r="Z17" i="12"/>
  <c r="Z18" i="12"/>
  <c r="Z19" i="12"/>
  <c r="Z20" i="12"/>
  <c r="Z21" i="12"/>
  <c r="Z22" i="12"/>
  <c r="Z23" i="12"/>
  <c r="Z24" i="12"/>
  <c r="Z25" i="12"/>
  <c r="Z26" i="12"/>
  <c r="Z27" i="12"/>
  <c r="Z28" i="12"/>
  <c r="Z29" i="12"/>
  <c r="Z30" i="12"/>
  <c r="Z31" i="12"/>
  <c r="Z32" i="12"/>
  <c r="Z33" i="12"/>
  <c r="Z34" i="12"/>
  <c r="Z35" i="12"/>
  <c r="Z36" i="12"/>
  <c r="Z37" i="12"/>
  <c r="Z38" i="12"/>
  <c r="Z39" i="12"/>
  <c r="Z40" i="12"/>
  <c r="Z41" i="12"/>
  <c r="Z42" i="12"/>
  <c r="Z43" i="12"/>
  <c r="Z44" i="12"/>
  <c r="Z45" i="12"/>
  <c r="Z46" i="12"/>
  <c r="Z47" i="12"/>
  <c r="Z48" i="12"/>
  <c r="Z49" i="12"/>
  <c r="Z50" i="12"/>
  <c r="Z51" i="12"/>
  <c r="Z52" i="12"/>
  <c r="Z53" i="12"/>
  <c r="Z54" i="12"/>
  <c r="Z55" i="12"/>
  <c r="Z56" i="12"/>
  <c r="Z57" i="12"/>
  <c r="Z58" i="12"/>
  <c r="Z59" i="12"/>
  <c r="Z60" i="12"/>
  <c r="Z61" i="12"/>
  <c r="Z62" i="12"/>
  <c r="Z63" i="12"/>
  <c r="Z64" i="12"/>
  <c r="Z65" i="12"/>
  <c r="Z66" i="12"/>
  <c r="Z67" i="12"/>
  <c r="Z68" i="12"/>
  <c r="Z69" i="12"/>
  <c r="Z70" i="12"/>
  <c r="Z71" i="12"/>
  <c r="Z72" i="12"/>
  <c r="Z73" i="12"/>
  <c r="Z74" i="12"/>
  <c r="Z75" i="12"/>
  <c r="Z76" i="12"/>
  <c r="Z77" i="12"/>
  <c r="Z78" i="12"/>
  <c r="Z79" i="12"/>
  <c r="Z80" i="12"/>
  <c r="Z81" i="12"/>
  <c r="Z82" i="12"/>
  <c r="Z83" i="12"/>
  <c r="Z84" i="12"/>
  <c r="Z85" i="12"/>
  <c r="Z86" i="12"/>
  <c r="Z87" i="12"/>
  <c r="Z88" i="12"/>
  <c r="Z89" i="12"/>
  <c r="Z90" i="12"/>
  <c r="Z91" i="12"/>
  <c r="Z92" i="12"/>
  <c r="Z93" i="12"/>
  <c r="Z94" i="12"/>
  <c r="Z95" i="12"/>
  <c r="Z96" i="12"/>
  <c r="Z97" i="12"/>
  <c r="Z98" i="12"/>
  <c r="Z99" i="12"/>
  <c r="Z100" i="12"/>
  <c r="Z101" i="12"/>
  <c r="Z102" i="12"/>
  <c r="Z103" i="12"/>
  <c r="Z104" i="12"/>
  <c r="Z105" i="12"/>
  <c r="Z106" i="12"/>
  <c r="Z107" i="12"/>
  <c r="Z108" i="12"/>
  <c r="Z109" i="12"/>
  <c r="Z110" i="12"/>
  <c r="Z111" i="12"/>
  <c r="Z112" i="12"/>
  <c r="Z113" i="12"/>
  <c r="Z114" i="12"/>
  <c r="Z115" i="12"/>
  <c r="Z116" i="12"/>
  <c r="Z117" i="12"/>
  <c r="Z118" i="12"/>
  <c r="Z119" i="12"/>
  <c r="Z120" i="12"/>
  <c r="Z121" i="12"/>
  <c r="Z122" i="12"/>
  <c r="Z123" i="12"/>
  <c r="Z124" i="12"/>
  <c r="Z125" i="12"/>
  <c r="Z126" i="12"/>
  <c r="Z127" i="12"/>
  <c r="Z128" i="12"/>
  <c r="Z129" i="12"/>
  <c r="Z130" i="12"/>
  <c r="Z131" i="12"/>
  <c r="Z132" i="12"/>
  <c r="Z133" i="12"/>
  <c r="Z134" i="12"/>
  <c r="Z135" i="12"/>
  <c r="Z136" i="12"/>
  <c r="Z137" i="12"/>
  <c r="Z138" i="12"/>
  <c r="Z139" i="12"/>
  <c r="Z140" i="12"/>
  <c r="Z141" i="12"/>
  <c r="Z142" i="12"/>
  <c r="Z143" i="12"/>
  <c r="Z144" i="12"/>
  <c r="Z145" i="12"/>
  <c r="Z146" i="12"/>
  <c r="Z147" i="12"/>
  <c r="Z148" i="12"/>
  <c r="Z149" i="12"/>
  <c r="Z150" i="12"/>
  <c r="Z151" i="12"/>
  <c r="Z152" i="12"/>
  <c r="Z153" i="12"/>
  <c r="Z154" i="12"/>
  <c r="Z155" i="12"/>
  <c r="Z156" i="12"/>
  <c r="Z157" i="12"/>
  <c r="Z158" i="12"/>
  <c r="Z159" i="12"/>
  <c r="Z160" i="12"/>
  <c r="Z161" i="12"/>
  <c r="Z162" i="12"/>
  <c r="Z163" i="12"/>
  <c r="Z164" i="12"/>
  <c r="Z165" i="12"/>
  <c r="Z166" i="12"/>
  <c r="Z167" i="12"/>
  <c r="Z168" i="12"/>
  <c r="Z169" i="12"/>
  <c r="Z170" i="12"/>
  <c r="Z171" i="12"/>
  <c r="Z172" i="12"/>
  <c r="Z173" i="12"/>
  <c r="Z174" i="12"/>
  <c r="Z175" i="12"/>
  <c r="Z176" i="12"/>
  <c r="Z177" i="12"/>
  <c r="Z178" i="12"/>
  <c r="Z179" i="12"/>
  <c r="Z180" i="12"/>
  <c r="Z181" i="12"/>
  <c r="Z182" i="12"/>
  <c r="Z183" i="12"/>
  <c r="Z184" i="12"/>
  <c r="Z185" i="12"/>
  <c r="Z186" i="12"/>
  <c r="Z187" i="12"/>
  <c r="Z188" i="12"/>
  <c r="Z189" i="12"/>
  <c r="Z190" i="12"/>
  <c r="Z195" i="12"/>
  <c r="Z196" i="12"/>
  <c r="Z197" i="12"/>
  <c r="Z198" i="12"/>
  <c r="Z199" i="12"/>
  <c r="Z200" i="12"/>
  <c r="Z201" i="12"/>
  <c r="Z202" i="12"/>
  <c r="Z203" i="12"/>
  <c r="Z204" i="12"/>
  <c r="Z205" i="12"/>
  <c r="Z206" i="12"/>
  <c r="Z207" i="12"/>
  <c r="Z208" i="12"/>
  <c r="Z209" i="12"/>
  <c r="Z210" i="12"/>
  <c r="Z211" i="12"/>
  <c r="Z212" i="12"/>
  <c r="Z213" i="12"/>
  <c r="Z214" i="12"/>
  <c r="Z215" i="12"/>
  <c r="Z216" i="12"/>
  <c r="Z217" i="12"/>
  <c r="Z218" i="12"/>
  <c r="Z219" i="12"/>
  <c r="Z220" i="12"/>
  <c r="Z221" i="12"/>
  <c r="Z222" i="12"/>
  <c r="Z223" i="12"/>
  <c r="Z224" i="12"/>
  <c r="Z225" i="12"/>
  <c r="Z2" i="12"/>
  <c r="G231" i="12"/>
  <c r="G230" i="12"/>
  <c r="R230" i="12"/>
  <c r="E30" i="2" s="1"/>
  <c r="E43" i="3" s="1"/>
  <c r="Q230" i="12"/>
  <c r="D30" i="2" s="1"/>
  <c r="D43" i="3" s="1"/>
  <c r="L230" i="12"/>
  <c r="L233" i="12" s="1"/>
  <c r="D28" i="2" l="1"/>
  <c r="D41" i="3" s="1"/>
  <c r="E41" i="3" s="1"/>
  <c r="G234" i="12"/>
  <c r="H232" i="12" s="1"/>
  <c r="E4" i="2"/>
  <c r="F4" i="2"/>
  <c r="E28" i="2"/>
  <c r="D29" i="2"/>
  <c r="D42" i="3" s="1"/>
  <c r="E42" i="3" s="1"/>
  <c r="Z227" i="12"/>
  <c r="E48" i="3" l="1"/>
  <c r="D48" i="3"/>
  <c r="D49" i="3" s="1"/>
  <c r="G236" i="12"/>
  <c r="H230" i="12"/>
  <c r="H231" i="12"/>
  <c r="E15" i="2" l="1"/>
  <c r="J13" i="3"/>
  <c r="D15" i="2"/>
  <c r="I13" i="3"/>
  <c r="F8" i="2"/>
  <c r="E34" i="2" l="1"/>
  <c r="E35" i="2" s="1"/>
  <c r="D34" i="2"/>
  <c r="D35" i="2" s="1"/>
  <c r="E7" i="3"/>
  <c r="D8" i="10" l="1"/>
  <c r="D9" i="10" s="1"/>
  <c r="L7" i="2"/>
  <c r="M7" i="2"/>
  <c r="C287" i="9"/>
  <c r="H102" i="8" s="1"/>
  <c r="F7" i="2" l="1"/>
  <c r="H100" i="8"/>
  <c r="E4" i="3" l="1"/>
  <c r="J9" i="3" s="1"/>
  <c r="J11" i="3" s="1"/>
  <c r="D4" i="3"/>
  <c r="I9" i="3" s="1"/>
  <c r="I10" i="3" s="1"/>
  <c r="F9" i="3"/>
  <c r="F8" i="3"/>
  <c r="F6" i="3"/>
  <c r="F5" i="3"/>
  <c r="E5" i="3"/>
  <c r="D5" i="3"/>
  <c r="D22" i="3"/>
  <c r="E22" i="3"/>
  <c r="G22" i="3"/>
  <c r="C22" i="3"/>
  <c r="E24" i="3"/>
  <c r="G24" i="3"/>
  <c r="D24" i="3"/>
  <c r="G25" i="3"/>
  <c r="E23" i="3"/>
  <c r="G23" i="3"/>
  <c r="D23" i="3"/>
  <c r="E21" i="3"/>
  <c r="D21" i="3"/>
  <c r="E20" i="3"/>
  <c r="E5" i="2"/>
  <c r="F5" i="2"/>
  <c r="F6" i="2"/>
  <c r="F9" i="2"/>
  <c r="F4" i="3"/>
  <c r="H105" i="8"/>
  <c r="H108" i="8" s="1"/>
  <c r="H98" i="8"/>
  <c r="H101" i="8" s="1"/>
  <c r="D36" i="2" l="1"/>
  <c r="D2" i="4" s="1"/>
  <c r="D11" i="3"/>
  <c r="D25" i="3"/>
  <c r="D27" i="3" s="1"/>
  <c r="E11" i="2"/>
  <c r="H89" i="8"/>
  <c r="H107" i="8" s="1"/>
  <c r="E25" i="3"/>
  <c r="E27" i="3" s="1"/>
  <c r="E12" i="3"/>
  <c r="C65" i="8"/>
  <c r="E11" i="3"/>
  <c r="D12" i="3"/>
  <c r="F11" i="3"/>
  <c r="E12" i="2"/>
  <c r="F11" i="2"/>
  <c r="H83" i="8"/>
  <c r="H106" i="8" s="1"/>
  <c r="H109" i="8" l="1"/>
  <c r="C97" i="8" s="1"/>
  <c r="C36" i="8" s="1"/>
  <c r="C18" i="8" s="1"/>
  <c r="F12" i="2"/>
  <c r="F14" i="2" s="1"/>
  <c r="F7" i="3"/>
  <c r="F12" i="3" s="1"/>
  <c r="F14" i="3" s="1"/>
  <c r="I11" i="3"/>
  <c r="D10" i="3" l="1"/>
  <c r="E10" i="3" s="1"/>
  <c r="D10" i="2"/>
  <c r="E10" i="2" s="1"/>
  <c r="E14" i="2" s="1"/>
  <c r="D5" i="2"/>
  <c r="E14" i="3" l="1"/>
  <c r="J12" i="3"/>
  <c r="I12" i="3"/>
  <c r="D11" i="2"/>
  <c r="D12" i="2"/>
  <c r="D15" i="3" l="1"/>
  <c r="C3" i="4" s="1"/>
  <c r="I14" i="3"/>
  <c r="D29" i="4" s="1"/>
  <c r="D14" i="2"/>
  <c r="C2" i="4" s="1"/>
  <c r="C4" i="4" l="1"/>
  <c r="E21" i="4"/>
  <c r="E22" i="4" s="1"/>
  <c r="D8" i="4"/>
  <c r="D9" i="4" l="1"/>
  <c r="D30" i="4" s="1"/>
  <c r="E30" i="4" s="1"/>
  <c r="D10" i="4" l="1"/>
  <c r="D31" i="4" s="1"/>
  <c r="E31" i="4" s="1"/>
  <c r="E29" i="4"/>
  <c r="D11" i="4" l="1"/>
  <c r="D32" i="4" s="1"/>
  <c r="E32" i="4" s="1"/>
  <c r="D12" i="4"/>
  <c r="D10" i="10" l="1"/>
  <c r="D11" i="10" s="1"/>
  <c r="D33" i="4"/>
  <c r="D28" i="3"/>
  <c r="D3" i="4" s="1"/>
  <c r="E33" i="4" l="1"/>
  <c r="E34" i="4" s="1"/>
  <c r="E35" i="4" s="1"/>
  <c r="D34" i="4"/>
  <c r="D35" i="4" s="1"/>
  <c r="E2" i="4" l="1"/>
  <c r="C19" i="4" l="1"/>
  <c r="C20" i="4"/>
  <c r="C17" i="4"/>
  <c r="C18" i="4"/>
  <c r="C16" i="4"/>
  <c r="C21" i="4" l="1"/>
  <c r="C22" i="4" s="1"/>
  <c r="E3" i="4" l="1"/>
  <c r="D19" i="4" l="1"/>
  <c r="F19" i="4" s="1"/>
  <c r="D20" i="4"/>
  <c r="F20" i="4" s="1"/>
  <c r="D17" i="4"/>
  <c r="F17" i="4" s="1"/>
  <c r="D18" i="4"/>
  <c r="F18" i="4" s="1"/>
  <c r="D16" i="4"/>
  <c r="F16" i="4" s="1"/>
  <c r="D4" i="4"/>
  <c r="E4" i="4"/>
  <c r="D21" i="4" l="1"/>
  <c r="D22" i="4" s="1"/>
  <c r="F21" i="4"/>
  <c r="F22" i="4" s="1"/>
</calcChain>
</file>

<file path=xl/sharedStrings.xml><?xml version="1.0" encoding="utf-8"?>
<sst xmlns="http://schemas.openxmlformats.org/spreadsheetml/2006/main" count="3615" uniqueCount="914">
  <si>
    <t>Firewood</t>
  </si>
  <si>
    <t>Baseline survey</t>
  </si>
  <si>
    <t>LPG</t>
  </si>
  <si>
    <t>Unit</t>
  </si>
  <si>
    <t>CH4</t>
  </si>
  <si>
    <t>N2O</t>
  </si>
  <si>
    <t>Source</t>
  </si>
  <si>
    <t>IPCC</t>
  </si>
  <si>
    <t xml:space="preserve">BEb,y </t>
  </si>
  <si>
    <t>m3 CH4/kg VS</t>
  </si>
  <si>
    <t>Calculated</t>
  </si>
  <si>
    <t>%</t>
  </si>
  <si>
    <t>Parameter</t>
  </si>
  <si>
    <t>day</t>
  </si>
  <si>
    <t>Assumption</t>
  </si>
  <si>
    <t>Tonnes/day</t>
  </si>
  <si>
    <t>-</t>
  </si>
  <si>
    <t>EF non-CO2 LPG (t CO2eq/TJ)</t>
  </si>
  <si>
    <t>TJ/tonne</t>
  </si>
  <si>
    <t>tCO2e/yr</t>
  </si>
  <si>
    <t>dairy_cow</t>
  </si>
  <si>
    <t>t/m3</t>
  </si>
  <si>
    <t>Methodology</t>
  </si>
  <si>
    <t xml:space="preserve">GWPCH 4 </t>
  </si>
  <si>
    <t>tCO2e/tCH4</t>
  </si>
  <si>
    <t>Nos</t>
  </si>
  <si>
    <t>Total</t>
  </si>
  <si>
    <t>BEb,y  (Total)</t>
  </si>
  <si>
    <t>Baseline emission from manure management system</t>
  </si>
  <si>
    <t xml:space="preserve">Non CO2 emission calculation </t>
  </si>
  <si>
    <t>Project emission physical leakage</t>
  </si>
  <si>
    <t>Manure Management</t>
  </si>
  <si>
    <t>Baseline Emission (tCO2/hh/yr)</t>
  </si>
  <si>
    <t>Project Emission (tCO2/hh/yr)</t>
  </si>
  <si>
    <t>Year 1</t>
  </si>
  <si>
    <t>Year2</t>
  </si>
  <si>
    <t>Year 3</t>
  </si>
  <si>
    <t>Year 4</t>
  </si>
  <si>
    <t>Year 5</t>
  </si>
  <si>
    <t>No of Digestors</t>
  </si>
  <si>
    <t>Cumulative digesters</t>
  </si>
  <si>
    <t>Year</t>
  </si>
  <si>
    <t>Total (5 years)</t>
  </si>
  <si>
    <t>Average (5 year)</t>
  </si>
  <si>
    <t>Np,y</t>
  </si>
  <si>
    <t>Pb,y</t>
  </si>
  <si>
    <r>
      <t xml:space="preserve">f </t>
    </r>
    <r>
      <rPr>
        <sz val="11"/>
        <color theme="1"/>
        <rFont val="Calibri"/>
        <family val="2"/>
        <scheme val="minor"/>
      </rPr>
      <t>NRB,, y</t>
    </r>
  </si>
  <si>
    <t>NCVb,fuel</t>
  </si>
  <si>
    <r>
      <t xml:space="preserve">f </t>
    </r>
    <r>
      <rPr>
        <sz val="11"/>
        <color theme="1"/>
        <rFont val="Calibri"/>
        <family val="2"/>
        <scheme val="minor"/>
      </rPr>
      <t>NRB,, y</t>
    </r>
  </si>
  <si>
    <t xml:space="preserve">PEawms,h </t>
  </si>
  <si>
    <t>PEawms,h  (total)</t>
  </si>
  <si>
    <t>Up,y</t>
  </si>
  <si>
    <t>𝑆𝐸𝑏,𝑦,𝐶𝑂2</t>
  </si>
  <si>
    <t>𝑆𝐸𝑏,𝑦,non𝐶𝑂2</t>
  </si>
  <si>
    <t>EFb,f,CO2</t>
  </si>
  <si>
    <t>tCO2/TJ</t>
  </si>
  <si>
    <t>EFb,f,non-CO2</t>
  </si>
  <si>
    <t>tCO2/technology*day</t>
  </si>
  <si>
    <t>Percentage</t>
  </si>
  <si>
    <t xml:space="preserve">fNRB </t>
  </si>
  <si>
    <t xml:space="preserve">fNRB in % </t>
  </si>
  <si>
    <r>
      <t>Using FSR values (</t>
    </r>
    <r>
      <rPr>
        <b/>
        <sz val="12"/>
        <color indexed="8"/>
        <rFont val="Calibri"/>
        <family val="2"/>
      </rPr>
      <t>excluding</t>
    </r>
    <r>
      <rPr>
        <sz val="11"/>
        <color theme="1"/>
        <rFont val="Calibri"/>
        <family val="2"/>
        <scheme val="minor"/>
      </rPr>
      <t xml:space="preserve"> TIproject/forest and non-forest areas or which products or by-products are not available for meeting thermal uses as per AMS-I.E and AMS-II.G),  </t>
    </r>
    <r>
      <rPr>
        <b/>
        <sz val="12"/>
        <color indexed="8"/>
        <rFont val="Calibri"/>
        <family val="2"/>
      </rPr>
      <t xml:space="preserve">discounting protected areas </t>
    </r>
    <r>
      <rPr>
        <sz val="12"/>
        <color indexed="8"/>
        <rFont val="Calibri"/>
        <family val="2"/>
      </rPr>
      <t xml:space="preserve">(using PROTECTED PLANET data https://www.protectedplanet.net) </t>
    </r>
  </si>
  <si>
    <t xml:space="preserve">NRB </t>
  </si>
  <si>
    <t>NRB in ton/year</t>
  </si>
  <si>
    <r>
      <t>Using FSR values (</t>
    </r>
    <r>
      <rPr>
        <b/>
        <sz val="12"/>
        <color indexed="8"/>
        <rFont val="Calibri"/>
        <family val="2"/>
      </rPr>
      <t>excluding</t>
    </r>
    <r>
      <rPr>
        <sz val="12"/>
        <color indexed="8"/>
        <rFont val="Calibri"/>
        <family val="2"/>
      </rPr>
      <t xml:space="preserve"> TIproject/forest and non-forest areas or which products or by-products are not available for meeting thermal uses as per AMS-I.E and AMS-II.G),  </t>
    </r>
    <r>
      <rPr>
        <b/>
        <sz val="12"/>
        <color indexed="8"/>
        <rFont val="Calibri"/>
        <family val="2"/>
      </rPr>
      <t>discounting protected areas</t>
    </r>
    <r>
      <rPr>
        <sz val="12"/>
        <color indexed="8"/>
        <rFont val="Calibri"/>
        <family val="2"/>
      </rPr>
      <t xml:space="preserve"> (using PROTECTED PLANET data https://www.protectedplanet.net) </t>
    </r>
  </si>
  <si>
    <t>ASSUMPTIONS</t>
  </si>
  <si>
    <t xml:space="preserve">Value </t>
  </si>
  <si>
    <t xml:space="preserve">Data Unit </t>
  </si>
  <si>
    <t>Data Source</t>
  </si>
  <si>
    <t>m3</t>
  </si>
  <si>
    <t>t/year</t>
  </si>
  <si>
    <t xml:space="preserve">Calculated </t>
  </si>
  <si>
    <t>H (total annual consumption of wood (fuel + other)</t>
  </si>
  <si>
    <t xml:space="preserve">Overall consumption of woody biomass (H) in million ton </t>
  </si>
  <si>
    <t xml:space="preserve">Overall consumption of woody biomass (H) in ton/year </t>
  </si>
  <si>
    <t>EXTENT OF FOREST AND OTHER WOODED LAND</t>
  </si>
  <si>
    <t>ha</t>
  </si>
  <si>
    <t xml:space="preserve">Forest loss </t>
  </si>
  <si>
    <t>Forest in 1990</t>
  </si>
  <si>
    <t xml:space="preserve">Calculated  </t>
  </si>
  <si>
    <t xml:space="preserve">ha </t>
  </si>
  <si>
    <t>Annual forest loss</t>
  </si>
  <si>
    <t>Percentage forest vs all lands</t>
  </si>
  <si>
    <t>Other wooded land (in 1990)</t>
  </si>
  <si>
    <t>Annual other wooded land vs all lands</t>
  </si>
  <si>
    <t>Percentage wooded land vs other lands</t>
  </si>
  <si>
    <t>Other land (in 1990)</t>
  </si>
  <si>
    <t>Annual other land gain</t>
  </si>
  <si>
    <t>Percentage other land vs all lands</t>
  </si>
  <si>
    <t>Renewable Biomass (RB) in million t/year</t>
  </si>
  <si>
    <t>Renewable Biomass (RB) in t/year</t>
  </si>
  <si>
    <t>MAI</t>
  </si>
  <si>
    <t>MAI(forest)</t>
  </si>
  <si>
    <t>m3/ha/year</t>
  </si>
  <si>
    <t xml:space="preserve">Average value from closed forest (1.3 m3/ha/year), woodlands (0.64 m3/ha/year); and bushlands (0.44 m3/ha/year) since all are considered to have a canopy cover of at least 40%, hence are considered as forest as per Kenya's DNA forest definition (https://cdm.unfccc.int/DNA/index.html) 
Data Source: GTZ Eastern Africa Online Resource Base (https://energypedia.info/wiki/Biomass_Energy_Resources_in_Kenya) </t>
  </si>
  <si>
    <t xml:space="preserve">MAI(other wooded land) </t>
  </si>
  <si>
    <t xml:space="preserve">For other wooded lands the value for wooded grasslands (0.25 m3/ha/year) as indicated in 'Energypedia' is used. Wooded grasslands are described as areas with a 10-40% woody vegetation cover, hence predominantly fall under 'other wooded land' as per Kenya's DNA forest definition (https://cdm.unfccc.int/DNA/index.html); 
Data Source: GTZ Eastern Africa Online Resource Base (https://energypedia.info/wiki/Biomass_Energy_Resources_in_Kenya) </t>
  </si>
  <si>
    <t xml:space="preserve">MAI (other land) </t>
  </si>
  <si>
    <t xml:space="preserve">A MAI of 0.08 m3/ha/year has been assumed for 100% of other land. To take 100% of other lands is conservative, since only a certain proportion of other lands provide supply of woody biomass. The MAI of 0.08 m3/ha/year has been sourced from GTZ Eastern Africa Online Resource Base (https://energypedia.info/wiki/Biomass_Energy_Resources_in_Kenya) and is the one for grasslands. </t>
  </si>
  <si>
    <t>t/ha/year</t>
  </si>
  <si>
    <t>Calculated based on MAI value (m3/ha/year) and average density of 282 different tree species for tropical Africa (source: http://www.fao.org/3/W4095E/w4095e0c.htm) / See detailed Density list in worksheet 'fNRB tree densities'</t>
  </si>
  <si>
    <t>NON ACCESSIBLE AREAS (PROTECTED AREAS)</t>
  </si>
  <si>
    <r>
      <t>km</t>
    </r>
    <r>
      <rPr>
        <vertAlign val="superscript"/>
        <sz val="10"/>
        <rFont val="Verdana"/>
        <family val="2"/>
      </rPr>
      <t>2</t>
    </r>
  </si>
  <si>
    <t>Protected land areas of Kenya from Protected Planet Website, Kenya national website, download main dataset and add the "REP_AREA" column: https://www.protectedplanet.net/country/KE</t>
  </si>
  <si>
    <t>P(forest)</t>
  </si>
  <si>
    <t>P(other wooded land)</t>
  </si>
  <si>
    <t>P(other land)</t>
  </si>
  <si>
    <t>RB (Renewable biomass)</t>
  </si>
  <si>
    <t xml:space="preserve">GWP </t>
  </si>
  <si>
    <t>IPCC-VOL-1-CH-2</t>
  </si>
  <si>
    <t>IPCC-VOL-1-CH-1</t>
  </si>
  <si>
    <t>CALCULATED</t>
  </si>
  <si>
    <t>Charcoal</t>
  </si>
  <si>
    <r>
      <rPr>
        <b/>
        <sz val="11"/>
        <color theme="1"/>
        <rFont val="Calibri"/>
        <family val="2"/>
        <scheme val="minor"/>
      </rPr>
      <t>BE</t>
    </r>
    <r>
      <rPr>
        <sz val="11"/>
        <color theme="1"/>
        <rFont val="Calibri"/>
        <family val="2"/>
        <scheme val="minor"/>
      </rPr>
      <t>AWMS,y</t>
    </r>
  </si>
  <si>
    <r>
      <rPr>
        <b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>b,p,y</t>
    </r>
  </si>
  <si>
    <r>
      <rPr>
        <b/>
        <sz val="11"/>
        <color theme="1"/>
        <rFont val="Calibri"/>
        <family val="2"/>
        <scheme val="minor"/>
      </rPr>
      <t>UF</t>
    </r>
    <r>
      <rPr>
        <sz val="11"/>
        <color theme="1"/>
        <rFont val="Calibri"/>
        <family val="2"/>
        <scheme val="minor"/>
      </rPr>
      <t>b</t>
    </r>
  </si>
  <si>
    <r>
      <rPr>
        <b/>
        <sz val="11"/>
        <color theme="1"/>
        <rFont val="Calibri"/>
        <family val="2"/>
        <scheme val="minor"/>
      </rPr>
      <t>U</t>
    </r>
    <r>
      <rPr>
        <sz val="11"/>
        <color theme="1"/>
        <rFont val="Calibri"/>
        <family val="2"/>
        <scheme val="minor"/>
      </rPr>
      <t>p,y</t>
    </r>
  </si>
  <si>
    <r>
      <rPr>
        <b/>
        <sz val="11"/>
        <color theme="1"/>
        <rFont val="Calibri"/>
        <family val="2"/>
        <scheme val="minor"/>
      </rPr>
      <t>GWP</t>
    </r>
    <r>
      <rPr>
        <sz val="11"/>
        <color theme="1"/>
        <rFont val="Calibri"/>
        <family val="2"/>
        <scheme val="minor"/>
      </rPr>
      <t>CH4</t>
    </r>
  </si>
  <si>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>CH4</t>
    </r>
  </si>
  <si>
    <r>
      <rPr>
        <b/>
        <sz val="11"/>
        <color theme="1"/>
        <rFont val="Calibri"/>
        <family val="2"/>
        <scheme val="minor"/>
      </rPr>
      <t>BO</t>
    </r>
    <r>
      <rPr>
        <sz val="11"/>
        <color theme="1"/>
        <rFont val="Calibri"/>
        <family val="2"/>
        <scheme val="minor"/>
      </rPr>
      <t>,LT</t>
    </r>
  </si>
  <si>
    <t>m3 CH4/kg-dm</t>
  </si>
  <si>
    <r>
      <rPr>
        <b/>
        <sz val="11"/>
        <color theme="1"/>
        <rFont val="Calibri"/>
        <family val="2"/>
        <scheme val="minor"/>
      </rPr>
      <t>NLT</t>
    </r>
    <r>
      <rPr>
        <sz val="11"/>
        <color theme="1"/>
        <rFont val="Calibri"/>
        <family val="2"/>
        <scheme val="minor"/>
      </rPr>
      <t>,y</t>
    </r>
  </si>
  <si>
    <r>
      <rPr>
        <b/>
        <sz val="11"/>
        <color theme="1"/>
        <rFont val="Calibri"/>
        <family val="2"/>
        <scheme val="minor"/>
      </rPr>
      <t>VS</t>
    </r>
    <r>
      <rPr>
        <sz val="11"/>
        <color theme="1"/>
        <rFont val="Calibri"/>
        <family val="2"/>
        <scheme val="minor"/>
      </rPr>
      <t>LT,y</t>
    </r>
  </si>
  <si>
    <t>kg-dm/animal/day</t>
  </si>
  <si>
    <t xml:space="preserve">https://www.goldstandard.org/project-developers/standard-documents </t>
  </si>
  <si>
    <t>Market_Swine</t>
  </si>
  <si>
    <t>Assumptions</t>
  </si>
  <si>
    <t>Baseline Survey</t>
  </si>
  <si>
    <t>Calculated as per IPCC default value</t>
  </si>
  <si>
    <t>Market Swine</t>
  </si>
  <si>
    <t>BoLT,y</t>
  </si>
  <si>
    <t>VSLT,y</t>
  </si>
  <si>
    <t>MS%,i,y</t>
  </si>
  <si>
    <t>NLT,y</t>
  </si>
  <si>
    <t>DCH4</t>
  </si>
  <si>
    <t>𝑆𝐸p,𝑦,𝐶𝑂2</t>
  </si>
  <si>
    <t>𝑆𝐸p,𝑦,non𝐶𝑂2</t>
  </si>
  <si>
    <t>Project emission from thermal application</t>
  </si>
  <si>
    <t>Assumption (5% of baseline consumption)</t>
  </si>
  <si>
    <t>kg dry matter/head/year</t>
  </si>
  <si>
    <t>Baseline emission from thermal application</t>
  </si>
  <si>
    <t>Thermal Application</t>
  </si>
  <si>
    <t>Tropical Africa</t>
  </si>
  <si>
    <t>Densities (t/m3)</t>
  </si>
  <si>
    <t>Data Source: http://www.fao.org/3/W4095E/w4095e0c.htm</t>
  </si>
  <si>
    <t>Afzelia bipindensis</t>
  </si>
  <si>
    <t>Afzelia pachyloba</t>
  </si>
  <si>
    <t>Afzelia spp.</t>
  </si>
  <si>
    <t>Aidia ochroleuca</t>
  </si>
  <si>
    <t>Albizia ferruginea</t>
  </si>
  <si>
    <t>Albizia glaberrima</t>
  </si>
  <si>
    <t>Albizia gummifera</t>
  </si>
  <si>
    <t>Albizia spp.</t>
  </si>
  <si>
    <t>Albizia zygia</t>
  </si>
  <si>
    <t>Allanblackia floribunda</t>
  </si>
  <si>
    <t>Allophyllus africanus f. acuminatus</t>
  </si>
  <si>
    <t>Alstonia congensis</t>
  </si>
  <si>
    <t>Amphimas ferrugineus</t>
  </si>
  <si>
    <t>Amphimas pterocarpoides</t>
  </si>
  <si>
    <t>Anisophyllea obtusifolia</t>
  </si>
  <si>
    <t>Annonidium mannii</t>
  </si>
  <si>
    <t>Anopyxis klaineana</t>
  </si>
  <si>
    <t>Anthocleista keniensis</t>
  </si>
  <si>
    <t>Anthonotha macrophylla</t>
  </si>
  <si>
    <t>Anthostemma aubryanum</t>
  </si>
  <si>
    <t>Antiaris africana</t>
  </si>
  <si>
    <t>Antiaris spp.</t>
  </si>
  <si>
    <t>Antrocaryon klaineanum</t>
  </si>
  <si>
    <t>Aucoumea klaineana</t>
  </si>
  <si>
    <t>Autranella congolensis</t>
  </si>
  <si>
    <t>Baillonella toxisperma</t>
  </si>
  <si>
    <t>Balanites aegyptiaca</t>
  </si>
  <si>
    <t>Baphia kirkii</t>
  </si>
  <si>
    <t>Beilschmiedia corbisieri</t>
  </si>
  <si>
    <t>Beilschmiedia diversiflora</t>
  </si>
  <si>
    <t>Beilschmiedia kweo</t>
  </si>
  <si>
    <t>Beilschmiedia louisii</t>
  </si>
  <si>
    <t>Beilschmiedia membranifolia</t>
  </si>
  <si>
    <t>Beilschmiedia nitida</t>
  </si>
  <si>
    <t>Berlinia bracteosa</t>
  </si>
  <si>
    <t>Berlinia confusa</t>
  </si>
  <si>
    <t>Berlinia spp.</t>
  </si>
  <si>
    <t>Blighia welwitschii</t>
  </si>
  <si>
    <t>Bombax buonopozense</t>
  </si>
  <si>
    <t>Bombax chevalieri</t>
  </si>
  <si>
    <t>Bombax rhodognaphalon</t>
  </si>
  <si>
    <t>Bombax spp.</t>
  </si>
  <si>
    <t>Brachystegia cynometroides</t>
  </si>
  <si>
    <t>Brachystegia laurentii</t>
  </si>
  <si>
    <t>Brachystegia mildbraedii</t>
  </si>
  <si>
    <t>Brachystegia spp.</t>
  </si>
  <si>
    <t>Bridelia grandis</t>
  </si>
  <si>
    <t>Bridelia micrantha</t>
  </si>
  <si>
    <t>Calpocalyx heitzii</t>
  </si>
  <si>
    <t>Calpocalyx klainei</t>
  </si>
  <si>
    <t>Canarium schweinfurthii</t>
  </si>
  <si>
    <t>Canthium rubrocostratum</t>
  </si>
  <si>
    <t>Carapa procera</t>
  </si>
  <si>
    <t>Casearia battiscombei</t>
  </si>
  <si>
    <t>Cassipourea euryoides</t>
  </si>
  <si>
    <t>Cassipourea malosana</t>
  </si>
  <si>
    <t>Ceiba pentandra</t>
  </si>
  <si>
    <t>Celtis brieyi</t>
  </si>
  <si>
    <t>Celtis mildbraedii</t>
  </si>
  <si>
    <t>Celtis spp.</t>
  </si>
  <si>
    <t>Celtis zenkeri</t>
  </si>
  <si>
    <t>Chlorophora excelsa</t>
  </si>
  <si>
    <t>Chrysophyllum albidum</t>
  </si>
  <si>
    <t>Cleistanthus mildbraedii</t>
  </si>
  <si>
    <t>Cleistopholis patens</t>
  </si>
  <si>
    <t>Coelocaryon preussii</t>
  </si>
  <si>
    <t>Cola cordifolia</t>
  </si>
  <si>
    <t>Cola gigantea</t>
  </si>
  <si>
    <t>Cola gigantea var. glabrescens</t>
  </si>
  <si>
    <t>Cola natalensis</t>
  </si>
  <si>
    <t>Cola sp.</t>
  </si>
  <si>
    <t>Combretodendron macrocarpum</t>
  </si>
  <si>
    <t>Conopharyngia holstii</t>
  </si>
  <si>
    <r>
      <t>Copaifera</t>
    </r>
    <r>
      <rPr>
        <sz val="10"/>
        <color indexed="8"/>
        <rFont val="Arial"/>
        <family val="2"/>
      </rPr>
      <t> </t>
    </r>
    <r>
      <rPr>
        <i/>
        <sz val="10"/>
        <color indexed="8"/>
        <rFont val="Arial"/>
        <family val="2"/>
      </rPr>
      <t>mildbraedii</t>
    </r>
  </si>
  <si>
    <r>
      <t>Copaifera</t>
    </r>
    <r>
      <rPr>
        <sz val="10"/>
        <color indexed="8"/>
        <rFont val="Arial"/>
        <family val="2"/>
      </rPr>
      <t> </t>
    </r>
    <r>
      <rPr>
        <i/>
        <sz val="10"/>
        <color indexed="8"/>
        <rFont val="Arial"/>
        <family val="2"/>
      </rPr>
      <t>religiosa</t>
    </r>
  </si>
  <si>
    <t>Cordia africana</t>
  </si>
  <si>
    <t>Cordia millenii</t>
  </si>
  <si>
    <t>Cordia platythyrsa</t>
  </si>
  <si>
    <t>Corynanthe gabonensis</t>
  </si>
  <si>
    <t>Corynanthe pachyceras</t>
  </si>
  <si>
    <t>Coula edulis</t>
  </si>
  <si>
    <t>Croton macrostachyus</t>
  </si>
  <si>
    <t>Croton megalocarpus</t>
  </si>
  <si>
    <t>Cryptosepalum staudtii</t>
  </si>
  <si>
    <t>Ctenolophon englerianus</t>
  </si>
  <si>
    <t>Cylicodiscus gabonensis</t>
  </si>
  <si>
    <t>Cynometra alexandri</t>
  </si>
  <si>
    <t>Dacryodes buettneri</t>
  </si>
  <si>
    <t>Dacryodes edulis</t>
  </si>
  <si>
    <t>Dacryodes igaganga</t>
  </si>
  <si>
    <t>Dacryodes klaineana</t>
  </si>
  <si>
    <t>Dacryodes le-testui</t>
  </si>
  <si>
    <t>Dacryodes normandii</t>
  </si>
  <si>
    <t>Dacryodes spp.</t>
  </si>
  <si>
    <t>Daniellia klainei</t>
  </si>
  <si>
    <t>Daniellia ogea</t>
  </si>
  <si>
    <t>Daniellia soyauxii</t>
  </si>
  <si>
    <t>Desbordesia pierreana</t>
  </si>
  <si>
    <t>Detarium senegalensis</t>
  </si>
  <si>
    <t>Dialium bipindense</t>
  </si>
  <si>
    <t>Dialium dinklagei</t>
  </si>
  <si>
    <t>Dialium excelsum</t>
  </si>
  <si>
    <t>Didelotia africana</t>
  </si>
  <si>
    <t>Didelotia brevipaniculata</t>
  </si>
  <si>
    <t>Didelotia letouzeyi</t>
  </si>
  <si>
    <t>Diospyros kamerunensis</t>
  </si>
  <si>
    <t>Diospyros spp.</t>
  </si>
  <si>
    <t>Discoglypremna caloneura</t>
  </si>
  <si>
    <t>Distemonanthus benthamianus</t>
  </si>
  <si>
    <t>Drypetes gossweilleri</t>
  </si>
  <si>
    <t>Drypetes sp.</t>
  </si>
  <si>
    <t>Ehretia acuminata</t>
  </si>
  <si>
    <t>Enantia chlorantha</t>
  </si>
  <si>
    <t>Endodesmia calophylloides</t>
  </si>
  <si>
    <t>Entandrophragma angolensis</t>
  </si>
  <si>
    <t>Entandrophragma candollei</t>
  </si>
  <si>
    <t>Entandrophragma cylindricum</t>
  </si>
  <si>
    <t>Entandrophragma utile</t>
  </si>
  <si>
    <t>Eribroma oblongum</t>
  </si>
  <si>
    <t>Eriocoelum microspermum</t>
  </si>
  <si>
    <t>Erismadelphus exsul</t>
  </si>
  <si>
    <t>Erythrina vogelii</t>
  </si>
  <si>
    <t>Erythrophleum ivorense</t>
  </si>
  <si>
    <t>Erythroxylum mannii</t>
  </si>
  <si>
    <t>Fagara heitzii</t>
  </si>
  <si>
    <t>Fagara macrophylla</t>
  </si>
  <si>
    <t>Ficus iteophylla</t>
  </si>
  <si>
    <t>Ficus mucuso</t>
  </si>
  <si>
    <t>Funtumia africana</t>
  </si>
  <si>
    <t>Fumtumia latifolia</t>
  </si>
  <si>
    <t>Gambeya africana</t>
  </si>
  <si>
    <t>Gambeya lacourtiana</t>
  </si>
  <si>
    <t>Gambeya madagascariensis</t>
  </si>
  <si>
    <t>Gambeya spp.</t>
  </si>
  <si>
    <t>Garcinia gerardii</t>
  </si>
  <si>
    <t>Garcinia mannii</t>
  </si>
  <si>
    <t>Garcinia punctata</t>
  </si>
  <si>
    <t>Gilbertiodendron dewevrei</t>
  </si>
  <si>
    <t>Gilbertiodendron grandiflorum</t>
  </si>
  <si>
    <t>Gilbertiodendron mayombense</t>
  </si>
  <si>
    <t>Gilletiodendron mildbraedii</t>
  </si>
  <si>
    <t>Gossweilerodendron balsamiferum</t>
  </si>
  <si>
    <t>Guarea cedrata</t>
  </si>
  <si>
    <t>Guarea laurentii</t>
  </si>
  <si>
    <t>Guarea thompsonii</t>
  </si>
  <si>
    <t>Guibourtia arnoldiana</t>
  </si>
  <si>
    <t>Guibourtia demeusei</t>
  </si>
  <si>
    <t>Guibourtia ehie</t>
  </si>
  <si>
    <t>Guibourtia pellegriniana</t>
  </si>
  <si>
    <t>Guibourtia spp.</t>
  </si>
  <si>
    <t>Guibourtia tessmannii</t>
  </si>
  <si>
    <t>Hannoa klaineana</t>
  </si>
  <si>
    <t>Harungana madagascariensis</t>
  </si>
  <si>
    <t>Hexalobus crispiflorus</t>
  </si>
  <si>
    <t>Holoptelea grandis</t>
  </si>
  <si>
    <t>Homalium letestui</t>
  </si>
  <si>
    <t>Homalium spp.</t>
  </si>
  <si>
    <t>Hylodendron gabonense</t>
  </si>
  <si>
    <t>Hymenostegia afzelii</t>
  </si>
  <si>
    <t>Hymenostegia pellegrini</t>
  </si>
  <si>
    <t>Irvingia gabonensis</t>
  </si>
  <si>
    <t>Irvingia grandifolia</t>
  </si>
  <si>
    <t>Julbernardia globiflora</t>
  </si>
  <si>
    <t>Khaya grandifoliola</t>
  </si>
  <si>
    <t>Khaya ivorensis</t>
  </si>
  <si>
    <t>Khaya senegalensis</t>
  </si>
  <si>
    <t>Klainedoxa gabonensis</t>
  </si>
  <si>
    <t>Lannea welwitschii</t>
  </si>
  <si>
    <t>Lecomtedoxa klaineana</t>
  </si>
  <si>
    <t>Letestua durissima</t>
  </si>
  <si>
    <t>Lophira alata</t>
  </si>
  <si>
    <t>Lovoa trichilioides</t>
  </si>
  <si>
    <t>Macaranga conglomerata</t>
  </si>
  <si>
    <t>Macaranga kilimandscharica</t>
  </si>
  <si>
    <t>Maesopsis eminii</t>
  </si>
  <si>
    <t>Malacantha sp. aff. alnifolia</t>
  </si>
  <si>
    <t>Mammea africana</t>
  </si>
  <si>
    <t>Manilkara cuneifolia</t>
  </si>
  <si>
    <t>Manilkara lacera</t>
  </si>
  <si>
    <t>Markhamia hildebrandtii</t>
  </si>
  <si>
    <t>Markhamia platycalyx</t>
  </si>
  <si>
    <t>Memecylon capitellatum</t>
  </si>
  <si>
    <t>Microberlinia bisulcata</t>
  </si>
  <si>
    <t>Microberlinia brazzavillensis</t>
  </si>
  <si>
    <t>Microcos coriaceus</t>
  </si>
  <si>
    <t>Milletia laurentii</t>
  </si>
  <si>
    <t>Milletia spp.</t>
  </si>
  <si>
    <t>Mitragyna ciliata</t>
  </si>
  <si>
    <t>Mitragyna stipulosa</t>
  </si>
  <si>
    <t>Monopetalanthus coriaceus</t>
  </si>
  <si>
    <t>Monopetalanthus durandii</t>
  </si>
  <si>
    <t>Monopetalanthus heitzii</t>
  </si>
  <si>
    <t>Monopetalanthus letestui</t>
  </si>
  <si>
    <t>Monopetalanthus pellegrinii</t>
  </si>
  <si>
    <t>Musanga cecropioides</t>
  </si>
  <si>
    <t>Nauclea diderrichii</t>
  </si>
  <si>
    <t>Neopoutonia macrocalyx</t>
  </si>
  <si>
    <t>Nesogordonia fouassieri</t>
  </si>
  <si>
    <t>Nesogordonia papaverifera</t>
  </si>
  <si>
    <t>Newtonia buchananii</t>
  </si>
  <si>
    <t>Newtonia glandulifera</t>
  </si>
  <si>
    <t>Ochtocosmus africanus</t>
  </si>
  <si>
    <t>Odyendea gabonensis</t>
  </si>
  <si>
    <t>Odyendea spp.</t>
  </si>
  <si>
    <t>Oldfieldia africana</t>
  </si>
  <si>
    <t>Ongokea gore</t>
  </si>
  <si>
    <t>Oxystigma oxyphyllum</t>
  </si>
  <si>
    <t>Pachyelasma tessmannii</t>
  </si>
  <si>
    <t>Pachypodanthium confine</t>
  </si>
  <si>
    <t>Pachypodanthium staudtii</t>
  </si>
  <si>
    <t>Paraberlinia bifoliolata</t>
  </si>
  <si>
    <t>Parinari excelsa</t>
  </si>
  <si>
    <t>Parinari glabra</t>
  </si>
  <si>
    <t>Parinari goetzeniana</t>
  </si>
  <si>
    <t>Parkia bicolor</t>
  </si>
  <si>
    <t>Pausinystalia brachythyrsa</t>
  </si>
  <si>
    <t>Pausinystalia cf. talbotii</t>
  </si>
  <si>
    <t>Pentaclethra eetveldeana</t>
  </si>
  <si>
    <t>Pentaclethra macrophylla</t>
  </si>
  <si>
    <t>Pentadesma butyracea</t>
  </si>
  <si>
    <t>Phyllanthus discoideus</t>
  </si>
  <si>
    <t>Pierreodendron africanum</t>
  </si>
  <si>
    <t>Piptadenia gabunensis</t>
  </si>
  <si>
    <t>Piptadeniastrum africanum</t>
  </si>
  <si>
    <t>Plagiostyles africana</t>
  </si>
  <si>
    <t>Poga oleosa</t>
  </si>
  <si>
    <t>Polyalthia suaveolens</t>
  </si>
  <si>
    <t>Premna angolensis</t>
  </si>
  <si>
    <t>Pteleopsis hylodendron</t>
  </si>
  <si>
    <t>Pterocarpus angolensis</t>
  </si>
  <si>
    <t>Pterocarpus soyauxii</t>
  </si>
  <si>
    <t>Pterygota bequaertii</t>
  </si>
  <si>
    <t>Pterygota spp.</t>
  </si>
  <si>
    <t>Pycnanthus angolensis</t>
  </si>
  <si>
    <t>Randia cladantha</t>
  </si>
  <si>
    <t>Rauwolfia macrophylla</t>
  </si>
  <si>
    <t>Ricinodendron heudelotii</t>
  </si>
  <si>
    <t>Saccoglottis gabonensis</t>
  </si>
  <si>
    <t>Santiria trimera</t>
  </si>
  <si>
    <t>Sapium ellipticum</t>
  </si>
  <si>
    <t>Schrebera arborea</t>
  </si>
  <si>
    <t>Sclorodophloeus zenkeri</t>
  </si>
  <si>
    <t>Scottellia chevalieri</t>
  </si>
  <si>
    <t>Scottellia coriacea</t>
  </si>
  <si>
    <t>Scyphocephalium ochocoa</t>
  </si>
  <si>
    <t>Scytopetalum tieghemii</t>
  </si>
  <si>
    <t>Sindoropsis letestui</t>
  </si>
  <si>
    <t>Staudtia stipitata</t>
  </si>
  <si>
    <t>Stemonocoleus micranthus</t>
  </si>
  <si>
    <t>Sterculia oblonga</t>
  </si>
  <si>
    <t>Sterculia rhinopetala</t>
  </si>
  <si>
    <t>Strephonema pseudocola</t>
  </si>
  <si>
    <t>Strombosia glaucescens</t>
  </si>
  <si>
    <t>Strombosia grandifolia</t>
  </si>
  <si>
    <t>Strombosiopsis tetrandra</t>
  </si>
  <si>
    <t>Swartzia fistuloides</t>
  </si>
  <si>
    <t>Symphonia globulifera</t>
  </si>
  <si>
    <t>Syzygium cordatum</t>
  </si>
  <si>
    <t>Tarrietia densiflora</t>
  </si>
  <si>
    <t>Tarrietia utilis</t>
  </si>
  <si>
    <t>Terminalia superba</t>
  </si>
  <si>
    <t>Tessmania africana</t>
  </si>
  <si>
    <t>Testulea gabonensis</t>
  </si>
  <si>
    <t>Tetraberlinia bifoliolata</t>
  </si>
  <si>
    <t>Tetraberlinia tubmaniana</t>
  </si>
  <si>
    <t>Tetrapleura tetraptera</t>
  </si>
  <si>
    <t>Tieghemella africana</t>
  </si>
  <si>
    <t>Tieghemella heckelii</t>
  </si>
  <si>
    <t>Trema guineensis</t>
  </si>
  <si>
    <t>Trema sp.</t>
  </si>
  <si>
    <t>Trichilia heudelotii</t>
  </si>
  <si>
    <t>Trichilia prieureana</t>
  </si>
  <si>
    <t>Trichoscypha arborea</t>
  </si>
  <si>
    <t>Triplochiton scleroxylon</t>
  </si>
  <si>
    <t>Uapaca spp.</t>
  </si>
  <si>
    <t>Vepris undulata</t>
  </si>
  <si>
    <t>Vitex doniana</t>
  </si>
  <si>
    <t>Xylopia aethiopica</t>
  </si>
  <si>
    <t>Xylopia chrysophylla</t>
  </si>
  <si>
    <t>Xylopia hypolambra</t>
  </si>
  <si>
    <t>Xylopia quintasii</t>
  </si>
  <si>
    <t>Xylopia staudtii</t>
  </si>
  <si>
    <t xml:space="preserve">AVERAGE </t>
  </si>
  <si>
    <t>Ratio</t>
  </si>
  <si>
    <t>Details</t>
  </si>
  <si>
    <t>Value</t>
  </si>
  <si>
    <t>Reference</t>
  </si>
  <si>
    <t xml:space="preserve">Overall efficiency of biogas burners </t>
  </si>
  <si>
    <t>Stove Manufacturer specification</t>
  </si>
  <si>
    <t>Calorific Value of biogas</t>
  </si>
  <si>
    <t>MJ/m3</t>
  </si>
  <si>
    <t>m3/hr</t>
  </si>
  <si>
    <t>m3/s</t>
  </si>
  <si>
    <t>Thermal Energy output rating of the biogas stove</t>
  </si>
  <si>
    <t>MW</t>
  </si>
  <si>
    <t>Number of stoves</t>
  </si>
  <si>
    <t>Total thermal Energy output by the project</t>
  </si>
  <si>
    <t>MWth</t>
  </si>
  <si>
    <t>EF (kg /TJ) LPG</t>
  </si>
  <si>
    <t>𝑃𝑝,𝑖,𝑦</t>
  </si>
  <si>
    <t>𝑁𝐶𝑉𝑝,𝑖,𝑓𝑢𝑒𝑙</t>
  </si>
  <si>
    <t>𝐸𝐹𝑝,𝑖,𝑓𝑢𝑒𝑙,𝐶𝑂2</t>
  </si>
  <si>
    <t>𝐸𝐹𝑝,𝑖,𝑓𝑢𝑒𝑙,𝑛𝑜𝑛−𝐶𝑂2</t>
  </si>
  <si>
    <t>𝑃𝐸𝑦</t>
  </si>
  <si>
    <t>𝑃𝐸𝑦  (Total)</t>
  </si>
  <si>
    <t>Nb,p,y</t>
  </si>
  <si>
    <t>Total Emission Reduction (tCO2/hh/yr)</t>
  </si>
  <si>
    <t>Rate of biogas discharge</t>
  </si>
  <si>
    <t>Firewood saving</t>
  </si>
  <si>
    <t>Charcoal in terms of Firewood</t>
  </si>
  <si>
    <t xml:space="preserve">VSrate,LT  KG VS </t>
  </si>
  <si>
    <t>TAMLT (kg)</t>
  </si>
  <si>
    <t>kg</t>
  </si>
  <si>
    <t>ndy (year)</t>
  </si>
  <si>
    <t>year</t>
  </si>
  <si>
    <t>KG VS (1000 KG ANIMAL MASS)-1 DAY-1</t>
  </si>
  <si>
    <t>https://www.ipcc-nggip.iges.or.jp/public/2019rf/pdf/4_Volume4/19R_V4_Ch10_Livestock.pdf</t>
  </si>
  <si>
    <t>Uncovered slurry</t>
  </si>
  <si>
    <t>Directly applied in field</t>
  </si>
  <si>
    <t>NAME</t>
  </si>
  <si>
    <t>GENDER</t>
  </si>
  <si>
    <t>PHONE</t>
  </si>
  <si>
    <t xml:space="preserve">COUNTY </t>
  </si>
  <si>
    <t>WARD</t>
  </si>
  <si>
    <t>FAMILY SIZE</t>
  </si>
  <si>
    <t xml:space="preserve">Primary stove used </t>
  </si>
  <si>
    <t xml:space="preserve">Secondary stove used </t>
  </si>
  <si>
    <t xml:space="preserve">Other stove used </t>
  </si>
  <si>
    <t>Place of cooking</t>
  </si>
  <si>
    <t>Charcoal Kgs/day</t>
  </si>
  <si>
    <t>Total average cooking hrs</t>
  </si>
  <si>
    <t>Time taken for fuel Firewood collection(Hours)</t>
  </si>
  <si>
    <t>Distance (Kms)travvelled to collect fuel Firewood</t>
  </si>
  <si>
    <t>No. of cows</t>
  </si>
  <si>
    <t>No. of pigs</t>
  </si>
  <si>
    <t>Others</t>
  </si>
  <si>
    <t>time spent in shed (HRS)</t>
  </si>
  <si>
    <t>amount of dung collected-buckets</t>
  </si>
  <si>
    <t>Dung bucket equivalent in Kgs</t>
  </si>
  <si>
    <t>handling of the dung</t>
  </si>
  <si>
    <t>Depth/height of pit(metres)</t>
  </si>
  <si>
    <t>how often the pit/heap cleared</t>
  </si>
  <si>
    <t>condition of the dung storage</t>
  </si>
  <si>
    <t>Justus Nyaga</t>
  </si>
  <si>
    <t>M</t>
  </si>
  <si>
    <t>Embu</t>
  </si>
  <si>
    <t>Ruguru ngandori</t>
  </si>
  <si>
    <t>None</t>
  </si>
  <si>
    <t>Indoor</t>
  </si>
  <si>
    <t xml:space="preserve"> Stored in pit</t>
  </si>
  <si>
    <t>Quarterly</t>
  </si>
  <si>
    <t xml:space="preserve">David Musangi </t>
  </si>
  <si>
    <t>Gaturi North</t>
  </si>
  <si>
    <t>0.2 km</t>
  </si>
  <si>
    <t>Stored as heap</t>
  </si>
  <si>
    <t>Monthly</t>
  </si>
  <si>
    <t>John Ireri</t>
  </si>
  <si>
    <t>1 km</t>
  </si>
  <si>
    <t>Nicoleta Wanjovi Rutere</t>
  </si>
  <si>
    <t>F</t>
  </si>
  <si>
    <t>Nginda</t>
  </si>
  <si>
    <t>0.5kms</t>
  </si>
  <si>
    <t>Irene  Wanjiru  Njue</t>
  </si>
  <si>
    <t>Stored in pit</t>
  </si>
  <si>
    <t>Justa Wawira</t>
  </si>
  <si>
    <t>Kirimari</t>
  </si>
  <si>
    <t xml:space="preserve"> Stored as heap</t>
  </si>
  <si>
    <t>Bi-annually</t>
  </si>
  <si>
    <t>Jacinta  Wanjiru  Muturi</t>
  </si>
  <si>
    <t>0.2Kms</t>
  </si>
  <si>
    <t>Rarely</t>
  </si>
  <si>
    <t>Augustino Muchira Nguo</t>
  </si>
  <si>
    <t>Rosemercy Wanjiku</t>
  </si>
  <si>
    <t>Indoor/open</t>
  </si>
  <si>
    <t>Lucy Warue</t>
  </si>
  <si>
    <t>Jacinta Kirigi Munyi</t>
  </si>
  <si>
    <t>Doris Ruguru</t>
  </si>
  <si>
    <t>2 km</t>
  </si>
  <si>
    <t>Virginia Karimi  Nthiga</t>
  </si>
  <si>
    <t>Peninah Mukami</t>
  </si>
  <si>
    <t>EMBU</t>
  </si>
  <si>
    <t>Venacia  Wanjira</t>
  </si>
  <si>
    <t>0.2kms</t>
  </si>
  <si>
    <t>Josephine Wawira William</t>
  </si>
  <si>
    <t>2.5kms</t>
  </si>
  <si>
    <t>Agnes Nyaga</t>
  </si>
  <si>
    <t>Kaagari Northwest</t>
  </si>
  <si>
    <t>Felister Wambeti Robert</t>
  </si>
  <si>
    <t>Mercy Marigu</t>
  </si>
  <si>
    <t>0.5 km</t>
  </si>
  <si>
    <t>Judy Wanja</t>
  </si>
  <si>
    <t>2.5 km</t>
  </si>
  <si>
    <t>Juliet Njagi</t>
  </si>
  <si>
    <t>0.2km</t>
  </si>
  <si>
    <t xml:space="preserve">Naomi  Igoki </t>
  </si>
  <si>
    <t>5kms</t>
  </si>
  <si>
    <t>Charles Njue</t>
  </si>
  <si>
    <t>Kaagari North</t>
  </si>
  <si>
    <t>Dorothy W Kirima</t>
  </si>
  <si>
    <t>Peter Kariuki</t>
  </si>
  <si>
    <t>Wickliff Gitonga Njeru</t>
  </si>
  <si>
    <t>Nicholas Mugambi</t>
  </si>
  <si>
    <t>Stanley Nyaga</t>
  </si>
  <si>
    <t>Phylis  Gitiri  Njeru</t>
  </si>
  <si>
    <t>Bernard  Ireri</t>
  </si>
  <si>
    <t>John Nyaga Njau</t>
  </si>
  <si>
    <t>Monica Wamba Amon</t>
  </si>
  <si>
    <t>3kms</t>
  </si>
  <si>
    <t>Jane Wawira Mugo</t>
  </si>
  <si>
    <t>George Kariuki Matunda</t>
  </si>
  <si>
    <t>John Njeru Njuneri</t>
  </si>
  <si>
    <t>Rose Joy Kajuju</t>
  </si>
  <si>
    <t>Michael  Njagi Njeru</t>
  </si>
  <si>
    <t>Fancis  Muchangi Nyaga</t>
  </si>
  <si>
    <t>10kms</t>
  </si>
  <si>
    <t xml:space="preserve">John Fundi  Nyaga </t>
  </si>
  <si>
    <t>Francis Nyaga</t>
  </si>
  <si>
    <t>Kaagari Norhwest</t>
  </si>
  <si>
    <t>0.4kms</t>
  </si>
  <si>
    <t>Josepnine Marigu Nyaga</t>
  </si>
  <si>
    <t>Benson Gicovi</t>
  </si>
  <si>
    <t>Margaret Wanjiru</t>
  </si>
  <si>
    <t>0.3 km</t>
  </si>
  <si>
    <t>Augustino Gicovi Kariuki</t>
  </si>
  <si>
    <t>Lawrence Mwaniki</t>
  </si>
  <si>
    <t>1.5kms</t>
  </si>
  <si>
    <t>Madrine Nthiga</t>
  </si>
  <si>
    <t>Rosemary Wanjira Maina</t>
  </si>
  <si>
    <t xml:space="preserve">Morrison Murithi </t>
  </si>
  <si>
    <t>Yearly</t>
  </si>
  <si>
    <t>Criteria</t>
  </si>
  <si>
    <t>Irene Njeri Njue</t>
  </si>
  <si>
    <t>Sabina Wanjovi Samuel</t>
  </si>
  <si>
    <t>Stephen Kaguru</t>
  </si>
  <si>
    <t>Kiambu</t>
  </si>
  <si>
    <t>Kabuteti</t>
  </si>
  <si>
    <t>chicken</t>
  </si>
  <si>
    <t>Mary Njoki</t>
  </si>
  <si>
    <t>Elizabeth Wanjiru</t>
  </si>
  <si>
    <t>Nyanduma</t>
  </si>
  <si>
    <t>Jacinta Wangui</t>
  </si>
  <si>
    <t>semi-open</t>
  </si>
  <si>
    <t>Elizabeth mwihaki</t>
  </si>
  <si>
    <t>Bibirioni</t>
  </si>
  <si>
    <t>Stephen Njoroge</t>
  </si>
  <si>
    <t>Rose Nyokabi</t>
  </si>
  <si>
    <t>Chicken</t>
  </si>
  <si>
    <t>Veronicah Wanjiru</t>
  </si>
  <si>
    <t>Nyathuna</t>
  </si>
  <si>
    <t>Lucy Kabura</t>
  </si>
  <si>
    <t>Pauline Wangari</t>
  </si>
  <si>
    <t>Grace Muthoni</t>
  </si>
  <si>
    <t>Salome Nyambura</t>
  </si>
  <si>
    <t>Jackline Muthoni</t>
  </si>
  <si>
    <t>Cecilia Muthoni</t>
  </si>
  <si>
    <t>Sheep</t>
  </si>
  <si>
    <t>Anastacia Njeri</t>
  </si>
  <si>
    <t>Stord as heap</t>
  </si>
  <si>
    <t>Elizabeth Wangui</t>
  </si>
  <si>
    <t>Mangu</t>
  </si>
  <si>
    <t>Liz Waititu</t>
  </si>
  <si>
    <t>Lucy Mbugua</t>
  </si>
  <si>
    <t>Janet Wairimu</t>
  </si>
  <si>
    <t>Lydia Mukonyo</t>
  </si>
  <si>
    <t>Hellen Wambui</t>
  </si>
  <si>
    <t>Mary Wambui</t>
  </si>
  <si>
    <t>Victoria Wambui</t>
  </si>
  <si>
    <t>Regina Njeri</t>
  </si>
  <si>
    <t>Elizabeth Wanjiku</t>
  </si>
  <si>
    <t>Muiru Mburu</t>
  </si>
  <si>
    <t>chicken/ sheep</t>
  </si>
  <si>
    <t>Peter Nganga</t>
  </si>
  <si>
    <t>Florence Wanjiru</t>
  </si>
  <si>
    <t>Josephine Njeri Ngure</t>
  </si>
  <si>
    <t xml:space="preserve">Chicken </t>
  </si>
  <si>
    <t>Lucy Njoki</t>
  </si>
  <si>
    <t>Henry Kagiri</t>
  </si>
  <si>
    <t>Teresia Waweru</t>
  </si>
  <si>
    <t>Mary Wanja</t>
  </si>
  <si>
    <t>Eunice Wanjiru</t>
  </si>
  <si>
    <t>Teresia Wanjiru</t>
  </si>
  <si>
    <t>Sara Wamoro</t>
  </si>
  <si>
    <t>Suzanne Njoroge</t>
  </si>
  <si>
    <t>Eunice Wairimu</t>
  </si>
  <si>
    <t>Margret Wambui</t>
  </si>
  <si>
    <t>Beatrice Wanjiru</t>
  </si>
  <si>
    <t>David Mburu</t>
  </si>
  <si>
    <t>Loise kigathi</t>
  </si>
  <si>
    <t>Ruth Nduta</t>
  </si>
  <si>
    <t>Faith Nganga</t>
  </si>
  <si>
    <t>Daniel Ngure</t>
  </si>
  <si>
    <t>Beatrice Nyamathia</t>
  </si>
  <si>
    <t>Kenneth Kinoti Nkanata</t>
  </si>
  <si>
    <t>Meru</t>
  </si>
  <si>
    <t>Rabbits, sheep and chicken</t>
  </si>
  <si>
    <t>Edwin Mwenda</t>
  </si>
  <si>
    <t>Electricity</t>
  </si>
  <si>
    <t>Mwari Meru</t>
  </si>
  <si>
    <t>Ann Ngina Mutuma</t>
  </si>
  <si>
    <t>Poultry</t>
  </si>
  <si>
    <t>Doris Kirimi</t>
  </si>
  <si>
    <t>John Kiogora</t>
  </si>
  <si>
    <t>Desmond Mwenda</t>
  </si>
  <si>
    <t>Chicken and geese</t>
  </si>
  <si>
    <t>Silas Murithii</t>
  </si>
  <si>
    <t>Bonface Mawira</t>
  </si>
  <si>
    <t>Joseline Karimi</t>
  </si>
  <si>
    <t>John Murithi M'Itonga</t>
  </si>
  <si>
    <t>Chicken &amp; goats</t>
  </si>
  <si>
    <t>Joyce Kathure</t>
  </si>
  <si>
    <t>Joyce Kagwiria Muguna</t>
  </si>
  <si>
    <t>Hellen Mwenda</t>
  </si>
  <si>
    <t>Judy Gacheri</t>
  </si>
  <si>
    <t>Judith Miriko</t>
  </si>
  <si>
    <t>Goats and chicken</t>
  </si>
  <si>
    <t>Jerard  Kirima</t>
  </si>
  <si>
    <t>Akyabi Ikyogo</t>
  </si>
  <si>
    <t>James Mbaabu</t>
  </si>
  <si>
    <t>Poultry and Dogs</t>
  </si>
  <si>
    <t>James Njagi</t>
  </si>
  <si>
    <t>Thomas Kithinji</t>
  </si>
  <si>
    <t>John Kirimi Marete</t>
  </si>
  <si>
    <t>Benedicta Mwende</t>
  </si>
  <si>
    <t>Rabbit and Chicken</t>
  </si>
  <si>
    <t>Jedida Kinya</t>
  </si>
  <si>
    <t>Chicken and goats</t>
  </si>
  <si>
    <t>Susan Mporia</t>
  </si>
  <si>
    <t>Daniel Mburugu</t>
  </si>
  <si>
    <t>James Kinyua</t>
  </si>
  <si>
    <t>Rose Mukami Kaaria</t>
  </si>
  <si>
    <t>Goats and Poultry</t>
  </si>
  <si>
    <t>Douglas Mutwiri</t>
  </si>
  <si>
    <t>Elosy Miriko</t>
  </si>
  <si>
    <t>Judson Mwenda</t>
  </si>
  <si>
    <t>Joseph Kirimi</t>
  </si>
  <si>
    <t>Charity Kathure</t>
  </si>
  <si>
    <t>Ireen Njagi</t>
  </si>
  <si>
    <t>Polly Ngugi</t>
  </si>
  <si>
    <t>Lilian Mugure</t>
  </si>
  <si>
    <t>Jamleck Mugambi</t>
  </si>
  <si>
    <t>Joy Mburugu</t>
  </si>
  <si>
    <t>Silas Marangu</t>
  </si>
  <si>
    <t>Chicken and sheep</t>
  </si>
  <si>
    <t>Zipporah N Mbui</t>
  </si>
  <si>
    <t>Eric Kirimi</t>
  </si>
  <si>
    <t>Daniel Muriungi</t>
  </si>
  <si>
    <t>George Meme</t>
  </si>
  <si>
    <t>Wycliff Kimathi</t>
  </si>
  <si>
    <t>Peterson Mputhia</t>
  </si>
  <si>
    <t>James Kinoti</t>
  </si>
  <si>
    <t>Sheep, goat and chicken</t>
  </si>
  <si>
    <t>Harriet Nyamu</t>
  </si>
  <si>
    <t>Erastus Mbaabu</t>
  </si>
  <si>
    <t>Joseph Riungu</t>
  </si>
  <si>
    <t>Rose Kajuju Mutea</t>
  </si>
  <si>
    <t>Esther Mugure</t>
  </si>
  <si>
    <t>Rabbits and chicken</t>
  </si>
  <si>
    <t>Faith Kathure</t>
  </si>
  <si>
    <t>James Murithi</t>
  </si>
  <si>
    <t>Julius Mwaka</t>
  </si>
  <si>
    <t>Lucy Wanja</t>
  </si>
  <si>
    <t>Rabbits</t>
  </si>
  <si>
    <t>Stella Mugito</t>
  </si>
  <si>
    <t>Jennifer Kaimuri</t>
  </si>
  <si>
    <t>Linus Kiogora</t>
  </si>
  <si>
    <t>Chicken and ducks</t>
  </si>
  <si>
    <t>Nicholus Njue Benard</t>
  </si>
  <si>
    <t>Lucy Mutuma</t>
  </si>
  <si>
    <t>Patrick Murerwa</t>
  </si>
  <si>
    <t>Elias Nyamu</t>
  </si>
  <si>
    <t>Rosemary Nkatha Mbaya</t>
  </si>
  <si>
    <t>Sheeps</t>
  </si>
  <si>
    <t>Lucy Kathao</t>
  </si>
  <si>
    <t>Directly applied in the field</t>
  </si>
  <si>
    <t>NA</t>
  </si>
  <si>
    <t>Elias Kiambi</t>
  </si>
  <si>
    <t>Josephat Mutwiri</t>
  </si>
  <si>
    <t>Glory Kinya Kirimi</t>
  </si>
  <si>
    <t>Mary Kanyua</t>
  </si>
  <si>
    <t>Silas Nkunja Mrware</t>
  </si>
  <si>
    <t>Margret Mbaya</t>
  </si>
  <si>
    <t>John Mugambi</t>
  </si>
  <si>
    <t>Rosalid Muriungi</t>
  </si>
  <si>
    <t>Geoffrey Kirimi Mburugu</t>
  </si>
  <si>
    <t>Felix Mwirigi Fredrick</t>
  </si>
  <si>
    <t>Jackline Makena</t>
  </si>
  <si>
    <t>Joshua Mutwiri</t>
  </si>
  <si>
    <t>Jedida Kawira</t>
  </si>
  <si>
    <t>Gitonga Kananta</t>
  </si>
  <si>
    <t>Gilbert Kiruja</t>
  </si>
  <si>
    <t>Rachael Therero</t>
  </si>
  <si>
    <t>Muranga</t>
  </si>
  <si>
    <t>Ikumbi</t>
  </si>
  <si>
    <t>goats</t>
  </si>
  <si>
    <t>Kevin Mwangi</t>
  </si>
  <si>
    <t>Michael Ngugi</t>
  </si>
  <si>
    <t>Jeremiah Ichangai</t>
  </si>
  <si>
    <t>Rwatira</t>
  </si>
  <si>
    <t>Wanyoike Mwaiberi</t>
  </si>
  <si>
    <t>Thangarari</t>
  </si>
  <si>
    <t>Gwa Kibugi</t>
  </si>
  <si>
    <t>Mercy Wangui Kamau</t>
  </si>
  <si>
    <t>Kihwago</t>
  </si>
  <si>
    <t>Stored in Stored in pit</t>
  </si>
  <si>
    <t>Naomi Wambui</t>
  </si>
  <si>
    <t>Jane Kamau Wambui</t>
  </si>
  <si>
    <t>Moses Macharia Mwangi</t>
  </si>
  <si>
    <t>Chicken/Goats</t>
  </si>
  <si>
    <t>Lilian Wambui</t>
  </si>
  <si>
    <t>Kimatu</t>
  </si>
  <si>
    <t>Mary Waruguru</t>
  </si>
  <si>
    <t>Jassan Mwangi Mbari</t>
  </si>
  <si>
    <t>Lucy Wairimu Ndungu</t>
  </si>
  <si>
    <t>Joseph Kamande</t>
  </si>
  <si>
    <t>Gathungururu</t>
  </si>
  <si>
    <t>Virginiah Nyambura</t>
  </si>
  <si>
    <t>John Maina</t>
  </si>
  <si>
    <t>Mathaithi</t>
  </si>
  <si>
    <t>Pricilla Wanjiku Njoroge</t>
  </si>
  <si>
    <t>Teresiah Njoki Njuguna</t>
  </si>
  <si>
    <t>Julia Kariuki</t>
  </si>
  <si>
    <t>Simon Mathara</t>
  </si>
  <si>
    <t>Eunice Njeri</t>
  </si>
  <si>
    <t>Robert Gitau</t>
  </si>
  <si>
    <t>Antony Murimi</t>
  </si>
  <si>
    <t>Nkubu</t>
  </si>
  <si>
    <t>Semi-open</t>
  </si>
  <si>
    <t>Eric Mwenda</t>
  </si>
  <si>
    <t>Grace Makena</t>
  </si>
  <si>
    <t>Kenneth Mwenda</t>
  </si>
  <si>
    <t>Lilian Karoki</t>
  </si>
  <si>
    <t>Phineas Mwenda</t>
  </si>
  <si>
    <t>Frida Mwendwa</t>
  </si>
  <si>
    <t>Moses Koome</t>
  </si>
  <si>
    <t>Henry Mugambi</t>
  </si>
  <si>
    <t>John M'mbaabu</t>
  </si>
  <si>
    <t>Silas Murithi</t>
  </si>
  <si>
    <t>Charity Mariga</t>
  </si>
  <si>
    <t>David Mwiti</t>
  </si>
  <si>
    <t>Emily Mwirigi</t>
  </si>
  <si>
    <t>Fridah Mutuma</t>
  </si>
  <si>
    <t>George Kithinji</t>
  </si>
  <si>
    <t>Phylis Kagwira</t>
  </si>
  <si>
    <t>Rita Gakii</t>
  </si>
  <si>
    <t>Josphat Mbaya</t>
  </si>
  <si>
    <t>STORED In pit</t>
  </si>
  <si>
    <t>Jane Murithi</t>
  </si>
  <si>
    <t>Francis Mati</t>
  </si>
  <si>
    <t>Hella Mukami</t>
  </si>
  <si>
    <t>Lilian Gacheri</t>
  </si>
  <si>
    <t>Misheck Mutwiri</t>
  </si>
  <si>
    <t>Month</t>
  </si>
  <si>
    <t>Annualy</t>
  </si>
  <si>
    <t>MCFBL,liquid/slurry/Pit-storage</t>
  </si>
  <si>
    <t>2019 Refinement to the 2006 IPCC Guidelines for National Greenhouse Gas Inventories 1 (Table 10.17)</t>
  </si>
  <si>
    <t>Slurry with dry layer</t>
  </si>
  <si>
    <t>MCFBL,Daily Sprad</t>
  </si>
  <si>
    <t>MS(T,k ), Daily Spread</t>
  </si>
  <si>
    <t>MS(T,k ), liquid/slurry/Pit-storage</t>
  </si>
  <si>
    <t>Annual average temprature of Kenya is 25 Dec C, this falls under Tropical dry.Hence MCF value applicable to tropical dry is considered</t>
  </si>
  <si>
    <t>No</t>
  </si>
  <si>
    <t>User name</t>
  </si>
  <si>
    <t>Village</t>
  </si>
  <si>
    <t>Day 0</t>
  </si>
  <si>
    <t>Day 1</t>
  </si>
  <si>
    <t>Day 2</t>
  </si>
  <si>
    <t>Day 3</t>
  </si>
  <si>
    <t>Type of fuel</t>
  </si>
  <si>
    <t>Date</t>
  </si>
  <si>
    <t>KG of fuel in store at START
DAY1</t>
  </si>
  <si>
    <t>Number of person meals DAY1</t>
  </si>
  <si>
    <t xml:space="preserve">Date </t>
  </si>
  <si>
    <t>KG of fuel in store at DAY2</t>
  </si>
  <si>
    <t>KG Fuel added to store</t>
  </si>
  <si>
    <t>Number of person meals DAY3</t>
  </si>
  <si>
    <t>KG of fuel in store at DAY3</t>
  </si>
  <si>
    <t>KG of fuel in store at DAY4</t>
  </si>
  <si>
    <t>per capita Fuel usage DAY 1</t>
  </si>
  <si>
    <t>per capita Fuel usage DAY 2</t>
  </si>
  <si>
    <t>per capita Fuel usage DAY 3</t>
  </si>
  <si>
    <t xml:space="preserve">Daily Average   in KG  </t>
  </si>
  <si>
    <t>Charles Njihia</t>
  </si>
  <si>
    <t>Kibira-Limuru</t>
  </si>
  <si>
    <t>Wood</t>
  </si>
  <si>
    <t>Joseph Thuku</t>
  </si>
  <si>
    <t>George Thuku</t>
  </si>
  <si>
    <t>Francis Githinji Kibubi</t>
  </si>
  <si>
    <t>Nancy Wanjiru</t>
  </si>
  <si>
    <t>Elijah Kibubi</t>
  </si>
  <si>
    <t>Cecilia Ngina</t>
  </si>
  <si>
    <t>Fredrick Mirara</t>
  </si>
  <si>
    <t>Kinyogori-Limuru</t>
  </si>
  <si>
    <t>Ngure Ciuri</t>
  </si>
  <si>
    <t>Teresia Gathoni</t>
  </si>
  <si>
    <t>Grace Mumbi CIURI</t>
  </si>
  <si>
    <t>Hellen Wanjiru Nderu</t>
  </si>
  <si>
    <t>Githunguri-ngochi</t>
  </si>
  <si>
    <t>Monicah Kago</t>
  </si>
  <si>
    <t>Esther Wanjeri</t>
  </si>
  <si>
    <t>Ruth Wanjiru</t>
  </si>
  <si>
    <t>Joyce Wangari</t>
  </si>
  <si>
    <t xml:space="preserve">Average Fuelwood </t>
  </si>
  <si>
    <t>Average family size</t>
  </si>
  <si>
    <t>Total Fuel Wood consumption</t>
  </si>
  <si>
    <t>Day 4 Morning</t>
  </si>
  <si>
    <t>Fuel usage DAY 1</t>
  </si>
  <si>
    <t>Fuel usage DAY2</t>
  </si>
  <si>
    <t>Fuel usage Day 3</t>
  </si>
  <si>
    <t>Dorcas Wairimu</t>
  </si>
  <si>
    <t>Alice Waime</t>
  </si>
  <si>
    <t>Virginia Muthoni</t>
  </si>
  <si>
    <t>Zipporah Njoroge</t>
  </si>
  <si>
    <t>13/09/2022</t>
  </si>
  <si>
    <t>14/09/2022</t>
  </si>
  <si>
    <t>15/09/2022</t>
  </si>
  <si>
    <t>David Kariuki</t>
  </si>
  <si>
    <t>George Chege Mbugua</t>
  </si>
  <si>
    <t>Ruth NjeriKamau</t>
  </si>
  <si>
    <t>Mary Wanjiku Waithaka</t>
  </si>
  <si>
    <t>Samuel Kariuki Njoroge</t>
  </si>
  <si>
    <t>Fuel</t>
  </si>
  <si>
    <t>NRB Saved</t>
  </si>
  <si>
    <t>Emission reduction</t>
  </si>
  <si>
    <t>Project Value (tonnes)</t>
  </si>
  <si>
    <t>Baseline Value (tonnes)</t>
  </si>
  <si>
    <t>Net Change (Tonnes)</t>
  </si>
  <si>
    <t>Baseline Emission (tCO2e)</t>
  </si>
  <si>
    <t>Project Emission (tCO2e)</t>
  </si>
  <si>
    <t>Leakage (tCO2e)</t>
  </si>
  <si>
    <t>Emission reduction  (tCO2e)</t>
  </si>
  <si>
    <t>Firewood usage(KGS)/day</t>
  </si>
  <si>
    <t xml:space="preserve"> LPG Usage/year</t>
  </si>
  <si>
    <t xml:space="preserve">LPG </t>
  </si>
  <si>
    <t>2019 Refinement to the 2006 IPCC Guidelines for National Greenhouse Gas Inventories 1 (Table 10.16A)</t>
  </si>
  <si>
    <t>Expected Mean</t>
  </si>
  <si>
    <t>Expected SD</t>
  </si>
  <si>
    <t>90% confidence</t>
  </si>
  <si>
    <t>30% relative precision</t>
  </si>
  <si>
    <t>v</t>
  </si>
  <si>
    <t>n</t>
  </si>
  <si>
    <t>From baseline Survey</t>
  </si>
  <si>
    <t>From baseline survey</t>
  </si>
  <si>
    <t>Total Charcoalconsumption</t>
  </si>
  <si>
    <t>Mean</t>
  </si>
  <si>
    <t>Standard Deviation</t>
  </si>
  <si>
    <t>90% Confidence</t>
  </si>
  <si>
    <t>V</t>
  </si>
  <si>
    <t>N</t>
  </si>
  <si>
    <t>Achived precision level</t>
  </si>
  <si>
    <t>Project emission from manure management system</t>
  </si>
  <si>
    <t>days</t>
  </si>
  <si>
    <r>
      <rPr>
        <b/>
        <sz val="11"/>
        <color theme="1"/>
        <rFont val="Calibri"/>
        <family val="2"/>
        <scheme val="minor"/>
      </rPr>
      <t>PE</t>
    </r>
    <r>
      <rPr>
        <sz val="11"/>
        <color theme="1"/>
        <rFont val="Calibri"/>
        <family val="2"/>
        <scheme val="minor"/>
      </rPr>
      <t>AWMS,y</t>
    </r>
  </si>
  <si>
    <t>http://data.un.org/Data.aspx?d=EDATA&amp;f=cmID%3aFW (year 2021)</t>
  </si>
  <si>
    <t>Total wood consumption</t>
  </si>
  <si>
    <t xml:space="preserve"> </t>
  </si>
  <si>
    <t xml:space="preserve">Forest (in 2020) </t>
  </si>
  <si>
    <t xml:space="preserve">Forest plantations (in 2020) </t>
  </si>
  <si>
    <t>Other wooded land (in 2020)</t>
  </si>
  <si>
    <t>Other land (in 2020)</t>
  </si>
  <si>
    <t xml:space="preserve">Forest in 2020 (excluding plantations) </t>
  </si>
  <si>
    <t>Forest loss between 1990 to 2020 (30 years)</t>
  </si>
  <si>
    <t>Forest (in 2023) (Fforest)</t>
  </si>
  <si>
    <t>Other wooded land (in 2023) (Fwooded,land)</t>
  </si>
  <si>
    <t xml:space="preserve">Other wooded land (in 2020) </t>
  </si>
  <si>
    <t>Other wooded land loss between 1990 to 2020 (30 years)</t>
  </si>
  <si>
    <t>Other land gain between (1990 and 2020)</t>
  </si>
  <si>
    <t>Other land (in 2023) (Fotherland)</t>
  </si>
  <si>
    <t>Global Forest Resources Assessment 2020, Country Report Kenya, page 13</t>
  </si>
  <si>
    <t>Global Forest Resources Assessment 2020, Country Report Kenya, page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</si>
</sst>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(* #,##0_);_(* \(#,##0\);_(* &quot;-&quot;_);_(@_)"/>
    <numFmt numFmtId="43" formatCode="_(* #,##0.00_);_(* \(#,##0.00\);_(* &quot;-&quot;??_);_(@_)"/>
    <numFmt numFmtId="164" formatCode="_ * #,##0.00_ ;_ * \-#,##0.00_ ;_ * &quot;-&quot;??_ ;_ @_ "/>
    <numFmt numFmtId="165" formatCode="0.000"/>
    <numFmt numFmtId="166" formatCode="_-* #,##0.00\ _€_-;\-* #,##0.00\ _€_-;_-* &quot;-&quot;??\ _€_-;_-@_-"/>
    <numFmt numFmtId="167" formatCode="0.0000"/>
    <numFmt numFmtId="168" formatCode="0.0%"/>
    <numFmt numFmtId="169" formatCode="0.00000"/>
    <numFmt numFmtId="170" formatCode="_(* #,##0_);_(* \(#,##0\);_(* &quot;-&quot;??_);_(@_)"/>
    <numFmt numFmtId="171" formatCode="0.0"/>
    <numFmt numFmtId="172" formatCode="_-* #,##0_-;\-* #,##0_-;_-* &quot;-&quot;??_-;_-@_-"/>
    <numFmt numFmtId="173" formatCode="_-* #,##0.00_-;\-* #,##0.00_-;_-* &quot;-&quot;??_-;_-@_-"/>
    <numFmt numFmtId="174" formatCode="#,##0.000"/>
    <numFmt numFmtId="175" formatCode="0.00000000000"/>
    <numFmt numFmtId="176" formatCode="0.0000000"/>
    <numFmt numFmtId="177" formatCode="0.000000"/>
    <numFmt numFmtId="178" formatCode="#,##0.0"/>
  </numFmts>
  <fonts count="3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宋体"/>
      <charset val="134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8"/>
      <color rgb="FF000000"/>
      <name val="Calibri"/>
      <family val="2"/>
      <scheme val="minor"/>
    </font>
    <font>
      <sz val="14"/>
      <color rgb="FF0A0A0A"/>
      <name val="Arial"/>
      <family val="2"/>
    </font>
    <font>
      <u/>
      <sz val="11"/>
      <color theme="10"/>
      <name val="Calibri"/>
      <family val="2"/>
    </font>
    <font>
      <sz val="12"/>
      <color rgb="FF000000"/>
      <name val="Calibri"/>
      <family val="2"/>
      <scheme val="minor"/>
    </font>
    <font>
      <vertAlign val="superscript"/>
      <sz val="10"/>
      <name val="Verdana"/>
      <family val="2"/>
    </font>
    <font>
      <b/>
      <sz val="10"/>
      <name val="Verdana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10"/>
      <color theme="1"/>
      <name val="Arial"/>
      <family val="2"/>
    </font>
    <font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DCE6F1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9" fillId="0" borderId="0"/>
    <xf numFmtId="0" fontId="12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2" fillId="0" borderId="0" applyNumberFormat="0" applyFill="0" applyBorder="0" applyAlignment="0" applyProtection="0"/>
    <xf numFmtId="164" fontId="9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210">
    <xf numFmtId="0" fontId="0" fillId="0" borderId="0" xfId="0"/>
    <xf numFmtId="0" fontId="3" fillId="0" borderId="1" xfId="1" applyBorder="1" applyAlignment="1">
      <alignment horizontal="left"/>
    </xf>
    <xf numFmtId="0" fontId="4" fillId="0" borderId="0" xfId="0" applyFont="1"/>
    <xf numFmtId="0" fontId="3" fillId="0" borderId="1" xfId="1" applyBorder="1" applyAlignment="1">
      <alignment horizontal="center"/>
    </xf>
    <xf numFmtId="0" fontId="6" fillId="0" borderId="1" xfId="1" applyFont="1" applyBorder="1"/>
    <xf numFmtId="2" fontId="3" fillId="0" borderId="1" xfId="1" applyNumberFormat="1" applyBorder="1" applyAlignment="1">
      <alignment horizontal="center"/>
    </xf>
    <xf numFmtId="0" fontId="0" fillId="0" borderId="1" xfId="1" applyFont="1" applyBorder="1" applyAlignment="1">
      <alignment horizontal="left"/>
    </xf>
    <xf numFmtId="0" fontId="0" fillId="0" borderId="1" xfId="0" applyBorder="1"/>
    <xf numFmtId="2" fontId="0" fillId="0" borderId="1" xfId="0" applyNumberFormat="1" applyBorder="1"/>
    <xf numFmtId="0" fontId="4" fillId="0" borderId="1" xfId="1" applyFont="1" applyBorder="1" applyAlignment="1">
      <alignment horizontal="left" vertical="center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4" fillId="0" borderId="1" xfId="0" applyFont="1" applyBorder="1"/>
    <xf numFmtId="0" fontId="4" fillId="2" borderId="1" xfId="0" applyFont="1" applyFill="1" applyBorder="1"/>
    <xf numFmtId="0" fontId="3" fillId="2" borderId="1" xfId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/>
    </xf>
    <xf numFmtId="0" fontId="3" fillId="0" borderId="1" xfId="1" applyBorder="1" applyAlignment="1">
      <alignment horizontal="left" vertical="center"/>
    </xf>
    <xf numFmtId="0" fontId="5" fillId="0" borderId="1" xfId="1" applyFont="1" applyBorder="1" applyAlignment="1">
      <alignment horizontal="left"/>
    </xf>
    <xf numFmtId="0" fontId="3" fillId="0" borderId="1" xfId="1" applyBorder="1" applyAlignment="1">
      <alignment horizontal="left" vertical="top"/>
    </xf>
    <xf numFmtId="9" fontId="0" fillId="0" borderId="1" xfId="0" applyNumberFormat="1" applyBorder="1"/>
    <xf numFmtId="165" fontId="4" fillId="0" borderId="1" xfId="0" applyNumberFormat="1" applyFont="1" applyBorder="1" applyAlignment="1">
      <alignment horizontal="right"/>
    </xf>
    <xf numFmtId="0" fontId="0" fillId="3" borderId="1" xfId="0" applyFill="1" applyBorder="1"/>
    <xf numFmtId="0" fontId="4" fillId="2" borderId="1" xfId="0" applyFont="1" applyFill="1" applyBorder="1" applyAlignment="1">
      <alignment horizontal="center"/>
    </xf>
    <xf numFmtId="170" fontId="0" fillId="0" borderId="1" xfId="6" applyNumberFormat="1" applyFont="1" applyBorder="1" applyAlignment="1">
      <alignment horizontal="center"/>
    </xf>
    <xf numFmtId="170" fontId="4" fillId="0" borderId="1" xfId="6" applyNumberFormat="1" applyFont="1" applyBorder="1" applyAlignment="1">
      <alignment horizontal="center"/>
    </xf>
    <xf numFmtId="170" fontId="4" fillId="0" borderId="1" xfId="6" applyNumberFormat="1" applyFont="1" applyFill="1" applyBorder="1" applyAlignment="1">
      <alignment horizontal="center"/>
    </xf>
    <xf numFmtId="9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/>
    </xf>
    <xf numFmtId="167" fontId="0" fillId="0" borderId="1" xfId="0" applyNumberFormat="1" applyBorder="1" applyAlignment="1">
      <alignment horizontal="right"/>
    </xf>
    <xf numFmtId="167" fontId="0" fillId="0" borderId="0" xfId="0" applyNumberFormat="1"/>
    <xf numFmtId="0" fontId="8" fillId="0" borderId="1" xfId="0" applyFont="1" applyBorder="1"/>
    <xf numFmtId="165" fontId="8" fillId="0" borderId="1" xfId="0" applyNumberFormat="1" applyFont="1" applyBorder="1" applyAlignment="1">
      <alignment horizontal="right"/>
    </xf>
    <xf numFmtId="0" fontId="8" fillId="0" borderId="1" xfId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2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 vertical="top"/>
    </xf>
    <xf numFmtId="10" fontId="8" fillId="0" borderId="1" xfId="7" applyNumberFormat="1" applyFont="1" applyFill="1" applyBorder="1" applyAlignment="1">
      <alignment horizontal="right"/>
    </xf>
    <xf numFmtId="9" fontId="8" fillId="0" borderId="1" xfId="1" applyNumberFormat="1" applyFont="1" applyBorder="1" applyAlignment="1">
      <alignment horizontal="right" vertical="center"/>
    </xf>
    <xf numFmtId="9" fontId="10" fillId="0" borderId="0" xfId="8" applyNumberFormat="1"/>
    <xf numFmtId="0" fontId="10" fillId="0" borderId="0" xfId="8"/>
    <xf numFmtId="0" fontId="9" fillId="0" borderId="0" xfId="0" applyFont="1" applyAlignment="1">
      <alignment horizontal="justify"/>
    </xf>
    <xf numFmtId="171" fontId="9" fillId="0" borderId="0" xfId="0" applyNumberFormat="1" applyFont="1"/>
    <xf numFmtId="0" fontId="9" fillId="0" borderId="0" xfId="0" applyFont="1"/>
    <xf numFmtId="0" fontId="11" fillId="0" borderId="0" xfId="0" applyFont="1" applyAlignment="1">
      <alignment horizontal="justify"/>
    </xf>
    <xf numFmtId="172" fontId="11" fillId="0" borderId="0" xfId="0" applyNumberFormat="1" applyFont="1"/>
    <xf numFmtId="0" fontId="11" fillId="0" borderId="0" xfId="0" applyFont="1"/>
    <xf numFmtId="0" fontId="13" fillId="0" borderId="0" xfId="8" applyFont="1"/>
    <xf numFmtId="172" fontId="0" fillId="0" borderId="0" xfId="0" applyNumberFormat="1"/>
    <xf numFmtId="0" fontId="14" fillId="4" borderId="0" xfId="8" applyFont="1" applyFill="1" applyAlignment="1">
      <alignment wrapText="1"/>
    </xf>
    <xf numFmtId="0" fontId="10" fillId="4" borderId="0" xfId="8" applyFill="1"/>
    <xf numFmtId="167" fontId="17" fillId="4" borderId="0" xfId="8" applyNumberFormat="1" applyFont="1" applyFill="1"/>
    <xf numFmtId="167" fontId="17" fillId="0" borderId="0" xfId="8" applyNumberFormat="1" applyFont="1"/>
    <xf numFmtId="172" fontId="10" fillId="4" borderId="0" xfId="8" applyNumberFormat="1" applyFill="1"/>
    <xf numFmtId="164" fontId="10" fillId="0" borderId="0" xfId="8" applyNumberFormat="1"/>
    <xf numFmtId="173" fontId="10" fillId="4" borderId="0" xfId="8" applyNumberFormat="1" applyFill="1"/>
    <xf numFmtId="0" fontId="14" fillId="0" borderId="0" xfId="8" applyFont="1"/>
    <xf numFmtId="3" fontId="18" fillId="0" borderId="0" xfId="0" applyNumberFormat="1" applyFont="1"/>
    <xf numFmtId="43" fontId="14" fillId="0" borderId="0" xfId="8" applyNumberFormat="1" applyFont="1"/>
    <xf numFmtId="173" fontId="10" fillId="0" borderId="0" xfId="8" applyNumberFormat="1"/>
    <xf numFmtId="164" fontId="14" fillId="0" borderId="0" xfId="12" applyFont="1"/>
    <xf numFmtId="0" fontId="13" fillId="0" borderId="0" xfId="8" applyFont="1" applyAlignment="1">
      <alignment horizontal="center"/>
    </xf>
    <xf numFmtId="0" fontId="19" fillId="0" borderId="0" xfId="15" applyAlignment="1" applyProtection="1"/>
    <xf numFmtId="0" fontId="19" fillId="0" borderId="0" xfId="15" applyAlignment="1" applyProtection="1">
      <alignment horizontal="left" wrapText="1"/>
    </xf>
    <xf numFmtId="0" fontId="0" fillId="0" borderId="0" xfId="0" applyAlignment="1">
      <alignment wrapText="1"/>
    </xf>
    <xf numFmtId="0" fontId="10" fillId="0" borderId="0" xfId="8" applyAlignment="1">
      <alignment horizontal="left" vertical="top"/>
    </xf>
    <xf numFmtId="167" fontId="10" fillId="0" borderId="0" xfId="8" applyNumberFormat="1"/>
    <xf numFmtId="2" fontId="0" fillId="0" borderId="1" xfId="0" applyNumberFormat="1" applyBorder="1" applyAlignment="1">
      <alignment horizontal="left" wrapText="1"/>
    </xf>
    <xf numFmtId="172" fontId="14" fillId="0" borderId="0" xfId="12" applyNumberFormat="1" applyFont="1"/>
    <xf numFmtId="0" fontId="14" fillId="0" borderId="0" xfId="16"/>
    <xf numFmtId="172" fontId="10" fillId="0" borderId="0" xfId="8" applyNumberFormat="1"/>
    <xf numFmtId="0" fontId="10" fillId="0" borderId="0" xfId="8" applyAlignment="1">
      <alignment wrapText="1"/>
    </xf>
    <xf numFmtId="41" fontId="10" fillId="0" borderId="0" xfId="8" applyNumberFormat="1"/>
    <xf numFmtId="0" fontId="20" fillId="0" borderId="0" xfId="8" applyFont="1" applyAlignment="1">
      <alignment wrapText="1"/>
    </xf>
    <xf numFmtId="174" fontId="10" fillId="0" borderId="0" xfId="8" applyNumberFormat="1"/>
    <xf numFmtId="172" fontId="13" fillId="0" borderId="0" xfId="8" applyNumberFormat="1" applyFont="1"/>
    <xf numFmtId="168" fontId="10" fillId="0" borderId="0" xfId="8" applyNumberFormat="1"/>
    <xf numFmtId="3" fontId="10" fillId="0" borderId="0" xfId="8" applyNumberFormat="1"/>
    <xf numFmtId="172" fontId="14" fillId="4" borderId="0" xfId="12" applyNumberFormat="1" applyFont="1" applyFill="1"/>
    <xf numFmtId="0" fontId="14" fillId="0" borderId="0" xfId="8" applyFont="1" applyAlignment="1">
      <alignment wrapText="1"/>
    </xf>
    <xf numFmtId="172" fontId="22" fillId="0" borderId="0" xfId="8" applyNumberFormat="1" applyFont="1"/>
    <xf numFmtId="2" fontId="0" fillId="0" borderId="0" xfId="0" applyNumberFormat="1"/>
    <xf numFmtId="0" fontId="7" fillId="0" borderId="1" xfId="0" applyFont="1" applyBorder="1"/>
    <xf numFmtId="10" fontId="0" fillId="0" borderId="1" xfId="0" applyNumberFormat="1" applyBorder="1"/>
    <xf numFmtId="0" fontId="12" fillId="0" borderId="0" xfId="14"/>
    <xf numFmtId="169" fontId="0" fillId="0" borderId="1" xfId="0" applyNumberFormat="1" applyBorder="1"/>
    <xf numFmtId="0" fontId="8" fillId="0" borderId="0" xfId="0" applyFont="1"/>
    <xf numFmtId="0" fontId="8" fillId="0" borderId="2" xfId="0" applyFont="1" applyBorder="1" applyAlignment="1">
      <alignment wrapText="1"/>
    </xf>
    <xf numFmtId="165" fontId="0" fillId="0" borderId="1" xfId="0" applyNumberFormat="1" applyBorder="1"/>
    <xf numFmtId="0" fontId="0" fillId="0" borderId="5" xfId="0" applyBorder="1"/>
    <xf numFmtId="0" fontId="8" fillId="0" borderId="4" xfId="0" applyFont="1" applyBorder="1" applyAlignment="1">
      <alignment wrapText="1"/>
    </xf>
    <xf numFmtId="0" fontId="8" fillId="0" borderId="0" xfId="0" applyFont="1" applyAlignment="1">
      <alignment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9" fontId="0" fillId="0" borderId="0" xfId="0" applyNumberForma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8" fillId="0" borderId="0" xfId="0" applyFont="1"/>
    <xf numFmtId="168" fontId="4" fillId="0" borderId="1" xfId="7" applyNumberFormat="1" applyFont="1" applyBorder="1" applyAlignment="1">
      <alignment horizontal="right"/>
    </xf>
    <xf numFmtId="167" fontId="8" fillId="0" borderId="1" xfId="0" applyNumberFormat="1" applyFont="1" applyBorder="1" applyAlignment="1">
      <alignment horizontal="right"/>
    </xf>
    <xf numFmtId="175" fontId="0" fillId="0" borderId="0" xfId="0" applyNumberFormat="1"/>
    <xf numFmtId="0" fontId="0" fillId="5" borderId="0" xfId="0" applyFill="1"/>
    <xf numFmtId="0" fontId="0" fillId="5" borderId="1" xfId="0" applyFill="1" applyBorder="1"/>
    <xf numFmtId="167" fontId="0" fillId="0" borderId="1" xfId="0" applyNumberForma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 applyAlignment="1">
      <alignment horizontal="center"/>
    </xf>
    <xf numFmtId="0" fontId="29" fillId="0" borderId="0" xfId="8" applyFont="1"/>
    <xf numFmtId="0" fontId="7" fillId="0" borderId="0" xfId="0" applyFont="1"/>
    <xf numFmtId="0" fontId="0" fillId="0" borderId="1" xfId="0" applyBorder="1" applyAlignment="1">
      <alignment vertical="top"/>
    </xf>
    <xf numFmtId="0" fontId="8" fillId="0" borderId="0" xfId="0" applyFont="1" applyAlignment="1">
      <alignment horizontal="left" wrapText="1"/>
    </xf>
    <xf numFmtId="0" fontId="12" fillId="0" borderId="0" xfId="14" applyAlignment="1">
      <alignment horizontal="left"/>
    </xf>
    <xf numFmtId="0" fontId="31" fillId="0" borderId="2" xfId="0" applyFont="1" applyBorder="1"/>
    <xf numFmtId="0" fontId="31" fillId="0" borderId="9" xfId="0" applyFont="1" applyBorder="1"/>
    <xf numFmtId="0" fontId="31" fillId="0" borderId="0" xfId="0" applyFont="1"/>
    <xf numFmtId="1" fontId="0" fillId="0" borderId="1" xfId="0" applyNumberFormat="1" applyBorder="1"/>
    <xf numFmtId="177" fontId="0" fillId="0" borderId="0" xfId="0" applyNumberFormat="1"/>
    <xf numFmtId="0" fontId="31" fillId="8" borderId="7" xfId="0" applyFont="1" applyFill="1" applyBorder="1" applyAlignment="1">
      <alignment horizontal="center"/>
    </xf>
    <xf numFmtId="0" fontId="31" fillId="0" borderId="7" xfId="0" applyFont="1" applyBorder="1"/>
    <xf numFmtId="178" fontId="31" fillId="0" borderId="7" xfId="0" applyNumberFormat="1" applyFont="1" applyBorder="1"/>
    <xf numFmtId="0" fontId="31" fillId="8" borderId="9" xfId="0" applyFont="1" applyFill="1" applyBorder="1" applyAlignment="1">
      <alignment wrapText="1"/>
    </xf>
    <xf numFmtId="0" fontId="31" fillId="9" borderId="9" xfId="0" applyFont="1" applyFill="1" applyBorder="1" applyAlignment="1">
      <alignment horizontal="center"/>
    </xf>
    <xf numFmtId="0" fontId="31" fillId="9" borderId="9" xfId="0" applyFont="1" applyFill="1" applyBorder="1" applyAlignment="1">
      <alignment wrapText="1"/>
    </xf>
    <xf numFmtId="178" fontId="31" fillId="10" borderId="9" xfId="0" applyNumberFormat="1" applyFont="1" applyFill="1" applyBorder="1" applyAlignment="1">
      <alignment wrapText="1"/>
    </xf>
    <xf numFmtId="14" fontId="31" fillId="9" borderId="9" xfId="0" applyNumberFormat="1" applyFont="1" applyFill="1" applyBorder="1"/>
    <xf numFmtId="14" fontId="31" fillId="8" borderId="9" xfId="0" applyNumberFormat="1" applyFont="1" applyFill="1" applyBorder="1"/>
    <xf numFmtId="165" fontId="31" fillId="0" borderId="9" xfId="0" applyNumberFormat="1" applyFont="1" applyBorder="1"/>
    <xf numFmtId="15" fontId="31" fillId="0" borderId="0" xfId="0" applyNumberFormat="1" applyFont="1"/>
    <xf numFmtId="0" fontId="30" fillId="0" borderId="9" xfId="0" applyFont="1" applyBorder="1"/>
    <xf numFmtId="178" fontId="31" fillId="0" borderId="0" xfId="0" applyNumberFormat="1" applyFont="1"/>
    <xf numFmtId="4" fontId="31" fillId="0" borderId="0" xfId="0" applyNumberFormat="1" applyFont="1"/>
    <xf numFmtId="165" fontId="31" fillId="0" borderId="0" xfId="0" applyNumberFormat="1" applyFont="1"/>
    <xf numFmtId="178" fontId="0" fillId="0" borderId="0" xfId="0" applyNumberFormat="1"/>
    <xf numFmtId="0" fontId="0" fillId="11" borderId="1" xfId="0" applyFill="1" applyBorder="1" applyAlignment="1">
      <alignment horizontal="center"/>
    </xf>
    <xf numFmtId="0" fontId="0" fillId="11" borderId="1" xfId="0" applyFill="1" applyBorder="1" applyAlignment="1">
      <alignment wrapText="1"/>
    </xf>
    <xf numFmtId="0" fontId="0" fillId="12" borderId="1" xfId="0" applyFill="1" applyBorder="1" applyAlignment="1">
      <alignment wrapText="1"/>
    </xf>
    <xf numFmtId="14" fontId="0" fillId="11" borderId="1" xfId="0" applyNumberFormat="1" applyFill="1" applyBorder="1"/>
    <xf numFmtId="14" fontId="0" fillId="12" borderId="1" xfId="0" applyNumberFormat="1" applyFill="1" applyBorder="1"/>
    <xf numFmtId="0" fontId="0" fillId="12" borderId="1" xfId="0" applyFill="1" applyBorder="1"/>
    <xf numFmtId="0" fontId="0" fillId="11" borderId="1" xfId="0" applyFill="1" applyBorder="1"/>
    <xf numFmtId="174" fontId="0" fillId="0" borderId="0" xfId="0" applyNumberFormat="1"/>
    <xf numFmtId="178" fontId="0" fillId="0" borderId="1" xfId="0" applyNumberFormat="1" applyBorder="1"/>
    <xf numFmtId="178" fontId="0" fillId="13" borderId="1" xfId="0" applyNumberFormat="1" applyFill="1" applyBorder="1" applyAlignment="1">
      <alignment wrapText="1"/>
    </xf>
    <xf numFmtId="171" fontId="0" fillId="0" borderId="1" xfId="0" applyNumberFormat="1" applyBorder="1"/>
    <xf numFmtId="4" fontId="0" fillId="6" borderId="1" xfId="0" applyNumberFormat="1" applyFill="1" applyBorder="1"/>
    <xf numFmtId="176" fontId="8" fillId="0" borderId="1" xfId="0" applyNumberFormat="1" applyFont="1" applyBorder="1" applyAlignment="1">
      <alignment horizontal="right"/>
    </xf>
    <xf numFmtId="171" fontId="0" fillId="0" borderId="1" xfId="0" applyNumberFormat="1" applyBorder="1" applyAlignment="1">
      <alignment horizontal="right" vertical="top"/>
    </xf>
    <xf numFmtId="2" fontId="0" fillId="0" borderId="1" xfId="0" applyNumberFormat="1" applyBorder="1" applyAlignment="1">
      <alignment horizontal="center"/>
    </xf>
    <xf numFmtId="0" fontId="2" fillId="0" borderId="0" xfId="8" applyFont="1"/>
    <xf numFmtId="0" fontId="31" fillId="0" borderId="1" xfId="0" applyFont="1" applyBorder="1"/>
    <xf numFmtId="171" fontId="31" fillId="0" borderId="7" xfId="0" applyNumberFormat="1" applyFont="1" applyBorder="1"/>
    <xf numFmtId="171" fontId="31" fillId="0" borderId="9" xfId="0" applyNumberFormat="1" applyFont="1" applyBorder="1"/>
    <xf numFmtId="0" fontId="30" fillId="0" borderId="2" xfId="0" applyFont="1" applyBorder="1"/>
    <xf numFmtId="171" fontId="4" fillId="0" borderId="1" xfId="0" applyNumberFormat="1" applyFont="1" applyBorder="1"/>
    <xf numFmtId="0" fontId="32" fillId="0" borderId="1" xfId="0" applyFont="1" applyBorder="1" applyAlignment="1">
      <alignment vertical="top" wrapText="1"/>
    </xf>
    <xf numFmtId="0" fontId="32" fillId="0" borderId="1" xfId="0" applyFont="1" applyBorder="1" applyAlignment="1">
      <alignment horizontal="center" vertical="top" wrapText="1"/>
    </xf>
    <xf numFmtId="9" fontId="0" fillId="0" borderId="1" xfId="7" applyFont="1" applyFill="1" applyBorder="1"/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10" fontId="0" fillId="0" borderId="0" xfId="0" applyNumberFormat="1"/>
    <xf numFmtId="165" fontId="0" fillId="0" borderId="0" xfId="0" applyNumberFormat="1"/>
    <xf numFmtId="165" fontId="8" fillId="0" borderId="0" xfId="0" applyNumberFormat="1" applyFont="1"/>
    <xf numFmtId="167" fontId="8" fillId="0" borderId="0" xfId="0" applyNumberFormat="1" applyFont="1"/>
    <xf numFmtId="168" fontId="0" fillId="0" borderId="1" xfId="7" applyNumberFormat="1" applyFont="1" applyFill="1" applyBorder="1"/>
    <xf numFmtId="0" fontId="30" fillId="0" borderId="0" xfId="0" applyFont="1"/>
    <xf numFmtId="0" fontId="33" fillId="14" borderId="1" xfId="0" applyFont="1" applyFill="1" applyBorder="1"/>
    <xf numFmtId="165" fontId="0" fillId="0" borderId="1" xfId="0" applyNumberFormat="1" applyBorder="1" applyAlignment="1">
      <alignment horizontal="center"/>
    </xf>
    <xf numFmtId="168" fontId="0" fillId="0" borderId="1" xfId="7" applyNumberFormat="1" applyFont="1" applyBorder="1" applyAlignment="1">
      <alignment horizontal="center"/>
    </xf>
    <xf numFmtId="178" fontId="0" fillId="6" borderId="1" xfId="0" applyNumberFormat="1" applyFill="1" applyBorder="1"/>
    <xf numFmtId="1" fontId="0" fillId="0" borderId="1" xfId="0" applyNumberFormat="1" applyBorder="1" applyAlignment="1">
      <alignment horizontal="center"/>
    </xf>
    <xf numFmtId="3" fontId="0" fillId="0" borderId="0" xfId="0" applyNumberFormat="1"/>
    <xf numFmtId="0" fontId="12" fillId="0" borderId="0" xfId="14" applyAlignment="1">
      <alignment vertical="center"/>
    </xf>
    <xf numFmtId="0" fontId="0" fillId="12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31" fillId="9" borderId="6" xfId="0" applyFont="1" applyFill="1" applyBorder="1" applyAlignment="1">
      <alignment horizontal="center"/>
    </xf>
    <xf numFmtId="0" fontId="31" fillId="9" borderId="10" xfId="0" applyFont="1" applyFill="1" applyBorder="1" applyAlignment="1">
      <alignment horizontal="center"/>
    </xf>
    <xf numFmtId="0" fontId="31" fillId="9" borderId="7" xfId="0" applyFont="1" applyFill="1" applyBorder="1" applyAlignment="1">
      <alignment horizontal="center"/>
    </xf>
    <xf numFmtId="0" fontId="31" fillId="8" borderId="6" xfId="0" applyFont="1" applyFill="1" applyBorder="1" applyAlignment="1">
      <alignment horizontal="center"/>
    </xf>
    <xf numFmtId="0" fontId="31" fillId="8" borderId="7" xfId="0" applyFont="1" applyFill="1" applyBorder="1" applyAlignment="1">
      <alignment horizontal="center"/>
    </xf>
    <xf numFmtId="0" fontId="31" fillId="8" borderId="10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31" fillId="7" borderId="3" xfId="0" applyFont="1" applyFill="1" applyBorder="1" applyAlignment="1">
      <alignment horizontal="center"/>
    </xf>
    <xf numFmtId="0" fontId="31" fillId="7" borderId="2" xfId="0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2" fontId="0" fillId="0" borderId="1" xfId="0" applyNumberForma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4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12" fillId="0" borderId="8" xfId="14" applyBorder="1" applyAlignment="1">
      <alignment horizontal="left" vertical="center" wrapText="1"/>
    </xf>
    <xf numFmtId="0" fontId="12" fillId="0" borderId="0" xfId="14" applyAlignment="1">
      <alignment horizontal="left" vertical="center" wrapText="1"/>
    </xf>
    <xf numFmtId="165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 wrapText="1"/>
    </xf>
    <xf numFmtId="0" fontId="14" fillId="4" borderId="0" xfId="8" applyFont="1" applyFill="1" applyAlignment="1">
      <alignment horizontal="left" vertical="top" wrapText="1"/>
    </xf>
    <xf numFmtId="0" fontId="1" fillId="0" borderId="0" xfId="8" applyFont="1"/>
    <xf numFmtId="0" fontId="1" fillId="0" borderId="0" xfId="8" applyFont="1" applyAlignment="1">
      <alignment wrapText="1"/>
    </xf>
    <xf numFmtId="165" fontId="4" fillId="0" borderId="1" xfId="0" applyNumberFormat="1" applyFont="1" applyBorder="1" applyAlignment="1">
      <alignment horizontal="center"/>
    </xf>
    <xf numFmtId="165" fontId="0" fillId="0" borderId="1" xfId="0" applyNumberFormat="1" applyBorder="1" applyAlignment="1">
      <alignment horizontal="right"/>
    </xf>
  </cellXfs>
  <cellStyles count="20">
    <cellStyle name="Comma" xfId="6" builtinId="3"/>
    <cellStyle name="Comma 2" xfId="12" xr:uid="{00000000-0005-0000-0000-000001000000}"/>
    <cellStyle name="Comma 2 2" xfId="19" xr:uid="{B1D03C95-1658-4AE8-AB1D-FD08A85605A0}"/>
    <cellStyle name="Comma 3" xfId="10" xr:uid="{00000000-0005-0000-0000-000002000000}"/>
    <cellStyle name="Comma 3 2" xfId="18" xr:uid="{CABD5A73-FA0D-4FED-900F-69B66A179CAF}"/>
    <cellStyle name="Hyperlink" xfId="14" builtinId="8"/>
    <cellStyle name="Hyperlink 2" xfId="15" xr:uid="{7C59C48C-0CE1-40AE-9611-E83A97B8BD37}"/>
    <cellStyle name="Hyperlink 3" xfId="17" xr:uid="{D0FB5557-7F1D-4787-93C7-573EDA56861B}"/>
    <cellStyle name="Milliers 2" xfId="3" xr:uid="{00000000-0005-0000-0000-000003000000}"/>
    <cellStyle name="Milliers 3" xfId="5" xr:uid="{00000000-0005-0000-0000-000004000000}"/>
    <cellStyle name="Normal" xfId="0" builtinId="0"/>
    <cellStyle name="Normal 2" xfId="8" xr:uid="{00000000-0005-0000-0000-000006000000}"/>
    <cellStyle name="Normal 2 2 2" xfId="16" xr:uid="{639B1E44-AC82-4E60-9001-1AE4D6D7BBC6}"/>
    <cellStyle name="Normal 3" xfId="1" xr:uid="{00000000-0005-0000-0000-000007000000}"/>
    <cellStyle name="Normal 3 2" xfId="13" xr:uid="{00000000-0005-0000-0000-000008000000}"/>
    <cellStyle name="Normal 4" xfId="9" xr:uid="{00000000-0005-0000-0000-000009000000}"/>
    <cellStyle name="Normal 5" xfId="2" xr:uid="{00000000-0005-0000-0000-00000A000000}"/>
    <cellStyle name="Per cent" xfId="7" builtinId="5"/>
    <cellStyle name="Percent 2" xfId="11" xr:uid="{00000000-0005-0000-0000-00000C000000}"/>
    <cellStyle name="Pourcentage 2" xfId="4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38553</xdr:colOff>
      <xdr:row>34</xdr:row>
      <xdr:rowOff>6350</xdr:rowOff>
    </xdr:from>
    <xdr:to>
      <xdr:col>6</xdr:col>
      <xdr:colOff>3575050</xdr:colOff>
      <xdr:row>36</xdr:row>
      <xdr:rowOff>33580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A099A7-84D1-0563-1A5E-6292B2B00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903" y="6273800"/>
          <a:ext cx="3536497" cy="427279"/>
        </a:xfrm>
        <a:prstGeom prst="rect">
          <a:avLst/>
        </a:prstGeom>
      </xdr:spPr>
    </xdr:pic>
    <xdr:clientData/>
  </xdr:twoCellAnchor>
  <xdr:twoCellAnchor editAs="oneCell">
    <xdr:from>
      <xdr:col>6</xdr:col>
      <xdr:colOff>12700</xdr:colOff>
      <xdr:row>13</xdr:row>
      <xdr:rowOff>6351</xdr:rowOff>
    </xdr:from>
    <xdr:to>
      <xdr:col>6</xdr:col>
      <xdr:colOff>3505200</xdr:colOff>
      <xdr:row>14</xdr:row>
      <xdr:rowOff>179969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91472F-18D2-A269-8160-046A4B49C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66050" y="2400301"/>
          <a:ext cx="3492500" cy="357768"/>
        </a:xfrm>
        <a:prstGeom prst="rect">
          <a:avLst/>
        </a:prstGeom>
      </xdr:spPr>
    </xdr:pic>
    <xdr:clientData/>
  </xdr:twoCellAnchor>
  <xdr:twoCellAnchor editAs="oneCell">
    <xdr:from>
      <xdr:col>6</xdr:col>
      <xdr:colOff>31752</xdr:colOff>
      <xdr:row>31</xdr:row>
      <xdr:rowOff>182553</xdr:rowOff>
    </xdr:from>
    <xdr:to>
      <xdr:col>6</xdr:col>
      <xdr:colOff>1544146</xdr:colOff>
      <xdr:row>34</xdr:row>
      <xdr:rowOff>7159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2D0C14D-BD93-EE4F-8FE1-8B4524A78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07352" y="6875453"/>
          <a:ext cx="1512394" cy="3961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201706</xdr:colOff>
      <xdr:row>26</xdr:row>
      <xdr:rowOff>44824</xdr:rowOff>
    </xdr:from>
    <xdr:to>
      <xdr:col>6</xdr:col>
      <xdr:colOff>3690471</xdr:colOff>
      <xdr:row>29</xdr:row>
      <xdr:rowOff>161497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65C103-D273-8F95-4890-8BFF9A27A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8882" y="5289177"/>
          <a:ext cx="3488765" cy="699379"/>
        </a:xfrm>
        <a:prstGeom prst="rect">
          <a:avLst/>
        </a:prstGeom>
      </xdr:spPr>
    </xdr:pic>
    <xdr:clientData/>
  </xdr:twoCellAnchor>
  <xdr:twoCellAnchor editAs="oneCell">
    <xdr:from>
      <xdr:col>6</xdr:col>
      <xdr:colOff>164352</xdr:colOff>
      <xdr:row>13</xdr:row>
      <xdr:rowOff>14944</xdr:rowOff>
    </xdr:from>
    <xdr:to>
      <xdr:col>6</xdr:col>
      <xdr:colOff>3623235</xdr:colOff>
      <xdr:row>14</xdr:row>
      <xdr:rowOff>174067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9108335-6394-64B8-2A68-635069578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26411" y="2442885"/>
          <a:ext cx="3458883" cy="345888"/>
        </a:xfrm>
        <a:prstGeom prst="rect">
          <a:avLst/>
        </a:prstGeom>
      </xdr:spPr>
    </xdr:pic>
    <xdr:clientData/>
  </xdr:twoCellAnchor>
  <xdr:twoCellAnchor editAs="oneCell">
    <xdr:from>
      <xdr:col>6</xdr:col>
      <xdr:colOff>38553</xdr:colOff>
      <xdr:row>47</xdr:row>
      <xdr:rowOff>6350</xdr:rowOff>
    </xdr:from>
    <xdr:to>
      <xdr:col>6</xdr:col>
      <xdr:colOff>2965450</xdr:colOff>
      <xdr:row>49</xdr:row>
      <xdr:rowOff>84380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D901B6F-4F9E-CF41-A9EB-2A340B4C0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33253" y="9366250"/>
          <a:ext cx="2926897" cy="459030"/>
        </a:xfrm>
        <a:prstGeom prst="rect">
          <a:avLst/>
        </a:prstGeom>
      </xdr:spPr>
    </xdr:pic>
    <xdr:clientData/>
  </xdr:twoCellAnchor>
  <xdr:twoCellAnchor editAs="oneCell">
    <xdr:from>
      <xdr:col>6</xdr:col>
      <xdr:colOff>31752</xdr:colOff>
      <xdr:row>44</xdr:row>
      <xdr:rowOff>182553</xdr:rowOff>
    </xdr:from>
    <xdr:to>
      <xdr:col>6</xdr:col>
      <xdr:colOff>1340946</xdr:colOff>
      <xdr:row>47</xdr:row>
      <xdr:rowOff>7159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5323188-C962-0942-95FD-8183072BB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26452" y="8970953"/>
          <a:ext cx="1309194" cy="3961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225425</xdr:colOff>
      <xdr:row>18</xdr:row>
      <xdr:rowOff>53975</xdr:rowOff>
    </xdr:from>
    <xdr:ext cx="8778875" cy="2498725"/>
    <xdr:pic>
      <xdr:nvPicPr>
        <xdr:cNvPr id="2" name="Picture 1">
          <a:extLst>
            <a:ext uri="{FF2B5EF4-FFF2-40B4-BE49-F238E27FC236}">
              <a16:creationId xmlns:a16="http://schemas.microsoft.com/office/drawing/2014/main" id="{90B0D429-AB12-4271-B546-CA8ADAE7D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425" y="4137025"/>
          <a:ext cx="8778875" cy="249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37</xdr:row>
      <xdr:rowOff>98425</xdr:rowOff>
    </xdr:from>
    <xdr:ext cx="7966075" cy="2362200"/>
    <xdr:pic>
      <xdr:nvPicPr>
        <xdr:cNvPr id="3" name="Picture 2">
          <a:extLst>
            <a:ext uri="{FF2B5EF4-FFF2-40B4-BE49-F238E27FC236}">
              <a16:creationId xmlns:a16="http://schemas.microsoft.com/office/drawing/2014/main" id="{314A90E7-F14D-49AE-8915-B30F45A29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21625"/>
          <a:ext cx="7966075" cy="2362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88900</xdr:colOff>
      <xdr:row>49</xdr:row>
      <xdr:rowOff>158750</xdr:rowOff>
    </xdr:from>
    <xdr:ext cx="7839075" cy="1893887"/>
    <xdr:pic>
      <xdr:nvPicPr>
        <xdr:cNvPr id="4" name="Picture 3">
          <a:extLst>
            <a:ext uri="{FF2B5EF4-FFF2-40B4-BE49-F238E27FC236}">
              <a16:creationId xmlns:a16="http://schemas.microsoft.com/office/drawing/2014/main" id="{149A1667-CB9E-4B19-B50C-5FCA8545D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10788650"/>
          <a:ext cx="7839075" cy="18938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760412</xdr:colOff>
      <xdr:row>63</xdr:row>
      <xdr:rowOff>196850</xdr:rowOff>
    </xdr:from>
    <xdr:ext cx="6502400" cy="1366838"/>
    <xdr:pic>
      <xdr:nvPicPr>
        <xdr:cNvPr id="5" name="Picture 4">
          <a:extLst>
            <a:ext uri="{FF2B5EF4-FFF2-40B4-BE49-F238E27FC236}">
              <a16:creationId xmlns:a16="http://schemas.microsoft.com/office/drawing/2014/main" id="{0CE1B5F7-C14E-4037-9886-19FE7C4E1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36412" y="13995400"/>
          <a:ext cx="6502400" cy="13668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9283700" cy="2936875"/>
    <xdr:pic>
      <xdr:nvPicPr>
        <xdr:cNvPr id="6" name="Picture 5">
          <a:extLst>
            <a:ext uri="{FF2B5EF4-FFF2-40B4-BE49-F238E27FC236}">
              <a16:creationId xmlns:a16="http://schemas.microsoft.com/office/drawing/2014/main" id="{6FD65804-80A2-4F1F-B62C-67511CE10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83700" cy="293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66</xdr:row>
      <xdr:rowOff>0</xdr:rowOff>
    </xdr:from>
    <xdr:ext cx="9309100" cy="6118225"/>
    <xdr:pic>
      <xdr:nvPicPr>
        <xdr:cNvPr id="7" name="Picture 6">
          <a:extLst>
            <a:ext uri="{FF2B5EF4-FFF2-40B4-BE49-F238E27FC236}">
              <a16:creationId xmlns:a16="http://schemas.microsoft.com/office/drawing/2014/main" id="{A4B3F2EF-1EF4-4670-A6A7-584110372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82800"/>
          <a:ext cx="9309100" cy="611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ldstandard.org/project-developers/standard-document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oldstandard.org/project-developers/standard-documents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data.un.org/Data.aspx?d=EDATA&amp;f=cmID%3aFW%20(year%202021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633D8-6080-AC43-B031-8127F85F3C8C}">
  <dimension ref="A1:AD242"/>
  <sheetViews>
    <sheetView topLeftCell="A219" workbookViewId="0">
      <selection activeCell="K242" sqref="K242"/>
    </sheetView>
  </sheetViews>
  <sheetFormatPr baseColWidth="10" defaultColWidth="8.83203125" defaultRowHeight="15"/>
  <cols>
    <col min="1" max="1" width="25.1640625" style="7" customWidth="1"/>
    <col min="2" max="2" width="8.1640625" style="7" customWidth="1"/>
    <col min="3" max="3" width="10.83203125" style="7" customWidth="1"/>
    <col min="4" max="5" width="8.83203125" style="7"/>
    <col min="6" max="6" width="11.83203125" style="7" customWidth="1"/>
    <col min="7" max="7" width="10.83203125" style="7" customWidth="1"/>
    <col min="8" max="8" width="12.1640625" style="7" customWidth="1"/>
    <col min="9" max="10" width="8.83203125" style="7"/>
    <col min="11" max="11" width="9" style="7" customWidth="1"/>
    <col min="12" max="12" width="11.83203125" style="7" bestFit="1" customWidth="1"/>
    <col min="13" max="13" width="11.5" style="7" customWidth="1"/>
    <col min="14" max="14" width="9.83203125" style="7" customWidth="1"/>
    <col min="15" max="15" width="14.83203125" style="7" customWidth="1"/>
    <col min="16" max="16" width="14.33203125" style="7" customWidth="1"/>
    <col min="17" max="17" width="11.6640625" style="7" customWidth="1"/>
    <col min="18" max="18" width="9.6640625" style="7" bestFit="1" customWidth="1"/>
    <col min="19" max="19" width="8.83203125" style="7"/>
    <col min="20" max="20" width="11.33203125" style="7" customWidth="1"/>
    <col min="21" max="21" width="15.1640625" style="7" customWidth="1"/>
    <col min="22" max="22" width="17.5" style="7" customWidth="1"/>
    <col min="23" max="23" width="20.33203125" style="7" customWidth="1"/>
    <col min="24" max="24" width="22.6640625" style="108" customWidth="1"/>
    <col min="25" max="26" width="26.83203125" style="7" customWidth="1"/>
    <col min="27" max="27" width="27.5" style="7" customWidth="1"/>
    <col min="28" max="16384" width="8.83203125" style="7"/>
  </cols>
  <sheetData>
    <row r="1" spans="1:30" s="156" customFormat="1" ht="73.25" customHeight="1">
      <c r="A1" s="156" t="s">
        <v>464</v>
      </c>
      <c r="B1" s="156" t="s">
        <v>465</v>
      </c>
      <c r="C1" s="156" t="s">
        <v>466</v>
      </c>
      <c r="D1" s="156" t="s">
        <v>467</v>
      </c>
      <c r="E1" s="156" t="s">
        <v>468</v>
      </c>
      <c r="F1" s="156" t="s">
        <v>469</v>
      </c>
      <c r="G1" s="156" t="s">
        <v>470</v>
      </c>
      <c r="H1" s="156" t="s">
        <v>471</v>
      </c>
      <c r="I1" s="156" t="s">
        <v>472</v>
      </c>
      <c r="J1" s="156" t="s">
        <v>473</v>
      </c>
      <c r="K1" s="156" t="s">
        <v>875</v>
      </c>
      <c r="L1" s="156" t="s">
        <v>876</v>
      </c>
      <c r="M1" s="156" t="s">
        <v>474</v>
      </c>
      <c r="N1" s="156" t="s">
        <v>475</v>
      </c>
      <c r="O1" s="156" t="s">
        <v>476</v>
      </c>
      <c r="P1" s="156" t="s">
        <v>477</v>
      </c>
      <c r="Q1" s="156" t="s">
        <v>478</v>
      </c>
      <c r="R1" s="156" t="s">
        <v>479</v>
      </c>
      <c r="S1" s="156" t="s">
        <v>480</v>
      </c>
      <c r="T1" s="156" t="s">
        <v>481</v>
      </c>
      <c r="U1" s="156" t="s">
        <v>482</v>
      </c>
      <c r="V1" s="156" t="s">
        <v>483</v>
      </c>
      <c r="W1" s="156" t="s">
        <v>484</v>
      </c>
      <c r="X1" s="157" t="s">
        <v>485</v>
      </c>
      <c r="Y1" s="156" t="s">
        <v>486</v>
      </c>
      <c r="Z1" s="156" t="s">
        <v>796</v>
      </c>
      <c r="AA1" s="7" t="s">
        <v>487</v>
      </c>
      <c r="AB1" s="156" t="s">
        <v>462</v>
      </c>
      <c r="AC1" s="156" t="s">
        <v>800</v>
      </c>
      <c r="AD1" s="156" t="s">
        <v>463</v>
      </c>
    </row>
    <row r="2" spans="1:30">
      <c r="A2" s="7" t="s">
        <v>488</v>
      </c>
      <c r="B2" s="7" t="s">
        <v>489</v>
      </c>
      <c r="C2" s="7">
        <v>725731592</v>
      </c>
      <c r="D2" s="7" t="s">
        <v>490</v>
      </c>
      <c r="E2" s="7" t="s">
        <v>491</v>
      </c>
      <c r="F2" s="7">
        <v>4</v>
      </c>
      <c r="G2" s="7" t="s">
        <v>0</v>
      </c>
      <c r="H2" s="7" t="s">
        <v>2</v>
      </c>
      <c r="I2" s="7" t="s">
        <v>492</v>
      </c>
      <c r="J2" s="7" t="s">
        <v>493</v>
      </c>
      <c r="K2" s="7">
        <v>10</v>
      </c>
      <c r="L2" s="7">
        <v>6</v>
      </c>
      <c r="M2" s="7">
        <v>0</v>
      </c>
      <c r="N2" s="7">
        <v>3</v>
      </c>
      <c r="O2" s="7">
        <v>2</v>
      </c>
      <c r="P2" s="7">
        <v>7</v>
      </c>
      <c r="Q2" s="7">
        <v>4</v>
      </c>
      <c r="R2" s="7">
        <v>0</v>
      </c>
      <c r="S2" s="7" t="s">
        <v>492</v>
      </c>
      <c r="T2" s="7">
        <v>24</v>
      </c>
      <c r="U2" s="7">
        <v>15</v>
      </c>
      <c r="V2" s="7">
        <v>20</v>
      </c>
      <c r="W2" s="7" t="s">
        <v>494</v>
      </c>
      <c r="X2" s="108">
        <v>1</v>
      </c>
      <c r="Y2" s="7" t="s">
        <v>495</v>
      </c>
      <c r="Z2" s="7">
        <f>IF(Y2="Quarterly",3,IF(Y2="Monthly",1,IF(Y2="Bi-annually",6,IF(Y2="annualy",12,0))))</f>
        <v>3</v>
      </c>
      <c r="AA2" s="7" t="s">
        <v>462</v>
      </c>
      <c r="AB2" s="7">
        <f>COUNTIF(AA2:AA226,AB1)</f>
        <v>207</v>
      </c>
      <c r="AC2" s="7">
        <f>COUNTIF(AA2:AA226,AC1)</f>
        <v>16</v>
      </c>
      <c r="AD2" s="7">
        <f>COUNTIF(AA2:AA226,AD1)</f>
        <v>2</v>
      </c>
    </row>
    <row r="3" spans="1:30">
      <c r="A3" s="7" t="s">
        <v>496</v>
      </c>
      <c r="B3" s="7" t="s">
        <v>489</v>
      </c>
      <c r="C3" s="7">
        <v>713121563</v>
      </c>
      <c r="D3" s="7" t="s">
        <v>490</v>
      </c>
      <c r="E3" s="7" t="s">
        <v>497</v>
      </c>
      <c r="F3" s="7">
        <v>4</v>
      </c>
      <c r="G3" s="7" t="s">
        <v>0</v>
      </c>
      <c r="H3" s="7" t="s">
        <v>2</v>
      </c>
      <c r="I3" s="7" t="s">
        <v>492</v>
      </c>
      <c r="J3" s="7" t="s">
        <v>493</v>
      </c>
      <c r="K3" s="7">
        <v>6</v>
      </c>
      <c r="L3" s="7">
        <v>12</v>
      </c>
      <c r="M3" s="7">
        <v>0</v>
      </c>
      <c r="N3" s="7">
        <v>4.5</v>
      </c>
      <c r="O3" s="7">
        <v>3</v>
      </c>
      <c r="P3" s="7" t="s">
        <v>498</v>
      </c>
      <c r="Q3" s="7">
        <v>4</v>
      </c>
      <c r="R3" s="7">
        <v>0</v>
      </c>
      <c r="S3" s="7" t="s">
        <v>492</v>
      </c>
      <c r="T3" s="7">
        <v>24</v>
      </c>
      <c r="U3" s="7">
        <v>9</v>
      </c>
      <c r="V3" s="7">
        <v>20</v>
      </c>
      <c r="W3" s="7" t="s">
        <v>499</v>
      </c>
      <c r="X3" s="108">
        <v>1</v>
      </c>
      <c r="Y3" s="7" t="s">
        <v>500</v>
      </c>
      <c r="Z3" s="7">
        <f t="shared" ref="Z3:Z66" si="0">IF(Y3="Quarterly",3,IF(Y3="Monthly",1,IF(Y3="Bi-annually",6,IF(Y3="annualy",12,0))))</f>
        <v>1</v>
      </c>
      <c r="AA3" s="7" t="s">
        <v>462</v>
      </c>
    </row>
    <row r="4" spans="1:30">
      <c r="A4" s="7" t="s">
        <v>501</v>
      </c>
      <c r="B4" s="7" t="s">
        <v>489</v>
      </c>
      <c r="C4" s="7">
        <v>713149580</v>
      </c>
      <c r="D4" s="7" t="s">
        <v>490</v>
      </c>
      <c r="E4" s="7" t="s">
        <v>497</v>
      </c>
      <c r="F4" s="7">
        <v>5</v>
      </c>
      <c r="G4" s="7" t="s">
        <v>0</v>
      </c>
      <c r="H4" s="7" t="s">
        <v>2</v>
      </c>
      <c r="I4" s="7" t="s">
        <v>492</v>
      </c>
      <c r="J4" s="7" t="s">
        <v>493</v>
      </c>
      <c r="K4" s="7">
        <v>7</v>
      </c>
      <c r="L4" s="7">
        <v>12</v>
      </c>
      <c r="M4" s="7">
        <v>0</v>
      </c>
      <c r="N4" s="7">
        <v>4</v>
      </c>
      <c r="O4" s="7">
        <v>1.5</v>
      </c>
      <c r="P4" s="7" t="s">
        <v>502</v>
      </c>
      <c r="Q4" s="7">
        <v>3</v>
      </c>
      <c r="R4" s="7">
        <v>0</v>
      </c>
      <c r="S4" s="7" t="s">
        <v>492</v>
      </c>
      <c r="T4" s="7">
        <v>24</v>
      </c>
      <c r="U4" s="7">
        <v>6</v>
      </c>
      <c r="V4" s="7">
        <v>20</v>
      </c>
      <c r="W4" s="7" t="s">
        <v>494</v>
      </c>
      <c r="X4" s="108">
        <v>1</v>
      </c>
      <c r="Y4" s="7" t="s">
        <v>495</v>
      </c>
      <c r="Z4" s="7">
        <f t="shared" si="0"/>
        <v>3</v>
      </c>
      <c r="AA4" s="7" t="s">
        <v>462</v>
      </c>
      <c r="AB4" s="158">
        <f>AB2/225</f>
        <v>0.92</v>
      </c>
      <c r="AC4" s="158">
        <f>AC2/225</f>
        <v>7.1111111111111111E-2</v>
      </c>
      <c r="AD4" s="158">
        <f>AD2/225</f>
        <v>8.8888888888888889E-3</v>
      </c>
    </row>
    <row r="5" spans="1:30">
      <c r="A5" s="7" t="s">
        <v>503</v>
      </c>
      <c r="B5" s="7" t="s">
        <v>504</v>
      </c>
      <c r="C5" s="7">
        <v>713496520</v>
      </c>
      <c r="D5" s="7" t="s">
        <v>490</v>
      </c>
      <c r="E5" s="7" t="s">
        <v>505</v>
      </c>
      <c r="F5" s="7">
        <v>5</v>
      </c>
      <c r="G5" s="7" t="s">
        <v>0</v>
      </c>
      <c r="H5" s="7" t="s">
        <v>2</v>
      </c>
      <c r="I5" s="7" t="s">
        <v>492</v>
      </c>
      <c r="J5" s="7" t="s">
        <v>493</v>
      </c>
      <c r="K5" s="7">
        <v>9</v>
      </c>
      <c r="L5" s="7">
        <v>18</v>
      </c>
      <c r="M5" s="7">
        <v>0</v>
      </c>
      <c r="N5" s="7">
        <v>5.5</v>
      </c>
      <c r="O5" s="7">
        <v>2</v>
      </c>
      <c r="P5" s="7" t="s">
        <v>506</v>
      </c>
      <c r="Q5" s="7">
        <v>5</v>
      </c>
      <c r="R5" s="7">
        <v>0</v>
      </c>
      <c r="S5" s="7" t="s">
        <v>492</v>
      </c>
      <c r="T5" s="7">
        <v>24</v>
      </c>
      <c r="U5" s="7">
        <v>3</v>
      </c>
      <c r="V5" s="7">
        <v>20</v>
      </c>
      <c r="W5" s="7" t="s">
        <v>499</v>
      </c>
      <c r="X5" s="108">
        <v>1</v>
      </c>
      <c r="Y5" s="7" t="s">
        <v>495</v>
      </c>
      <c r="Z5" s="7">
        <f t="shared" si="0"/>
        <v>3</v>
      </c>
      <c r="AA5" s="7" t="s">
        <v>462</v>
      </c>
    </row>
    <row r="6" spans="1:30">
      <c r="A6" s="7" t="s">
        <v>507</v>
      </c>
      <c r="B6" s="7" t="s">
        <v>504</v>
      </c>
      <c r="C6" s="7">
        <v>719358561</v>
      </c>
      <c r="D6" s="7" t="s">
        <v>490</v>
      </c>
      <c r="E6" s="7" t="s">
        <v>505</v>
      </c>
      <c r="F6" s="7">
        <v>5</v>
      </c>
      <c r="G6" s="7" t="s">
        <v>112</v>
      </c>
      <c r="H6" s="7" t="s">
        <v>2</v>
      </c>
      <c r="I6" s="7" t="s">
        <v>492</v>
      </c>
      <c r="J6" s="7" t="s">
        <v>493</v>
      </c>
      <c r="K6" s="7">
        <v>0</v>
      </c>
      <c r="L6" s="7">
        <v>18</v>
      </c>
      <c r="M6" s="7">
        <v>2</v>
      </c>
      <c r="N6" s="7">
        <v>3.5</v>
      </c>
      <c r="O6" s="7">
        <v>1</v>
      </c>
      <c r="P6" s="7" t="s">
        <v>506</v>
      </c>
      <c r="Q6" s="7">
        <v>3</v>
      </c>
      <c r="R6" s="7">
        <v>0</v>
      </c>
      <c r="S6" s="7" t="s">
        <v>492</v>
      </c>
      <c r="T6" s="7">
        <v>24</v>
      </c>
      <c r="U6" s="7">
        <v>3</v>
      </c>
      <c r="V6" s="7">
        <v>20</v>
      </c>
      <c r="W6" s="7" t="s">
        <v>508</v>
      </c>
      <c r="X6" s="108">
        <v>1.5</v>
      </c>
      <c r="Y6" s="7" t="s">
        <v>495</v>
      </c>
      <c r="Z6" s="7">
        <f t="shared" si="0"/>
        <v>3</v>
      </c>
      <c r="AA6" s="151" t="s">
        <v>800</v>
      </c>
    </row>
    <row r="7" spans="1:30">
      <c r="A7" s="7" t="s">
        <v>509</v>
      </c>
      <c r="B7" s="7" t="s">
        <v>504</v>
      </c>
      <c r="C7" s="7">
        <v>700105408</v>
      </c>
      <c r="D7" s="7" t="s">
        <v>490</v>
      </c>
      <c r="E7" s="7" t="s">
        <v>510</v>
      </c>
      <c r="F7" s="7">
        <v>2</v>
      </c>
      <c r="G7" s="7" t="s">
        <v>0</v>
      </c>
      <c r="H7" s="7" t="s">
        <v>2</v>
      </c>
      <c r="I7" s="7" t="s">
        <v>492</v>
      </c>
      <c r="J7" s="7" t="s">
        <v>493</v>
      </c>
      <c r="K7" s="7">
        <v>6</v>
      </c>
      <c r="L7" s="7">
        <v>12</v>
      </c>
      <c r="M7" s="7">
        <v>0</v>
      </c>
      <c r="N7" s="7">
        <v>3</v>
      </c>
      <c r="O7" s="7">
        <v>1</v>
      </c>
      <c r="P7" s="7">
        <v>8</v>
      </c>
      <c r="Q7" s="7">
        <v>5</v>
      </c>
      <c r="R7" s="7">
        <v>0</v>
      </c>
      <c r="S7" s="7" t="s">
        <v>492</v>
      </c>
      <c r="T7" s="7">
        <v>24</v>
      </c>
      <c r="U7" s="7">
        <v>3</v>
      </c>
      <c r="V7" s="7">
        <v>20</v>
      </c>
      <c r="W7" s="7" t="s">
        <v>511</v>
      </c>
      <c r="X7" s="108">
        <v>1</v>
      </c>
      <c r="Y7" s="7" t="s">
        <v>512</v>
      </c>
      <c r="Z7" s="7">
        <f t="shared" si="0"/>
        <v>6</v>
      </c>
      <c r="AA7" s="7" t="s">
        <v>462</v>
      </c>
    </row>
    <row r="8" spans="1:30" s="32" customFormat="1">
      <c r="A8" s="7" t="s">
        <v>513</v>
      </c>
      <c r="B8" s="7" t="s">
        <v>504</v>
      </c>
      <c r="C8" s="7">
        <v>725968393</v>
      </c>
      <c r="D8" s="7" t="s">
        <v>490</v>
      </c>
      <c r="E8" s="7" t="s">
        <v>505</v>
      </c>
      <c r="F8" s="7">
        <v>1</v>
      </c>
      <c r="G8" s="7" t="s">
        <v>0</v>
      </c>
      <c r="H8" s="7" t="s">
        <v>492</v>
      </c>
      <c r="I8" s="7" t="s">
        <v>492</v>
      </c>
      <c r="J8" s="7" t="s">
        <v>493</v>
      </c>
      <c r="K8" s="7">
        <v>11</v>
      </c>
      <c r="L8" s="7">
        <v>0</v>
      </c>
      <c r="M8" s="7">
        <v>0</v>
      </c>
      <c r="N8" s="7">
        <v>3</v>
      </c>
      <c r="O8" s="7">
        <v>0.5</v>
      </c>
      <c r="P8" s="7" t="s">
        <v>514</v>
      </c>
      <c r="Q8" s="7">
        <v>3</v>
      </c>
      <c r="R8" s="7">
        <v>0</v>
      </c>
      <c r="S8" s="7" t="s">
        <v>492</v>
      </c>
      <c r="T8" s="7">
        <v>24</v>
      </c>
      <c r="U8" s="7">
        <v>4</v>
      </c>
      <c r="V8" s="7">
        <v>20</v>
      </c>
      <c r="W8" s="7" t="s">
        <v>508</v>
      </c>
      <c r="X8" s="108">
        <v>1</v>
      </c>
      <c r="Y8" s="7" t="s">
        <v>797</v>
      </c>
      <c r="Z8" s="7">
        <f>IF(Y8="Quarterly",3,IF(Y8="Monthly",1,IF(Y8="Bi-annually",6,IF(Y8="Annualy",12,0))))</f>
        <v>12</v>
      </c>
      <c r="AA8" s="7" t="s">
        <v>462</v>
      </c>
    </row>
    <row r="9" spans="1:30">
      <c r="A9" s="7" t="s">
        <v>516</v>
      </c>
      <c r="B9" s="7" t="s">
        <v>489</v>
      </c>
      <c r="C9" s="7">
        <v>720247550</v>
      </c>
      <c r="D9" s="7" t="s">
        <v>490</v>
      </c>
      <c r="E9" s="7" t="s">
        <v>510</v>
      </c>
      <c r="F9" s="7">
        <v>4</v>
      </c>
      <c r="G9" s="7" t="s">
        <v>0</v>
      </c>
      <c r="H9" s="7" t="s">
        <v>492</v>
      </c>
      <c r="I9" s="7" t="s">
        <v>492</v>
      </c>
      <c r="J9" s="7" t="s">
        <v>493</v>
      </c>
      <c r="K9" s="7">
        <v>9</v>
      </c>
      <c r="L9" s="7">
        <v>0</v>
      </c>
      <c r="M9" s="7">
        <v>0</v>
      </c>
      <c r="N9" s="7">
        <v>3.5</v>
      </c>
      <c r="O9" s="7">
        <v>4</v>
      </c>
      <c r="P9" s="7">
        <v>15</v>
      </c>
      <c r="Q9" s="7">
        <v>7</v>
      </c>
      <c r="R9" s="7">
        <v>0</v>
      </c>
      <c r="S9" s="7" t="s">
        <v>492</v>
      </c>
      <c r="T9" s="7">
        <v>24</v>
      </c>
      <c r="U9" s="7">
        <v>10</v>
      </c>
      <c r="V9" s="7">
        <v>20</v>
      </c>
      <c r="W9" s="7" t="s">
        <v>508</v>
      </c>
      <c r="X9" s="108">
        <v>1</v>
      </c>
      <c r="Y9" s="7" t="s">
        <v>495</v>
      </c>
      <c r="Z9" s="7">
        <f t="shared" si="0"/>
        <v>3</v>
      </c>
      <c r="AA9" s="7" t="s">
        <v>462</v>
      </c>
    </row>
    <row r="10" spans="1:30">
      <c r="A10" s="7" t="s">
        <v>517</v>
      </c>
      <c r="B10" s="7" t="s">
        <v>504</v>
      </c>
      <c r="C10" s="7">
        <v>725885195</v>
      </c>
      <c r="D10" s="7" t="s">
        <v>490</v>
      </c>
      <c r="E10" s="7" t="s">
        <v>510</v>
      </c>
      <c r="F10" s="7">
        <v>2</v>
      </c>
      <c r="G10" s="7" t="s">
        <v>0</v>
      </c>
      <c r="H10" s="7" t="s">
        <v>492</v>
      </c>
      <c r="I10" s="7" t="s">
        <v>492</v>
      </c>
      <c r="J10" s="7" t="s">
        <v>518</v>
      </c>
      <c r="K10" s="7">
        <v>7</v>
      </c>
      <c r="L10" s="7">
        <v>0</v>
      </c>
      <c r="M10" s="7">
        <v>0</v>
      </c>
      <c r="N10" s="7">
        <v>3</v>
      </c>
      <c r="O10" s="7">
        <v>3</v>
      </c>
      <c r="P10" s="7">
        <v>1</v>
      </c>
      <c r="Q10" s="7">
        <v>5</v>
      </c>
      <c r="R10" s="7">
        <v>0</v>
      </c>
      <c r="S10" s="7" t="s">
        <v>492</v>
      </c>
      <c r="T10" s="7">
        <v>24</v>
      </c>
      <c r="U10" s="7">
        <v>10</v>
      </c>
      <c r="V10" s="7">
        <v>20</v>
      </c>
      <c r="W10" s="7" t="s">
        <v>494</v>
      </c>
      <c r="X10" s="108">
        <v>1</v>
      </c>
      <c r="Y10" s="7" t="s">
        <v>512</v>
      </c>
      <c r="Z10" s="7">
        <f t="shared" si="0"/>
        <v>6</v>
      </c>
      <c r="AA10" s="7" t="s">
        <v>462</v>
      </c>
    </row>
    <row r="11" spans="1:30">
      <c r="A11" s="7" t="s">
        <v>519</v>
      </c>
      <c r="B11" s="7" t="s">
        <v>504</v>
      </c>
      <c r="C11" s="7">
        <v>727483947</v>
      </c>
      <c r="D11" s="7" t="s">
        <v>490</v>
      </c>
      <c r="E11" s="7" t="s">
        <v>491</v>
      </c>
      <c r="F11" s="7">
        <v>5</v>
      </c>
      <c r="G11" s="7" t="s">
        <v>0</v>
      </c>
      <c r="H11" s="7" t="s">
        <v>2</v>
      </c>
      <c r="I11" s="7" t="s">
        <v>492</v>
      </c>
      <c r="J11" s="7" t="s">
        <v>493</v>
      </c>
      <c r="K11" s="7">
        <v>10</v>
      </c>
      <c r="L11" s="7">
        <v>12</v>
      </c>
      <c r="M11" s="7">
        <v>0</v>
      </c>
      <c r="N11" s="7">
        <v>3</v>
      </c>
      <c r="O11" s="7">
        <v>4</v>
      </c>
      <c r="P11" s="7">
        <v>0.5</v>
      </c>
      <c r="Q11" s="7">
        <v>5</v>
      </c>
      <c r="R11" s="7">
        <v>0</v>
      </c>
      <c r="S11" s="7" t="s">
        <v>492</v>
      </c>
      <c r="T11" s="7">
        <v>24</v>
      </c>
      <c r="U11" s="7">
        <v>6</v>
      </c>
      <c r="V11" s="7">
        <v>20</v>
      </c>
      <c r="W11" s="7" t="s">
        <v>494</v>
      </c>
      <c r="X11" s="108">
        <v>1.5</v>
      </c>
      <c r="Y11" s="7" t="s">
        <v>495</v>
      </c>
      <c r="Z11" s="7">
        <f t="shared" si="0"/>
        <v>3</v>
      </c>
      <c r="AA11" s="7" t="s">
        <v>462</v>
      </c>
    </row>
    <row r="12" spans="1:30">
      <c r="A12" s="7" t="s">
        <v>520</v>
      </c>
      <c r="B12" s="7" t="s">
        <v>504</v>
      </c>
      <c r="C12" s="7">
        <v>705168945</v>
      </c>
      <c r="D12" s="7" t="s">
        <v>490</v>
      </c>
      <c r="E12" s="7" t="s">
        <v>491</v>
      </c>
      <c r="F12" s="7">
        <v>5</v>
      </c>
      <c r="G12" s="7" t="s">
        <v>0</v>
      </c>
      <c r="H12" s="7" t="s">
        <v>2</v>
      </c>
      <c r="I12" s="7" t="s">
        <v>492</v>
      </c>
      <c r="J12" s="7" t="s">
        <v>493</v>
      </c>
      <c r="K12" s="7">
        <v>10</v>
      </c>
      <c r="L12" s="7">
        <v>6</v>
      </c>
      <c r="M12" s="7">
        <v>0</v>
      </c>
      <c r="N12" s="7">
        <v>3.5</v>
      </c>
      <c r="O12" s="7">
        <v>3</v>
      </c>
      <c r="P12" s="7">
        <v>4.5</v>
      </c>
      <c r="Q12" s="7">
        <v>6</v>
      </c>
      <c r="R12" s="7">
        <v>0</v>
      </c>
      <c r="S12" s="7" t="s">
        <v>492</v>
      </c>
      <c r="T12" s="7">
        <v>24</v>
      </c>
      <c r="U12" s="7">
        <v>6</v>
      </c>
      <c r="V12" s="7">
        <v>20</v>
      </c>
      <c r="W12" s="7" t="s">
        <v>508</v>
      </c>
      <c r="X12" s="108">
        <v>1</v>
      </c>
      <c r="Y12" s="7" t="s">
        <v>495</v>
      </c>
      <c r="Z12" s="7">
        <f t="shared" si="0"/>
        <v>3</v>
      </c>
      <c r="AA12" s="151" t="s">
        <v>800</v>
      </c>
    </row>
    <row r="13" spans="1:30">
      <c r="A13" s="7" t="s">
        <v>521</v>
      </c>
      <c r="B13" s="7" t="s">
        <v>504</v>
      </c>
      <c r="C13" s="7">
        <v>746009734</v>
      </c>
      <c r="D13" s="7" t="s">
        <v>490</v>
      </c>
      <c r="E13" s="7" t="s">
        <v>497</v>
      </c>
      <c r="F13" s="7">
        <v>4</v>
      </c>
      <c r="G13" s="7" t="s">
        <v>0</v>
      </c>
      <c r="H13" s="7" t="s">
        <v>2</v>
      </c>
      <c r="I13" s="7" t="s">
        <v>492</v>
      </c>
      <c r="J13" s="7" t="s">
        <v>493</v>
      </c>
      <c r="K13" s="7">
        <v>10</v>
      </c>
      <c r="L13" s="7">
        <v>18</v>
      </c>
      <c r="M13" s="7">
        <v>0</v>
      </c>
      <c r="N13" s="7">
        <v>3</v>
      </c>
      <c r="O13" s="7">
        <v>3.5</v>
      </c>
      <c r="P13" s="7" t="s">
        <v>522</v>
      </c>
      <c r="Q13" s="7">
        <v>4</v>
      </c>
      <c r="R13" s="7">
        <v>0</v>
      </c>
      <c r="S13" s="7" t="s">
        <v>492</v>
      </c>
      <c r="T13" s="7">
        <v>24</v>
      </c>
      <c r="U13" s="7">
        <v>21</v>
      </c>
      <c r="V13" s="7">
        <v>20</v>
      </c>
      <c r="W13" s="7" t="s">
        <v>499</v>
      </c>
      <c r="X13" s="108">
        <v>1</v>
      </c>
      <c r="Y13" s="7" t="s">
        <v>512</v>
      </c>
      <c r="Z13" s="7">
        <f t="shared" si="0"/>
        <v>6</v>
      </c>
      <c r="AA13" s="7" t="s">
        <v>462</v>
      </c>
    </row>
    <row r="14" spans="1:30">
      <c r="A14" s="7" t="s">
        <v>523</v>
      </c>
      <c r="B14" s="7" t="s">
        <v>489</v>
      </c>
      <c r="C14" s="7">
        <v>721548640</v>
      </c>
      <c r="D14" s="7" t="s">
        <v>490</v>
      </c>
      <c r="E14" s="7" t="s">
        <v>497</v>
      </c>
      <c r="F14" s="7">
        <v>2</v>
      </c>
      <c r="G14" s="7" t="s">
        <v>0</v>
      </c>
      <c r="H14" s="7" t="s">
        <v>492</v>
      </c>
      <c r="I14" s="7" t="s">
        <v>492</v>
      </c>
      <c r="J14" s="7" t="s">
        <v>493</v>
      </c>
      <c r="K14" s="7">
        <v>11</v>
      </c>
      <c r="L14" s="7">
        <v>0</v>
      </c>
      <c r="M14" s="7">
        <v>0</v>
      </c>
      <c r="N14" s="7">
        <v>3</v>
      </c>
      <c r="O14" s="7">
        <v>4</v>
      </c>
      <c r="P14" s="7" t="s">
        <v>514</v>
      </c>
      <c r="Q14" s="7">
        <v>4</v>
      </c>
      <c r="R14" s="7">
        <v>0</v>
      </c>
      <c r="S14" s="7" t="s">
        <v>492</v>
      </c>
      <c r="T14" s="7">
        <v>24</v>
      </c>
      <c r="U14" s="7">
        <v>4</v>
      </c>
      <c r="V14" s="7">
        <v>20</v>
      </c>
      <c r="W14" s="7" t="s">
        <v>508</v>
      </c>
      <c r="X14" s="108">
        <v>1</v>
      </c>
      <c r="Y14" s="7" t="s">
        <v>500</v>
      </c>
      <c r="Z14" s="7">
        <f t="shared" si="0"/>
        <v>1</v>
      </c>
      <c r="AA14" s="7" t="s">
        <v>462</v>
      </c>
    </row>
    <row r="15" spans="1:30">
      <c r="A15" s="7" t="s">
        <v>524</v>
      </c>
      <c r="B15" s="7" t="s">
        <v>504</v>
      </c>
      <c r="C15" s="7">
        <v>716235224</v>
      </c>
      <c r="D15" s="7" t="s">
        <v>525</v>
      </c>
      <c r="E15" s="7" t="s">
        <v>505</v>
      </c>
      <c r="F15" s="7">
        <v>4</v>
      </c>
      <c r="G15" s="7" t="s">
        <v>0</v>
      </c>
      <c r="H15" s="7" t="s">
        <v>2</v>
      </c>
      <c r="I15" s="7" t="s">
        <v>492</v>
      </c>
      <c r="J15" s="7" t="s">
        <v>493</v>
      </c>
      <c r="K15" s="7">
        <v>10</v>
      </c>
      <c r="L15" s="7">
        <v>12</v>
      </c>
      <c r="M15" s="7">
        <v>0</v>
      </c>
      <c r="N15" s="7">
        <v>3</v>
      </c>
      <c r="O15" s="7">
        <v>1.5</v>
      </c>
      <c r="P15" s="7" t="s">
        <v>514</v>
      </c>
      <c r="Q15" s="7">
        <v>4</v>
      </c>
      <c r="R15" s="7">
        <v>0</v>
      </c>
      <c r="S15" s="7" t="s">
        <v>492</v>
      </c>
      <c r="T15" s="7">
        <v>24</v>
      </c>
      <c r="U15" s="7">
        <v>12</v>
      </c>
      <c r="V15" s="7">
        <v>20</v>
      </c>
      <c r="W15" s="7" t="s">
        <v>508</v>
      </c>
      <c r="X15" s="108">
        <v>1</v>
      </c>
      <c r="Y15" s="7" t="s">
        <v>495</v>
      </c>
      <c r="Z15" s="7">
        <f t="shared" si="0"/>
        <v>3</v>
      </c>
      <c r="AA15" s="7" t="s">
        <v>462</v>
      </c>
    </row>
    <row r="16" spans="1:30">
      <c r="A16" s="7" t="s">
        <v>526</v>
      </c>
      <c r="B16" s="7" t="s">
        <v>504</v>
      </c>
      <c r="C16" s="7">
        <v>701617546</v>
      </c>
      <c r="D16" s="7" t="s">
        <v>490</v>
      </c>
      <c r="E16" s="7" t="s">
        <v>505</v>
      </c>
      <c r="F16" s="7">
        <v>6</v>
      </c>
      <c r="G16" s="7" t="s">
        <v>0</v>
      </c>
      <c r="H16" s="7" t="s">
        <v>2</v>
      </c>
      <c r="I16" s="7" t="s">
        <v>492</v>
      </c>
      <c r="J16" s="7" t="s">
        <v>493</v>
      </c>
      <c r="K16" s="7">
        <v>10</v>
      </c>
      <c r="L16" s="7">
        <v>18</v>
      </c>
      <c r="M16" s="7">
        <v>0</v>
      </c>
      <c r="N16" s="7">
        <v>3</v>
      </c>
      <c r="O16" s="7">
        <v>0.5</v>
      </c>
      <c r="P16" s="7" t="s">
        <v>527</v>
      </c>
      <c r="Q16" s="7">
        <v>5</v>
      </c>
      <c r="R16" s="7">
        <v>0</v>
      </c>
      <c r="S16" s="7" t="s">
        <v>492</v>
      </c>
      <c r="T16" s="7">
        <v>24</v>
      </c>
      <c r="U16" s="7">
        <v>10</v>
      </c>
      <c r="V16" s="7">
        <v>20</v>
      </c>
      <c r="W16" s="7" t="s">
        <v>508</v>
      </c>
      <c r="X16" s="108">
        <v>1.5</v>
      </c>
      <c r="Y16" s="7" t="s">
        <v>512</v>
      </c>
      <c r="Z16" s="7">
        <f t="shared" si="0"/>
        <v>6</v>
      </c>
      <c r="AA16" s="7" t="s">
        <v>462</v>
      </c>
    </row>
    <row r="17" spans="1:27">
      <c r="A17" s="7" t="s">
        <v>528</v>
      </c>
      <c r="B17" s="7" t="s">
        <v>504</v>
      </c>
      <c r="C17" s="7">
        <v>724449565</v>
      </c>
      <c r="D17" s="7" t="s">
        <v>490</v>
      </c>
      <c r="E17" s="7" t="s">
        <v>505</v>
      </c>
      <c r="F17" s="7">
        <v>4</v>
      </c>
      <c r="G17" s="7" t="s">
        <v>0</v>
      </c>
      <c r="H17" s="7" t="s">
        <v>2</v>
      </c>
      <c r="I17" s="7" t="s">
        <v>492</v>
      </c>
      <c r="J17" s="7" t="s">
        <v>493</v>
      </c>
      <c r="K17" s="7">
        <v>7</v>
      </c>
      <c r="L17" s="7">
        <v>6</v>
      </c>
      <c r="M17" s="7">
        <v>0</v>
      </c>
      <c r="N17" s="7">
        <v>3</v>
      </c>
      <c r="O17" s="7">
        <v>1</v>
      </c>
      <c r="P17" s="7" t="s">
        <v>529</v>
      </c>
      <c r="Q17" s="7">
        <v>4</v>
      </c>
      <c r="R17" s="7">
        <v>0</v>
      </c>
      <c r="S17" s="7" t="s">
        <v>492</v>
      </c>
      <c r="T17" s="7">
        <v>24</v>
      </c>
      <c r="U17" s="7">
        <v>5.5</v>
      </c>
      <c r="V17" s="7">
        <v>20</v>
      </c>
      <c r="W17" s="7" t="s">
        <v>508</v>
      </c>
      <c r="X17" s="108">
        <v>1</v>
      </c>
      <c r="Y17" s="7" t="s">
        <v>495</v>
      </c>
      <c r="Z17" s="7">
        <f t="shared" si="0"/>
        <v>3</v>
      </c>
      <c r="AA17" s="7" t="s">
        <v>462</v>
      </c>
    </row>
    <row r="18" spans="1:27">
      <c r="A18" s="7" t="s">
        <v>530</v>
      </c>
      <c r="B18" s="7" t="s">
        <v>504</v>
      </c>
      <c r="C18" s="7">
        <v>705226084</v>
      </c>
      <c r="D18" s="7" t="s">
        <v>490</v>
      </c>
      <c r="E18" s="7" t="s">
        <v>531</v>
      </c>
      <c r="F18" s="7">
        <v>3</v>
      </c>
      <c r="G18" s="7" t="s">
        <v>0</v>
      </c>
      <c r="H18" s="7" t="s">
        <v>492</v>
      </c>
      <c r="I18" s="7" t="s">
        <v>492</v>
      </c>
      <c r="J18" s="7" t="s">
        <v>493</v>
      </c>
      <c r="K18" s="7">
        <v>8</v>
      </c>
      <c r="L18" s="7">
        <v>0</v>
      </c>
      <c r="M18" s="7">
        <v>0</v>
      </c>
      <c r="N18" s="7">
        <v>3</v>
      </c>
      <c r="O18" s="7">
        <v>2</v>
      </c>
      <c r="P18" s="7" t="s">
        <v>527</v>
      </c>
      <c r="Q18" s="7">
        <v>5</v>
      </c>
      <c r="R18" s="7">
        <v>0</v>
      </c>
      <c r="S18" s="7" t="s">
        <v>492</v>
      </c>
      <c r="T18" s="7">
        <v>24</v>
      </c>
      <c r="U18" s="7">
        <v>9</v>
      </c>
      <c r="V18" s="7">
        <v>20</v>
      </c>
      <c r="W18" s="7" t="s">
        <v>508</v>
      </c>
      <c r="X18" s="108">
        <v>1</v>
      </c>
      <c r="Y18" s="7" t="s">
        <v>495</v>
      </c>
      <c r="Z18" s="7">
        <f t="shared" si="0"/>
        <v>3</v>
      </c>
      <c r="AA18" s="7" t="s">
        <v>462</v>
      </c>
    </row>
    <row r="19" spans="1:27">
      <c r="A19" s="7" t="s">
        <v>532</v>
      </c>
      <c r="B19" s="7" t="s">
        <v>504</v>
      </c>
      <c r="C19" s="7">
        <v>726851281</v>
      </c>
      <c r="D19" s="7" t="s">
        <v>490</v>
      </c>
      <c r="E19" s="7" t="s">
        <v>510</v>
      </c>
      <c r="F19" s="7">
        <v>2</v>
      </c>
      <c r="G19" s="7" t="s">
        <v>0</v>
      </c>
      <c r="H19" s="7" t="s">
        <v>2</v>
      </c>
      <c r="I19" s="7" t="s">
        <v>492</v>
      </c>
      <c r="J19" s="7" t="s">
        <v>493</v>
      </c>
      <c r="K19" s="7">
        <v>7</v>
      </c>
      <c r="L19" s="7">
        <v>12</v>
      </c>
      <c r="M19" s="7">
        <v>0</v>
      </c>
      <c r="N19" s="7">
        <v>3.5</v>
      </c>
      <c r="O19" s="7">
        <v>4</v>
      </c>
      <c r="P19" s="7">
        <v>0.5</v>
      </c>
      <c r="Q19" s="7">
        <v>3</v>
      </c>
      <c r="R19" s="7">
        <v>0</v>
      </c>
      <c r="S19" s="7" t="s">
        <v>492</v>
      </c>
      <c r="T19" s="7">
        <v>24</v>
      </c>
      <c r="U19" s="7">
        <v>2</v>
      </c>
      <c r="V19" s="7">
        <v>20</v>
      </c>
      <c r="W19" s="7" t="s">
        <v>508</v>
      </c>
      <c r="X19" s="108">
        <v>1</v>
      </c>
      <c r="Y19" s="7" t="s">
        <v>495</v>
      </c>
      <c r="Z19" s="7">
        <f t="shared" si="0"/>
        <v>3</v>
      </c>
      <c r="AA19" s="7" t="s">
        <v>462</v>
      </c>
    </row>
    <row r="20" spans="1:27">
      <c r="A20" s="7" t="s">
        <v>533</v>
      </c>
      <c r="B20" s="7" t="s">
        <v>504</v>
      </c>
      <c r="C20" s="7">
        <v>729540717</v>
      </c>
      <c r="D20" s="7" t="s">
        <v>490</v>
      </c>
      <c r="E20" s="7" t="s">
        <v>497</v>
      </c>
      <c r="F20" s="7">
        <v>4</v>
      </c>
      <c r="G20" s="7" t="s">
        <v>0</v>
      </c>
      <c r="H20" s="7" t="s">
        <v>2</v>
      </c>
      <c r="I20" s="7" t="s">
        <v>492</v>
      </c>
      <c r="J20" s="7" t="s">
        <v>493</v>
      </c>
      <c r="K20" s="7">
        <v>6</v>
      </c>
      <c r="L20" s="7">
        <v>12</v>
      </c>
      <c r="M20" s="7">
        <v>0</v>
      </c>
      <c r="N20" s="7">
        <v>3.5</v>
      </c>
      <c r="O20" s="7">
        <v>3.5</v>
      </c>
      <c r="P20" s="7" t="s">
        <v>534</v>
      </c>
      <c r="Q20" s="7">
        <v>11</v>
      </c>
      <c r="R20" s="7">
        <v>0</v>
      </c>
      <c r="S20" s="7" t="s">
        <v>492</v>
      </c>
      <c r="T20" s="7">
        <v>24</v>
      </c>
      <c r="U20" s="7">
        <v>10</v>
      </c>
      <c r="V20" s="7">
        <v>20</v>
      </c>
      <c r="W20" s="7" t="s">
        <v>508</v>
      </c>
      <c r="X20" s="108">
        <v>1</v>
      </c>
      <c r="Y20" s="7" t="s">
        <v>512</v>
      </c>
      <c r="Z20" s="7">
        <f t="shared" si="0"/>
        <v>6</v>
      </c>
      <c r="AA20" s="7" t="s">
        <v>462</v>
      </c>
    </row>
    <row r="21" spans="1:27">
      <c r="A21" s="7" t="s">
        <v>535</v>
      </c>
      <c r="B21" s="7" t="s">
        <v>504</v>
      </c>
      <c r="C21" s="7">
        <v>703153339</v>
      </c>
      <c r="D21" s="7" t="s">
        <v>490</v>
      </c>
      <c r="E21" s="7" t="s">
        <v>497</v>
      </c>
      <c r="F21" s="7">
        <v>5</v>
      </c>
      <c r="G21" s="7" t="s">
        <v>0</v>
      </c>
      <c r="H21" s="7" t="s">
        <v>2</v>
      </c>
      <c r="I21" s="7" t="s">
        <v>492</v>
      </c>
      <c r="J21" s="7" t="s">
        <v>493</v>
      </c>
      <c r="K21" s="7">
        <v>0</v>
      </c>
      <c r="L21" s="7">
        <v>18</v>
      </c>
      <c r="M21" s="7">
        <v>0</v>
      </c>
      <c r="N21" s="7">
        <v>3.5</v>
      </c>
      <c r="O21" s="7">
        <v>2</v>
      </c>
      <c r="P21" s="7" t="s">
        <v>536</v>
      </c>
      <c r="Q21" s="7">
        <v>4</v>
      </c>
      <c r="R21" s="7">
        <v>0</v>
      </c>
      <c r="S21" s="7" t="s">
        <v>492</v>
      </c>
      <c r="T21" s="7">
        <v>24</v>
      </c>
      <c r="U21" s="7">
        <v>3</v>
      </c>
      <c r="V21" s="7">
        <v>20</v>
      </c>
      <c r="W21" s="7" t="s">
        <v>508</v>
      </c>
      <c r="X21" s="108">
        <v>2</v>
      </c>
      <c r="Y21" s="7" t="s">
        <v>495</v>
      </c>
      <c r="Z21" s="7">
        <f t="shared" si="0"/>
        <v>3</v>
      </c>
      <c r="AA21" s="7" t="s">
        <v>462</v>
      </c>
    </row>
    <row r="22" spans="1:27">
      <c r="A22" s="7" t="s">
        <v>537</v>
      </c>
      <c r="B22" s="7" t="s">
        <v>504</v>
      </c>
      <c r="C22" s="7">
        <v>726965460</v>
      </c>
      <c r="D22" s="7" t="s">
        <v>490</v>
      </c>
      <c r="E22" s="7" t="s">
        <v>497</v>
      </c>
      <c r="F22" s="7">
        <v>4</v>
      </c>
      <c r="G22" s="7" t="s">
        <v>0</v>
      </c>
      <c r="H22" s="7" t="s">
        <v>492</v>
      </c>
      <c r="I22" s="7" t="s">
        <v>492</v>
      </c>
      <c r="J22" s="7" t="s">
        <v>493</v>
      </c>
      <c r="K22" s="7">
        <v>11</v>
      </c>
      <c r="L22" s="7">
        <v>0</v>
      </c>
      <c r="M22" s="7">
        <v>0</v>
      </c>
      <c r="N22" s="7">
        <v>3.5</v>
      </c>
      <c r="O22" s="7">
        <v>3</v>
      </c>
      <c r="P22" s="7" t="s">
        <v>538</v>
      </c>
      <c r="Q22" s="7">
        <v>4</v>
      </c>
      <c r="R22" s="7">
        <v>0</v>
      </c>
      <c r="S22" s="7" t="s">
        <v>492</v>
      </c>
      <c r="T22" s="7">
        <v>24</v>
      </c>
      <c r="U22" s="7">
        <v>7</v>
      </c>
      <c r="V22" s="7">
        <v>20</v>
      </c>
      <c r="W22" s="7" t="s">
        <v>508</v>
      </c>
      <c r="X22" s="108">
        <v>1</v>
      </c>
      <c r="Y22" s="7" t="s">
        <v>512</v>
      </c>
      <c r="Z22" s="7">
        <f t="shared" si="0"/>
        <v>6</v>
      </c>
      <c r="AA22" s="7" t="s">
        <v>462</v>
      </c>
    </row>
    <row r="23" spans="1:27">
      <c r="A23" s="7" t="s">
        <v>539</v>
      </c>
      <c r="B23" s="7" t="s">
        <v>504</v>
      </c>
      <c r="C23" s="7">
        <v>713447927</v>
      </c>
      <c r="D23" s="7" t="s">
        <v>490</v>
      </c>
      <c r="E23" s="7" t="s">
        <v>505</v>
      </c>
      <c r="F23" s="7">
        <v>4</v>
      </c>
      <c r="G23" s="7" t="s">
        <v>0</v>
      </c>
      <c r="H23" s="7" t="s">
        <v>2</v>
      </c>
      <c r="I23" s="7" t="s">
        <v>492</v>
      </c>
      <c r="J23" s="7" t="s">
        <v>493</v>
      </c>
      <c r="K23" s="7">
        <v>10</v>
      </c>
      <c r="L23" s="7">
        <v>12</v>
      </c>
      <c r="M23" s="7">
        <v>0</v>
      </c>
      <c r="N23" s="7">
        <v>3</v>
      </c>
      <c r="O23" s="7">
        <v>3</v>
      </c>
      <c r="P23" s="7" t="s">
        <v>540</v>
      </c>
      <c r="Q23" s="7">
        <v>3</v>
      </c>
      <c r="R23" s="7">
        <v>0</v>
      </c>
      <c r="S23" s="7" t="s">
        <v>492</v>
      </c>
      <c r="T23" s="7">
        <v>24</v>
      </c>
      <c r="U23" s="7">
        <v>2</v>
      </c>
      <c r="V23" s="7">
        <v>20</v>
      </c>
      <c r="W23" s="7" t="s">
        <v>508</v>
      </c>
      <c r="X23" s="108">
        <v>1</v>
      </c>
      <c r="Y23" s="7" t="s">
        <v>512</v>
      </c>
      <c r="Z23" s="7">
        <f t="shared" si="0"/>
        <v>6</v>
      </c>
      <c r="AA23" s="7" t="s">
        <v>462</v>
      </c>
    </row>
    <row r="24" spans="1:27">
      <c r="A24" s="7" t="s">
        <v>541</v>
      </c>
      <c r="B24" s="7" t="s">
        <v>489</v>
      </c>
      <c r="C24" s="7">
        <v>705140541</v>
      </c>
      <c r="D24" s="7" t="s">
        <v>490</v>
      </c>
      <c r="E24" s="7" t="s">
        <v>542</v>
      </c>
      <c r="F24" s="7">
        <v>3</v>
      </c>
      <c r="G24" s="7" t="s">
        <v>0</v>
      </c>
      <c r="H24" s="7" t="s">
        <v>492</v>
      </c>
      <c r="I24" s="7" t="s">
        <v>492</v>
      </c>
      <c r="J24" s="7" t="s">
        <v>493</v>
      </c>
      <c r="K24" s="7">
        <v>10</v>
      </c>
      <c r="L24" s="7">
        <v>0</v>
      </c>
      <c r="M24" s="7">
        <v>0</v>
      </c>
      <c r="N24" s="7">
        <v>3</v>
      </c>
      <c r="O24" s="7">
        <v>5</v>
      </c>
      <c r="P24" s="7" t="s">
        <v>506</v>
      </c>
      <c r="Q24" s="7">
        <v>3</v>
      </c>
      <c r="R24" s="7">
        <v>0</v>
      </c>
      <c r="S24" s="7" t="s">
        <v>492</v>
      </c>
      <c r="T24" s="7">
        <v>24</v>
      </c>
      <c r="U24" s="7">
        <v>2</v>
      </c>
      <c r="V24" s="7">
        <v>20</v>
      </c>
      <c r="W24" s="7" t="s">
        <v>508</v>
      </c>
      <c r="X24" s="108">
        <v>1</v>
      </c>
      <c r="Y24" s="7" t="s">
        <v>512</v>
      </c>
      <c r="Z24" s="7">
        <f t="shared" si="0"/>
        <v>6</v>
      </c>
      <c r="AA24" s="7" t="s">
        <v>462</v>
      </c>
    </row>
    <row r="25" spans="1:27">
      <c r="A25" s="7" t="s">
        <v>543</v>
      </c>
      <c r="B25" s="7" t="s">
        <v>504</v>
      </c>
      <c r="C25" s="7">
        <v>723520164</v>
      </c>
      <c r="D25" s="7" t="s">
        <v>490</v>
      </c>
      <c r="E25" s="7" t="s">
        <v>510</v>
      </c>
      <c r="F25" s="7">
        <v>3</v>
      </c>
      <c r="G25" s="7" t="s">
        <v>0</v>
      </c>
      <c r="H25" s="7" t="s">
        <v>2</v>
      </c>
      <c r="I25" s="7" t="s">
        <v>492</v>
      </c>
      <c r="J25" s="7" t="s">
        <v>493</v>
      </c>
      <c r="K25" s="7">
        <v>8</v>
      </c>
      <c r="L25" s="7">
        <v>18</v>
      </c>
      <c r="M25" s="7">
        <v>0</v>
      </c>
      <c r="N25" s="7">
        <v>3.5</v>
      </c>
      <c r="O25" s="7">
        <v>3.5</v>
      </c>
      <c r="P25" s="7">
        <v>0.75</v>
      </c>
      <c r="Q25" s="7">
        <v>4</v>
      </c>
      <c r="R25" s="7">
        <v>0</v>
      </c>
      <c r="S25" s="7" t="s">
        <v>492</v>
      </c>
      <c r="T25" s="7">
        <v>24</v>
      </c>
      <c r="U25" s="7">
        <v>12</v>
      </c>
      <c r="V25" s="7">
        <v>20</v>
      </c>
      <c r="W25" s="7" t="s">
        <v>499</v>
      </c>
      <c r="X25" s="108">
        <v>2</v>
      </c>
      <c r="Y25" s="7" t="s">
        <v>495</v>
      </c>
      <c r="Z25" s="7">
        <f t="shared" si="0"/>
        <v>3</v>
      </c>
      <c r="AA25" s="7" t="s">
        <v>462</v>
      </c>
    </row>
    <row r="26" spans="1:27">
      <c r="A26" s="7" t="s">
        <v>544</v>
      </c>
      <c r="B26" s="7" t="s">
        <v>489</v>
      </c>
      <c r="C26" s="7">
        <v>713964871</v>
      </c>
      <c r="D26" s="7" t="s">
        <v>490</v>
      </c>
      <c r="E26" s="7" t="s">
        <v>491</v>
      </c>
      <c r="F26" s="7">
        <v>4</v>
      </c>
      <c r="G26" s="7" t="s">
        <v>0</v>
      </c>
      <c r="H26" s="7" t="s">
        <v>2</v>
      </c>
      <c r="I26" s="7" t="s">
        <v>492</v>
      </c>
      <c r="J26" s="7" t="s">
        <v>493</v>
      </c>
      <c r="K26" s="7">
        <v>11</v>
      </c>
      <c r="L26" s="7">
        <v>18</v>
      </c>
      <c r="M26" s="7">
        <v>0</v>
      </c>
      <c r="N26" s="7">
        <v>3.5</v>
      </c>
      <c r="O26" s="7">
        <v>1</v>
      </c>
      <c r="P26" s="7">
        <v>1.5</v>
      </c>
      <c r="Q26" s="7">
        <v>5</v>
      </c>
      <c r="R26" s="7">
        <v>0</v>
      </c>
      <c r="S26" s="7" t="s">
        <v>492</v>
      </c>
      <c r="T26" s="7">
        <v>24</v>
      </c>
      <c r="U26" s="7">
        <v>9</v>
      </c>
      <c r="V26" s="7">
        <v>20</v>
      </c>
      <c r="W26" s="7" t="s">
        <v>508</v>
      </c>
      <c r="X26" s="108">
        <v>1</v>
      </c>
      <c r="Y26" s="7" t="s">
        <v>495</v>
      </c>
      <c r="Z26" s="7">
        <f t="shared" si="0"/>
        <v>3</v>
      </c>
      <c r="AA26" s="7" t="s">
        <v>462</v>
      </c>
    </row>
    <row r="27" spans="1:27">
      <c r="A27" s="7" t="s">
        <v>545</v>
      </c>
      <c r="B27" s="7" t="s">
        <v>489</v>
      </c>
      <c r="C27" s="7">
        <v>714332097</v>
      </c>
      <c r="D27" s="7" t="s">
        <v>490</v>
      </c>
      <c r="E27" s="7" t="s">
        <v>491</v>
      </c>
      <c r="F27" s="7">
        <v>5</v>
      </c>
      <c r="G27" s="7" t="s">
        <v>0</v>
      </c>
      <c r="H27" s="7" t="s">
        <v>492</v>
      </c>
      <c r="I27" s="7" t="s">
        <v>492</v>
      </c>
      <c r="J27" s="7" t="s">
        <v>493</v>
      </c>
      <c r="K27" s="7">
        <v>7</v>
      </c>
      <c r="L27" s="7">
        <v>0</v>
      </c>
      <c r="M27" s="7">
        <v>0</v>
      </c>
      <c r="N27" s="7">
        <v>3.5</v>
      </c>
      <c r="O27" s="7">
        <v>2</v>
      </c>
      <c r="R27" s="7">
        <v>0</v>
      </c>
      <c r="S27" s="7" t="s">
        <v>492</v>
      </c>
      <c r="T27" s="7">
        <v>24</v>
      </c>
      <c r="U27" s="7">
        <v>3</v>
      </c>
      <c r="V27" s="7">
        <v>20</v>
      </c>
      <c r="W27" s="7" t="s">
        <v>508</v>
      </c>
      <c r="X27" s="108">
        <v>1</v>
      </c>
      <c r="Y27" s="7" t="s">
        <v>512</v>
      </c>
      <c r="Z27" s="7">
        <f t="shared" si="0"/>
        <v>6</v>
      </c>
      <c r="AA27" s="7" t="s">
        <v>462</v>
      </c>
    </row>
    <row r="28" spans="1:27">
      <c r="A28" s="7" t="s">
        <v>546</v>
      </c>
      <c r="B28" s="7" t="s">
        <v>489</v>
      </c>
      <c r="C28" s="7">
        <v>711432047</v>
      </c>
      <c r="D28" s="7" t="s">
        <v>490</v>
      </c>
      <c r="E28" s="7" t="s">
        <v>497</v>
      </c>
      <c r="F28" s="7">
        <v>4</v>
      </c>
      <c r="G28" s="7" t="s">
        <v>0</v>
      </c>
      <c r="H28" s="7" t="s">
        <v>2</v>
      </c>
      <c r="I28" s="7" t="s">
        <v>492</v>
      </c>
      <c r="J28" s="7" t="s">
        <v>493</v>
      </c>
      <c r="K28" s="7">
        <v>9</v>
      </c>
      <c r="L28" s="7">
        <v>18</v>
      </c>
      <c r="M28" s="7">
        <v>0</v>
      </c>
      <c r="N28" s="7">
        <v>3.75</v>
      </c>
      <c r="O28" s="7">
        <v>4</v>
      </c>
      <c r="P28" s="7" t="s">
        <v>536</v>
      </c>
      <c r="Q28" s="7">
        <v>4</v>
      </c>
      <c r="R28" s="7">
        <v>0</v>
      </c>
      <c r="S28" s="7" t="s">
        <v>492</v>
      </c>
      <c r="T28" s="7">
        <v>24</v>
      </c>
      <c r="U28" s="7">
        <v>15</v>
      </c>
      <c r="V28" s="7">
        <v>20</v>
      </c>
      <c r="W28" s="7" t="s">
        <v>508</v>
      </c>
      <c r="X28" s="108">
        <v>1</v>
      </c>
      <c r="Y28" s="7" t="s">
        <v>495</v>
      </c>
      <c r="Z28" s="7">
        <f t="shared" si="0"/>
        <v>3</v>
      </c>
      <c r="AA28" s="7" t="s">
        <v>462</v>
      </c>
    </row>
    <row r="29" spans="1:27">
      <c r="A29" s="7" t="s">
        <v>547</v>
      </c>
      <c r="B29" s="7" t="s">
        <v>489</v>
      </c>
      <c r="C29" s="7">
        <v>724174535</v>
      </c>
      <c r="D29" s="7" t="s">
        <v>490</v>
      </c>
      <c r="E29" s="7" t="s">
        <v>497</v>
      </c>
      <c r="F29" s="7">
        <v>5</v>
      </c>
      <c r="G29" s="7" t="s">
        <v>112</v>
      </c>
      <c r="H29" s="7" t="s">
        <v>2</v>
      </c>
      <c r="I29" s="7" t="s">
        <v>492</v>
      </c>
      <c r="J29" s="7" t="s">
        <v>493</v>
      </c>
      <c r="K29" s="7">
        <v>0</v>
      </c>
      <c r="L29" s="7">
        <v>12</v>
      </c>
      <c r="M29" s="7">
        <v>2.5</v>
      </c>
      <c r="N29" s="7">
        <v>3</v>
      </c>
      <c r="O29" s="7">
        <v>1</v>
      </c>
      <c r="P29" s="7" t="s">
        <v>522</v>
      </c>
      <c r="Q29" s="7">
        <v>5</v>
      </c>
      <c r="R29" s="7">
        <v>0</v>
      </c>
      <c r="S29" s="7" t="s">
        <v>492</v>
      </c>
      <c r="T29" s="7">
        <v>24</v>
      </c>
      <c r="U29" s="7">
        <v>6</v>
      </c>
      <c r="V29" s="7">
        <v>20</v>
      </c>
      <c r="W29" s="7" t="s">
        <v>508</v>
      </c>
      <c r="X29" s="108">
        <v>1</v>
      </c>
      <c r="Y29" s="7" t="s">
        <v>495</v>
      </c>
      <c r="Z29" s="7">
        <f t="shared" si="0"/>
        <v>3</v>
      </c>
      <c r="AA29" s="7" t="s">
        <v>462</v>
      </c>
    </row>
    <row r="30" spans="1:27">
      <c r="A30" s="7" t="s">
        <v>548</v>
      </c>
      <c r="B30" s="7" t="s">
        <v>504</v>
      </c>
      <c r="C30" s="7">
        <v>722484087</v>
      </c>
      <c r="D30" s="7" t="s">
        <v>490</v>
      </c>
      <c r="E30" s="7" t="s">
        <v>505</v>
      </c>
      <c r="F30" s="7">
        <v>1</v>
      </c>
      <c r="G30" s="7" t="s">
        <v>0</v>
      </c>
      <c r="H30" s="7" t="s">
        <v>492</v>
      </c>
      <c r="I30" s="7" t="s">
        <v>492</v>
      </c>
      <c r="J30" s="7" t="s">
        <v>493</v>
      </c>
      <c r="K30" s="7">
        <v>9</v>
      </c>
      <c r="L30" s="7">
        <v>0</v>
      </c>
      <c r="M30" s="7">
        <v>0</v>
      </c>
      <c r="N30" s="7">
        <v>3.5</v>
      </c>
      <c r="O30" s="7">
        <v>3</v>
      </c>
      <c r="P30" s="7" t="s">
        <v>527</v>
      </c>
      <c r="Q30" s="7">
        <v>3</v>
      </c>
      <c r="R30" s="7">
        <v>0</v>
      </c>
      <c r="S30" s="7" t="s">
        <v>492</v>
      </c>
      <c r="T30" s="7">
        <v>24</v>
      </c>
      <c r="U30" s="7">
        <v>3</v>
      </c>
      <c r="V30" s="7">
        <v>20</v>
      </c>
      <c r="W30" s="7" t="s">
        <v>508</v>
      </c>
      <c r="X30" s="108">
        <v>1</v>
      </c>
      <c r="Y30" s="7" t="s">
        <v>512</v>
      </c>
      <c r="Z30" s="7">
        <f t="shared" si="0"/>
        <v>6</v>
      </c>
      <c r="AA30" s="7" t="s">
        <v>462</v>
      </c>
    </row>
    <row r="31" spans="1:27">
      <c r="A31" s="7" t="s">
        <v>549</v>
      </c>
      <c r="B31" s="7" t="s">
        <v>489</v>
      </c>
      <c r="C31" s="7">
        <v>729981495</v>
      </c>
      <c r="D31" s="7" t="s">
        <v>490</v>
      </c>
      <c r="E31" s="7" t="s">
        <v>542</v>
      </c>
      <c r="F31" s="7">
        <v>4</v>
      </c>
      <c r="G31" s="7" t="s">
        <v>0</v>
      </c>
      <c r="H31" s="7" t="s">
        <v>2</v>
      </c>
      <c r="I31" s="7" t="s">
        <v>492</v>
      </c>
      <c r="J31" s="7" t="s">
        <v>493</v>
      </c>
      <c r="K31" s="7">
        <v>8</v>
      </c>
      <c r="L31" s="7">
        <v>6</v>
      </c>
      <c r="M31" s="7">
        <v>0</v>
      </c>
      <c r="N31" s="7">
        <v>3.75</v>
      </c>
      <c r="O31" s="7">
        <v>2</v>
      </c>
      <c r="P31" s="7" t="s">
        <v>506</v>
      </c>
      <c r="Q31" s="7">
        <v>4</v>
      </c>
      <c r="R31" s="7">
        <v>0</v>
      </c>
      <c r="S31" s="7" t="s">
        <v>492</v>
      </c>
      <c r="T31" s="7">
        <v>24</v>
      </c>
      <c r="U31" s="7">
        <v>3</v>
      </c>
      <c r="V31" s="7">
        <v>20</v>
      </c>
      <c r="W31" s="7" t="s">
        <v>508</v>
      </c>
      <c r="X31" s="108">
        <v>1</v>
      </c>
      <c r="Y31" s="7" t="s">
        <v>495</v>
      </c>
      <c r="Z31" s="7">
        <f t="shared" si="0"/>
        <v>3</v>
      </c>
      <c r="AA31" s="7" t="s">
        <v>462</v>
      </c>
    </row>
    <row r="32" spans="1:27">
      <c r="A32" s="7" t="s">
        <v>550</v>
      </c>
      <c r="B32" s="7" t="s">
        <v>489</v>
      </c>
      <c r="C32" s="7">
        <v>725442917</v>
      </c>
      <c r="D32" s="7" t="s">
        <v>490</v>
      </c>
      <c r="E32" s="7" t="s">
        <v>531</v>
      </c>
      <c r="F32" s="7">
        <v>4</v>
      </c>
      <c r="G32" s="7" t="s">
        <v>0</v>
      </c>
      <c r="H32" s="7" t="s">
        <v>492</v>
      </c>
      <c r="I32" s="7" t="s">
        <v>492</v>
      </c>
      <c r="J32" s="7" t="s">
        <v>493</v>
      </c>
      <c r="K32" s="7">
        <v>10</v>
      </c>
      <c r="L32" s="7">
        <v>0</v>
      </c>
      <c r="M32" s="7">
        <v>0</v>
      </c>
      <c r="N32" s="7">
        <v>3.5</v>
      </c>
      <c r="O32" s="7">
        <v>3.5</v>
      </c>
      <c r="P32" s="7" t="s">
        <v>527</v>
      </c>
      <c r="Q32" s="7">
        <v>4</v>
      </c>
      <c r="R32" s="7">
        <v>0</v>
      </c>
      <c r="S32" s="7" t="s">
        <v>492</v>
      </c>
      <c r="T32" s="7">
        <v>24</v>
      </c>
      <c r="U32" s="7">
        <v>2</v>
      </c>
      <c r="V32" s="7">
        <v>20</v>
      </c>
      <c r="W32" s="7" t="s">
        <v>508</v>
      </c>
      <c r="X32" s="108">
        <v>1</v>
      </c>
      <c r="Y32" s="7" t="s">
        <v>495</v>
      </c>
      <c r="Z32" s="7">
        <f t="shared" si="0"/>
        <v>3</v>
      </c>
      <c r="AA32" s="7" t="s">
        <v>462</v>
      </c>
    </row>
    <row r="33" spans="1:27">
      <c r="A33" s="7" t="s">
        <v>551</v>
      </c>
      <c r="B33" s="7" t="s">
        <v>504</v>
      </c>
      <c r="C33" s="7">
        <v>719514983</v>
      </c>
      <c r="D33" s="7" t="s">
        <v>490</v>
      </c>
      <c r="E33" s="7" t="s">
        <v>531</v>
      </c>
      <c r="F33" s="7">
        <v>6</v>
      </c>
      <c r="G33" s="7" t="s">
        <v>0</v>
      </c>
      <c r="H33" s="7" t="s">
        <v>492</v>
      </c>
      <c r="I33" s="7" t="s">
        <v>492</v>
      </c>
      <c r="J33" s="7" t="s">
        <v>493</v>
      </c>
      <c r="K33" s="7">
        <v>10</v>
      </c>
      <c r="L33" s="7">
        <v>0</v>
      </c>
      <c r="M33" s="7">
        <v>0</v>
      </c>
      <c r="N33" s="7">
        <v>3.5</v>
      </c>
      <c r="O33" s="7">
        <v>2</v>
      </c>
      <c r="P33" s="7" t="s">
        <v>552</v>
      </c>
      <c r="Q33" s="7">
        <v>4</v>
      </c>
      <c r="R33" s="7">
        <v>0</v>
      </c>
      <c r="S33" s="7" t="s">
        <v>492</v>
      </c>
      <c r="T33" s="7">
        <v>24</v>
      </c>
      <c r="U33" s="7">
        <v>6</v>
      </c>
      <c r="V33" s="7">
        <v>20</v>
      </c>
      <c r="W33" s="7" t="s">
        <v>508</v>
      </c>
      <c r="X33" s="108">
        <v>1</v>
      </c>
      <c r="Y33" s="7" t="s">
        <v>512</v>
      </c>
      <c r="Z33" s="7">
        <f t="shared" si="0"/>
        <v>6</v>
      </c>
      <c r="AA33" s="7" t="s">
        <v>462</v>
      </c>
    </row>
    <row r="34" spans="1:27">
      <c r="A34" s="7" t="s">
        <v>553</v>
      </c>
      <c r="B34" s="7" t="s">
        <v>504</v>
      </c>
      <c r="C34" s="7">
        <v>726573310</v>
      </c>
      <c r="D34" s="7" t="s">
        <v>490</v>
      </c>
      <c r="E34" s="7" t="s">
        <v>491</v>
      </c>
      <c r="F34" s="7">
        <v>3</v>
      </c>
      <c r="G34" s="7" t="s">
        <v>0</v>
      </c>
      <c r="H34" s="7" t="s">
        <v>2</v>
      </c>
      <c r="I34" s="7" t="s">
        <v>492</v>
      </c>
      <c r="J34" s="7" t="s">
        <v>493</v>
      </c>
      <c r="K34" s="7">
        <v>6</v>
      </c>
      <c r="L34" s="7">
        <v>12</v>
      </c>
      <c r="M34" s="7">
        <v>0</v>
      </c>
      <c r="N34" s="7">
        <v>3.5</v>
      </c>
      <c r="O34" s="7">
        <v>4</v>
      </c>
      <c r="P34" s="7">
        <v>0.3</v>
      </c>
      <c r="Q34" s="7">
        <v>3</v>
      </c>
      <c r="R34" s="7">
        <v>0</v>
      </c>
      <c r="S34" s="7" t="s">
        <v>492</v>
      </c>
      <c r="T34" s="7">
        <v>24</v>
      </c>
      <c r="U34" s="7">
        <v>6</v>
      </c>
      <c r="V34" s="7">
        <v>20</v>
      </c>
      <c r="W34" s="7" t="s">
        <v>508</v>
      </c>
      <c r="X34" s="108">
        <v>1</v>
      </c>
      <c r="Y34" s="7" t="s">
        <v>495</v>
      </c>
      <c r="Z34" s="7">
        <f t="shared" si="0"/>
        <v>3</v>
      </c>
      <c r="AA34" s="7" t="s">
        <v>462</v>
      </c>
    </row>
    <row r="35" spans="1:27">
      <c r="A35" s="7" t="s">
        <v>554</v>
      </c>
      <c r="B35" s="7" t="s">
        <v>489</v>
      </c>
      <c r="C35" s="7">
        <v>729929454</v>
      </c>
      <c r="D35" s="7" t="s">
        <v>490</v>
      </c>
      <c r="E35" s="7" t="s">
        <v>510</v>
      </c>
      <c r="F35" s="7">
        <v>6</v>
      </c>
      <c r="G35" s="7" t="s">
        <v>0</v>
      </c>
      <c r="H35" s="7" t="s">
        <v>2</v>
      </c>
      <c r="I35" s="7" t="s">
        <v>492</v>
      </c>
      <c r="J35" s="7" t="s">
        <v>493</v>
      </c>
      <c r="K35" s="7">
        <v>8</v>
      </c>
      <c r="L35" s="7">
        <v>6</v>
      </c>
      <c r="M35" s="7">
        <v>0</v>
      </c>
      <c r="N35" s="7">
        <v>3.75</v>
      </c>
      <c r="O35" s="7">
        <v>0.5</v>
      </c>
      <c r="P35" s="7">
        <v>0.2</v>
      </c>
      <c r="Q35" s="7">
        <v>6</v>
      </c>
      <c r="R35" s="7">
        <v>0</v>
      </c>
      <c r="S35" s="7" t="s">
        <v>492</v>
      </c>
      <c r="T35" s="7">
        <v>24</v>
      </c>
      <c r="U35" s="7">
        <v>14</v>
      </c>
      <c r="V35" s="7">
        <v>20</v>
      </c>
      <c r="W35" s="7" t="s">
        <v>499</v>
      </c>
      <c r="X35" s="108">
        <v>1</v>
      </c>
      <c r="Y35" s="7" t="s">
        <v>495</v>
      </c>
      <c r="Z35" s="7">
        <f t="shared" si="0"/>
        <v>3</v>
      </c>
      <c r="AA35" s="7" t="s">
        <v>462</v>
      </c>
    </row>
    <row r="36" spans="1:27">
      <c r="A36" s="7" t="s">
        <v>555</v>
      </c>
      <c r="B36" s="7" t="s">
        <v>489</v>
      </c>
      <c r="C36" s="7">
        <v>720487732</v>
      </c>
      <c r="D36" s="7" t="s">
        <v>490</v>
      </c>
      <c r="E36" s="7" t="s">
        <v>491</v>
      </c>
      <c r="F36" s="7">
        <v>5</v>
      </c>
      <c r="G36" s="7" t="s">
        <v>0</v>
      </c>
      <c r="H36" s="7" t="s">
        <v>2</v>
      </c>
      <c r="I36" s="7" t="s">
        <v>492</v>
      </c>
      <c r="J36" s="7" t="s">
        <v>493</v>
      </c>
      <c r="K36" s="7">
        <v>7</v>
      </c>
      <c r="L36" s="7">
        <v>6</v>
      </c>
      <c r="M36" s="7">
        <v>0</v>
      </c>
      <c r="N36" s="7">
        <v>3.75</v>
      </c>
      <c r="O36" s="7">
        <v>2</v>
      </c>
      <c r="P36" s="7">
        <v>0.5</v>
      </c>
      <c r="Q36" s="7">
        <v>3</v>
      </c>
      <c r="R36" s="7">
        <v>0</v>
      </c>
      <c r="S36" s="7" t="s">
        <v>492</v>
      </c>
      <c r="T36" s="7">
        <v>24</v>
      </c>
      <c r="U36" s="7">
        <v>3</v>
      </c>
      <c r="V36" s="7">
        <v>20</v>
      </c>
      <c r="W36" s="7" t="s">
        <v>508</v>
      </c>
      <c r="X36" s="108">
        <v>1</v>
      </c>
      <c r="Y36" s="7" t="s">
        <v>512</v>
      </c>
      <c r="Z36" s="7">
        <f t="shared" si="0"/>
        <v>6</v>
      </c>
      <c r="AA36" s="7" t="s">
        <v>462</v>
      </c>
    </row>
    <row r="37" spans="1:27">
      <c r="A37" s="7" t="s">
        <v>556</v>
      </c>
      <c r="B37" s="7" t="s">
        <v>504</v>
      </c>
      <c r="C37" s="7">
        <v>729672650</v>
      </c>
      <c r="D37" s="7" t="s">
        <v>490</v>
      </c>
      <c r="E37" s="7" t="s">
        <v>510</v>
      </c>
      <c r="F37" s="7">
        <v>7</v>
      </c>
      <c r="G37" s="7" t="s">
        <v>0</v>
      </c>
      <c r="H37" s="7" t="s">
        <v>2</v>
      </c>
      <c r="I37" s="7" t="s">
        <v>492</v>
      </c>
      <c r="J37" s="7" t="s">
        <v>493</v>
      </c>
      <c r="K37" s="7">
        <v>10</v>
      </c>
      <c r="L37" s="7">
        <v>12</v>
      </c>
      <c r="M37" s="7">
        <v>0</v>
      </c>
      <c r="N37" s="7">
        <v>3.5</v>
      </c>
      <c r="O37" s="7">
        <v>2</v>
      </c>
      <c r="P37" s="7">
        <v>2.5</v>
      </c>
      <c r="Q37" s="7">
        <v>3</v>
      </c>
      <c r="R37" s="7">
        <v>0</v>
      </c>
      <c r="S37" s="7" t="s">
        <v>492</v>
      </c>
      <c r="T37" s="7">
        <v>24</v>
      </c>
      <c r="U37" s="7">
        <v>6</v>
      </c>
      <c r="V37" s="7">
        <v>20</v>
      </c>
      <c r="W37" s="7" t="s">
        <v>508</v>
      </c>
      <c r="X37" s="108">
        <v>1</v>
      </c>
      <c r="Y37" s="7" t="s">
        <v>495</v>
      </c>
      <c r="Z37" s="7">
        <f t="shared" si="0"/>
        <v>3</v>
      </c>
      <c r="AA37" s="7" t="s">
        <v>462</v>
      </c>
    </row>
    <row r="38" spans="1:27">
      <c r="A38" s="7" t="s">
        <v>557</v>
      </c>
      <c r="B38" s="7" t="s">
        <v>489</v>
      </c>
      <c r="C38" s="7">
        <v>722484087</v>
      </c>
      <c r="D38" s="7" t="s">
        <v>490</v>
      </c>
      <c r="E38" s="7" t="s">
        <v>505</v>
      </c>
      <c r="F38" s="7">
        <v>5</v>
      </c>
      <c r="G38" s="7" t="s">
        <v>0</v>
      </c>
      <c r="H38" s="7" t="s">
        <v>492</v>
      </c>
      <c r="I38" s="7" t="s">
        <v>492</v>
      </c>
      <c r="J38" s="7" t="s">
        <v>493</v>
      </c>
      <c r="K38" s="7">
        <v>8</v>
      </c>
      <c r="L38" s="7">
        <v>0</v>
      </c>
      <c r="M38" s="7">
        <v>0</v>
      </c>
      <c r="N38" s="7">
        <v>3.75</v>
      </c>
      <c r="O38" s="7">
        <v>5</v>
      </c>
      <c r="P38" s="7" t="s">
        <v>527</v>
      </c>
      <c r="Q38" s="7">
        <v>3</v>
      </c>
      <c r="R38" s="7">
        <v>0</v>
      </c>
      <c r="S38" s="7" t="s">
        <v>492</v>
      </c>
      <c r="T38" s="7">
        <v>24</v>
      </c>
      <c r="U38" s="7">
        <v>3</v>
      </c>
      <c r="V38" s="7">
        <v>20</v>
      </c>
      <c r="W38" s="7" t="s">
        <v>508</v>
      </c>
      <c r="X38" s="108">
        <v>1</v>
      </c>
      <c r="Y38" s="7" t="s">
        <v>500</v>
      </c>
      <c r="Z38" s="7">
        <f t="shared" si="0"/>
        <v>1</v>
      </c>
      <c r="AA38" s="7" t="s">
        <v>462</v>
      </c>
    </row>
    <row r="39" spans="1:27">
      <c r="A39" s="7" t="s">
        <v>558</v>
      </c>
      <c r="B39" s="7" t="s">
        <v>489</v>
      </c>
      <c r="C39" s="7">
        <v>706635352</v>
      </c>
      <c r="D39" s="7" t="s">
        <v>490</v>
      </c>
      <c r="E39" s="7" t="s">
        <v>542</v>
      </c>
      <c r="F39" s="7">
        <v>5</v>
      </c>
      <c r="G39" s="7" t="s">
        <v>0</v>
      </c>
      <c r="H39" s="7" t="s">
        <v>492</v>
      </c>
      <c r="I39" s="7" t="s">
        <v>492</v>
      </c>
      <c r="J39" s="7" t="s">
        <v>493</v>
      </c>
      <c r="K39" s="7">
        <v>7</v>
      </c>
      <c r="L39" s="7">
        <v>0</v>
      </c>
      <c r="M39" s="7">
        <v>0</v>
      </c>
      <c r="N39" s="7">
        <v>3.5</v>
      </c>
      <c r="O39" s="7">
        <v>3</v>
      </c>
      <c r="P39" s="7" t="s">
        <v>559</v>
      </c>
      <c r="Q39" s="7">
        <v>3</v>
      </c>
      <c r="R39" s="7">
        <v>0</v>
      </c>
      <c r="S39" s="7" t="s">
        <v>492</v>
      </c>
      <c r="T39" s="7">
        <v>24</v>
      </c>
      <c r="U39" s="7">
        <v>4</v>
      </c>
      <c r="V39" s="7">
        <v>20</v>
      </c>
      <c r="W39" s="7" t="s">
        <v>508</v>
      </c>
      <c r="X39" s="108">
        <v>1.5</v>
      </c>
      <c r="Y39" s="7" t="s">
        <v>495</v>
      </c>
      <c r="Z39" s="7">
        <f t="shared" si="0"/>
        <v>3</v>
      </c>
      <c r="AA39" s="7" t="s">
        <v>462</v>
      </c>
    </row>
    <row r="40" spans="1:27">
      <c r="A40" s="7" t="s">
        <v>560</v>
      </c>
      <c r="B40" s="7" t="s">
        <v>489</v>
      </c>
      <c r="C40" s="7">
        <v>718020981</v>
      </c>
      <c r="D40" s="7" t="s">
        <v>490</v>
      </c>
      <c r="E40" s="7" t="s">
        <v>531</v>
      </c>
      <c r="F40" s="7">
        <v>6</v>
      </c>
      <c r="G40" s="7" t="s">
        <v>112</v>
      </c>
      <c r="H40" s="7" t="s">
        <v>492</v>
      </c>
      <c r="I40" s="7" t="s">
        <v>492</v>
      </c>
      <c r="J40" s="7" t="s">
        <v>493</v>
      </c>
      <c r="K40" s="7">
        <v>0</v>
      </c>
      <c r="L40" s="7">
        <v>0</v>
      </c>
      <c r="M40" s="7">
        <v>3</v>
      </c>
      <c r="N40" s="7">
        <v>3</v>
      </c>
      <c r="O40" s="7">
        <v>2</v>
      </c>
      <c r="P40" s="7" t="s">
        <v>506</v>
      </c>
      <c r="Q40" s="7">
        <v>4</v>
      </c>
      <c r="R40" s="7">
        <v>0</v>
      </c>
      <c r="S40" s="7" t="s">
        <v>492</v>
      </c>
      <c r="T40" s="7">
        <v>24</v>
      </c>
      <c r="U40" s="7">
        <v>9</v>
      </c>
      <c r="V40" s="7">
        <v>20</v>
      </c>
      <c r="W40" s="7" t="s">
        <v>508</v>
      </c>
      <c r="X40" s="108">
        <v>1</v>
      </c>
      <c r="Y40" s="7" t="s">
        <v>500</v>
      </c>
      <c r="Z40" s="7">
        <f t="shared" si="0"/>
        <v>1</v>
      </c>
      <c r="AA40" s="7" t="s">
        <v>462</v>
      </c>
    </row>
    <row r="41" spans="1:27">
      <c r="A41" s="7" t="s">
        <v>561</v>
      </c>
      <c r="B41" s="7" t="s">
        <v>489</v>
      </c>
      <c r="C41" s="7">
        <v>714969868</v>
      </c>
      <c r="D41" s="7" t="s">
        <v>490</v>
      </c>
      <c r="E41" s="7" t="s">
        <v>562</v>
      </c>
      <c r="F41" s="7">
        <v>9</v>
      </c>
      <c r="G41" s="7" t="s">
        <v>0</v>
      </c>
      <c r="H41" s="7" t="s">
        <v>2</v>
      </c>
      <c r="I41" s="7" t="s">
        <v>492</v>
      </c>
      <c r="J41" s="7" t="s">
        <v>493</v>
      </c>
      <c r="K41" s="7">
        <v>10</v>
      </c>
      <c r="L41" s="7">
        <v>26</v>
      </c>
      <c r="M41" s="7">
        <v>0</v>
      </c>
      <c r="N41" s="7">
        <v>3</v>
      </c>
      <c r="O41" s="7">
        <v>3.5</v>
      </c>
      <c r="P41" s="7" t="s">
        <v>563</v>
      </c>
      <c r="Q41" s="7">
        <v>6</v>
      </c>
      <c r="R41" s="7">
        <v>0</v>
      </c>
      <c r="S41" s="7" t="s">
        <v>492</v>
      </c>
      <c r="T41" s="7">
        <v>24</v>
      </c>
      <c r="U41" s="7">
        <v>6</v>
      </c>
      <c r="V41" s="7">
        <v>20</v>
      </c>
      <c r="W41" s="7" t="s">
        <v>508</v>
      </c>
      <c r="X41" s="108">
        <v>1</v>
      </c>
      <c r="Y41" s="7" t="s">
        <v>512</v>
      </c>
      <c r="Z41" s="7">
        <f t="shared" si="0"/>
        <v>6</v>
      </c>
      <c r="AA41" s="7" t="s">
        <v>462</v>
      </c>
    </row>
    <row r="42" spans="1:27">
      <c r="A42" s="7" t="s">
        <v>564</v>
      </c>
      <c r="B42" s="7" t="s">
        <v>504</v>
      </c>
      <c r="C42" s="7">
        <v>706799769</v>
      </c>
      <c r="D42" s="7" t="s">
        <v>490</v>
      </c>
      <c r="E42" s="7" t="s">
        <v>497</v>
      </c>
      <c r="F42" s="7">
        <v>5</v>
      </c>
      <c r="G42" s="7" t="s">
        <v>0</v>
      </c>
      <c r="H42" s="7" t="s">
        <v>2</v>
      </c>
      <c r="I42" s="7" t="s">
        <v>492</v>
      </c>
      <c r="J42" s="7" t="s">
        <v>493</v>
      </c>
      <c r="K42" s="7">
        <v>10</v>
      </c>
      <c r="L42" s="7">
        <v>26</v>
      </c>
      <c r="M42" s="7">
        <v>0</v>
      </c>
      <c r="N42" s="7">
        <v>3.5</v>
      </c>
      <c r="O42" s="7">
        <v>4</v>
      </c>
      <c r="P42" s="7" t="s">
        <v>502</v>
      </c>
      <c r="Q42" s="7">
        <v>6</v>
      </c>
      <c r="R42" s="7">
        <v>0</v>
      </c>
      <c r="S42" s="7" t="s">
        <v>492</v>
      </c>
      <c r="T42" s="7">
        <v>24</v>
      </c>
      <c r="U42" s="7">
        <v>7</v>
      </c>
      <c r="V42" s="7">
        <v>20</v>
      </c>
      <c r="W42" s="7" t="s">
        <v>508</v>
      </c>
      <c r="X42" s="108">
        <v>1.5</v>
      </c>
      <c r="Y42" s="7" t="s">
        <v>495</v>
      </c>
      <c r="Z42" s="7">
        <f t="shared" si="0"/>
        <v>3</v>
      </c>
      <c r="AA42" s="151" t="s">
        <v>800</v>
      </c>
    </row>
    <row r="43" spans="1:27">
      <c r="A43" s="7" t="s">
        <v>565</v>
      </c>
      <c r="B43" s="7" t="s">
        <v>489</v>
      </c>
      <c r="C43" s="7">
        <v>722409097</v>
      </c>
      <c r="D43" s="7" t="s">
        <v>490</v>
      </c>
      <c r="E43" s="7" t="s">
        <v>491</v>
      </c>
      <c r="F43" s="7">
        <v>2</v>
      </c>
      <c r="G43" s="7" t="s">
        <v>0</v>
      </c>
      <c r="H43" s="7" t="s">
        <v>2</v>
      </c>
      <c r="I43" s="7" t="s">
        <v>492</v>
      </c>
      <c r="J43" s="7" t="s">
        <v>493</v>
      </c>
      <c r="K43" s="7">
        <v>9</v>
      </c>
      <c r="L43" s="7">
        <v>24</v>
      </c>
      <c r="M43" s="7">
        <v>0</v>
      </c>
      <c r="N43" s="7">
        <v>4</v>
      </c>
      <c r="O43" s="7">
        <v>4</v>
      </c>
      <c r="P43" s="7">
        <v>3</v>
      </c>
      <c r="Q43" s="7">
        <v>4</v>
      </c>
      <c r="R43" s="7">
        <v>0</v>
      </c>
      <c r="S43" s="7" t="s">
        <v>492</v>
      </c>
      <c r="T43" s="7">
        <v>24</v>
      </c>
      <c r="U43" s="7">
        <v>6</v>
      </c>
      <c r="V43" s="7">
        <v>20</v>
      </c>
      <c r="W43" s="7" t="s">
        <v>508</v>
      </c>
      <c r="X43" s="108">
        <v>1</v>
      </c>
      <c r="Y43" s="7" t="s">
        <v>512</v>
      </c>
      <c r="Z43" s="7">
        <f t="shared" si="0"/>
        <v>6</v>
      </c>
      <c r="AA43" s="7" t="s">
        <v>462</v>
      </c>
    </row>
    <row r="44" spans="1:27">
      <c r="A44" s="7" t="s">
        <v>566</v>
      </c>
      <c r="B44" s="7" t="s">
        <v>504</v>
      </c>
      <c r="C44" s="7">
        <v>711187342</v>
      </c>
      <c r="D44" s="7" t="s">
        <v>490</v>
      </c>
      <c r="E44" s="7" t="s">
        <v>497</v>
      </c>
      <c r="F44" s="7">
        <v>4</v>
      </c>
      <c r="G44" s="7" t="s">
        <v>0</v>
      </c>
      <c r="H44" s="7" t="s">
        <v>2</v>
      </c>
      <c r="I44" s="7" t="s">
        <v>492</v>
      </c>
      <c r="J44" s="7" t="s">
        <v>493</v>
      </c>
      <c r="K44" s="7">
        <v>10</v>
      </c>
      <c r="L44" s="7">
        <v>12</v>
      </c>
      <c r="M44" s="7">
        <v>0</v>
      </c>
      <c r="N44" s="7">
        <v>3.5</v>
      </c>
      <c r="O44" s="7">
        <v>3</v>
      </c>
      <c r="P44" s="7" t="s">
        <v>567</v>
      </c>
      <c r="Q44" s="7">
        <v>4</v>
      </c>
      <c r="R44" s="7">
        <v>0</v>
      </c>
      <c r="S44" s="7" t="s">
        <v>492</v>
      </c>
      <c r="T44" s="7">
        <v>24</v>
      </c>
      <c r="U44" s="7">
        <v>2</v>
      </c>
      <c r="V44" s="7">
        <v>20</v>
      </c>
      <c r="W44" s="7" t="s">
        <v>508</v>
      </c>
      <c r="X44" s="108">
        <v>1</v>
      </c>
      <c r="Y44" s="7" t="s">
        <v>500</v>
      </c>
      <c r="Z44" s="7">
        <f t="shared" si="0"/>
        <v>1</v>
      </c>
      <c r="AA44" s="7" t="s">
        <v>462</v>
      </c>
    </row>
    <row r="45" spans="1:27">
      <c r="A45" s="7" t="s">
        <v>568</v>
      </c>
      <c r="B45" s="7" t="s">
        <v>489</v>
      </c>
      <c r="C45" s="7">
        <v>723805723</v>
      </c>
      <c r="D45" s="7" t="s">
        <v>490</v>
      </c>
      <c r="E45" s="7" t="s">
        <v>491</v>
      </c>
      <c r="F45" s="7">
        <v>4</v>
      </c>
      <c r="G45" s="7" t="s">
        <v>0</v>
      </c>
      <c r="H45" s="7" t="s">
        <v>2</v>
      </c>
      <c r="I45" s="7" t="s">
        <v>492</v>
      </c>
      <c r="J45" s="7" t="s">
        <v>493</v>
      </c>
      <c r="K45" s="7">
        <v>11</v>
      </c>
      <c r="L45" s="7">
        <v>6</v>
      </c>
      <c r="M45" s="7">
        <v>0</v>
      </c>
      <c r="N45" s="7">
        <v>4</v>
      </c>
      <c r="O45" s="7">
        <v>2.5</v>
      </c>
      <c r="P45" s="7">
        <v>0.5</v>
      </c>
      <c r="Q45" s="7">
        <v>3</v>
      </c>
      <c r="R45" s="7">
        <v>0</v>
      </c>
      <c r="S45" s="7" t="s">
        <v>492</v>
      </c>
      <c r="T45" s="7">
        <v>24</v>
      </c>
      <c r="U45" s="7">
        <v>2</v>
      </c>
      <c r="V45" s="7">
        <v>20</v>
      </c>
      <c r="W45" s="7" t="s">
        <v>508</v>
      </c>
      <c r="X45" s="108">
        <v>1</v>
      </c>
      <c r="Y45" s="7" t="s">
        <v>495</v>
      </c>
      <c r="Z45" s="7">
        <f t="shared" si="0"/>
        <v>3</v>
      </c>
      <c r="AA45" s="7" t="s">
        <v>462</v>
      </c>
    </row>
    <row r="46" spans="1:27">
      <c r="A46" s="7" t="s">
        <v>569</v>
      </c>
      <c r="B46" s="7" t="s">
        <v>489</v>
      </c>
      <c r="C46" s="7">
        <v>729801054</v>
      </c>
      <c r="D46" s="7" t="s">
        <v>490</v>
      </c>
      <c r="E46" s="7" t="s">
        <v>542</v>
      </c>
      <c r="F46" s="7">
        <v>8</v>
      </c>
      <c r="G46" s="7" t="s">
        <v>0</v>
      </c>
      <c r="H46" s="7" t="s">
        <v>492</v>
      </c>
      <c r="I46" s="7" t="s">
        <v>492</v>
      </c>
      <c r="J46" s="7" t="s">
        <v>493</v>
      </c>
      <c r="K46" s="7">
        <v>10</v>
      </c>
      <c r="L46" s="7">
        <v>0</v>
      </c>
      <c r="M46" s="7">
        <v>0</v>
      </c>
      <c r="N46" s="7">
        <v>4.5</v>
      </c>
      <c r="O46" s="7">
        <v>1</v>
      </c>
      <c r="P46" s="7" t="s">
        <v>570</v>
      </c>
      <c r="Q46" s="7">
        <v>5</v>
      </c>
      <c r="R46" s="7">
        <v>0</v>
      </c>
      <c r="S46" s="7" t="s">
        <v>492</v>
      </c>
      <c r="T46" s="7">
        <v>24</v>
      </c>
      <c r="U46" s="7">
        <v>6</v>
      </c>
      <c r="V46" s="7">
        <v>20</v>
      </c>
      <c r="W46" s="7" t="s">
        <v>508</v>
      </c>
      <c r="X46" s="108">
        <v>1</v>
      </c>
      <c r="Y46" s="7" t="s">
        <v>495</v>
      </c>
      <c r="Z46" s="7">
        <f t="shared" si="0"/>
        <v>3</v>
      </c>
      <c r="AA46" s="7" t="s">
        <v>462</v>
      </c>
    </row>
    <row r="47" spans="1:27">
      <c r="A47" s="7" t="s">
        <v>571</v>
      </c>
      <c r="B47" s="7" t="s">
        <v>504</v>
      </c>
      <c r="C47" s="7">
        <v>715610165</v>
      </c>
      <c r="D47" s="7" t="s">
        <v>490</v>
      </c>
      <c r="E47" s="7" t="s">
        <v>491</v>
      </c>
      <c r="F47" s="7">
        <v>5</v>
      </c>
      <c r="G47" s="7" t="s">
        <v>0</v>
      </c>
      <c r="H47" s="7" t="s">
        <v>2</v>
      </c>
      <c r="I47" s="7" t="s">
        <v>492</v>
      </c>
      <c r="J47" s="7" t="s">
        <v>493</v>
      </c>
      <c r="K47" s="7">
        <v>8</v>
      </c>
      <c r="L47" s="7">
        <v>12</v>
      </c>
      <c r="M47" s="7">
        <v>0</v>
      </c>
      <c r="N47" s="7">
        <v>4</v>
      </c>
      <c r="O47" s="7">
        <v>3</v>
      </c>
      <c r="P47" s="7">
        <v>0.2</v>
      </c>
      <c r="Q47" s="7">
        <v>8</v>
      </c>
      <c r="R47" s="7">
        <v>0</v>
      </c>
      <c r="S47" s="7" t="s">
        <v>492</v>
      </c>
      <c r="T47" s="7">
        <v>24</v>
      </c>
      <c r="U47" s="7">
        <v>10</v>
      </c>
      <c r="V47" s="7">
        <v>20</v>
      </c>
      <c r="W47" s="7" t="s">
        <v>508</v>
      </c>
      <c r="X47" s="108">
        <v>1</v>
      </c>
      <c r="Y47" s="7" t="s">
        <v>495</v>
      </c>
      <c r="Z47" s="7">
        <f t="shared" si="0"/>
        <v>3</v>
      </c>
      <c r="AA47" s="7" t="s">
        <v>462</v>
      </c>
    </row>
    <row r="48" spans="1:27">
      <c r="A48" s="7" t="s">
        <v>572</v>
      </c>
      <c r="B48" s="7" t="s">
        <v>504</v>
      </c>
      <c r="C48" s="7">
        <v>714003021</v>
      </c>
      <c r="D48" s="7" t="s">
        <v>490</v>
      </c>
      <c r="E48" s="7" t="s">
        <v>510</v>
      </c>
      <c r="F48" s="7">
        <v>2</v>
      </c>
      <c r="G48" s="7" t="s">
        <v>0</v>
      </c>
      <c r="H48" s="7" t="s">
        <v>2</v>
      </c>
      <c r="I48" s="7" t="s">
        <v>492</v>
      </c>
      <c r="J48" s="7" t="s">
        <v>493</v>
      </c>
      <c r="K48" s="7">
        <v>10</v>
      </c>
      <c r="L48" s="7">
        <v>6</v>
      </c>
      <c r="M48" s="7">
        <v>0</v>
      </c>
      <c r="N48" s="7">
        <v>3.5</v>
      </c>
      <c r="O48" s="7">
        <v>2</v>
      </c>
      <c r="P48" s="7">
        <v>2.5</v>
      </c>
      <c r="Q48" s="7">
        <v>6</v>
      </c>
      <c r="R48" s="7">
        <v>0</v>
      </c>
      <c r="S48" s="7" t="s">
        <v>492</v>
      </c>
      <c r="T48" s="7">
        <v>24</v>
      </c>
      <c r="U48" s="7">
        <v>5</v>
      </c>
      <c r="V48" s="7">
        <v>20</v>
      </c>
      <c r="W48" s="7" t="s">
        <v>508</v>
      </c>
      <c r="X48" s="108">
        <v>1</v>
      </c>
      <c r="Y48" s="7" t="s">
        <v>512</v>
      </c>
      <c r="Z48" s="7">
        <f t="shared" si="0"/>
        <v>6</v>
      </c>
      <c r="AA48" s="7" t="s">
        <v>462</v>
      </c>
    </row>
    <row r="49" spans="1:28">
      <c r="A49" s="7" t="s">
        <v>573</v>
      </c>
      <c r="B49" s="7" t="s">
        <v>489</v>
      </c>
      <c r="C49" s="7">
        <v>721910352</v>
      </c>
      <c r="D49" s="7" t="s">
        <v>490</v>
      </c>
      <c r="E49" s="7" t="s">
        <v>491</v>
      </c>
      <c r="F49" s="7">
        <v>6</v>
      </c>
      <c r="G49" s="7" t="s">
        <v>0</v>
      </c>
      <c r="H49" s="7" t="s">
        <v>2</v>
      </c>
      <c r="I49" s="7" t="s">
        <v>492</v>
      </c>
      <c r="J49" s="7" t="s">
        <v>493</v>
      </c>
      <c r="K49" s="7">
        <v>10</v>
      </c>
      <c r="L49" s="7">
        <v>6</v>
      </c>
      <c r="M49" s="7">
        <v>0</v>
      </c>
      <c r="N49" s="7">
        <v>3</v>
      </c>
      <c r="O49" s="7">
        <v>3.5</v>
      </c>
      <c r="P49" s="7">
        <v>0.5</v>
      </c>
      <c r="Q49" s="7">
        <v>5</v>
      </c>
      <c r="R49" s="7">
        <v>0</v>
      </c>
      <c r="S49" s="7" t="s">
        <v>492</v>
      </c>
      <c r="T49" s="7">
        <v>24</v>
      </c>
      <c r="U49" s="7">
        <v>15</v>
      </c>
      <c r="V49" s="7">
        <v>20</v>
      </c>
      <c r="W49" s="7" t="s">
        <v>499</v>
      </c>
      <c r="X49" s="108">
        <v>1.5</v>
      </c>
      <c r="Y49" s="7" t="s">
        <v>574</v>
      </c>
      <c r="Z49" s="7">
        <f t="shared" si="0"/>
        <v>0</v>
      </c>
      <c r="AA49" s="7" t="s">
        <v>462</v>
      </c>
      <c r="AB49" s="7" t="s">
        <v>575</v>
      </c>
    </row>
    <row r="50" spans="1:28">
      <c r="A50" s="7" t="s">
        <v>576</v>
      </c>
      <c r="B50" s="7" t="s">
        <v>504</v>
      </c>
      <c r="C50" s="7">
        <v>716296693</v>
      </c>
      <c r="D50" s="7" t="s">
        <v>490</v>
      </c>
      <c r="E50" s="7" t="s">
        <v>505</v>
      </c>
      <c r="F50" s="7">
        <v>3</v>
      </c>
      <c r="G50" s="7" t="s">
        <v>0</v>
      </c>
      <c r="H50" s="7" t="s">
        <v>2</v>
      </c>
      <c r="I50" s="7" t="s">
        <v>492</v>
      </c>
      <c r="J50" s="7" t="s">
        <v>493</v>
      </c>
      <c r="K50" s="7">
        <v>8</v>
      </c>
      <c r="L50" s="7">
        <v>6</v>
      </c>
      <c r="M50" s="7">
        <v>0</v>
      </c>
      <c r="N50" s="7">
        <v>3.5</v>
      </c>
      <c r="O50" s="7">
        <v>4</v>
      </c>
      <c r="P50" s="7" t="s">
        <v>527</v>
      </c>
      <c r="Q50" s="7">
        <v>4</v>
      </c>
      <c r="R50" s="7">
        <v>0</v>
      </c>
      <c r="S50" s="7" t="s">
        <v>492</v>
      </c>
      <c r="T50" s="7">
        <v>24</v>
      </c>
      <c r="U50" s="7">
        <v>8</v>
      </c>
      <c r="V50" s="7">
        <v>20</v>
      </c>
      <c r="W50" s="7" t="s">
        <v>508</v>
      </c>
      <c r="X50" s="108">
        <v>1</v>
      </c>
      <c r="Y50" s="7" t="s">
        <v>495</v>
      </c>
      <c r="Z50" s="7">
        <f t="shared" si="0"/>
        <v>3</v>
      </c>
      <c r="AA50" s="7" t="s">
        <v>462</v>
      </c>
    </row>
    <row r="51" spans="1:28">
      <c r="A51" s="7" t="s">
        <v>577</v>
      </c>
      <c r="B51" s="7" t="s">
        <v>504</v>
      </c>
      <c r="C51" s="7">
        <v>704028595</v>
      </c>
      <c r="D51" s="7" t="s">
        <v>490</v>
      </c>
      <c r="E51" s="7" t="s">
        <v>491</v>
      </c>
      <c r="F51" s="7">
        <v>7</v>
      </c>
      <c r="G51" s="7" t="s">
        <v>0</v>
      </c>
      <c r="H51" s="7" t="s">
        <v>2</v>
      </c>
      <c r="I51" s="7" t="s">
        <v>492</v>
      </c>
      <c r="J51" s="7" t="s">
        <v>493</v>
      </c>
      <c r="K51" s="7">
        <v>9</v>
      </c>
      <c r="L51" s="7">
        <v>6</v>
      </c>
      <c r="M51" s="7">
        <v>0</v>
      </c>
      <c r="N51" s="7">
        <v>4</v>
      </c>
      <c r="O51" s="7">
        <v>4.5</v>
      </c>
      <c r="P51" s="7">
        <v>0.5</v>
      </c>
      <c r="Q51" s="7">
        <v>4</v>
      </c>
      <c r="R51" s="7">
        <v>0</v>
      </c>
      <c r="S51" s="7" t="s">
        <v>492</v>
      </c>
      <c r="T51" s="7">
        <v>24</v>
      </c>
      <c r="U51" s="7">
        <v>7</v>
      </c>
      <c r="V51" s="7">
        <v>20</v>
      </c>
      <c r="W51" s="7" t="s">
        <v>508</v>
      </c>
      <c r="X51" s="108">
        <v>1</v>
      </c>
      <c r="Y51" s="7" t="s">
        <v>495</v>
      </c>
      <c r="Z51" s="7">
        <f t="shared" si="0"/>
        <v>3</v>
      </c>
      <c r="AA51" s="7" t="s">
        <v>462</v>
      </c>
    </row>
    <row r="52" spans="1:28">
      <c r="A52" s="7" t="s">
        <v>578</v>
      </c>
      <c r="B52" s="7" t="s">
        <v>489</v>
      </c>
      <c r="C52" s="7">
        <v>719169055</v>
      </c>
      <c r="D52" s="7" t="s">
        <v>579</v>
      </c>
      <c r="E52" s="7" t="s">
        <v>580</v>
      </c>
      <c r="F52" s="7">
        <v>2</v>
      </c>
      <c r="G52" s="7" t="s">
        <v>0</v>
      </c>
      <c r="H52" s="7" t="s">
        <v>492</v>
      </c>
      <c r="I52" s="7" t="s">
        <v>492</v>
      </c>
      <c r="J52" s="7" t="s">
        <v>493</v>
      </c>
      <c r="K52" s="7">
        <v>10</v>
      </c>
      <c r="L52" s="7">
        <v>0</v>
      </c>
      <c r="M52" s="7">
        <v>0</v>
      </c>
      <c r="N52" s="7">
        <v>4.5</v>
      </c>
      <c r="O52" s="7">
        <v>2</v>
      </c>
      <c r="P52" s="7">
        <v>0.5</v>
      </c>
      <c r="Q52" s="7">
        <v>5</v>
      </c>
      <c r="R52" s="7">
        <v>0</v>
      </c>
      <c r="S52" s="7" t="s">
        <v>581</v>
      </c>
      <c r="T52" s="7">
        <v>24</v>
      </c>
      <c r="U52" s="7">
        <v>15</v>
      </c>
      <c r="V52" s="7">
        <v>20</v>
      </c>
      <c r="W52" s="7" t="s">
        <v>508</v>
      </c>
      <c r="X52" s="108">
        <v>1.5</v>
      </c>
      <c r="Y52" s="7" t="s">
        <v>495</v>
      </c>
      <c r="Z52" s="7">
        <f t="shared" si="0"/>
        <v>3</v>
      </c>
      <c r="AA52" s="7" t="s">
        <v>462</v>
      </c>
    </row>
    <row r="53" spans="1:28">
      <c r="A53" s="7" t="s">
        <v>582</v>
      </c>
      <c r="B53" s="7" t="s">
        <v>504</v>
      </c>
      <c r="C53" s="7">
        <v>717186679</v>
      </c>
      <c r="D53" s="7" t="s">
        <v>579</v>
      </c>
      <c r="E53" s="7" t="s">
        <v>580</v>
      </c>
      <c r="F53" s="7">
        <v>7</v>
      </c>
      <c r="G53" s="7" t="s">
        <v>2</v>
      </c>
      <c r="H53" s="7" t="s">
        <v>0</v>
      </c>
      <c r="I53" s="7" t="s">
        <v>492</v>
      </c>
      <c r="J53" s="7" t="s">
        <v>493</v>
      </c>
      <c r="K53" s="7">
        <v>2</v>
      </c>
      <c r="L53" s="7">
        <v>72</v>
      </c>
      <c r="M53" s="7">
        <v>0</v>
      </c>
      <c r="N53" s="7">
        <v>3.5</v>
      </c>
      <c r="O53" s="7">
        <v>4</v>
      </c>
      <c r="P53" s="7">
        <v>1</v>
      </c>
      <c r="Q53" s="7">
        <v>3</v>
      </c>
      <c r="R53" s="7">
        <v>0</v>
      </c>
      <c r="S53" s="7" t="s">
        <v>581</v>
      </c>
      <c r="T53" s="7">
        <v>24</v>
      </c>
      <c r="U53" s="7">
        <v>2</v>
      </c>
      <c r="V53" s="7">
        <v>20</v>
      </c>
      <c r="W53" s="7" t="s">
        <v>508</v>
      </c>
      <c r="X53" s="108">
        <v>1</v>
      </c>
      <c r="Y53" s="7" t="s">
        <v>512</v>
      </c>
      <c r="Z53" s="7">
        <f t="shared" si="0"/>
        <v>6</v>
      </c>
      <c r="AA53" s="7" t="s">
        <v>462</v>
      </c>
    </row>
    <row r="54" spans="1:28">
      <c r="A54" s="7" t="s">
        <v>583</v>
      </c>
      <c r="B54" s="7" t="s">
        <v>504</v>
      </c>
      <c r="C54" s="7">
        <v>701151261</v>
      </c>
      <c r="D54" s="7" t="s">
        <v>579</v>
      </c>
      <c r="E54" s="7" t="s">
        <v>584</v>
      </c>
      <c r="F54" s="7">
        <v>4</v>
      </c>
      <c r="G54" s="7" t="s">
        <v>0</v>
      </c>
      <c r="H54" s="7" t="s">
        <v>492</v>
      </c>
      <c r="I54" s="7" t="s">
        <v>492</v>
      </c>
      <c r="J54" s="7" t="s">
        <v>493</v>
      </c>
      <c r="K54" s="7">
        <v>7</v>
      </c>
      <c r="L54" s="7">
        <v>0</v>
      </c>
      <c r="M54" s="7">
        <v>0</v>
      </c>
      <c r="N54" s="7">
        <v>3</v>
      </c>
      <c r="O54" s="7">
        <v>1</v>
      </c>
      <c r="P54" s="7">
        <v>2</v>
      </c>
      <c r="Q54" s="7">
        <v>5</v>
      </c>
      <c r="R54" s="7">
        <v>0</v>
      </c>
      <c r="S54" s="7" t="s">
        <v>581</v>
      </c>
      <c r="T54" s="7">
        <v>24</v>
      </c>
      <c r="U54" s="7">
        <v>5</v>
      </c>
      <c r="V54" s="7">
        <v>20</v>
      </c>
      <c r="W54" s="7" t="s">
        <v>508</v>
      </c>
      <c r="X54" s="108">
        <v>1</v>
      </c>
      <c r="Y54" s="7" t="s">
        <v>495</v>
      </c>
      <c r="Z54" s="7">
        <f t="shared" si="0"/>
        <v>3</v>
      </c>
      <c r="AA54" s="7" t="s">
        <v>462</v>
      </c>
    </row>
    <row r="55" spans="1:28">
      <c r="A55" s="7" t="s">
        <v>585</v>
      </c>
      <c r="B55" s="7" t="s">
        <v>504</v>
      </c>
      <c r="C55" s="7">
        <v>729230708</v>
      </c>
      <c r="D55" s="7" t="s">
        <v>579</v>
      </c>
      <c r="E55" s="7" t="s">
        <v>584</v>
      </c>
      <c r="F55" s="7">
        <v>2</v>
      </c>
      <c r="G55" s="7" t="s">
        <v>0</v>
      </c>
      <c r="H55" s="7" t="s">
        <v>492</v>
      </c>
      <c r="I55" s="7" t="s">
        <v>492</v>
      </c>
      <c r="J55" s="7" t="s">
        <v>586</v>
      </c>
      <c r="K55" s="7">
        <v>6</v>
      </c>
      <c r="L55" s="7">
        <v>0</v>
      </c>
      <c r="M55" s="7">
        <v>0</v>
      </c>
      <c r="N55" s="7">
        <v>3.5</v>
      </c>
      <c r="O55" s="7">
        <v>3</v>
      </c>
      <c r="P55" s="7">
        <v>0.5</v>
      </c>
      <c r="Q55" s="7">
        <v>3</v>
      </c>
      <c r="R55" s="7">
        <v>0</v>
      </c>
      <c r="S55" s="7" t="s">
        <v>581</v>
      </c>
      <c r="T55" s="7">
        <v>24</v>
      </c>
      <c r="U55" s="7">
        <v>3</v>
      </c>
      <c r="V55" s="7">
        <v>20</v>
      </c>
      <c r="W55" s="7" t="s">
        <v>508</v>
      </c>
      <c r="X55" s="108">
        <v>2</v>
      </c>
      <c r="Y55" s="7" t="s">
        <v>495</v>
      </c>
      <c r="Z55" s="7">
        <f t="shared" si="0"/>
        <v>3</v>
      </c>
      <c r="AA55" s="7" t="s">
        <v>462</v>
      </c>
    </row>
    <row r="56" spans="1:28">
      <c r="A56" s="7" t="s">
        <v>587</v>
      </c>
      <c r="B56" s="7" t="s">
        <v>504</v>
      </c>
      <c r="C56" s="7">
        <v>727861498</v>
      </c>
      <c r="D56" s="7" t="s">
        <v>579</v>
      </c>
      <c r="E56" s="7" t="s">
        <v>588</v>
      </c>
      <c r="F56" s="7">
        <v>3</v>
      </c>
      <c r="G56" s="7" t="s">
        <v>0</v>
      </c>
      <c r="H56" s="7" t="s">
        <v>492</v>
      </c>
      <c r="I56" s="7" t="s">
        <v>492</v>
      </c>
      <c r="J56" s="7" t="s">
        <v>493</v>
      </c>
      <c r="K56" s="7">
        <v>10</v>
      </c>
      <c r="L56" s="7">
        <v>0</v>
      </c>
      <c r="M56" s="7">
        <v>0</v>
      </c>
      <c r="N56" s="7">
        <v>3</v>
      </c>
      <c r="O56" s="7">
        <v>5</v>
      </c>
      <c r="Q56" s="7">
        <v>4</v>
      </c>
      <c r="R56" s="7">
        <v>0</v>
      </c>
      <c r="S56" s="7" t="s">
        <v>492</v>
      </c>
      <c r="T56" s="7">
        <v>24</v>
      </c>
      <c r="U56" s="7">
        <v>5</v>
      </c>
      <c r="V56" s="7">
        <v>20</v>
      </c>
      <c r="W56" s="7" t="s">
        <v>508</v>
      </c>
      <c r="X56" s="108">
        <v>1</v>
      </c>
      <c r="Y56" s="7" t="s">
        <v>512</v>
      </c>
      <c r="Z56" s="7">
        <f t="shared" si="0"/>
        <v>6</v>
      </c>
      <c r="AA56" s="7" t="s">
        <v>462</v>
      </c>
    </row>
    <row r="57" spans="1:28">
      <c r="A57" s="7" t="s">
        <v>589</v>
      </c>
      <c r="B57" s="7" t="s">
        <v>489</v>
      </c>
      <c r="C57" s="7">
        <v>722392190</v>
      </c>
      <c r="D57" s="7" t="s">
        <v>579</v>
      </c>
      <c r="E57" s="7" t="s">
        <v>588</v>
      </c>
      <c r="F57" s="7">
        <v>3</v>
      </c>
      <c r="G57" s="7" t="s">
        <v>2</v>
      </c>
      <c r="H57" s="7" t="s">
        <v>0</v>
      </c>
      <c r="I57" s="7" t="s">
        <v>492</v>
      </c>
      <c r="J57" s="7" t="s">
        <v>493</v>
      </c>
      <c r="K57" s="7">
        <v>0</v>
      </c>
      <c r="L57" s="7">
        <v>156</v>
      </c>
      <c r="M57" s="7">
        <v>0</v>
      </c>
      <c r="N57" s="7">
        <v>4</v>
      </c>
      <c r="O57" s="7">
        <v>3</v>
      </c>
      <c r="P57" s="7">
        <v>0</v>
      </c>
      <c r="Q57" s="7">
        <v>6</v>
      </c>
      <c r="R57" s="7">
        <v>30</v>
      </c>
      <c r="S57" s="7" t="s">
        <v>492</v>
      </c>
      <c r="T57" s="7">
        <v>24</v>
      </c>
      <c r="U57" s="7">
        <v>10</v>
      </c>
      <c r="V57" s="7">
        <v>20</v>
      </c>
      <c r="W57" s="7" t="s">
        <v>508</v>
      </c>
      <c r="X57" s="108">
        <v>1</v>
      </c>
      <c r="Y57" s="7" t="s">
        <v>495</v>
      </c>
      <c r="Z57" s="7">
        <f t="shared" si="0"/>
        <v>3</v>
      </c>
      <c r="AA57" s="7" t="s">
        <v>462</v>
      </c>
    </row>
    <row r="58" spans="1:28">
      <c r="A58" s="7" t="s">
        <v>590</v>
      </c>
      <c r="B58" s="7" t="s">
        <v>504</v>
      </c>
      <c r="C58" s="7">
        <v>721886459</v>
      </c>
      <c r="D58" s="7" t="s">
        <v>579</v>
      </c>
      <c r="E58" s="7" t="s">
        <v>588</v>
      </c>
      <c r="F58" s="7">
        <v>2</v>
      </c>
      <c r="G58" s="7" t="s">
        <v>0</v>
      </c>
      <c r="H58" s="7" t="s">
        <v>2</v>
      </c>
      <c r="I58" s="7" t="s">
        <v>492</v>
      </c>
      <c r="J58" s="7" t="s">
        <v>493</v>
      </c>
      <c r="K58" s="7">
        <v>0</v>
      </c>
      <c r="L58" s="7">
        <v>18</v>
      </c>
      <c r="M58" s="7">
        <v>0</v>
      </c>
      <c r="N58" s="7">
        <v>3.5</v>
      </c>
      <c r="O58" s="7">
        <v>2</v>
      </c>
      <c r="Q58" s="7">
        <v>6</v>
      </c>
      <c r="R58" s="7">
        <v>0</v>
      </c>
      <c r="S58" s="7" t="s">
        <v>591</v>
      </c>
      <c r="T58" s="7">
        <v>24</v>
      </c>
      <c r="U58" s="7">
        <v>10</v>
      </c>
      <c r="V58" s="7">
        <v>20</v>
      </c>
      <c r="W58" s="7" t="s">
        <v>508</v>
      </c>
      <c r="X58" s="108">
        <v>1</v>
      </c>
      <c r="Y58" s="7" t="s">
        <v>495</v>
      </c>
      <c r="Z58" s="7">
        <f t="shared" si="0"/>
        <v>3</v>
      </c>
      <c r="AA58" s="7" t="s">
        <v>462</v>
      </c>
    </row>
    <row r="59" spans="1:28">
      <c r="A59" s="7" t="s">
        <v>592</v>
      </c>
      <c r="B59" s="7" t="s">
        <v>504</v>
      </c>
      <c r="C59" s="7">
        <v>724509317</v>
      </c>
      <c r="D59" s="7" t="s">
        <v>579</v>
      </c>
      <c r="E59" s="7" t="s">
        <v>593</v>
      </c>
      <c r="F59" s="7">
        <v>4</v>
      </c>
      <c r="G59" s="7" t="s">
        <v>112</v>
      </c>
      <c r="H59" s="7" t="s">
        <v>492</v>
      </c>
      <c r="I59" s="7" t="s">
        <v>492</v>
      </c>
      <c r="J59" s="7" t="s">
        <v>493</v>
      </c>
      <c r="K59" s="7">
        <v>0</v>
      </c>
      <c r="L59" s="7">
        <v>0</v>
      </c>
      <c r="M59" s="7">
        <v>3</v>
      </c>
      <c r="N59" s="7">
        <v>3</v>
      </c>
      <c r="O59" s="7">
        <v>1</v>
      </c>
      <c r="P59" s="7">
        <v>2</v>
      </c>
      <c r="Q59" s="7">
        <v>5</v>
      </c>
      <c r="R59" s="7">
        <v>0</v>
      </c>
      <c r="S59" s="7" t="s">
        <v>492</v>
      </c>
      <c r="T59" s="7">
        <v>24</v>
      </c>
      <c r="U59" s="7">
        <v>6</v>
      </c>
      <c r="V59" s="7">
        <v>20</v>
      </c>
      <c r="W59" s="7" t="s">
        <v>508</v>
      </c>
      <c r="X59" s="108">
        <v>2</v>
      </c>
      <c r="Y59" s="7" t="s">
        <v>512</v>
      </c>
      <c r="Z59" s="7">
        <f t="shared" si="0"/>
        <v>6</v>
      </c>
      <c r="AA59" s="7" t="s">
        <v>462</v>
      </c>
    </row>
    <row r="60" spans="1:28">
      <c r="A60" s="7" t="s">
        <v>594</v>
      </c>
      <c r="B60" s="7" t="s">
        <v>504</v>
      </c>
      <c r="C60" s="7">
        <v>713685926</v>
      </c>
      <c r="D60" s="7" t="s">
        <v>579</v>
      </c>
      <c r="E60" s="7" t="s">
        <v>580</v>
      </c>
      <c r="F60" s="7">
        <v>2</v>
      </c>
      <c r="G60" s="7" t="s">
        <v>0</v>
      </c>
      <c r="H60" s="7" t="s">
        <v>2</v>
      </c>
      <c r="I60" s="7" t="s">
        <v>492</v>
      </c>
      <c r="J60" s="7" t="s">
        <v>493</v>
      </c>
      <c r="K60" s="7">
        <v>11</v>
      </c>
      <c r="L60" s="7">
        <v>26</v>
      </c>
      <c r="M60" s="7">
        <v>0</v>
      </c>
      <c r="N60" s="7">
        <v>3.75</v>
      </c>
      <c r="O60" s="7">
        <v>3.5</v>
      </c>
      <c r="P60" s="7">
        <v>0.5</v>
      </c>
      <c r="Q60" s="7">
        <v>7</v>
      </c>
      <c r="R60" s="7">
        <v>0</v>
      </c>
      <c r="S60" s="7" t="s">
        <v>581</v>
      </c>
      <c r="T60" s="7">
        <v>24</v>
      </c>
      <c r="U60" s="7">
        <v>2</v>
      </c>
      <c r="V60" s="7">
        <v>20</v>
      </c>
      <c r="W60" s="7" t="s">
        <v>508</v>
      </c>
      <c r="X60" s="108">
        <v>1</v>
      </c>
      <c r="Y60" s="7" t="s">
        <v>500</v>
      </c>
      <c r="Z60" s="7">
        <f t="shared" si="0"/>
        <v>1</v>
      </c>
      <c r="AA60" s="7" t="s">
        <v>462</v>
      </c>
    </row>
    <row r="61" spans="1:28">
      <c r="A61" s="7" t="s">
        <v>595</v>
      </c>
      <c r="B61" s="7" t="s">
        <v>504</v>
      </c>
      <c r="C61" s="7">
        <v>722115725</v>
      </c>
      <c r="D61" s="7" t="s">
        <v>579</v>
      </c>
      <c r="E61" s="7" t="s">
        <v>580</v>
      </c>
      <c r="F61" s="7">
        <v>4</v>
      </c>
      <c r="G61" s="7" t="s">
        <v>2</v>
      </c>
      <c r="H61" s="7" t="s">
        <v>0</v>
      </c>
      <c r="I61" s="7" t="s">
        <v>492</v>
      </c>
      <c r="J61" s="7" t="s">
        <v>493</v>
      </c>
      <c r="K61" s="7">
        <v>10</v>
      </c>
      <c r="L61" s="7">
        <v>78</v>
      </c>
      <c r="M61" s="7">
        <v>0</v>
      </c>
      <c r="N61" s="7">
        <v>3.5</v>
      </c>
      <c r="O61" s="7">
        <v>1</v>
      </c>
      <c r="P61" s="7">
        <v>2</v>
      </c>
      <c r="Q61" s="7">
        <v>4</v>
      </c>
      <c r="R61" s="7">
        <v>0</v>
      </c>
      <c r="S61" s="7" t="s">
        <v>581</v>
      </c>
      <c r="T61" s="7">
        <v>24</v>
      </c>
      <c r="U61" s="7">
        <v>3</v>
      </c>
      <c r="V61" s="7">
        <v>20</v>
      </c>
      <c r="W61" s="7" t="s">
        <v>508</v>
      </c>
      <c r="X61" s="108">
        <v>1</v>
      </c>
      <c r="Y61" s="7" t="s">
        <v>495</v>
      </c>
      <c r="Z61" s="7">
        <f t="shared" si="0"/>
        <v>3</v>
      </c>
      <c r="AA61" s="7" t="s">
        <v>462</v>
      </c>
    </row>
    <row r="62" spans="1:28">
      <c r="A62" s="7" t="s">
        <v>596</v>
      </c>
      <c r="B62" s="7" t="s">
        <v>504</v>
      </c>
      <c r="C62" s="7">
        <v>729359921</v>
      </c>
      <c r="D62" s="7" t="s">
        <v>579</v>
      </c>
      <c r="E62" s="7" t="s">
        <v>588</v>
      </c>
      <c r="F62" s="7">
        <v>5</v>
      </c>
      <c r="G62" s="7" t="s">
        <v>0</v>
      </c>
      <c r="H62" s="7" t="s">
        <v>492</v>
      </c>
      <c r="I62" s="7" t="s">
        <v>492</v>
      </c>
      <c r="J62" s="7" t="s">
        <v>493</v>
      </c>
      <c r="K62" s="7">
        <v>10</v>
      </c>
      <c r="L62" s="7">
        <v>0</v>
      </c>
      <c r="M62" s="7">
        <v>0</v>
      </c>
      <c r="N62" s="7">
        <v>3.75</v>
      </c>
      <c r="O62" s="7">
        <v>3</v>
      </c>
      <c r="Q62" s="7">
        <v>4</v>
      </c>
      <c r="R62" s="7">
        <v>0</v>
      </c>
      <c r="S62" s="7" t="s">
        <v>492</v>
      </c>
      <c r="T62" s="7">
        <v>24</v>
      </c>
      <c r="U62" s="7">
        <v>6</v>
      </c>
      <c r="V62" s="7">
        <v>24</v>
      </c>
      <c r="W62" s="7" t="s">
        <v>499</v>
      </c>
      <c r="X62" s="108">
        <v>1</v>
      </c>
      <c r="Y62" s="7" t="s">
        <v>500</v>
      </c>
      <c r="Z62" s="7">
        <f t="shared" si="0"/>
        <v>1</v>
      </c>
      <c r="AA62" s="151" t="s">
        <v>800</v>
      </c>
    </row>
    <row r="63" spans="1:28">
      <c r="A63" s="7" t="s">
        <v>597</v>
      </c>
      <c r="B63" s="7" t="s">
        <v>504</v>
      </c>
      <c r="C63" s="7">
        <v>712693402</v>
      </c>
      <c r="D63" s="7" t="s">
        <v>579</v>
      </c>
      <c r="E63" s="7" t="s">
        <v>580</v>
      </c>
      <c r="F63" s="7">
        <v>4</v>
      </c>
      <c r="G63" s="7" t="s">
        <v>2</v>
      </c>
      <c r="H63" s="7" t="s">
        <v>0</v>
      </c>
      <c r="I63" s="7" t="s">
        <v>492</v>
      </c>
      <c r="J63" s="7" t="s">
        <v>493</v>
      </c>
      <c r="K63" s="7">
        <v>15</v>
      </c>
      <c r="L63" s="7">
        <v>72</v>
      </c>
      <c r="M63" s="7">
        <v>0</v>
      </c>
      <c r="N63" s="7">
        <v>3</v>
      </c>
      <c r="O63" s="7">
        <v>0.5</v>
      </c>
      <c r="P63" s="7">
        <v>2</v>
      </c>
      <c r="Q63" s="7">
        <v>3</v>
      </c>
      <c r="R63" s="7">
        <v>0</v>
      </c>
      <c r="S63" s="7" t="s">
        <v>492</v>
      </c>
      <c r="T63" s="7">
        <v>24</v>
      </c>
      <c r="U63" s="7">
        <v>1.5</v>
      </c>
      <c r="V63" s="7">
        <v>20</v>
      </c>
      <c r="W63" s="7" t="s">
        <v>508</v>
      </c>
      <c r="X63" s="108">
        <v>1</v>
      </c>
      <c r="Y63" s="7" t="s">
        <v>495</v>
      </c>
      <c r="Z63" s="7">
        <f t="shared" si="0"/>
        <v>3</v>
      </c>
      <c r="AA63" s="7" t="s">
        <v>462</v>
      </c>
    </row>
    <row r="64" spans="1:28">
      <c r="A64" s="7" t="s">
        <v>598</v>
      </c>
      <c r="B64" s="7" t="s">
        <v>504</v>
      </c>
      <c r="C64" s="7">
        <v>793544940</v>
      </c>
      <c r="D64" s="7" t="s">
        <v>579</v>
      </c>
      <c r="E64" s="7" t="s">
        <v>580</v>
      </c>
      <c r="F64" s="7">
        <v>3</v>
      </c>
      <c r="G64" s="7" t="s">
        <v>0</v>
      </c>
      <c r="H64" s="7" t="s">
        <v>2</v>
      </c>
      <c r="I64" s="7" t="s">
        <v>492</v>
      </c>
      <c r="J64" s="7" t="s">
        <v>493</v>
      </c>
      <c r="K64" s="7">
        <v>10</v>
      </c>
      <c r="L64" s="7">
        <v>36</v>
      </c>
      <c r="M64" s="7">
        <v>0</v>
      </c>
      <c r="N64" s="7">
        <v>3</v>
      </c>
      <c r="O64" s="7">
        <v>1.5</v>
      </c>
      <c r="P64" s="7">
        <v>0.1</v>
      </c>
      <c r="Q64" s="7">
        <v>4</v>
      </c>
      <c r="R64" s="7">
        <v>0</v>
      </c>
      <c r="S64" s="7" t="s">
        <v>492</v>
      </c>
      <c r="T64" s="7">
        <v>24</v>
      </c>
      <c r="U64" s="7">
        <v>2</v>
      </c>
      <c r="V64" s="7">
        <v>20</v>
      </c>
      <c r="W64" s="7" t="s">
        <v>499</v>
      </c>
      <c r="X64" s="108">
        <v>1</v>
      </c>
      <c r="Y64" s="7" t="s">
        <v>515</v>
      </c>
      <c r="Z64" s="7">
        <f t="shared" si="0"/>
        <v>0</v>
      </c>
      <c r="AA64" s="7" t="s">
        <v>462</v>
      </c>
    </row>
    <row r="65" spans="1:27">
      <c r="A65" s="7" t="s">
        <v>599</v>
      </c>
      <c r="B65" s="7" t="s">
        <v>504</v>
      </c>
      <c r="C65" s="7">
        <v>710185818</v>
      </c>
      <c r="D65" s="7" t="s">
        <v>579</v>
      </c>
      <c r="E65" s="7" t="s">
        <v>588</v>
      </c>
      <c r="F65" s="7">
        <v>5</v>
      </c>
      <c r="G65" s="7" t="s">
        <v>0</v>
      </c>
      <c r="H65" s="7" t="s">
        <v>492</v>
      </c>
      <c r="I65" s="7" t="s">
        <v>492</v>
      </c>
      <c r="J65" s="7" t="s">
        <v>493</v>
      </c>
      <c r="K65" s="7">
        <v>10</v>
      </c>
      <c r="L65" s="7">
        <v>0</v>
      </c>
      <c r="M65" s="7">
        <v>0</v>
      </c>
      <c r="N65" s="7">
        <v>3.5</v>
      </c>
      <c r="O65" s="7">
        <v>5</v>
      </c>
      <c r="Q65" s="7">
        <v>4</v>
      </c>
      <c r="R65" s="7">
        <v>0</v>
      </c>
      <c r="S65" s="7" t="s">
        <v>600</v>
      </c>
      <c r="T65" s="7">
        <v>24</v>
      </c>
      <c r="U65" s="7">
        <v>4</v>
      </c>
      <c r="V65" s="7">
        <v>20</v>
      </c>
      <c r="W65" s="7" t="s">
        <v>508</v>
      </c>
      <c r="X65" s="108">
        <v>1</v>
      </c>
      <c r="Y65" s="7" t="s">
        <v>495</v>
      </c>
      <c r="Z65" s="7">
        <f t="shared" si="0"/>
        <v>3</v>
      </c>
      <c r="AA65" s="7" t="s">
        <v>462</v>
      </c>
    </row>
    <row r="66" spans="1:27">
      <c r="A66" s="7" t="s">
        <v>601</v>
      </c>
      <c r="B66" s="7" t="s">
        <v>504</v>
      </c>
      <c r="C66" s="7">
        <v>711229381</v>
      </c>
      <c r="D66" s="7" t="s">
        <v>579</v>
      </c>
      <c r="E66" s="7" t="s">
        <v>588</v>
      </c>
      <c r="F66" s="7">
        <v>3</v>
      </c>
      <c r="G66" s="7" t="s">
        <v>2</v>
      </c>
      <c r="H66" s="7" t="s">
        <v>0</v>
      </c>
      <c r="I66" s="7" t="s">
        <v>492</v>
      </c>
      <c r="J66" s="7" t="s">
        <v>493</v>
      </c>
      <c r="K66" s="7">
        <v>10</v>
      </c>
      <c r="L66" s="7">
        <v>72</v>
      </c>
      <c r="M66" s="7">
        <v>0</v>
      </c>
      <c r="N66" s="7">
        <v>3.15</v>
      </c>
      <c r="O66" s="7">
        <v>5</v>
      </c>
      <c r="P66" s="7">
        <v>0.5</v>
      </c>
      <c r="Q66" s="7">
        <v>6</v>
      </c>
      <c r="R66" s="7">
        <v>5</v>
      </c>
      <c r="S66" s="7" t="s">
        <v>492</v>
      </c>
      <c r="T66" s="7">
        <v>24</v>
      </c>
      <c r="U66" s="7">
        <v>10</v>
      </c>
      <c r="V66" s="7">
        <v>20</v>
      </c>
      <c r="W66" s="7" t="s">
        <v>602</v>
      </c>
      <c r="X66" s="108">
        <v>1</v>
      </c>
      <c r="Y66" s="7" t="s">
        <v>500</v>
      </c>
      <c r="Z66" s="7">
        <f t="shared" si="0"/>
        <v>1</v>
      </c>
      <c r="AA66" s="7" t="s">
        <v>462</v>
      </c>
    </row>
    <row r="67" spans="1:27">
      <c r="A67" s="7" t="s">
        <v>603</v>
      </c>
      <c r="B67" s="7" t="s">
        <v>504</v>
      </c>
      <c r="C67" s="7">
        <v>716124672</v>
      </c>
      <c r="D67" s="7" t="s">
        <v>579</v>
      </c>
      <c r="E67" s="7" t="s">
        <v>604</v>
      </c>
      <c r="F67" s="7">
        <v>6</v>
      </c>
      <c r="G67" s="7" t="s">
        <v>0</v>
      </c>
      <c r="H67" s="7" t="s">
        <v>492</v>
      </c>
      <c r="I67" s="7" t="s">
        <v>492</v>
      </c>
      <c r="J67" s="7" t="s">
        <v>493</v>
      </c>
      <c r="K67" s="7">
        <v>10</v>
      </c>
      <c r="L67" s="7">
        <v>0</v>
      </c>
      <c r="M67" s="7">
        <v>0</v>
      </c>
      <c r="N67" s="7">
        <v>3.15</v>
      </c>
      <c r="O67" s="7">
        <v>0.5</v>
      </c>
      <c r="P67" s="7">
        <v>0.5</v>
      </c>
      <c r="Q67" s="7">
        <v>6</v>
      </c>
      <c r="R67" s="7">
        <v>0</v>
      </c>
      <c r="S67" s="7" t="s">
        <v>581</v>
      </c>
      <c r="T67" s="7">
        <v>24</v>
      </c>
      <c r="U67" s="7">
        <v>3</v>
      </c>
      <c r="V67" s="7">
        <v>20</v>
      </c>
      <c r="W67" s="7" t="s">
        <v>508</v>
      </c>
      <c r="X67" s="108">
        <v>1.5</v>
      </c>
      <c r="Y67" s="7" t="s">
        <v>495</v>
      </c>
      <c r="Z67" s="7">
        <f t="shared" ref="Z67:Z130" si="1">IF(Y67="Quarterly",3,IF(Y67="Monthly",1,IF(Y67="Bi-annually",6,IF(Y67="annualy",12,0))))</f>
        <v>3</v>
      </c>
      <c r="AA67" s="7" t="s">
        <v>462</v>
      </c>
    </row>
    <row r="68" spans="1:27">
      <c r="A68" s="7" t="s">
        <v>605</v>
      </c>
      <c r="B68" s="7" t="s">
        <v>504</v>
      </c>
      <c r="C68" s="7">
        <v>729845665</v>
      </c>
      <c r="D68" s="7" t="s">
        <v>579</v>
      </c>
      <c r="E68" s="7" t="s">
        <v>588</v>
      </c>
      <c r="F68" s="7">
        <v>4</v>
      </c>
      <c r="G68" s="7" t="s">
        <v>0</v>
      </c>
      <c r="H68" s="7" t="s">
        <v>2</v>
      </c>
      <c r="I68" s="7" t="s">
        <v>492</v>
      </c>
      <c r="J68" s="7" t="s">
        <v>493</v>
      </c>
      <c r="K68" s="7">
        <v>10</v>
      </c>
      <c r="L68" s="7">
        <v>12</v>
      </c>
      <c r="M68" s="7">
        <v>0</v>
      </c>
      <c r="N68" s="7">
        <v>3.5</v>
      </c>
      <c r="O68" s="7">
        <v>5</v>
      </c>
      <c r="Q68" s="7">
        <v>1</v>
      </c>
      <c r="R68" s="7">
        <v>0</v>
      </c>
      <c r="S68" s="7" t="s">
        <v>492</v>
      </c>
      <c r="T68" s="7">
        <v>24</v>
      </c>
      <c r="U68" s="7">
        <v>12</v>
      </c>
      <c r="V68" s="7">
        <v>20</v>
      </c>
      <c r="W68" s="7" t="s">
        <v>508</v>
      </c>
      <c r="X68" s="108">
        <v>1</v>
      </c>
      <c r="Y68" s="7" t="s">
        <v>512</v>
      </c>
      <c r="Z68" s="7">
        <f t="shared" si="1"/>
        <v>6</v>
      </c>
      <c r="AA68" s="7" t="s">
        <v>462</v>
      </c>
    </row>
    <row r="69" spans="1:27">
      <c r="A69" s="7" t="s">
        <v>606</v>
      </c>
      <c r="B69" s="7" t="s">
        <v>504</v>
      </c>
      <c r="C69" s="7">
        <v>722931765</v>
      </c>
      <c r="D69" s="7" t="s">
        <v>579</v>
      </c>
      <c r="E69" s="7" t="s">
        <v>593</v>
      </c>
      <c r="F69" s="7">
        <v>3</v>
      </c>
      <c r="G69" s="7" t="s">
        <v>0</v>
      </c>
      <c r="H69" s="7" t="s">
        <v>492</v>
      </c>
      <c r="I69" s="7" t="s">
        <v>492</v>
      </c>
      <c r="J69" s="7" t="s">
        <v>493</v>
      </c>
      <c r="K69" s="7">
        <v>7</v>
      </c>
      <c r="L69" s="7">
        <v>0</v>
      </c>
      <c r="M69" s="7">
        <v>0</v>
      </c>
      <c r="N69" s="7">
        <v>4</v>
      </c>
      <c r="O69" s="7">
        <v>0.5</v>
      </c>
      <c r="Q69" s="7">
        <v>5</v>
      </c>
      <c r="R69" s="7">
        <v>0</v>
      </c>
      <c r="S69" s="7" t="s">
        <v>492</v>
      </c>
      <c r="T69" s="7">
        <v>24</v>
      </c>
      <c r="U69" s="7">
        <v>5</v>
      </c>
      <c r="V69" s="7">
        <v>100</v>
      </c>
      <c r="W69" s="7" t="s">
        <v>508</v>
      </c>
      <c r="X69" s="108">
        <v>1</v>
      </c>
      <c r="Y69" s="7" t="s">
        <v>500</v>
      </c>
      <c r="Z69" s="7">
        <f t="shared" si="1"/>
        <v>1</v>
      </c>
      <c r="AA69" s="7" t="s">
        <v>462</v>
      </c>
    </row>
    <row r="70" spans="1:27">
      <c r="A70" s="7" t="s">
        <v>607</v>
      </c>
      <c r="B70" s="32" t="s">
        <v>504</v>
      </c>
      <c r="C70" s="32">
        <v>724631603</v>
      </c>
      <c r="D70" s="7" t="s">
        <v>579</v>
      </c>
      <c r="E70" s="7" t="s">
        <v>593</v>
      </c>
      <c r="F70" s="32">
        <v>5</v>
      </c>
      <c r="G70" s="7" t="s">
        <v>0</v>
      </c>
      <c r="H70" s="32" t="s">
        <v>492</v>
      </c>
      <c r="I70" s="7" t="s">
        <v>492</v>
      </c>
      <c r="J70" s="7" t="s">
        <v>493</v>
      </c>
      <c r="K70" s="7">
        <v>6</v>
      </c>
      <c r="L70" s="7">
        <v>0</v>
      </c>
      <c r="M70" s="7">
        <v>0</v>
      </c>
      <c r="N70" s="7">
        <v>4</v>
      </c>
      <c r="O70" s="7">
        <v>2</v>
      </c>
      <c r="P70" s="32"/>
      <c r="Q70" s="7">
        <v>10</v>
      </c>
      <c r="R70" s="7">
        <v>0</v>
      </c>
      <c r="S70" s="32" t="s">
        <v>581</v>
      </c>
      <c r="T70" s="7">
        <v>24</v>
      </c>
      <c r="U70" s="32">
        <v>25</v>
      </c>
      <c r="V70" s="32">
        <v>20</v>
      </c>
      <c r="W70" s="7" t="s">
        <v>508</v>
      </c>
      <c r="X70" s="159">
        <v>1</v>
      </c>
      <c r="Y70" s="7" t="s">
        <v>512</v>
      </c>
      <c r="Z70" s="7">
        <f t="shared" si="1"/>
        <v>6</v>
      </c>
      <c r="AA70" s="151" t="s">
        <v>800</v>
      </c>
    </row>
    <row r="71" spans="1:27">
      <c r="A71" s="7" t="s">
        <v>608</v>
      </c>
      <c r="B71" s="7" t="s">
        <v>504</v>
      </c>
      <c r="C71" s="7">
        <v>721954224</v>
      </c>
      <c r="D71" s="7" t="s">
        <v>579</v>
      </c>
      <c r="E71" s="7" t="s">
        <v>593</v>
      </c>
      <c r="F71" s="7">
        <v>5</v>
      </c>
      <c r="G71" s="7" t="s">
        <v>0</v>
      </c>
      <c r="H71" s="7" t="s">
        <v>492</v>
      </c>
      <c r="I71" s="7" t="s">
        <v>492</v>
      </c>
      <c r="J71" s="7" t="s">
        <v>493</v>
      </c>
      <c r="K71" s="7">
        <v>10</v>
      </c>
      <c r="L71" s="7">
        <v>0</v>
      </c>
      <c r="M71" s="7">
        <v>0</v>
      </c>
      <c r="N71" s="7">
        <v>4</v>
      </c>
      <c r="O71" s="7">
        <v>0.5</v>
      </c>
      <c r="P71" s="7">
        <v>0.5</v>
      </c>
      <c r="Q71" s="7">
        <v>5</v>
      </c>
      <c r="R71" s="7">
        <v>0</v>
      </c>
      <c r="S71" s="7" t="s">
        <v>581</v>
      </c>
      <c r="T71" s="7">
        <v>24</v>
      </c>
      <c r="U71" s="7">
        <v>6</v>
      </c>
      <c r="V71" s="7">
        <v>20</v>
      </c>
      <c r="W71" s="7" t="s">
        <v>508</v>
      </c>
      <c r="X71" s="108">
        <v>1</v>
      </c>
      <c r="Y71" s="7" t="s">
        <v>495</v>
      </c>
      <c r="Z71" s="7">
        <f t="shared" si="1"/>
        <v>3</v>
      </c>
      <c r="AA71" s="151" t="s">
        <v>800</v>
      </c>
    </row>
    <row r="72" spans="1:27">
      <c r="A72" s="7" t="s">
        <v>606</v>
      </c>
      <c r="B72" s="7" t="s">
        <v>504</v>
      </c>
      <c r="C72" s="7">
        <v>722931765</v>
      </c>
      <c r="D72" s="7" t="s">
        <v>579</v>
      </c>
      <c r="E72" s="7" t="s">
        <v>593</v>
      </c>
      <c r="F72" s="7">
        <v>3</v>
      </c>
      <c r="G72" s="7" t="s">
        <v>0</v>
      </c>
      <c r="H72" s="7" t="s">
        <v>2</v>
      </c>
      <c r="I72" s="7" t="s">
        <v>492</v>
      </c>
      <c r="J72" s="7" t="s">
        <v>493</v>
      </c>
      <c r="K72" s="7">
        <v>7</v>
      </c>
      <c r="L72" s="7">
        <v>24</v>
      </c>
      <c r="M72" s="7">
        <v>0</v>
      </c>
      <c r="N72" s="7">
        <v>3.5</v>
      </c>
      <c r="O72" s="7">
        <v>0.5</v>
      </c>
      <c r="Q72" s="7">
        <v>5</v>
      </c>
      <c r="R72" s="7">
        <v>0</v>
      </c>
      <c r="S72" s="7" t="s">
        <v>492</v>
      </c>
      <c r="T72" s="7">
        <v>24</v>
      </c>
      <c r="U72" s="7">
        <v>5</v>
      </c>
      <c r="V72" s="7">
        <v>100</v>
      </c>
      <c r="W72" s="7" t="s">
        <v>508</v>
      </c>
      <c r="X72" s="108">
        <v>1</v>
      </c>
      <c r="Y72" s="7" t="s">
        <v>512</v>
      </c>
      <c r="Z72" s="7">
        <f t="shared" si="1"/>
        <v>6</v>
      </c>
      <c r="AA72" s="7" t="s">
        <v>462</v>
      </c>
    </row>
    <row r="73" spans="1:27">
      <c r="A73" s="7" t="s">
        <v>609</v>
      </c>
      <c r="B73" s="7" t="s">
        <v>504</v>
      </c>
      <c r="C73" s="7">
        <v>725212537</v>
      </c>
      <c r="D73" s="7" t="s">
        <v>579</v>
      </c>
      <c r="E73" s="7" t="s">
        <v>593</v>
      </c>
      <c r="F73" s="7">
        <v>7</v>
      </c>
      <c r="G73" s="7" t="s">
        <v>112</v>
      </c>
      <c r="H73" s="7" t="s">
        <v>492</v>
      </c>
      <c r="I73" s="7" t="s">
        <v>492</v>
      </c>
      <c r="J73" s="7" t="s">
        <v>493</v>
      </c>
      <c r="K73" s="7">
        <v>0</v>
      </c>
      <c r="L73" s="7">
        <v>0</v>
      </c>
      <c r="M73" s="7">
        <v>2.5</v>
      </c>
      <c r="N73" s="7">
        <v>4</v>
      </c>
      <c r="O73" s="7">
        <v>0.5</v>
      </c>
      <c r="P73" s="7">
        <v>0.5</v>
      </c>
      <c r="Q73" s="7">
        <v>7</v>
      </c>
      <c r="R73" s="7">
        <v>0</v>
      </c>
      <c r="S73" s="7" t="s">
        <v>581</v>
      </c>
      <c r="T73" s="7">
        <v>24</v>
      </c>
      <c r="U73" s="7">
        <v>8</v>
      </c>
      <c r="V73" s="7">
        <v>20</v>
      </c>
      <c r="W73" s="7" t="s">
        <v>508</v>
      </c>
      <c r="X73" s="108">
        <v>2</v>
      </c>
      <c r="Y73" s="7" t="s">
        <v>495</v>
      </c>
      <c r="Z73" s="7">
        <f t="shared" si="1"/>
        <v>3</v>
      </c>
      <c r="AA73" s="7" t="s">
        <v>462</v>
      </c>
    </row>
    <row r="74" spans="1:27">
      <c r="A74" s="7" t="s">
        <v>610</v>
      </c>
      <c r="B74" s="7" t="s">
        <v>504</v>
      </c>
      <c r="C74" s="7">
        <v>720045404</v>
      </c>
      <c r="D74" s="7" t="s">
        <v>579</v>
      </c>
      <c r="E74" s="7" t="s">
        <v>604</v>
      </c>
      <c r="F74" s="7">
        <v>5</v>
      </c>
      <c r="G74" s="7" t="s">
        <v>0</v>
      </c>
      <c r="H74" s="7" t="s">
        <v>492</v>
      </c>
      <c r="I74" s="7" t="s">
        <v>492</v>
      </c>
      <c r="J74" s="7" t="s">
        <v>493</v>
      </c>
      <c r="K74" s="7">
        <v>9</v>
      </c>
      <c r="L74" s="7">
        <v>0</v>
      </c>
      <c r="M74" s="7">
        <v>0</v>
      </c>
      <c r="N74" s="7">
        <v>3</v>
      </c>
      <c r="O74" s="7">
        <v>0.5</v>
      </c>
      <c r="P74" s="7">
        <v>0.5</v>
      </c>
      <c r="Q74" s="7">
        <v>4</v>
      </c>
      <c r="R74" s="7">
        <v>0</v>
      </c>
      <c r="S74" s="7" t="s">
        <v>492</v>
      </c>
      <c r="T74" s="7">
        <v>24</v>
      </c>
      <c r="U74" s="7">
        <v>3</v>
      </c>
      <c r="V74" s="7">
        <v>20</v>
      </c>
      <c r="W74" s="7" t="s">
        <v>508</v>
      </c>
      <c r="X74" s="108">
        <v>1</v>
      </c>
      <c r="Y74" s="7" t="s">
        <v>495</v>
      </c>
      <c r="Z74" s="7">
        <f t="shared" si="1"/>
        <v>3</v>
      </c>
      <c r="AA74" s="7" t="s">
        <v>462</v>
      </c>
    </row>
    <row r="75" spans="1:27">
      <c r="A75" s="7" t="s">
        <v>611</v>
      </c>
      <c r="B75" s="7" t="s">
        <v>504</v>
      </c>
      <c r="C75" s="7">
        <v>725578202</v>
      </c>
      <c r="D75" s="7" t="s">
        <v>579</v>
      </c>
      <c r="E75" s="7" t="s">
        <v>604</v>
      </c>
      <c r="F75" s="7">
        <v>3</v>
      </c>
      <c r="G75" s="7" t="s">
        <v>0</v>
      </c>
      <c r="H75" s="7" t="s">
        <v>492</v>
      </c>
      <c r="I75" s="7" t="s">
        <v>492</v>
      </c>
      <c r="J75" s="7" t="s">
        <v>493</v>
      </c>
      <c r="K75" s="7">
        <v>8</v>
      </c>
      <c r="L75" s="7">
        <v>0</v>
      </c>
      <c r="M75" s="7">
        <v>0</v>
      </c>
      <c r="N75" s="7">
        <v>4</v>
      </c>
      <c r="O75" s="7">
        <v>0.5</v>
      </c>
      <c r="P75" s="7">
        <v>0.5</v>
      </c>
      <c r="Q75" s="7">
        <v>1</v>
      </c>
      <c r="R75" s="7">
        <v>9</v>
      </c>
      <c r="S75" s="7" t="s">
        <v>581</v>
      </c>
      <c r="T75" s="7">
        <v>24</v>
      </c>
      <c r="U75" s="7">
        <v>15</v>
      </c>
      <c r="V75" s="7">
        <v>20</v>
      </c>
      <c r="W75" s="7" t="s">
        <v>499</v>
      </c>
      <c r="X75" s="108">
        <v>1</v>
      </c>
      <c r="Y75" s="7" t="s">
        <v>512</v>
      </c>
      <c r="Z75" s="7">
        <f t="shared" si="1"/>
        <v>6</v>
      </c>
      <c r="AA75" s="7" t="s">
        <v>462</v>
      </c>
    </row>
    <row r="76" spans="1:27">
      <c r="A76" s="7" t="s">
        <v>612</v>
      </c>
      <c r="B76" s="7" t="s">
        <v>504</v>
      </c>
      <c r="C76" s="7">
        <v>721578210</v>
      </c>
      <c r="D76" s="7" t="s">
        <v>579</v>
      </c>
      <c r="E76" s="7" t="s">
        <v>604</v>
      </c>
      <c r="F76" s="7">
        <v>6</v>
      </c>
      <c r="G76" s="7" t="s">
        <v>0</v>
      </c>
      <c r="H76" s="7" t="s">
        <v>492</v>
      </c>
      <c r="I76" s="7" t="s">
        <v>492</v>
      </c>
      <c r="J76" s="7" t="s">
        <v>493</v>
      </c>
      <c r="K76" s="7">
        <v>10</v>
      </c>
      <c r="L76" s="7">
        <v>0</v>
      </c>
      <c r="M76" s="7">
        <v>0</v>
      </c>
      <c r="N76" s="7">
        <v>3.5</v>
      </c>
      <c r="O76" s="7">
        <v>0.5</v>
      </c>
      <c r="P76" s="7">
        <v>0.5</v>
      </c>
      <c r="Q76" s="7">
        <v>1</v>
      </c>
      <c r="R76" s="7">
        <v>0</v>
      </c>
      <c r="S76" s="7" t="s">
        <v>581</v>
      </c>
      <c r="T76" s="7">
        <v>24</v>
      </c>
      <c r="U76" s="7">
        <v>6</v>
      </c>
      <c r="V76" s="7">
        <v>20</v>
      </c>
      <c r="W76" s="7" t="s">
        <v>508</v>
      </c>
      <c r="X76" s="108">
        <v>2</v>
      </c>
      <c r="Y76" s="7" t="s">
        <v>495</v>
      </c>
      <c r="Z76" s="7">
        <f t="shared" si="1"/>
        <v>3</v>
      </c>
      <c r="AA76" s="7" t="s">
        <v>462</v>
      </c>
    </row>
    <row r="77" spans="1:27">
      <c r="A77" s="7" t="s">
        <v>613</v>
      </c>
      <c r="B77" s="7" t="s">
        <v>504</v>
      </c>
      <c r="C77" s="7">
        <v>716708811</v>
      </c>
      <c r="D77" s="7" t="s">
        <v>579</v>
      </c>
      <c r="E77" s="7" t="s">
        <v>584</v>
      </c>
      <c r="F77" s="7">
        <v>3</v>
      </c>
      <c r="G77" s="7" t="s">
        <v>0</v>
      </c>
      <c r="H77" s="7" t="s">
        <v>2</v>
      </c>
      <c r="I77" s="7" t="s">
        <v>492</v>
      </c>
      <c r="J77" s="7" t="s">
        <v>493</v>
      </c>
      <c r="K77" s="7">
        <v>7</v>
      </c>
      <c r="L77" s="7">
        <v>0</v>
      </c>
      <c r="M77" s="7">
        <v>0</v>
      </c>
      <c r="N77" s="7">
        <v>3.5</v>
      </c>
      <c r="O77" s="7">
        <v>2</v>
      </c>
      <c r="Q77" s="7">
        <v>6</v>
      </c>
      <c r="R77" s="7">
        <v>0</v>
      </c>
      <c r="S77" s="7" t="s">
        <v>581</v>
      </c>
      <c r="T77" s="7">
        <v>24</v>
      </c>
      <c r="U77" s="7">
        <v>5</v>
      </c>
      <c r="V77" s="7">
        <v>20</v>
      </c>
      <c r="W77" s="7" t="s">
        <v>508</v>
      </c>
      <c r="X77" s="108">
        <v>1</v>
      </c>
      <c r="Y77" s="7" t="s">
        <v>495</v>
      </c>
      <c r="Z77" s="7">
        <f t="shared" si="1"/>
        <v>3</v>
      </c>
      <c r="AA77" s="7" t="s">
        <v>462</v>
      </c>
    </row>
    <row r="78" spans="1:27">
      <c r="A78" s="7" t="s">
        <v>614</v>
      </c>
      <c r="B78" s="7" t="s">
        <v>489</v>
      </c>
      <c r="C78" s="7">
        <v>712179323</v>
      </c>
      <c r="D78" s="7" t="s">
        <v>579</v>
      </c>
      <c r="E78" s="7" t="s">
        <v>584</v>
      </c>
      <c r="F78" s="7">
        <v>2</v>
      </c>
      <c r="G78" s="7" t="s">
        <v>0</v>
      </c>
      <c r="H78" s="7" t="s">
        <v>2</v>
      </c>
      <c r="I78" s="7" t="s">
        <v>492</v>
      </c>
      <c r="J78" s="7" t="s">
        <v>493</v>
      </c>
      <c r="K78" s="7">
        <v>9</v>
      </c>
      <c r="L78" s="7">
        <v>13</v>
      </c>
      <c r="M78" s="7">
        <v>0</v>
      </c>
      <c r="N78" s="7">
        <v>3.75</v>
      </c>
      <c r="O78" s="7">
        <v>2</v>
      </c>
      <c r="P78" s="7">
        <v>0.5</v>
      </c>
      <c r="Q78" s="7">
        <v>6</v>
      </c>
      <c r="R78" s="7">
        <v>0</v>
      </c>
      <c r="S78" s="7" t="s">
        <v>615</v>
      </c>
      <c r="T78" s="7">
        <v>24</v>
      </c>
      <c r="U78" s="7">
        <v>5</v>
      </c>
      <c r="V78" s="7">
        <v>20</v>
      </c>
      <c r="W78" s="7" t="s">
        <v>508</v>
      </c>
      <c r="X78" s="108">
        <v>1</v>
      </c>
      <c r="Y78" s="7" t="s">
        <v>500</v>
      </c>
      <c r="Z78" s="7">
        <f t="shared" si="1"/>
        <v>1</v>
      </c>
      <c r="AA78" s="7" t="s">
        <v>462</v>
      </c>
    </row>
    <row r="79" spans="1:27">
      <c r="A79" s="7" t="s">
        <v>616</v>
      </c>
      <c r="B79" s="7" t="s">
        <v>489</v>
      </c>
      <c r="C79" s="7">
        <v>723020806</v>
      </c>
      <c r="D79" s="7" t="s">
        <v>579</v>
      </c>
      <c r="E79" s="7" t="s">
        <v>584</v>
      </c>
      <c r="F79" s="7">
        <v>1</v>
      </c>
      <c r="G79" s="7" t="s">
        <v>0</v>
      </c>
      <c r="H79" s="7" t="s">
        <v>2</v>
      </c>
      <c r="I79" s="7" t="s">
        <v>492</v>
      </c>
      <c r="J79" s="7" t="s">
        <v>493</v>
      </c>
      <c r="K79" s="7">
        <v>8</v>
      </c>
      <c r="L79" s="7">
        <v>6</v>
      </c>
      <c r="M79" s="7">
        <v>0</v>
      </c>
      <c r="N79" s="7">
        <v>3.75</v>
      </c>
      <c r="O79" s="7">
        <v>4</v>
      </c>
      <c r="P79" s="7">
        <v>0.5</v>
      </c>
      <c r="Q79" s="7">
        <v>9</v>
      </c>
      <c r="R79" s="7">
        <v>0</v>
      </c>
      <c r="S79" s="7" t="s">
        <v>581</v>
      </c>
      <c r="T79" s="7">
        <v>24</v>
      </c>
      <c r="U79" s="7">
        <v>12</v>
      </c>
      <c r="V79" s="7">
        <v>20</v>
      </c>
      <c r="W79" s="7" t="s">
        <v>499</v>
      </c>
      <c r="X79" s="108">
        <v>1.5</v>
      </c>
      <c r="Y79" s="7" t="s">
        <v>495</v>
      </c>
      <c r="Z79" s="7">
        <f t="shared" si="1"/>
        <v>3</v>
      </c>
      <c r="AA79" s="7" t="s">
        <v>462</v>
      </c>
    </row>
    <row r="80" spans="1:27">
      <c r="A80" s="7" t="s">
        <v>617</v>
      </c>
      <c r="B80" s="7" t="s">
        <v>504</v>
      </c>
      <c r="C80" s="7">
        <v>723590858</v>
      </c>
      <c r="D80" s="7" t="s">
        <v>579</v>
      </c>
      <c r="E80" s="7" t="s">
        <v>588</v>
      </c>
      <c r="F80" s="7">
        <v>5</v>
      </c>
      <c r="G80" s="7" t="s">
        <v>0</v>
      </c>
      <c r="H80" s="7" t="s">
        <v>492</v>
      </c>
      <c r="I80" s="7" t="s">
        <v>492</v>
      </c>
      <c r="J80" s="7" t="s">
        <v>493</v>
      </c>
      <c r="K80" s="7">
        <v>7</v>
      </c>
      <c r="L80" s="7">
        <v>0</v>
      </c>
      <c r="M80" s="7">
        <v>0</v>
      </c>
      <c r="N80" s="7">
        <v>3.5</v>
      </c>
      <c r="O80" s="7">
        <v>3</v>
      </c>
      <c r="P80" s="7">
        <v>0.2</v>
      </c>
      <c r="Q80" s="7">
        <v>3</v>
      </c>
      <c r="R80" s="7">
        <v>0</v>
      </c>
      <c r="S80" s="7" t="s">
        <v>492</v>
      </c>
      <c r="T80" s="7">
        <v>24</v>
      </c>
      <c r="U80" s="7">
        <v>3</v>
      </c>
      <c r="V80" s="7">
        <v>20</v>
      </c>
      <c r="W80" s="7" t="s">
        <v>499</v>
      </c>
      <c r="X80" s="108">
        <v>1</v>
      </c>
      <c r="Y80" s="7" t="s">
        <v>495</v>
      </c>
      <c r="Z80" s="7">
        <f t="shared" si="1"/>
        <v>3</v>
      </c>
      <c r="AA80" s="7" t="s">
        <v>462</v>
      </c>
    </row>
    <row r="81" spans="1:27">
      <c r="A81" s="7" t="s">
        <v>618</v>
      </c>
      <c r="B81" s="7" t="s">
        <v>504</v>
      </c>
      <c r="C81" s="7">
        <v>726939797</v>
      </c>
      <c r="D81" s="7" t="s">
        <v>579</v>
      </c>
      <c r="E81" s="7" t="s">
        <v>588</v>
      </c>
      <c r="F81" s="7">
        <v>5</v>
      </c>
      <c r="G81" s="7" t="s">
        <v>2</v>
      </c>
      <c r="H81" s="7" t="s">
        <v>0</v>
      </c>
      <c r="I81" s="7" t="s">
        <v>492</v>
      </c>
      <c r="J81" s="7" t="s">
        <v>493</v>
      </c>
      <c r="K81" s="7">
        <v>10</v>
      </c>
      <c r="L81" s="7">
        <v>156</v>
      </c>
      <c r="M81" s="7">
        <v>0</v>
      </c>
      <c r="N81" s="7">
        <v>3.5</v>
      </c>
      <c r="O81" s="7">
        <v>3.5</v>
      </c>
      <c r="P81" s="7">
        <v>1</v>
      </c>
      <c r="Q81" s="7">
        <v>4</v>
      </c>
      <c r="R81" s="7">
        <v>0</v>
      </c>
      <c r="S81" s="7" t="s">
        <v>619</v>
      </c>
      <c r="T81" s="7">
        <v>24</v>
      </c>
      <c r="U81" s="7">
        <v>6</v>
      </c>
      <c r="V81" s="7">
        <v>20</v>
      </c>
      <c r="W81" s="7" t="s">
        <v>499</v>
      </c>
      <c r="X81" s="108">
        <v>1</v>
      </c>
      <c r="Y81" s="7" t="s">
        <v>512</v>
      </c>
      <c r="Z81" s="7">
        <f t="shared" si="1"/>
        <v>6</v>
      </c>
      <c r="AA81" s="7" t="s">
        <v>462</v>
      </c>
    </row>
    <row r="82" spans="1:27">
      <c r="A82" s="7" t="s">
        <v>620</v>
      </c>
      <c r="B82" s="7" t="s">
        <v>504</v>
      </c>
      <c r="C82" s="7">
        <v>723009722</v>
      </c>
      <c r="D82" s="7" t="s">
        <v>579</v>
      </c>
      <c r="E82" s="7" t="s">
        <v>593</v>
      </c>
      <c r="F82" s="7">
        <v>3</v>
      </c>
      <c r="G82" s="7" t="s">
        <v>0</v>
      </c>
      <c r="H82" s="7" t="s">
        <v>2</v>
      </c>
      <c r="I82" s="7" t="s">
        <v>492</v>
      </c>
      <c r="J82" s="7" t="s">
        <v>493</v>
      </c>
      <c r="K82" s="7">
        <v>10</v>
      </c>
      <c r="L82" s="7">
        <v>24</v>
      </c>
      <c r="M82" s="7">
        <v>0</v>
      </c>
      <c r="N82" s="7">
        <v>3.5</v>
      </c>
      <c r="O82" s="7">
        <v>0.5</v>
      </c>
      <c r="P82" s="7">
        <v>1</v>
      </c>
      <c r="Q82" s="7">
        <v>3</v>
      </c>
      <c r="R82" s="7">
        <v>0</v>
      </c>
      <c r="S82" s="7" t="s">
        <v>492</v>
      </c>
      <c r="T82" s="7">
        <v>24</v>
      </c>
      <c r="U82" s="7">
        <v>4</v>
      </c>
      <c r="V82" s="7">
        <v>20</v>
      </c>
      <c r="W82" s="7" t="s">
        <v>499</v>
      </c>
      <c r="X82" s="108">
        <v>1</v>
      </c>
      <c r="Y82" s="7" t="s">
        <v>495</v>
      </c>
      <c r="Z82" s="7">
        <f t="shared" si="1"/>
        <v>3</v>
      </c>
      <c r="AA82" s="7" t="s">
        <v>462</v>
      </c>
    </row>
    <row r="83" spans="1:27">
      <c r="A83" s="7" t="s">
        <v>621</v>
      </c>
      <c r="B83" s="7" t="s">
        <v>489</v>
      </c>
      <c r="C83" s="7">
        <v>725628256</v>
      </c>
      <c r="D83" s="7" t="s">
        <v>579</v>
      </c>
      <c r="E83" s="7" t="s">
        <v>604</v>
      </c>
      <c r="F83" s="7">
        <v>2</v>
      </c>
      <c r="G83" s="7" t="s">
        <v>0</v>
      </c>
      <c r="H83" s="7" t="s">
        <v>2</v>
      </c>
      <c r="I83" s="7" t="s">
        <v>492</v>
      </c>
      <c r="J83" s="7" t="s">
        <v>493</v>
      </c>
      <c r="K83" s="7">
        <v>8</v>
      </c>
      <c r="L83" s="7">
        <v>12</v>
      </c>
      <c r="M83" s="7">
        <v>0</v>
      </c>
      <c r="N83" s="7">
        <v>3</v>
      </c>
      <c r="O83" s="7">
        <v>0.5</v>
      </c>
      <c r="P83" s="7">
        <v>0.5</v>
      </c>
      <c r="Q83" s="7">
        <v>4</v>
      </c>
      <c r="R83" s="7">
        <v>0</v>
      </c>
      <c r="S83" s="7" t="s">
        <v>581</v>
      </c>
      <c r="T83" s="7">
        <v>24</v>
      </c>
      <c r="U83" s="7">
        <v>6</v>
      </c>
      <c r="V83" s="7">
        <v>20</v>
      </c>
      <c r="W83" s="7" t="s">
        <v>499</v>
      </c>
      <c r="X83" s="108">
        <v>1</v>
      </c>
      <c r="Y83" s="7" t="s">
        <v>512</v>
      </c>
      <c r="Z83" s="7">
        <f t="shared" si="1"/>
        <v>6</v>
      </c>
      <c r="AA83" s="7" t="s">
        <v>462</v>
      </c>
    </row>
    <row r="84" spans="1:27">
      <c r="A84" s="7" t="s">
        <v>622</v>
      </c>
      <c r="B84" s="7" t="s">
        <v>504</v>
      </c>
      <c r="C84" s="7">
        <v>726674663</v>
      </c>
      <c r="D84" s="7" t="s">
        <v>579</v>
      </c>
      <c r="E84" s="7" t="s">
        <v>604</v>
      </c>
      <c r="F84" s="7">
        <v>5</v>
      </c>
      <c r="G84" s="7" t="s">
        <v>0</v>
      </c>
      <c r="H84" s="7" t="s">
        <v>492</v>
      </c>
      <c r="I84" s="7" t="s">
        <v>492</v>
      </c>
      <c r="J84" s="7" t="s">
        <v>493</v>
      </c>
      <c r="K84" s="7">
        <v>10</v>
      </c>
      <c r="L84" s="7">
        <v>0</v>
      </c>
      <c r="M84" s="7">
        <v>0</v>
      </c>
      <c r="N84" s="7">
        <v>4</v>
      </c>
      <c r="O84" s="7">
        <v>0.5</v>
      </c>
      <c r="P84" s="7">
        <v>0.5</v>
      </c>
      <c r="Q84" s="7">
        <v>6</v>
      </c>
      <c r="R84" s="7">
        <v>0</v>
      </c>
      <c r="S84" s="7" t="s">
        <v>581</v>
      </c>
      <c r="T84" s="7">
        <v>24</v>
      </c>
      <c r="U84" s="7">
        <v>6</v>
      </c>
      <c r="V84" s="7">
        <v>20</v>
      </c>
      <c r="W84" s="7" t="s">
        <v>508</v>
      </c>
      <c r="X84" s="108">
        <v>1</v>
      </c>
      <c r="Y84" s="7" t="s">
        <v>495</v>
      </c>
      <c r="Z84" s="7">
        <f t="shared" si="1"/>
        <v>3</v>
      </c>
      <c r="AA84" s="7" t="s">
        <v>462</v>
      </c>
    </row>
    <row r="85" spans="1:27">
      <c r="A85" s="7" t="s">
        <v>623</v>
      </c>
      <c r="B85" s="7" t="s">
        <v>504</v>
      </c>
      <c r="C85" s="7">
        <v>714794660</v>
      </c>
      <c r="D85" s="7" t="s">
        <v>579</v>
      </c>
      <c r="E85" s="7" t="s">
        <v>580</v>
      </c>
      <c r="F85" s="7">
        <v>5</v>
      </c>
      <c r="G85" s="7" t="s">
        <v>2</v>
      </c>
      <c r="H85" s="7" t="s">
        <v>0</v>
      </c>
      <c r="I85" s="7" t="s">
        <v>492</v>
      </c>
      <c r="J85" s="7" t="s">
        <v>493</v>
      </c>
      <c r="K85" s="7">
        <v>0</v>
      </c>
      <c r="L85" s="7">
        <v>72</v>
      </c>
      <c r="M85" s="7">
        <v>0</v>
      </c>
      <c r="N85" s="7">
        <v>4.5</v>
      </c>
      <c r="O85" s="7">
        <v>4</v>
      </c>
      <c r="P85" s="7">
        <v>0.2</v>
      </c>
      <c r="Q85" s="7">
        <v>4</v>
      </c>
      <c r="R85" s="7">
        <v>0</v>
      </c>
      <c r="S85" s="7" t="s">
        <v>581</v>
      </c>
      <c r="T85" s="7">
        <v>24</v>
      </c>
      <c r="U85" s="7">
        <v>3</v>
      </c>
      <c r="V85" s="7">
        <v>20</v>
      </c>
      <c r="W85" s="7" t="s">
        <v>508</v>
      </c>
      <c r="X85" s="108">
        <v>1.5</v>
      </c>
      <c r="Y85" s="7" t="s">
        <v>500</v>
      </c>
      <c r="Z85" s="7">
        <f t="shared" si="1"/>
        <v>1</v>
      </c>
      <c r="AA85" s="7" t="s">
        <v>462</v>
      </c>
    </row>
    <row r="86" spans="1:27">
      <c r="A86" s="7" t="s">
        <v>624</v>
      </c>
      <c r="B86" s="7" t="s">
        <v>504</v>
      </c>
      <c r="C86" s="7">
        <v>712912891</v>
      </c>
      <c r="D86" s="7" t="s">
        <v>579</v>
      </c>
      <c r="E86" s="7" t="s">
        <v>584</v>
      </c>
      <c r="F86" s="7">
        <v>5</v>
      </c>
      <c r="G86" s="7" t="s">
        <v>0</v>
      </c>
      <c r="H86" s="7" t="s">
        <v>492</v>
      </c>
      <c r="I86" s="7" t="s">
        <v>492</v>
      </c>
      <c r="J86" s="7" t="s">
        <v>493</v>
      </c>
      <c r="K86" s="7">
        <v>6</v>
      </c>
      <c r="L86" s="7">
        <v>0</v>
      </c>
      <c r="M86" s="7">
        <v>0</v>
      </c>
      <c r="N86" s="7">
        <v>3.75</v>
      </c>
      <c r="O86" s="7">
        <v>4</v>
      </c>
      <c r="P86" s="7">
        <v>1</v>
      </c>
      <c r="Q86" s="7">
        <v>4</v>
      </c>
      <c r="R86" s="7">
        <v>0</v>
      </c>
      <c r="S86" s="7" t="s">
        <v>492</v>
      </c>
      <c r="T86" s="7">
        <v>24</v>
      </c>
      <c r="U86" s="7">
        <v>4</v>
      </c>
      <c r="V86" s="7">
        <v>20</v>
      </c>
      <c r="W86" s="7" t="s">
        <v>508</v>
      </c>
      <c r="X86" s="108">
        <v>2</v>
      </c>
      <c r="Y86" s="7" t="s">
        <v>495</v>
      </c>
      <c r="Z86" s="7">
        <f t="shared" si="1"/>
        <v>3</v>
      </c>
      <c r="AA86" s="7" t="s">
        <v>462</v>
      </c>
    </row>
    <row r="87" spans="1:27">
      <c r="A87" s="7" t="s">
        <v>625</v>
      </c>
      <c r="B87" s="7" t="s">
        <v>504</v>
      </c>
      <c r="C87" s="7">
        <v>716657396</v>
      </c>
      <c r="D87" s="7" t="s">
        <v>579</v>
      </c>
      <c r="E87" s="7" t="s">
        <v>580</v>
      </c>
      <c r="F87" s="7">
        <v>5</v>
      </c>
      <c r="G87" s="7" t="s">
        <v>2</v>
      </c>
      <c r="H87" s="7" t="s">
        <v>0</v>
      </c>
      <c r="I87" s="7" t="s">
        <v>492</v>
      </c>
      <c r="J87" s="7" t="s">
        <v>493</v>
      </c>
      <c r="K87" s="7">
        <v>0</v>
      </c>
      <c r="L87" s="7">
        <v>72</v>
      </c>
      <c r="M87" s="7">
        <v>0</v>
      </c>
      <c r="N87" s="7">
        <v>4</v>
      </c>
      <c r="O87" s="7">
        <v>4.5</v>
      </c>
      <c r="Q87" s="7">
        <v>3</v>
      </c>
      <c r="R87" s="7">
        <v>0</v>
      </c>
      <c r="S87" s="7" t="s">
        <v>492</v>
      </c>
      <c r="T87" s="7">
        <v>24</v>
      </c>
      <c r="U87" s="7">
        <v>3</v>
      </c>
      <c r="V87" s="7">
        <v>20</v>
      </c>
      <c r="W87" s="7" t="s">
        <v>499</v>
      </c>
      <c r="X87" s="108">
        <v>2</v>
      </c>
      <c r="Y87" s="7" t="s">
        <v>495</v>
      </c>
      <c r="Z87" s="7">
        <f t="shared" si="1"/>
        <v>3</v>
      </c>
      <c r="AA87" s="7" t="s">
        <v>462</v>
      </c>
    </row>
    <row r="88" spans="1:27">
      <c r="A88" s="7" t="s">
        <v>626</v>
      </c>
      <c r="B88" s="7" t="s">
        <v>504</v>
      </c>
      <c r="C88" s="7">
        <v>720286050</v>
      </c>
      <c r="D88" s="7" t="s">
        <v>579</v>
      </c>
      <c r="E88" s="7" t="s">
        <v>588</v>
      </c>
      <c r="F88" s="7">
        <v>8</v>
      </c>
      <c r="G88" s="7" t="s">
        <v>2</v>
      </c>
      <c r="H88" s="7" t="s">
        <v>0</v>
      </c>
      <c r="I88" s="7" t="s">
        <v>492</v>
      </c>
      <c r="J88" s="7" t="s">
        <v>493</v>
      </c>
      <c r="K88" s="7">
        <v>0</v>
      </c>
      <c r="L88" s="7">
        <v>156</v>
      </c>
      <c r="M88" s="7">
        <v>0</v>
      </c>
      <c r="N88" s="7">
        <v>4</v>
      </c>
      <c r="O88" s="7">
        <v>4</v>
      </c>
      <c r="Q88" s="7">
        <v>4</v>
      </c>
      <c r="R88" s="7">
        <v>0</v>
      </c>
      <c r="S88" s="7" t="s">
        <v>492</v>
      </c>
      <c r="T88" s="7">
        <v>24</v>
      </c>
      <c r="U88" s="7">
        <v>6</v>
      </c>
      <c r="V88" s="7">
        <v>20</v>
      </c>
      <c r="W88" s="7" t="s">
        <v>508</v>
      </c>
      <c r="X88" s="108">
        <v>1</v>
      </c>
      <c r="Y88" s="7" t="s">
        <v>500</v>
      </c>
      <c r="Z88" s="7">
        <f t="shared" si="1"/>
        <v>1</v>
      </c>
      <c r="AA88" s="7" t="s">
        <v>462</v>
      </c>
    </row>
    <row r="89" spans="1:27">
      <c r="A89" s="7" t="s">
        <v>627</v>
      </c>
      <c r="B89" s="7" t="s">
        <v>504</v>
      </c>
      <c r="C89" s="7">
        <v>720364858</v>
      </c>
      <c r="D89" s="7" t="s">
        <v>579</v>
      </c>
      <c r="E89" s="7" t="s">
        <v>593</v>
      </c>
      <c r="F89" s="7">
        <v>5</v>
      </c>
      <c r="G89" s="7" t="s">
        <v>112</v>
      </c>
      <c r="H89" s="7" t="s">
        <v>492</v>
      </c>
      <c r="I89" s="7" t="s">
        <v>492</v>
      </c>
      <c r="J89" s="7" t="s">
        <v>493</v>
      </c>
      <c r="K89" s="7">
        <v>0</v>
      </c>
      <c r="L89" s="7">
        <v>0</v>
      </c>
      <c r="M89" s="7">
        <v>2</v>
      </c>
      <c r="N89" s="7">
        <v>4.5</v>
      </c>
      <c r="O89" s="7">
        <v>0.5</v>
      </c>
      <c r="P89" s="7">
        <v>0.5</v>
      </c>
      <c r="Q89" s="7">
        <v>3</v>
      </c>
      <c r="R89" s="7">
        <v>2</v>
      </c>
      <c r="S89" s="7" t="s">
        <v>492</v>
      </c>
      <c r="T89" s="7">
        <v>24</v>
      </c>
      <c r="U89" s="7">
        <v>4</v>
      </c>
      <c r="V89" s="7">
        <v>20</v>
      </c>
      <c r="W89" s="7" t="s">
        <v>508</v>
      </c>
      <c r="X89" s="108">
        <v>1</v>
      </c>
      <c r="Y89" s="7" t="s">
        <v>512</v>
      </c>
      <c r="Z89" s="7">
        <f t="shared" si="1"/>
        <v>6</v>
      </c>
      <c r="AA89" s="7" t="s">
        <v>462</v>
      </c>
    </row>
    <row r="90" spans="1:27">
      <c r="A90" s="7" t="s">
        <v>628</v>
      </c>
      <c r="B90" s="7" t="s">
        <v>504</v>
      </c>
      <c r="C90" s="7">
        <v>703187969</v>
      </c>
      <c r="D90" s="7" t="s">
        <v>579</v>
      </c>
      <c r="E90" s="7" t="s">
        <v>593</v>
      </c>
      <c r="F90" s="7">
        <v>6</v>
      </c>
      <c r="G90" s="7" t="s">
        <v>0</v>
      </c>
      <c r="H90" s="7" t="s">
        <v>492</v>
      </c>
      <c r="I90" s="7" t="s">
        <v>492</v>
      </c>
      <c r="J90" s="7" t="s">
        <v>493</v>
      </c>
      <c r="K90" s="7">
        <v>8</v>
      </c>
      <c r="L90" s="7">
        <v>0</v>
      </c>
      <c r="M90" s="7">
        <v>0</v>
      </c>
      <c r="N90" s="7">
        <v>4.5</v>
      </c>
      <c r="O90" s="7">
        <v>2</v>
      </c>
      <c r="Q90" s="7">
        <v>3</v>
      </c>
      <c r="R90" s="7">
        <v>0</v>
      </c>
      <c r="S90" s="7" t="s">
        <v>492</v>
      </c>
      <c r="T90" s="7">
        <v>24</v>
      </c>
      <c r="U90" s="7">
        <v>3</v>
      </c>
      <c r="V90" s="7">
        <v>20</v>
      </c>
      <c r="W90" s="7" t="s">
        <v>508</v>
      </c>
      <c r="X90" s="108">
        <v>1</v>
      </c>
      <c r="Y90" s="7" t="s">
        <v>512</v>
      </c>
      <c r="Z90" s="7">
        <f t="shared" si="1"/>
        <v>6</v>
      </c>
      <c r="AA90" s="151" t="s">
        <v>800</v>
      </c>
    </row>
    <row r="91" spans="1:27">
      <c r="A91" s="7" t="s">
        <v>629</v>
      </c>
      <c r="B91" s="7" t="s">
        <v>504</v>
      </c>
      <c r="C91" s="7">
        <v>720721834</v>
      </c>
      <c r="D91" s="7" t="s">
        <v>579</v>
      </c>
      <c r="E91" s="7" t="s">
        <v>593</v>
      </c>
      <c r="F91" s="7">
        <v>2</v>
      </c>
      <c r="G91" s="7" t="s">
        <v>0</v>
      </c>
      <c r="H91" s="7" t="s">
        <v>492</v>
      </c>
      <c r="I91" s="7" t="s">
        <v>492</v>
      </c>
      <c r="J91" s="7" t="s">
        <v>493</v>
      </c>
      <c r="K91" s="7">
        <v>10</v>
      </c>
      <c r="L91" s="7">
        <v>0</v>
      </c>
      <c r="M91" s="7">
        <v>0</v>
      </c>
      <c r="N91" s="7">
        <v>4</v>
      </c>
      <c r="O91" s="7">
        <v>3</v>
      </c>
      <c r="Q91" s="7">
        <v>3</v>
      </c>
      <c r="R91" s="7">
        <v>0</v>
      </c>
      <c r="S91" s="7" t="s">
        <v>492</v>
      </c>
      <c r="T91" s="7">
        <v>24</v>
      </c>
      <c r="U91" s="7">
        <v>1</v>
      </c>
      <c r="V91" s="7">
        <v>20</v>
      </c>
      <c r="W91" s="7" t="s">
        <v>508</v>
      </c>
      <c r="X91" s="108">
        <v>1</v>
      </c>
      <c r="Y91" s="7" t="s">
        <v>495</v>
      </c>
      <c r="Z91" s="7">
        <f t="shared" si="1"/>
        <v>3</v>
      </c>
      <c r="AA91" s="151" t="s">
        <v>800</v>
      </c>
    </row>
    <row r="92" spans="1:27">
      <c r="A92" s="7" t="s">
        <v>630</v>
      </c>
      <c r="B92" s="7" t="s">
        <v>504</v>
      </c>
      <c r="C92" s="7">
        <v>723520454</v>
      </c>
      <c r="D92" s="7" t="s">
        <v>579</v>
      </c>
      <c r="E92" s="7" t="s">
        <v>580</v>
      </c>
      <c r="F92" s="7">
        <v>5</v>
      </c>
      <c r="G92" s="7" t="s">
        <v>0</v>
      </c>
      <c r="H92" s="7" t="s">
        <v>2</v>
      </c>
      <c r="I92" s="7" t="s">
        <v>492</v>
      </c>
      <c r="J92" s="7" t="s">
        <v>493</v>
      </c>
      <c r="K92" s="7">
        <v>10</v>
      </c>
      <c r="L92" s="7">
        <v>18</v>
      </c>
      <c r="M92" s="7">
        <v>0</v>
      </c>
      <c r="N92" s="7">
        <v>4.5</v>
      </c>
      <c r="O92" s="7">
        <v>0.5</v>
      </c>
      <c r="P92" s="7">
        <v>0.3</v>
      </c>
      <c r="Q92" s="7">
        <v>6</v>
      </c>
      <c r="R92" s="7">
        <v>0</v>
      </c>
      <c r="S92" s="7" t="s">
        <v>581</v>
      </c>
      <c r="T92" s="7">
        <v>24</v>
      </c>
      <c r="U92" s="7">
        <v>6</v>
      </c>
      <c r="V92" s="7">
        <v>20</v>
      </c>
      <c r="W92" s="7" t="s">
        <v>508</v>
      </c>
      <c r="X92" s="108">
        <v>1</v>
      </c>
      <c r="Y92" s="7" t="s">
        <v>495</v>
      </c>
      <c r="Z92" s="7">
        <f t="shared" si="1"/>
        <v>3</v>
      </c>
      <c r="AA92" s="7" t="s">
        <v>462</v>
      </c>
    </row>
    <row r="93" spans="1:27">
      <c r="A93" s="7" t="s">
        <v>631</v>
      </c>
      <c r="B93" s="7" t="s">
        <v>489</v>
      </c>
      <c r="C93" s="7">
        <v>711816238</v>
      </c>
      <c r="D93" s="7" t="s">
        <v>579</v>
      </c>
      <c r="E93" s="7" t="s">
        <v>588</v>
      </c>
      <c r="F93" s="7">
        <v>2</v>
      </c>
      <c r="G93" s="7" t="s">
        <v>0</v>
      </c>
      <c r="H93" s="7" t="s">
        <v>492</v>
      </c>
      <c r="I93" s="7" t="s">
        <v>492</v>
      </c>
      <c r="J93" s="7" t="s">
        <v>493</v>
      </c>
      <c r="K93" s="7">
        <v>7</v>
      </c>
      <c r="L93" s="7">
        <v>0</v>
      </c>
      <c r="M93" s="7">
        <v>0</v>
      </c>
      <c r="N93" s="7">
        <v>4.5</v>
      </c>
      <c r="O93" s="7">
        <v>2</v>
      </c>
      <c r="P93" s="7">
        <v>0.5</v>
      </c>
      <c r="Q93" s="7">
        <v>4</v>
      </c>
      <c r="R93" s="7">
        <v>0</v>
      </c>
      <c r="S93" s="7" t="s">
        <v>591</v>
      </c>
      <c r="T93" s="7">
        <v>24</v>
      </c>
      <c r="U93" s="7">
        <v>4</v>
      </c>
      <c r="V93" s="7">
        <v>20</v>
      </c>
      <c r="W93" s="7" t="s">
        <v>508</v>
      </c>
      <c r="X93" s="108">
        <v>2</v>
      </c>
      <c r="Y93" s="7" t="s">
        <v>495</v>
      </c>
      <c r="Z93" s="7">
        <f t="shared" si="1"/>
        <v>3</v>
      </c>
      <c r="AA93" s="7" t="s">
        <v>462</v>
      </c>
    </row>
    <row r="94" spans="1:27">
      <c r="A94" s="7" t="s">
        <v>632</v>
      </c>
      <c r="B94" s="7" t="s">
        <v>504</v>
      </c>
      <c r="C94" s="7">
        <v>700442237</v>
      </c>
      <c r="D94" s="7" t="s">
        <v>579</v>
      </c>
      <c r="E94" s="7" t="s">
        <v>593</v>
      </c>
      <c r="F94" s="7">
        <v>2</v>
      </c>
      <c r="G94" s="7" t="s">
        <v>112</v>
      </c>
      <c r="H94" s="7" t="s">
        <v>492</v>
      </c>
      <c r="I94" s="7" t="s">
        <v>492</v>
      </c>
      <c r="J94" s="7" t="s">
        <v>493</v>
      </c>
      <c r="K94" s="7">
        <v>0</v>
      </c>
      <c r="L94" s="7">
        <v>0</v>
      </c>
      <c r="M94" s="7">
        <v>3</v>
      </c>
      <c r="N94" s="7">
        <v>3.5</v>
      </c>
      <c r="O94" s="7">
        <v>2</v>
      </c>
      <c r="P94" s="7">
        <v>6</v>
      </c>
      <c r="Q94" s="7">
        <v>5</v>
      </c>
      <c r="R94" s="7">
        <v>0</v>
      </c>
      <c r="S94" s="7" t="s">
        <v>492</v>
      </c>
      <c r="T94" s="7">
        <v>24</v>
      </c>
      <c r="U94" s="7">
        <v>3</v>
      </c>
      <c r="V94" s="7">
        <v>20</v>
      </c>
      <c r="W94" s="7" t="s">
        <v>499</v>
      </c>
      <c r="X94" s="108">
        <v>1</v>
      </c>
      <c r="Y94" s="7" t="s">
        <v>512</v>
      </c>
      <c r="Z94" s="7">
        <f t="shared" si="1"/>
        <v>6</v>
      </c>
      <c r="AA94" s="7" t="s">
        <v>462</v>
      </c>
    </row>
    <row r="95" spans="1:27">
      <c r="A95" s="7" t="s">
        <v>633</v>
      </c>
      <c r="B95" s="7" t="s">
        <v>504</v>
      </c>
      <c r="C95" s="7">
        <v>725631337</v>
      </c>
      <c r="D95" s="7" t="s">
        <v>579</v>
      </c>
      <c r="E95" s="7" t="s">
        <v>584</v>
      </c>
      <c r="F95" s="7">
        <v>6</v>
      </c>
      <c r="G95" s="7" t="s">
        <v>0</v>
      </c>
      <c r="H95" s="7" t="s">
        <v>492</v>
      </c>
      <c r="I95" s="7" t="s">
        <v>492</v>
      </c>
      <c r="J95" s="7" t="s">
        <v>493</v>
      </c>
      <c r="K95" s="7">
        <v>10</v>
      </c>
      <c r="L95" s="7">
        <v>0</v>
      </c>
      <c r="M95" s="7">
        <v>0</v>
      </c>
      <c r="N95" s="7">
        <v>4</v>
      </c>
      <c r="O95" s="7">
        <v>5</v>
      </c>
      <c r="P95" s="7">
        <v>0.5</v>
      </c>
      <c r="Q95" s="7">
        <v>5</v>
      </c>
      <c r="R95" s="7">
        <v>0</v>
      </c>
      <c r="S95" s="7" t="s">
        <v>581</v>
      </c>
      <c r="T95" s="7">
        <v>24</v>
      </c>
      <c r="U95" s="7">
        <v>6</v>
      </c>
      <c r="V95" s="7">
        <v>20</v>
      </c>
      <c r="W95" s="7" t="s">
        <v>499</v>
      </c>
      <c r="X95" s="108">
        <v>1.5</v>
      </c>
      <c r="Y95" s="7" t="s">
        <v>495</v>
      </c>
      <c r="Z95" s="7">
        <f t="shared" si="1"/>
        <v>3</v>
      </c>
      <c r="AA95" s="7" t="s">
        <v>462</v>
      </c>
    </row>
    <row r="96" spans="1:27">
      <c r="A96" s="7" t="s">
        <v>634</v>
      </c>
      <c r="B96" s="7" t="s">
        <v>504</v>
      </c>
      <c r="C96" s="7">
        <v>704645569</v>
      </c>
      <c r="D96" s="7" t="s">
        <v>579</v>
      </c>
      <c r="E96" s="7" t="s">
        <v>584</v>
      </c>
      <c r="F96" s="7">
        <v>5</v>
      </c>
      <c r="G96" s="7" t="s">
        <v>0</v>
      </c>
      <c r="H96" s="7" t="s">
        <v>492</v>
      </c>
      <c r="I96" s="7" t="s">
        <v>492</v>
      </c>
      <c r="J96" s="7" t="s">
        <v>493</v>
      </c>
      <c r="K96" s="7">
        <v>6</v>
      </c>
      <c r="L96" s="7">
        <v>0</v>
      </c>
      <c r="M96" s="7">
        <v>0</v>
      </c>
      <c r="N96" s="7">
        <v>4</v>
      </c>
      <c r="O96" s="7">
        <v>5</v>
      </c>
      <c r="P96" s="7">
        <v>1</v>
      </c>
      <c r="Q96" s="7">
        <v>3</v>
      </c>
      <c r="R96" s="7">
        <v>0</v>
      </c>
      <c r="S96" s="7" t="s">
        <v>581</v>
      </c>
      <c r="T96" s="7">
        <v>24</v>
      </c>
      <c r="U96" s="7">
        <v>3.5</v>
      </c>
      <c r="V96" s="7">
        <v>20</v>
      </c>
      <c r="W96" s="7" t="s">
        <v>508</v>
      </c>
      <c r="X96" s="108">
        <v>1</v>
      </c>
      <c r="Y96" s="7" t="s">
        <v>495</v>
      </c>
      <c r="Z96" s="7">
        <f t="shared" si="1"/>
        <v>3</v>
      </c>
      <c r="AA96" s="7" t="s">
        <v>462</v>
      </c>
    </row>
    <row r="97" spans="1:27">
      <c r="A97" s="7" t="s">
        <v>635</v>
      </c>
      <c r="B97" s="7" t="s">
        <v>489</v>
      </c>
      <c r="C97" s="7">
        <v>727769699</v>
      </c>
      <c r="D97" s="7" t="s">
        <v>579</v>
      </c>
      <c r="E97" s="7" t="s">
        <v>604</v>
      </c>
      <c r="F97" s="7">
        <v>9</v>
      </c>
      <c r="G97" s="7" t="s">
        <v>0</v>
      </c>
      <c r="H97" s="7" t="s">
        <v>492</v>
      </c>
      <c r="I97" s="7" t="s">
        <v>492</v>
      </c>
      <c r="J97" s="7" t="s">
        <v>493</v>
      </c>
      <c r="K97" s="7">
        <v>6</v>
      </c>
      <c r="L97" s="7">
        <v>0</v>
      </c>
      <c r="M97" s="7">
        <v>0</v>
      </c>
      <c r="N97" s="7">
        <v>4.5</v>
      </c>
      <c r="O97" s="7">
        <v>0.5</v>
      </c>
      <c r="P97" s="7">
        <v>0.5</v>
      </c>
      <c r="Q97" s="7">
        <v>7</v>
      </c>
      <c r="R97" s="7">
        <v>0</v>
      </c>
      <c r="S97" s="7" t="s">
        <v>492</v>
      </c>
      <c r="T97" s="7">
        <v>24</v>
      </c>
      <c r="U97" s="7">
        <v>6</v>
      </c>
      <c r="V97" s="7">
        <v>20</v>
      </c>
      <c r="W97" s="7" t="s">
        <v>499</v>
      </c>
      <c r="X97" s="108">
        <v>1</v>
      </c>
      <c r="Y97" s="7" t="s">
        <v>495</v>
      </c>
      <c r="Z97" s="7">
        <f t="shared" si="1"/>
        <v>3</v>
      </c>
      <c r="AA97" s="7" t="s">
        <v>462</v>
      </c>
    </row>
    <row r="98" spans="1:27">
      <c r="A98" s="7" t="s">
        <v>636</v>
      </c>
      <c r="B98" s="7" t="s">
        <v>504</v>
      </c>
      <c r="C98" s="7">
        <v>715859577</v>
      </c>
      <c r="D98" s="7" t="s">
        <v>579</v>
      </c>
      <c r="E98" s="7" t="s">
        <v>604</v>
      </c>
      <c r="F98" s="7">
        <v>5</v>
      </c>
      <c r="G98" s="7" t="s">
        <v>0</v>
      </c>
      <c r="H98" s="7" t="s">
        <v>2</v>
      </c>
      <c r="I98" s="7" t="s">
        <v>492</v>
      </c>
      <c r="J98" s="7" t="s">
        <v>493</v>
      </c>
      <c r="K98" s="7">
        <v>7</v>
      </c>
      <c r="L98" s="7">
        <v>12</v>
      </c>
      <c r="M98" s="7">
        <v>0</v>
      </c>
      <c r="N98" s="7">
        <v>4</v>
      </c>
      <c r="O98" s="7">
        <v>0.5</v>
      </c>
      <c r="P98" s="7">
        <v>0.5</v>
      </c>
      <c r="Q98" s="7">
        <v>6</v>
      </c>
      <c r="R98" s="7">
        <v>20</v>
      </c>
      <c r="S98" s="7" t="s">
        <v>581</v>
      </c>
      <c r="T98" s="7">
        <v>24</v>
      </c>
      <c r="U98" s="7">
        <v>5</v>
      </c>
      <c r="V98" s="7">
        <v>20</v>
      </c>
      <c r="W98" s="7" t="s">
        <v>508</v>
      </c>
      <c r="X98" s="108">
        <v>1</v>
      </c>
      <c r="Y98" s="7" t="s">
        <v>495</v>
      </c>
      <c r="Z98" s="7">
        <f t="shared" si="1"/>
        <v>3</v>
      </c>
      <c r="AA98" s="7" t="s">
        <v>462</v>
      </c>
    </row>
    <row r="99" spans="1:27">
      <c r="A99" s="7" t="s">
        <v>637</v>
      </c>
      <c r="B99" s="7" t="s">
        <v>489</v>
      </c>
      <c r="C99" s="7">
        <v>714050917</v>
      </c>
      <c r="D99" s="7" t="s">
        <v>638</v>
      </c>
      <c r="F99" s="7">
        <v>4</v>
      </c>
      <c r="G99" s="7" t="s">
        <v>0</v>
      </c>
      <c r="H99" s="7" t="s">
        <v>2</v>
      </c>
      <c r="I99" s="7" t="s">
        <v>492</v>
      </c>
      <c r="J99" s="7" t="s">
        <v>493</v>
      </c>
      <c r="K99" s="7">
        <v>10</v>
      </c>
      <c r="L99" s="7">
        <v>18</v>
      </c>
      <c r="M99" s="7">
        <v>0</v>
      </c>
      <c r="N99" s="7">
        <v>3</v>
      </c>
      <c r="O99" s="7">
        <v>3</v>
      </c>
      <c r="P99" s="7">
        <v>4.5</v>
      </c>
      <c r="Q99" s="7">
        <v>3</v>
      </c>
      <c r="R99" s="7">
        <v>0</v>
      </c>
      <c r="S99" s="7" t="s">
        <v>639</v>
      </c>
      <c r="T99" s="7">
        <v>24</v>
      </c>
      <c r="U99" s="7">
        <v>2</v>
      </c>
      <c r="V99" s="7">
        <v>20</v>
      </c>
      <c r="W99" s="7" t="s">
        <v>508</v>
      </c>
      <c r="X99" s="108">
        <v>2</v>
      </c>
      <c r="Y99" s="7" t="s">
        <v>500</v>
      </c>
      <c r="Z99" s="7">
        <f t="shared" si="1"/>
        <v>1</v>
      </c>
      <c r="AA99" s="7" t="s">
        <v>462</v>
      </c>
    </row>
    <row r="100" spans="1:27">
      <c r="A100" s="7" t="s">
        <v>640</v>
      </c>
      <c r="B100" s="7" t="s">
        <v>489</v>
      </c>
      <c r="C100" s="7">
        <v>700159415</v>
      </c>
      <c r="D100" s="7" t="s">
        <v>638</v>
      </c>
      <c r="F100" s="7">
        <v>3</v>
      </c>
      <c r="G100" s="7" t="s">
        <v>0</v>
      </c>
      <c r="H100" s="7" t="s">
        <v>641</v>
      </c>
      <c r="I100" s="7" t="s">
        <v>492</v>
      </c>
      <c r="J100" s="7" t="s">
        <v>493</v>
      </c>
      <c r="K100" s="7">
        <v>10</v>
      </c>
      <c r="L100" s="7">
        <v>0</v>
      </c>
      <c r="M100" s="7">
        <v>0</v>
      </c>
      <c r="N100" s="7">
        <v>3.5</v>
      </c>
      <c r="O100" s="7">
        <v>4</v>
      </c>
      <c r="P100" s="7">
        <v>0</v>
      </c>
      <c r="Q100" s="7">
        <v>5</v>
      </c>
      <c r="R100" s="7">
        <v>0</v>
      </c>
      <c r="S100" s="7" t="s">
        <v>492</v>
      </c>
      <c r="T100" s="7">
        <v>24</v>
      </c>
      <c r="U100" s="7">
        <v>9</v>
      </c>
      <c r="V100" s="7">
        <v>20</v>
      </c>
      <c r="W100" s="7" t="s">
        <v>508</v>
      </c>
      <c r="X100" s="108">
        <v>2</v>
      </c>
      <c r="Y100" s="7" t="s">
        <v>495</v>
      </c>
      <c r="Z100" s="7">
        <f t="shared" si="1"/>
        <v>3</v>
      </c>
      <c r="AA100" s="7" t="s">
        <v>462</v>
      </c>
    </row>
    <row r="101" spans="1:27">
      <c r="A101" s="7" t="s">
        <v>642</v>
      </c>
      <c r="B101" s="7" t="s">
        <v>504</v>
      </c>
      <c r="C101" s="7">
        <v>743354687</v>
      </c>
      <c r="D101" s="7" t="s">
        <v>638</v>
      </c>
      <c r="F101" s="7">
        <v>3</v>
      </c>
      <c r="G101" s="7" t="s">
        <v>0</v>
      </c>
      <c r="H101" s="7" t="s">
        <v>2</v>
      </c>
      <c r="I101" s="7" t="s">
        <v>492</v>
      </c>
      <c r="J101" s="7" t="s">
        <v>493</v>
      </c>
      <c r="K101" s="7">
        <v>11</v>
      </c>
      <c r="L101" s="7">
        <v>18</v>
      </c>
      <c r="M101" s="7">
        <v>0</v>
      </c>
      <c r="N101" s="7">
        <v>4</v>
      </c>
      <c r="O101" s="7">
        <v>4.5</v>
      </c>
      <c r="P101" s="7">
        <v>2</v>
      </c>
      <c r="Q101" s="7">
        <v>4</v>
      </c>
      <c r="R101" s="7">
        <v>0</v>
      </c>
      <c r="S101" s="7" t="s">
        <v>581</v>
      </c>
      <c r="T101" s="7">
        <v>24</v>
      </c>
      <c r="U101" s="7">
        <v>4</v>
      </c>
      <c r="V101" s="7">
        <v>20</v>
      </c>
      <c r="W101" s="7" t="s">
        <v>508</v>
      </c>
      <c r="X101" s="108">
        <v>1.5</v>
      </c>
      <c r="Y101" s="7" t="s">
        <v>495</v>
      </c>
      <c r="Z101" s="7">
        <f t="shared" si="1"/>
        <v>3</v>
      </c>
      <c r="AA101" s="7" t="s">
        <v>462</v>
      </c>
    </row>
    <row r="102" spans="1:27">
      <c r="A102" s="7" t="s">
        <v>643</v>
      </c>
      <c r="B102" s="7" t="s">
        <v>504</v>
      </c>
      <c r="C102" s="7">
        <v>719519470</v>
      </c>
      <c r="D102" s="7" t="s">
        <v>638</v>
      </c>
      <c r="F102" s="7">
        <v>3</v>
      </c>
      <c r="G102" s="7" t="s">
        <v>0</v>
      </c>
      <c r="H102" s="7" t="s">
        <v>492</v>
      </c>
      <c r="I102" s="7" t="s">
        <v>492</v>
      </c>
      <c r="J102" s="7" t="s">
        <v>493</v>
      </c>
      <c r="K102" s="7">
        <v>7</v>
      </c>
      <c r="L102" s="7">
        <v>0</v>
      </c>
      <c r="M102" s="7">
        <v>0</v>
      </c>
      <c r="N102" s="7">
        <v>4</v>
      </c>
      <c r="O102" s="7">
        <v>5</v>
      </c>
      <c r="P102" s="7">
        <v>0</v>
      </c>
      <c r="Q102" s="7">
        <v>4</v>
      </c>
      <c r="R102" s="7">
        <v>0</v>
      </c>
      <c r="S102" s="7" t="s">
        <v>644</v>
      </c>
      <c r="T102" s="7">
        <v>24</v>
      </c>
      <c r="U102" s="7">
        <v>3</v>
      </c>
      <c r="V102" s="7">
        <v>20</v>
      </c>
      <c r="W102" s="7" t="s">
        <v>508</v>
      </c>
      <c r="X102" s="108">
        <v>1</v>
      </c>
      <c r="Y102" s="7" t="s">
        <v>495</v>
      </c>
      <c r="Z102" s="7">
        <f t="shared" si="1"/>
        <v>3</v>
      </c>
      <c r="AA102" s="151" t="s">
        <v>800</v>
      </c>
    </row>
    <row r="103" spans="1:27">
      <c r="A103" s="7" t="s">
        <v>645</v>
      </c>
      <c r="B103" s="7" t="s">
        <v>504</v>
      </c>
      <c r="C103" s="7">
        <v>710689150</v>
      </c>
      <c r="D103" s="7" t="s">
        <v>638</v>
      </c>
      <c r="F103" s="7">
        <v>4</v>
      </c>
      <c r="G103" s="7" t="s">
        <v>0</v>
      </c>
      <c r="H103" s="7" t="s">
        <v>2</v>
      </c>
      <c r="I103" s="7" t="s">
        <v>492</v>
      </c>
      <c r="J103" s="7" t="s">
        <v>493</v>
      </c>
      <c r="K103" s="7">
        <v>6</v>
      </c>
      <c r="L103" s="7">
        <v>24</v>
      </c>
      <c r="M103" s="7">
        <v>0</v>
      </c>
      <c r="N103" s="7">
        <v>2.5</v>
      </c>
      <c r="O103" s="7">
        <v>4</v>
      </c>
      <c r="P103" s="7">
        <v>0</v>
      </c>
      <c r="Q103" s="7">
        <v>4</v>
      </c>
      <c r="R103" s="7">
        <v>0</v>
      </c>
      <c r="S103" s="7" t="s">
        <v>492</v>
      </c>
      <c r="T103" s="7">
        <v>24</v>
      </c>
      <c r="U103" s="7">
        <v>6</v>
      </c>
      <c r="V103" s="7">
        <v>20</v>
      </c>
      <c r="W103" s="7" t="s">
        <v>508</v>
      </c>
      <c r="X103" s="108">
        <v>1</v>
      </c>
      <c r="Y103" s="7" t="s">
        <v>500</v>
      </c>
      <c r="Z103" s="7">
        <f t="shared" si="1"/>
        <v>1</v>
      </c>
      <c r="AA103" s="7" t="s">
        <v>462</v>
      </c>
    </row>
    <row r="104" spans="1:27">
      <c r="A104" s="7" t="s">
        <v>646</v>
      </c>
      <c r="B104" s="7" t="s">
        <v>489</v>
      </c>
      <c r="C104" s="7">
        <v>720644573</v>
      </c>
      <c r="D104" s="7" t="s">
        <v>638</v>
      </c>
      <c r="F104" s="7">
        <v>4</v>
      </c>
      <c r="G104" s="7" t="s">
        <v>0</v>
      </c>
      <c r="H104" s="7" t="s">
        <v>2</v>
      </c>
      <c r="I104" s="7" t="s">
        <v>492</v>
      </c>
      <c r="J104" s="7" t="s">
        <v>493</v>
      </c>
      <c r="K104" s="7">
        <v>10</v>
      </c>
      <c r="L104" s="7">
        <v>18</v>
      </c>
      <c r="M104" s="7">
        <v>0</v>
      </c>
      <c r="N104" s="7">
        <v>3.5</v>
      </c>
      <c r="O104" s="7">
        <v>5</v>
      </c>
      <c r="P104" s="7">
        <v>0</v>
      </c>
      <c r="Q104" s="7">
        <v>4</v>
      </c>
      <c r="R104" s="7">
        <v>0</v>
      </c>
      <c r="S104" s="7" t="s">
        <v>492</v>
      </c>
      <c r="T104" s="7">
        <v>24</v>
      </c>
      <c r="U104" s="7">
        <v>3</v>
      </c>
      <c r="V104" s="7">
        <v>20</v>
      </c>
      <c r="W104" s="7" t="s">
        <v>499</v>
      </c>
      <c r="X104" s="108">
        <v>1</v>
      </c>
      <c r="Y104" s="7" t="s">
        <v>495</v>
      </c>
      <c r="Z104" s="7">
        <f t="shared" si="1"/>
        <v>3</v>
      </c>
      <c r="AA104" s="7" t="s">
        <v>462</v>
      </c>
    </row>
    <row r="105" spans="1:27">
      <c r="A105" s="7" t="s">
        <v>647</v>
      </c>
      <c r="B105" s="7" t="s">
        <v>489</v>
      </c>
      <c r="C105" s="7">
        <v>707239449</v>
      </c>
      <c r="D105" s="7" t="s">
        <v>638</v>
      </c>
      <c r="F105" s="7">
        <v>4</v>
      </c>
      <c r="G105" s="7" t="s">
        <v>0</v>
      </c>
      <c r="H105" s="7" t="s">
        <v>2</v>
      </c>
      <c r="I105" s="7" t="s">
        <v>492</v>
      </c>
      <c r="J105" s="7" t="s">
        <v>493</v>
      </c>
      <c r="K105" s="7">
        <v>8</v>
      </c>
      <c r="L105" s="7">
        <v>24</v>
      </c>
      <c r="M105" s="7">
        <v>0</v>
      </c>
      <c r="N105" s="7">
        <v>3</v>
      </c>
      <c r="O105" s="7">
        <v>4</v>
      </c>
      <c r="P105" s="7">
        <v>2.5</v>
      </c>
      <c r="Q105" s="7">
        <v>6</v>
      </c>
      <c r="R105" s="7">
        <v>0</v>
      </c>
      <c r="S105" s="7" t="s">
        <v>648</v>
      </c>
      <c r="T105" s="7">
        <v>24</v>
      </c>
      <c r="U105" s="7">
        <v>10</v>
      </c>
      <c r="V105" s="7">
        <v>20</v>
      </c>
      <c r="W105" s="7" t="s">
        <v>508</v>
      </c>
      <c r="X105" s="108">
        <v>2.5</v>
      </c>
      <c r="Y105" s="7" t="s">
        <v>512</v>
      </c>
      <c r="Z105" s="7">
        <f t="shared" si="1"/>
        <v>6</v>
      </c>
      <c r="AA105" s="7" t="s">
        <v>462</v>
      </c>
    </row>
    <row r="106" spans="1:27">
      <c r="A106" s="7" t="s">
        <v>649</v>
      </c>
      <c r="B106" s="7" t="s">
        <v>489</v>
      </c>
      <c r="C106" s="7">
        <v>729943603</v>
      </c>
      <c r="D106" s="7" t="s">
        <v>638</v>
      </c>
      <c r="F106" s="7">
        <v>5</v>
      </c>
      <c r="G106" s="7" t="s">
        <v>0</v>
      </c>
      <c r="H106" s="7" t="s">
        <v>2</v>
      </c>
      <c r="I106" s="7" t="s">
        <v>492</v>
      </c>
      <c r="J106" s="7" t="s">
        <v>493</v>
      </c>
      <c r="K106" s="7">
        <v>10</v>
      </c>
      <c r="L106" s="7">
        <v>18</v>
      </c>
      <c r="M106" s="7">
        <v>0</v>
      </c>
      <c r="N106" s="7">
        <v>3.5</v>
      </c>
      <c r="O106" s="7">
        <v>0.5</v>
      </c>
      <c r="P106" s="7">
        <v>0.1</v>
      </c>
      <c r="Q106" s="7">
        <v>12</v>
      </c>
      <c r="R106" s="7">
        <v>0</v>
      </c>
      <c r="S106" s="7" t="s">
        <v>492</v>
      </c>
      <c r="T106" s="7">
        <v>24</v>
      </c>
      <c r="U106" s="7">
        <v>16</v>
      </c>
      <c r="V106" s="7">
        <v>20</v>
      </c>
      <c r="W106" s="7" t="s">
        <v>508</v>
      </c>
      <c r="X106" s="108">
        <v>1</v>
      </c>
      <c r="Y106" s="7" t="s">
        <v>495</v>
      </c>
      <c r="Z106" s="7">
        <f t="shared" si="1"/>
        <v>3</v>
      </c>
      <c r="AA106" s="151" t="s">
        <v>800</v>
      </c>
    </row>
    <row r="107" spans="1:27">
      <c r="A107" s="7" t="s">
        <v>650</v>
      </c>
      <c r="B107" s="7" t="s">
        <v>489</v>
      </c>
      <c r="C107" s="7">
        <v>798461339</v>
      </c>
      <c r="D107" s="7" t="s">
        <v>638</v>
      </c>
      <c r="F107" s="7">
        <v>3</v>
      </c>
      <c r="G107" s="7" t="s">
        <v>2</v>
      </c>
      <c r="H107" s="7" t="s">
        <v>0</v>
      </c>
      <c r="I107" s="7" t="s">
        <v>492</v>
      </c>
      <c r="J107" s="7" t="s">
        <v>493</v>
      </c>
      <c r="K107" s="7">
        <v>0</v>
      </c>
      <c r="L107" s="7">
        <v>72</v>
      </c>
      <c r="M107" s="7">
        <v>0</v>
      </c>
      <c r="N107" s="7">
        <v>3.5</v>
      </c>
      <c r="O107" s="7">
        <v>4</v>
      </c>
      <c r="P107" s="7">
        <v>0</v>
      </c>
      <c r="Q107" s="7">
        <v>3</v>
      </c>
      <c r="R107" s="7">
        <v>0</v>
      </c>
      <c r="S107" s="7" t="s">
        <v>581</v>
      </c>
      <c r="T107" s="7">
        <v>24</v>
      </c>
      <c r="U107" s="7">
        <v>3</v>
      </c>
      <c r="V107" s="7">
        <v>20</v>
      </c>
      <c r="W107" s="7" t="s">
        <v>508</v>
      </c>
      <c r="X107" s="108">
        <v>1</v>
      </c>
      <c r="Y107" s="7" t="s">
        <v>495</v>
      </c>
      <c r="Z107" s="7">
        <f t="shared" si="1"/>
        <v>3</v>
      </c>
      <c r="AA107" s="7" t="s">
        <v>462</v>
      </c>
    </row>
    <row r="108" spans="1:27">
      <c r="A108" s="7" t="s">
        <v>651</v>
      </c>
      <c r="B108" s="7" t="s">
        <v>504</v>
      </c>
      <c r="C108" s="7">
        <v>726113970</v>
      </c>
      <c r="D108" s="7" t="s">
        <v>638</v>
      </c>
      <c r="F108" s="7">
        <v>6</v>
      </c>
      <c r="G108" s="7" t="s">
        <v>0</v>
      </c>
      <c r="H108" s="7" t="s">
        <v>2</v>
      </c>
      <c r="I108" s="7" t="s">
        <v>492</v>
      </c>
      <c r="J108" s="7" t="s">
        <v>493</v>
      </c>
      <c r="K108" s="7">
        <v>10</v>
      </c>
      <c r="L108" s="7">
        <v>26</v>
      </c>
      <c r="M108" s="7">
        <v>0</v>
      </c>
      <c r="N108" s="7">
        <v>5.5</v>
      </c>
      <c r="O108" s="7">
        <v>2</v>
      </c>
      <c r="P108" s="7">
        <v>0</v>
      </c>
      <c r="Q108" s="7">
        <v>3</v>
      </c>
      <c r="R108" s="7">
        <v>0</v>
      </c>
      <c r="S108" s="7" t="s">
        <v>644</v>
      </c>
      <c r="T108" s="7">
        <v>24</v>
      </c>
      <c r="U108" s="7">
        <v>2</v>
      </c>
      <c r="V108" s="7">
        <v>20</v>
      </c>
      <c r="W108" s="7" t="s">
        <v>508</v>
      </c>
      <c r="X108" s="108">
        <v>1</v>
      </c>
      <c r="Y108" s="7" t="s">
        <v>495</v>
      </c>
      <c r="Z108" s="7">
        <f t="shared" si="1"/>
        <v>3</v>
      </c>
      <c r="AA108" s="7" t="s">
        <v>462</v>
      </c>
    </row>
    <row r="109" spans="1:27">
      <c r="A109" s="7" t="s">
        <v>652</v>
      </c>
      <c r="B109" s="7" t="s">
        <v>489</v>
      </c>
      <c r="C109" s="7">
        <v>799979282</v>
      </c>
      <c r="D109" s="7" t="s">
        <v>638</v>
      </c>
      <c r="F109" s="7">
        <v>6</v>
      </c>
      <c r="G109" s="7" t="s">
        <v>0</v>
      </c>
      <c r="H109" s="7" t="s">
        <v>2</v>
      </c>
      <c r="I109" s="7" t="s">
        <v>492</v>
      </c>
      <c r="J109" s="7" t="s">
        <v>493</v>
      </c>
      <c r="K109" s="7">
        <v>10</v>
      </c>
      <c r="L109" s="7">
        <v>24</v>
      </c>
      <c r="M109" s="7">
        <v>0</v>
      </c>
      <c r="N109" s="7">
        <v>5.5</v>
      </c>
      <c r="O109" s="7">
        <v>0.25</v>
      </c>
      <c r="P109" s="7">
        <v>0.2</v>
      </c>
      <c r="Q109" s="7">
        <v>5</v>
      </c>
      <c r="R109" s="7">
        <v>0</v>
      </c>
      <c r="S109" s="7" t="s">
        <v>653</v>
      </c>
      <c r="T109" s="7">
        <v>24</v>
      </c>
      <c r="U109" s="7">
        <v>7</v>
      </c>
      <c r="V109" s="7">
        <v>20</v>
      </c>
      <c r="W109" s="7" t="s">
        <v>508</v>
      </c>
      <c r="X109" s="108">
        <v>2</v>
      </c>
      <c r="Y109" s="7" t="s">
        <v>495</v>
      </c>
      <c r="Z109" s="7">
        <f t="shared" si="1"/>
        <v>3</v>
      </c>
      <c r="AA109" s="7" t="s">
        <v>462</v>
      </c>
    </row>
    <row r="110" spans="1:27">
      <c r="A110" s="7" t="s">
        <v>654</v>
      </c>
      <c r="B110" s="7" t="s">
        <v>504</v>
      </c>
      <c r="C110" s="7">
        <v>728682017</v>
      </c>
      <c r="D110" s="7" t="s">
        <v>638</v>
      </c>
      <c r="F110" s="7">
        <v>4</v>
      </c>
      <c r="G110" s="7" t="s">
        <v>0</v>
      </c>
      <c r="H110" s="7" t="s">
        <v>2</v>
      </c>
      <c r="I110" s="7" t="s">
        <v>492</v>
      </c>
      <c r="J110" s="7" t="s">
        <v>493</v>
      </c>
      <c r="K110" s="7">
        <v>10</v>
      </c>
      <c r="L110" s="7">
        <v>36</v>
      </c>
      <c r="M110" s="7">
        <v>0</v>
      </c>
      <c r="N110" s="7">
        <v>4.5</v>
      </c>
      <c r="O110" s="7">
        <v>0.5</v>
      </c>
      <c r="P110" s="7">
        <v>0.4</v>
      </c>
      <c r="Q110" s="7">
        <v>5</v>
      </c>
      <c r="R110" s="7">
        <v>0</v>
      </c>
      <c r="S110" s="7" t="s">
        <v>581</v>
      </c>
      <c r="T110" s="7">
        <v>24</v>
      </c>
      <c r="U110" s="7">
        <v>3</v>
      </c>
      <c r="V110" s="7">
        <v>20</v>
      </c>
      <c r="W110" s="7" t="s">
        <v>508</v>
      </c>
      <c r="X110" s="108">
        <v>1</v>
      </c>
      <c r="Y110" s="7" t="s">
        <v>495</v>
      </c>
      <c r="Z110" s="7">
        <f t="shared" si="1"/>
        <v>3</v>
      </c>
      <c r="AA110" s="7" t="s">
        <v>462</v>
      </c>
    </row>
    <row r="111" spans="1:27">
      <c r="A111" s="7" t="s">
        <v>655</v>
      </c>
      <c r="B111" s="7" t="s">
        <v>504</v>
      </c>
      <c r="C111" s="7">
        <v>710923278</v>
      </c>
      <c r="D111" s="7" t="s">
        <v>638</v>
      </c>
      <c r="F111" s="7">
        <v>6</v>
      </c>
      <c r="G111" s="7" t="s">
        <v>0</v>
      </c>
      <c r="H111" s="7" t="s">
        <v>2</v>
      </c>
      <c r="I111" s="7" t="s">
        <v>492</v>
      </c>
      <c r="J111" s="7" t="s">
        <v>493</v>
      </c>
      <c r="K111" s="7">
        <v>10</v>
      </c>
      <c r="L111" s="7">
        <v>24</v>
      </c>
      <c r="M111" s="7">
        <v>0</v>
      </c>
      <c r="N111" s="7">
        <v>3.5</v>
      </c>
      <c r="O111" s="7">
        <v>0.3</v>
      </c>
      <c r="P111" s="7">
        <v>2</v>
      </c>
      <c r="Q111" s="7">
        <v>9</v>
      </c>
      <c r="R111" s="7">
        <v>0</v>
      </c>
      <c r="S111" s="7" t="s">
        <v>492</v>
      </c>
      <c r="T111" s="7">
        <v>24</v>
      </c>
      <c r="U111" s="7">
        <v>10</v>
      </c>
      <c r="V111" s="7">
        <v>20</v>
      </c>
      <c r="W111" s="7" t="s">
        <v>499</v>
      </c>
      <c r="X111" s="108">
        <v>2</v>
      </c>
      <c r="Y111" s="7" t="s">
        <v>495</v>
      </c>
      <c r="Z111" s="7">
        <f t="shared" si="1"/>
        <v>3</v>
      </c>
      <c r="AA111" s="7" t="s">
        <v>462</v>
      </c>
    </row>
    <row r="112" spans="1:27">
      <c r="A112" s="7" t="s">
        <v>656</v>
      </c>
      <c r="B112" s="7" t="s">
        <v>504</v>
      </c>
      <c r="C112" s="7">
        <v>700929169</v>
      </c>
      <c r="D112" s="7" t="s">
        <v>638</v>
      </c>
      <c r="F112" s="7">
        <v>5</v>
      </c>
      <c r="G112" s="7" t="s">
        <v>0</v>
      </c>
      <c r="H112" s="7" t="s">
        <v>2</v>
      </c>
      <c r="I112" s="7" t="s">
        <v>492</v>
      </c>
      <c r="J112" s="7" t="s">
        <v>493</v>
      </c>
      <c r="K112" s="7">
        <v>10</v>
      </c>
      <c r="L112" s="7">
        <v>13</v>
      </c>
      <c r="M112" s="7">
        <v>0</v>
      </c>
      <c r="N112" s="7">
        <v>4</v>
      </c>
      <c r="O112" s="7">
        <v>2</v>
      </c>
      <c r="P112" s="7">
        <v>0</v>
      </c>
      <c r="Q112" s="7">
        <v>5</v>
      </c>
      <c r="R112" s="7">
        <v>0</v>
      </c>
      <c r="S112" s="7" t="s">
        <v>591</v>
      </c>
      <c r="T112" s="7">
        <v>24</v>
      </c>
      <c r="U112" s="7">
        <v>6</v>
      </c>
      <c r="V112" s="7">
        <v>20</v>
      </c>
      <c r="W112" s="7" t="s">
        <v>508</v>
      </c>
      <c r="X112" s="108">
        <v>1</v>
      </c>
      <c r="Y112" s="7" t="s">
        <v>500</v>
      </c>
      <c r="Z112" s="7">
        <f t="shared" si="1"/>
        <v>1</v>
      </c>
      <c r="AA112" s="7" t="s">
        <v>462</v>
      </c>
    </row>
    <row r="113" spans="1:27">
      <c r="A113" s="7" t="s">
        <v>657</v>
      </c>
      <c r="B113" s="7" t="s">
        <v>504</v>
      </c>
      <c r="C113" s="7">
        <v>718354062</v>
      </c>
      <c r="D113" s="7" t="s">
        <v>638</v>
      </c>
      <c r="F113" s="7">
        <v>5</v>
      </c>
      <c r="G113" s="7" t="s">
        <v>2</v>
      </c>
      <c r="H113" s="7" t="s">
        <v>0</v>
      </c>
      <c r="I113" s="7" t="s">
        <v>492</v>
      </c>
      <c r="J113" s="7" t="s">
        <v>493</v>
      </c>
      <c r="K113" s="7">
        <v>0</v>
      </c>
      <c r="L113" s="7">
        <v>72</v>
      </c>
      <c r="M113" s="7">
        <v>0</v>
      </c>
      <c r="N113" s="7">
        <v>4.5</v>
      </c>
      <c r="O113" s="7">
        <v>2</v>
      </c>
      <c r="P113" s="7">
        <v>0</v>
      </c>
      <c r="Q113" s="7">
        <v>3</v>
      </c>
      <c r="R113" s="7">
        <v>0</v>
      </c>
      <c r="S113" s="7" t="s">
        <v>492</v>
      </c>
      <c r="T113" s="7">
        <v>24</v>
      </c>
      <c r="U113" s="7">
        <v>6</v>
      </c>
      <c r="V113" s="7">
        <v>20</v>
      </c>
      <c r="W113" s="7" t="s">
        <v>508</v>
      </c>
      <c r="X113" s="108">
        <v>2</v>
      </c>
      <c r="Y113" s="7" t="s">
        <v>500</v>
      </c>
      <c r="Z113" s="7">
        <f t="shared" si="1"/>
        <v>1</v>
      </c>
      <c r="AA113" s="7" t="s">
        <v>462</v>
      </c>
    </row>
    <row r="114" spans="1:27">
      <c r="A114" s="7" t="s">
        <v>658</v>
      </c>
      <c r="B114" s="7" t="s">
        <v>504</v>
      </c>
      <c r="C114" s="7">
        <v>724133433</v>
      </c>
      <c r="D114" s="7" t="s">
        <v>638</v>
      </c>
      <c r="F114" s="7">
        <v>4</v>
      </c>
      <c r="G114" s="7" t="s">
        <v>0</v>
      </c>
      <c r="H114" s="7" t="s">
        <v>2</v>
      </c>
      <c r="I114" s="7" t="s">
        <v>492</v>
      </c>
      <c r="J114" s="7" t="s">
        <v>493</v>
      </c>
      <c r="K114" s="7">
        <v>15</v>
      </c>
      <c r="L114" s="7">
        <v>12</v>
      </c>
      <c r="M114" s="7">
        <v>0</v>
      </c>
      <c r="N114" s="7">
        <v>3.5</v>
      </c>
      <c r="O114" s="7">
        <v>0.5</v>
      </c>
      <c r="P114" s="7">
        <v>0.1</v>
      </c>
      <c r="Q114" s="7">
        <v>5</v>
      </c>
      <c r="R114" s="7">
        <v>0</v>
      </c>
      <c r="S114" s="7" t="s">
        <v>659</v>
      </c>
      <c r="T114" s="7">
        <v>24</v>
      </c>
      <c r="U114" s="7">
        <v>6</v>
      </c>
      <c r="V114" s="7">
        <v>20</v>
      </c>
      <c r="W114" s="7" t="s">
        <v>508</v>
      </c>
      <c r="X114" s="108">
        <v>2</v>
      </c>
      <c r="Y114" s="7" t="s">
        <v>500</v>
      </c>
      <c r="Z114" s="7">
        <f t="shared" si="1"/>
        <v>1</v>
      </c>
      <c r="AA114" s="7" t="s">
        <v>462</v>
      </c>
    </row>
    <row r="115" spans="1:27">
      <c r="A115" s="7" t="s">
        <v>660</v>
      </c>
      <c r="B115" s="7" t="s">
        <v>489</v>
      </c>
      <c r="C115" s="7">
        <v>722962604</v>
      </c>
      <c r="D115" s="7" t="s">
        <v>638</v>
      </c>
      <c r="F115" s="7">
        <v>4</v>
      </c>
      <c r="G115" s="7" t="s">
        <v>2</v>
      </c>
      <c r="H115" s="7" t="s">
        <v>0</v>
      </c>
      <c r="I115" s="7" t="s">
        <v>492</v>
      </c>
      <c r="J115" s="7" t="s">
        <v>493</v>
      </c>
      <c r="K115" s="7">
        <v>10</v>
      </c>
      <c r="L115" s="7">
        <v>72</v>
      </c>
      <c r="M115" s="7">
        <v>0</v>
      </c>
      <c r="N115" s="7">
        <v>4</v>
      </c>
      <c r="O115" s="7">
        <v>2</v>
      </c>
      <c r="P115" s="7">
        <v>0.5</v>
      </c>
      <c r="Q115" s="7">
        <v>21</v>
      </c>
      <c r="R115" s="7">
        <v>0</v>
      </c>
      <c r="S115" s="7" t="s">
        <v>644</v>
      </c>
      <c r="T115" s="7">
        <v>24</v>
      </c>
      <c r="U115" s="7">
        <v>24</v>
      </c>
      <c r="V115" s="7">
        <v>20</v>
      </c>
      <c r="W115" s="7" t="s">
        <v>508</v>
      </c>
      <c r="X115" s="108">
        <v>2</v>
      </c>
      <c r="Y115" s="7" t="s">
        <v>495</v>
      </c>
      <c r="Z115" s="7">
        <f t="shared" si="1"/>
        <v>3</v>
      </c>
      <c r="AA115" s="7" t="s">
        <v>462</v>
      </c>
    </row>
    <row r="116" spans="1:27">
      <c r="A116" s="7" t="s">
        <v>661</v>
      </c>
      <c r="B116" s="7" t="s">
        <v>489</v>
      </c>
      <c r="C116" s="7">
        <v>713807902</v>
      </c>
      <c r="D116" s="7" t="s">
        <v>638</v>
      </c>
      <c r="F116" s="7">
        <v>6</v>
      </c>
      <c r="G116" s="7" t="s">
        <v>0</v>
      </c>
      <c r="H116" s="7" t="s">
        <v>492</v>
      </c>
      <c r="I116" s="7" t="s">
        <v>492</v>
      </c>
      <c r="J116" s="7" t="s">
        <v>493</v>
      </c>
      <c r="K116" s="7">
        <v>10</v>
      </c>
      <c r="L116" s="7">
        <v>0</v>
      </c>
      <c r="M116" s="7">
        <v>0</v>
      </c>
      <c r="N116" s="7">
        <v>3.5</v>
      </c>
      <c r="O116" s="7">
        <v>1</v>
      </c>
      <c r="P116" s="7">
        <v>0.5</v>
      </c>
      <c r="Q116" s="7">
        <v>5</v>
      </c>
      <c r="R116" s="7">
        <v>0</v>
      </c>
      <c r="S116" s="7" t="s">
        <v>591</v>
      </c>
      <c r="T116" s="7">
        <v>24</v>
      </c>
      <c r="U116" s="7">
        <v>6</v>
      </c>
      <c r="V116" s="7">
        <v>20</v>
      </c>
      <c r="W116" s="7" t="s">
        <v>508</v>
      </c>
      <c r="X116" s="108">
        <v>1</v>
      </c>
      <c r="Y116" s="7" t="s">
        <v>500</v>
      </c>
      <c r="Z116" s="7">
        <f t="shared" si="1"/>
        <v>1</v>
      </c>
      <c r="AA116" s="7" t="s">
        <v>462</v>
      </c>
    </row>
    <row r="117" spans="1:27">
      <c r="A117" s="7" t="s">
        <v>662</v>
      </c>
      <c r="B117" s="7" t="s">
        <v>489</v>
      </c>
      <c r="C117" s="7">
        <v>792489310</v>
      </c>
      <c r="D117" s="7" t="s">
        <v>638</v>
      </c>
      <c r="F117" s="7">
        <v>6</v>
      </c>
      <c r="G117" s="7" t="s">
        <v>0</v>
      </c>
      <c r="H117" s="7" t="s">
        <v>2</v>
      </c>
      <c r="I117" s="7" t="s">
        <v>492</v>
      </c>
      <c r="J117" s="7" t="s">
        <v>493</v>
      </c>
      <c r="K117" s="7">
        <v>8</v>
      </c>
      <c r="L117" s="7">
        <v>36</v>
      </c>
      <c r="M117" s="7">
        <v>0</v>
      </c>
      <c r="N117" s="7">
        <v>3</v>
      </c>
      <c r="O117" s="7">
        <v>4</v>
      </c>
      <c r="P117" s="7">
        <v>2</v>
      </c>
      <c r="Q117" s="7">
        <v>10</v>
      </c>
      <c r="R117" s="7">
        <v>0</v>
      </c>
      <c r="S117" s="7" t="s">
        <v>663</v>
      </c>
      <c r="T117" s="7">
        <v>24</v>
      </c>
      <c r="U117" s="7">
        <v>20</v>
      </c>
      <c r="V117" s="7">
        <v>20</v>
      </c>
      <c r="W117" s="7" t="s">
        <v>499</v>
      </c>
      <c r="X117" s="108">
        <v>2</v>
      </c>
      <c r="Y117" s="7" t="s">
        <v>495</v>
      </c>
      <c r="Z117" s="7">
        <f t="shared" si="1"/>
        <v>3</v>
      </c>
      <c r="AA117" s="7" t="s">
        <v>462</v>
      </c>
    </row>
    <row r="118" spans="1:27">
      <c r="A118" s="7" t="s">
        <v>664</v>
      </c>
      <c r="B118" s="7" t="s">
        <v>489</v>
      </c>
      <c r="D118" s="7" t="s">
        <v>638</v>
      </c>
      <c r="F118" s="7">
        <v>4</v>
      </c>
      <c r="G118" s="7" t="s">
        <v>2</v>
      </c>
      <c r="H118" s="7" t="s">
        <v>0</v>
      </c>
      <c r="I118" s="7" t="s">
        <v>492</v>
      </c>
      <c r="J118" s="7" t="s">
        <v>493</v>
      </c>
      <c r="K118" s="7">
        <v>10</v>
      </c>
      <c r="L118" s="7">
        <v>72</v>
      </c>
      <c r="M118" s="7">
        <v>0</v>
      </c>
      <c r="N118" s="7">
        <v>3.5</v>
      </c>
      <c r="O118" s="7">
        <v>3</v>
      </c>
      <c r="P118" s="7">
        <v>0</v>
      </c>
      <c r="Q118" s="7">
        <v>5</v>
      </c>
      <c r="R118" s="7">
        <v>0</v>
      </c>
      <c r="S118" s="7" t="s">
        <v>591</v>
      </c>
      <c r="T118" s="7">
        <v>24</v>
      </c>
      <c r="U118" s="7">
        <v>8</v>
      </c>
      <c r="V118" s="7">
        <v>20</v>
      </c>
      <c r="W118" s="7" t="s">
        <v>508</v>
      </c>
      <c r="X118" s="108">
        <v>1</v>
      </c>
      <c r="Y118" s="7" t="s">
        <v>512</v>
      </c>
      <c r="Z118" s="7">
        <f t="shared" si="1"/>
        <v>6</v>
      </c>
      <c r="AA118" s="7" t="s">
        <v>462</v>
      </c>
    </row>
    <row r="119" spans="1:27">
      <c r="A119" s="7" t="s">
        <v>665</v>
      </c>
      <c r="B119" s="7" t="s">
        <v>489</v>
      </c>
      <c r="C119" s="7">
        <v>703654431</v>
      </c>
      <c r="D119" s="7" t="s">
        <v>638</v>
      </c>
      <c r="F119" s="7">
        <v>4</v>
      </c>
      <c r="G119" s="7" t="s">
        <v>0</v>
      </c>
      <c r="H119" s="7" t="s">
        <v>2</v>
      </c>
      <c r="I119" s="7" t="s">
        <v>492</v>
      </c>
      <c r="J119" s="7" t="s">
        <v>493</v>
      </c>
      <c r="K119" s="7">
        <v>10</v>
      </c>
      <c r="L119" s="7">
        <v>36</v>
      </c>
      <c r="M119" s="7">
        <v>0</v>
      </c>
      <c r="N119" s="7">
        <v>2.5</v>
      </c>
      <c r="O119" s="7">
        <v>2</v>
      </c>
      <c r="P119" s="7">
        <v>3</v>
      </c>
      <c r="Q119" s="7">
        <v>4</v>
      </c>
      <c r="R119" s="7">
        <v>0</v>
      </c>
      <c r="S119" s="7" t="s">
        <v>492</v>
      </c>
      <c r="T119" s="7">
        <v>24</v>
      </c>
      <c r="U119" s="7">
        <v>6</v>
      </c>
      <c r="V119" s="7">
        <v>20</v>
      </c>
      <c r="W119" s="7" t="s">
        <v>508</v>
      </c>
      <c r="X119" s="108">
        <v>1</v>
      </c>
      <c r="Y119" s="7" t="s">
        <v>495</v>
      </c>
      <c r="Z119" s="7">
        <f t="shared" si="1"/>
        <v>3</v>
      </c>
      <c r="AA119" s="151" t="s">
        <v>800</v>
      </c>
    </row>
    <row r="120" spans="1:27">
      <c r="A120" s="7" t="s">
        <v>666</v>
      </c>
      <c r="B120" s="7" t="s">
        <v>489</v>
      </c>
      <c r="C120" s="7">
        <v>722857130</v>
      </c>
      <c r="D120" s="7" t="s">
        <v>638</v>
      </c>
      <c r="F120" s="7">
        <v>2</v>
      </c>
      <c r="G120" s="7" t="s">
        <v>0</v>
      </c>
      <c r="H120" s="7" t="s">
        <v>2</v>
      </c>
      <c r="I120" s="7" t="s">
        <v>492</v>
      </c>
      <c r="J120" s="7" t="s">
        <v>493</v>
      </c>
      <c r="K120" s="7">
        <v>10</v>
      </c>
      <c r="L120" s="7">
        <v>26</v>
      </c>
      <c r="M120" s="7">
        <v>0</v>
      </c>
      <c r="N120" s="7">
        <v>3</v>
      </c>
      <c r="O120" s="7">
        <v>1</v>
      </c>
      <c r="P120" s="7">
        <v>0.5</v>
      </c>
      <c r="Q120" s="7">
        <v>4</v>
      </c>
      <c r="R120" s="7">
        <v>0</v>
      </c>
      <c r="S120" s="7" t="s">
        <v>581</v>
      </c>
      <c r="T120" s="7">
        <v>24</v>
      </c>
      <c r="U120" s="7">
        <v>3</v>
      </c>
      <c r="V120" s="7">
        <v>20</v>
      </c>
      <c r="W120" s="7" t="s">
        <v>499</v>
      </c>
      <c r="X120" s="108">
        <v>2</v>
      </c>
      <c r="Y120" s="7" t="s">
        <v>500</v>
      </c>
      <c r="Z120" s="7">
        <f t="shared" si="1"/>
        <v>1</v>
      </c>
      <c r="AA120" s="7" t="s">
        <v>462</v>
      </c>
    </row>
    <row r="121" spans="1:27">
      <c r="A121" s="7" t="s">
        <v>667</v>
      </c>
      <c r="B121" s="7" t="s">
        <v>504</v>
      </c>
      <c r="C121" s="7">
        <v>725601175</v>
      </c>
      <c r="D121" s="7" t="s">
        <v>638</v>
      </c>
      <c r="F121" s="7">
        <v>7</v>
      </c>
      <c r="G121" s="7" t="s">
        <v>0</v>
      </c>
      <c r="H121" s="7" t="s">
        <v>492</v>
      </c>
      <c r="I121" s="7" t="s">
        <v>492</v>
      </c>
      <c r="J121" s="7" t="s">
        <v>493</v>
      </c>
      <c r="K121" s="7">
        <v>10</v>
      </c>
      <c r="L121" s="7">
        <v>0</v>
      </c>
      <c r="M121" s="7">
        <v>0</v>
      </c>
      <c r="N121" s="7">
        <v>2.5</v>
      </c>
      <c r="O121" s="7">
        <v>0.25</v>
      </c>
      <c r="P121" s="7">
        <v>0</v>
      </c>
      <c r="Q121" s="7">
        <v>3</v>
      </c>
      <c r="R121" s="7">
        <v>0</v>
      </c>
      <c r="S121" s="7" t="s">
        <v>668</v>
      </c>
      <c r="T121" s="7">
        <v>24</v>
      </c>
      <c r="U121" s="7">
        <v>2</v>
      </c>
      <c r="V121" s="7">
        <v>20</v>
      </c>
      <c r="W121" s="7" t="s">
        <v>508</v>
      </c>
      <c r="X121" s="108">
        <v>1</v>
      </c>
      <c r="Y121" s="7" t="s">
        <v>495</v>
      </c>
      <c r="Z121" s="7">
        <f t="shared" si="1"/>
        <v>3</v>
      </c>
      <c r="AA121" s="7" t="s">
        <v>462</v>
      </c>
    </row>
    <row r="122" spans="1:27">
      <c r="A122" s="7" t="s">
        <v>669</v>
      </c>
      <c r="B122" s="7" t="s">
        <v>489</v>
      </c>
      <c r="C122" s="7">
        <v>721127721</v>
      </c>
      <c r="D122" s="7" t="s">
        <v>638</v>
      </c>
      <c r="F122" s="7">
        <v>5</v>
      </c>
      <c r="G122" s="7" t="s">
        <v>0</v>
      </c>
      <c r="H122" s="7" t="s">
        <v>2</v>
      </c>
      <c r="I122" s="7" t="s">
        <v>492</v>
      </c>
      <c r="J122" s="7" t="s">
        <v>493</v>
      </c>
      <c r="K122" s="7">
        <v>8</v>
      </c>
      <c r="L122" s="7">
        <v>24</v>
      </c>
      <c r="M122" s="7">
        <v>0</v>
      </c>
      <c r="N122" s="7">
        <v>2.75</v>
      </c>
      <c r="O122" s="7">
        <v>2</v>
      </c>
      <c r="P122" s="7">
        <v>0</v>
      </c>
      <c r="Q122" s="7">
        <v>5</v>
      </c>
      <c r="R122" s="7">
        <v>0</v>
      </c>
      <c r="S122" s="7" t="s">
        <v>670</v>
      </c>
      <c r="T122" s="7">
        <v>24</v>
      </c>
      <c r="U122" s="7">
        <v>4</v>
      </c>
      <c r="V122" s="7">
        <v>20</v>
      </c>
      <c r="W122" s="7" t="s">
        <v>508</v>
      </c>
      <c r="X122" s="108">
        <v>1</v>
      </c>
      <c r="Y122" s="7" t="s">
        <v>500</v>
      </c>
      <c r="Z122" s="7">
        <f t="shared" si="1"/>
        <v>1</v>
      </c>
      <c r="AA122" s="7" t="s">
        <v>462</v>
      </c>
    </row>
    <row r="123" spans="1:27">
      <c r="A123" s="7" t="s">
        <v>671</v>
      </c>
      <c r="B123" s="7" t="s">
        <v>504</v>
      </c>
      <c r="C123" s="7">
        <v>723616893</v>
      </c>
      <c r="D123" s="7" t="s">
        <v>638</v>
      </c>
      <c r="F123" s="7">
        <v>2</v>
      </c>
      <c r="G123" s="7" t="s">
        <v>0</v>
      </c>
      <c r="H123" s="7" t="s">
        <v>2</v>
      </c>
      <c r="I123" s="7" t="s">
        <v>492</v>
      </c>
      <c r="J123" s="7" t="s">
        <v>493</v>
      </c>
      <c r="K123" s="7">
        <v>15</v>
      </c>
      <c r="L123" s="7">
        <v>26</v>
      </c>
      <c r="M123" s="7">
        <v>0</v>
      </c>
      <c r="N123" s="7">
        <v>3</v>
      </c>
      <c r="O123" s="7">
        <v>0.5</v>
      </c>
      <c r="P123" s="7">
        <v>0.1</v>
      </c>
      <c r="Q123" s="7">
        <v>4</v>
      </c>
      <c r="R123" s="7">
        <v>0</v>
      </c>
      <c r="S123" s="7" t="s">
        <v>591</v>
      </c>
      <c r="T123" s="7">
        <v>24</v>
      </c>
      <c r="U123" s="7">
        <v>6</v>
      </c>
      <c r="V123" s="7">
        <v>20</v>
      </c>
      <c r="W123" s="7" t="s">
        <v>508</v>
      </c>
      <c r="X123" s="108">
        <v>1.5</v>
      </c>
      <c r="Y123" s="7" t="s">
        <v>512</v>
      </c>
      <c r="Z123" s="7">
        <f t="shared" si="1"/>
        <v>6</v>
      </c>
      <c r="AA123" s="7" t="s">
        <v>462</v>
      </c>
    </row>
    <row r="124" spans="1:27">
      <c r="A124" s="7" t="s">
        <v>672</v>
      </c>
      <c r="B124" s="7" t="s">
        <v>489</v>
      </c>
      <c r="C124" s="7">
        <v>721933022</v>
      </c>
      <c r="D124" s="7" t="s">
        <v>638</v>
      </c>
      <c r="F124" s="7">
        <v>6</v>
      </c>
      <c r="G124" s="7" t="s">
        <v>2</v>
      </c>
      <c r="H124" s="7" t="s">
        <v>0</v>
      </c>
      <c r="I124" s="7" t="s">
        <v>492</v>
      </c>
      <c r="J124" s="7" t="s">
        <v>493</v>
      </c>
      <c r="K124" s="7">
        <v>0</v>
      </c>
      <c r="L124" s="7">
        <v>72</v>
      </c>
      <c r="M124" s="7">
        <v>0</v>
      </c>
      <c r="N124" s="7">
        <v>3</v>
      </c>
      <c r="O124" s="7">
        <v>0.5</v>
      </c>
      <c r="P124" s="7">
        <v>0.1</v>
      </c>
      <c r="Q124" s="7">
        <v>4</v>
      </c>
      <c r="R124" s="7">
        <v>0</v>
      </c>
      <c r="S124" s="7" t="s">
        <v>644</v>
      </c>
      <c r="T124" s="7">
        <v>24</v>
      </c>
      <c r="U124" s="7">
        <v>3</v>
      </c>
      <c r="V124" s="7">
        <v>20</v>
      </c>
      <c r="W124" s="7" t="s">
        <v>508</v>
      </c>
      <c r="X124" s="108">
        <v>1</v>
      </c>
      <c r="Y124" s="7" t="s">
        <v>495</v>
      </c>
      <c r="Z124" s="7">
        <f t="shared" si="1"/>
        <v>3</v>
      </c>
      <c r="AA124" s="7" t="s">
        <v>462</v>
      </c>
    </row>
    <row r="125" spans="1:27">
      <c r="A125" s="7" t="s">
        <v>673</v>
      </c>
      <c r="B125" s="7" t="s">
        <v>489</v>
      </c>
      <c r="C125" s="7">
        <v>729536604</v>
      </c>
      <c r="D125" s="7" t="s">
        <v>638</v>
      </c>
      <c r="F125" s="7">
        <v>6</v>
      </c>
      <c r="G125" s="7" t="s">
        <v>0</v>
      </c>
      <c r="H125" s="7" t="s">
        <v>641</v>
      </c>
      <c r="I125" s="7" t="s">
        <v>492</v>
      </c>
      <c r="J125" s="7" t="s">
        <v>493</v>
      </c>
      <c r="K125" s="7">
        <v>8</v>
      </c>
      <c r="L125" s="7">
        <v>0</v>
      </c>
      <c r="M125" s="7">
        <v>0</v>
      </c>
      <c r="N125" s="7">
        <v>3</v>
      </c>
      <c r="O125" s="7">
        <v>5</v>
      </c>
      <c r="P125" s="7">
        <v>0</v>
      </c>
      <c r="Q125" s="7">
        <v>4</v>
      </c>
      <c r="R125" s="7">
        <v>0</v>
      </c>
      <c r="S125" s="7" t="s">
        <v>492</v>
      </c>
      <c r="T125" s="7">
        <v>24</v>
      </c>
      <c r="U125" s="7">
        <v>2</v>
      </c>
      <c r="V125" s="7">
        <v>20</v>
      </c>
      <c r="W125" s="7" t="s">
        <v>508</v>
      </c>
      <c r="X125" s="108">
        <v>1</v>
      </c>
      <c r="Y125" s="7" t="s">
        <v>495</v>
      </c>
      <c r="Z125" s="7">
        <f t="shared" si="1"/>
        <v>3</v>
      </c>
      <c r="AA125" s="7" t="s">
        <v>462</v>
      </c>
    </row>
    <row r="126" spans="1:27">
      <c r="A126" s="7" t="s">
        <v>674</v>
      </c>
      <c r="B126" s="7" t="s">
        <v>504</v>
      </c>
      <c r="C126" s="7">
        <v>728923054</v>
      </c>
      <c r="D126" s="7" t="s">
        <v>638</v>
      </c>
      <c r="F126" s="7">
        <v>4</v>
      </c>
      <c r="G126" s="7" t="s">
        <v>0</v>
      </c>
      <c r="H126" s="7" t="s">
        <v>2</v>
      </c>
      <c r="I126" s="7" t="s">
        <v>492</v>
      </c>
      <c r="J126" s="7" t="s">
        <v>493</v>
      </c>
      <c r="K126" s="7">
        <v>11</v>
      </c>
      <c r="L126" s="7">
        <v>30</v>
      </c>
      <c r="M126" s="7">
        <v>0</v>
      </c>
      <c r="N126" s="7">
        <v>3.5</v>
      </c>
      <c r="O126" s="7">
        <v>2</v>
      </c>
      <c r="P126" s="7">
        <v>0.5</v>
      </c>
      <c r="Q126" s="7">
        <v>3</v>
      </c>
      <c r="R126" s="7">
        <v>0</v>
      </c>
      <c r="S126" s="7" t="s">
        <v>675</v>
      </c>
      <c r="T126" s="7">
        <v>24</v>
      </c>
      <c r="U126" s="7">
        <v>5</v>
      </c>
      <c r="V126" s="7">
        <v>20</v>
      </c>
      <c r="W126" s="7" t="s">
        <v>508</v>
      </c>
      <c r="X126" s="108">
        <v>1.5</v>
      </c>
      <c r="Y126" s="7" t="s">
        <v>495</v>
      </c>
      <c r="Z126" s="7">
        <f t="shared" si="1"/>
        <v>3</v>
      </c>
      <c r="AA126" s="7" t="s">
        <v>462</v>
      </c>
    </row>
    <row r="127" spans="1:27">
      <c r="A127" s="7" t="s">
        <v>676</v>
      </c>
      <c r="B127" s="7" t="s">
        <v>489</v>
      </c>
      <c r="C127" s="7">
        <v>729821496</v>
      </c>
      <c r="D127" s="7" t="s">
        <v>638</v>
      </c>
      <c r="F127" s="7">
        <v>5</v>
      </c>
      <c r="G127" s="7" t="s">
        <v>2</v>
      </c>
      <c r="H127" s="7" t="s">
        <v>0</v>
      </c>
      <c r="I127" s="7" t="s">
        <v>492</v>
      </c>
      <c r="J127" s="7" t="s">
        <v>493</v>
      </c>
      <c r="K127" s="7">
        <v>10</v>
      </c>
      <c r="L127" s="7">
        <v>78</v>
      </c>
      <c r="M127" s="7">
        <v>0</v>
      </c>
      <c r="N127" s="7">
        <v>4</v>
      </c>
      <c r="O127" s="7">
        <v>3</v>
      </c>
      <c r="P127" s="7">
        <v>2</v>
      </c>
      <c r="Q127" s="7">
        <v>5</v>
      </c>
      <c r="R127" s="7">
        <v>0</v>
      </c>
      <c r="S127" s="7" t="s">
        <v>492</v>
      </c>
      <c r="T127" s="7">
        <v>24</v>
      </c>
      <c r="U127" s="7">
        <v>4</v>
      </c>
      <c r="V127" s="7">
        <v>20</v>
      </c>
      <c r="W127" s="7" t="s">
        <v>511</v>
      </c>
      <c r="X127" s="108">
        <v>1</v>
      </c>
      <c r="Y127" s="7" t="s">
        <v>495</v>
      </c>
      <c r="Z127" s="7">
        <f t="shared" si="1"/>
        <v>3</v>
      </c>
      <c r="AA127" s="7" t="s">
        <v>462</v>
      </c>
    </row>
    <row r="128" spans="1:27">
      <c r="A128" s="7" t="s">
        <v>677</v>
      </c>
      <c r="B128" s="7" t="s">
        <v>504</v>
      </c>
      <c r="C128" s="7">
        <v>723123204</v>
      </c>
      <c r="D128" s="7" t="s">
        <v>638</v>
      </c>
      <c r="F128" s="7">
        <v>5</v>
      </c>
      <c r="G128" s="7" t="s">
        <v>0</v>
      </c>
      <c r="H128" s="7" t="s">
        <v>2</v>
      </c>
      <c r="I128" s="7" t="s">
        <v>492</v>
      </c>
      <c r="J128" s="7" t="s">
        <v>493</v>
      </c>
      <c r="K128" s="7">
        <v>6</v>
      </c>
      <c r="L128" s="7">
        <v>24</v>
      </c>
      <c r="M128" s="7">
        <v>0</v>
      </c>
      <c r="N128" s="7">
        <v>3.5</v>
      </c>
      <c r="O128" s="7">
        <v>4</v>
      </c>
      <c r="P128" s="7">
        <v>0</v>
      </c>
      <c r="Q128" s="7">
        <v>3</v>
      </c>
      <c r="R128" s="7">
        <v>0</v>
      </c>
      <c r="S128" s="7" t="s">
        <v>591</v>
      </c>
      <c r="T128" s="7">
        <v>24</v>
      </c>
      <c r="U128" s="7">
        <v>3</v>
      </c>
      <c r="V128" s="7">
        <v>20</v>
      </c>
      <c r="W128" s="7" t="s">
        <v>508</v>
      </c>
      <c r="X128" s="108">
        <v>1.5</v>
      </c>
      <c r="Y128" s="7" t="s">
        <v>495</v>
      </c>
      <c r="Z128" s="7">
        <f t="shared" si="1"/>
        <v>3</v>
      </c>
      <c r="AA128" s="7" t="s">
        <v>462</v>
      </c>
    </row>
    <row r="129" spans="1:27">
      <c r="A129" s="7" t="s">
        <v>678</v>
      </c>
      <c r="B129" s="7" t="s">
        <v>489</v>
      </c>
      <c r="C129" s="7">
        <v>710981113</v>
      </c>
      <c r="D129" s="7" t="s">
        <v>638</v>
      </c>
      <c r="F129" s="7">
        <v>6</v>
      </c>
      <c r="G129" s="7" t="s">
        <v>2</v>
      </c>
      <c r="H129" s="7" t="s">
        <v>0</v>
      </c>
      <c r="I129" s="7" t="s">
        <v>492</v>
      </c>
      <c r="J129" s="7" t="s">
        <v>493</v>
      </c>
      <c r="K129" s="7">
        <v>10</v>
      </c>
      <c r="L129" s="7">
        <v>72</v>
      </c>
      <c r="M129" s="7">
        <v>0</v>
      </c>
      <c r="N129" s="7">
        <v>3.5</v>
      </c>
      <c r="O129" s="7">
        <v>0.3</v>
      </c>
      <c r="P129" s="7">
        <v>0.02</v>
      </c>
      <c r="Q129" s="7">
        <v>5</v>
      </c>
      <c r="R129" s="7">
        <v>0</v>
      </c>
      <c r="S129" s="7" t="s">
        <v>581</v>
      </c>
      <c r="T129" s="7">
        <v>24</v>
      </c>
      <c r="U129" s="7">
        <v>5</v>
      </c>
      <c r="V129" s="7">
        <v>20</v>
      </c>
      <c r="W129" s="7" t="s">
        <v>508</v>
      </c>
      <c r="X129" s="108">
        <v>1</v>
      </c>
      <c r="Y129" s="7" t="s">
        <v>512</v>
      </c>
      <c r="Z129" s="7">
        <f t="shared" si="1"/>
        <v>6</v>
      </c>
      <c r="AA129" s="7" t="s">
        <v>463</v>
      </c>
    </row>
    <row r="130" spans="1:27">
      <c r="A130" s="7" t="s">
        <v>679</v>
      </c>
      <c r="B130" s="7" t="s">
        <v>489</v>
      </c>
      <c r="C130" s="7">
        <v>724094406</v>
      </c>
      <c r="D130" s="7" t="s">
        <v>638</v>
      </c>
      <c r="F130" s="7">
        <v>5</v>
      </c>
      <c r="G130" s="7" t="s">
        <v>0</v>
      </c>
      <c r="H130" s="7" t="s">
        <v>2</v>
      </c>
      <c r="I130" s="7" t="s">
        <v>492</v>
      </c>
      <c r="J130" s="7" t="s">
        <v>493</v>
      </c>
      <c r="K130" s="7">
        <v>6</v>
      </c>
      <c r="L130" s="7">
        <v>24</v>
      </c>
      <c r="M130" s="7">
        <v>0</v>
      </c>
      <c r="N130" s="7">
        <v>3.5</v>
      </c>
      <c r="O130" s="7">
        <v>4</v>
      </c>
      <c r="P130" s="7">
        <v>0.1</v>
      </c>
      <c r="Q130" s="7">
        <v>12</v>
      </c>
      <c r="R130" s="7">
        <v>0</v>
      </c>
      <c r="S130" s="7" t="s">
        <v>591</v>
      </c>
      <c r="T130" s="7">
        <v>24</v>
      </c>
      <c r="U130" s="7">
        <v>36</v>
      </c>
      <c r="V130" s="7">
        <v>20</v>
      </c>
      <c r="W130" s="7" t="s">
        <v>508</v>
      </c>
      <c r="X130" s="108">
        <v>1</v>
      </c>
      <c r="Y130" s="7" t="s">
        <v>512</v>
      </c>
      <c r="Z130" s="7">
        <f t="shared" si="1"/>
        <v>6</v>
      </c>
      <c r="AA130" s="7" t="s">
        <v>462</v>
      </c>
    </row>
    <row r="131" spans="1:27">
      <c r="A131" s="7" t="s">
        <v>680</v>
      </c>
      <c r="B131" s="7" t="s">
        <v>504</v>
      </c>
      <c r="C131" s="7">
        <v>720088546</v>
      </c>
      <c r="D131" s="7" t="s">
        <v>638</v>
      </c>
      <c r="F131" s="7">
        <v>4</v>
      </c>
      <c r="G131" s="7" t="s">
        <v>0</v>
      </c>
      <c r="H131" s="7" t="s">
        <v>2</v>
      </c>
      <c r="I131" s="7" t="s">
        <v>492</v>
      </c>
      <c r="J131" s="7" t="s">
        <v>493</v>
      </c>
      <c r="K131" s="7">
        <v>10</v>
      </c>
      <c r="L131" s="7">
        <v>36</v>
      </c>
      <c r="M131" s="7">
        <v>0</v>
      </c>
      <c r="N131" s="7">
        <v>4</v>
      </c>
      <c r="O131" s="7">
        <v>5</v>
      </c>
      <c r="P131" s="7">
        <v>0</v>
      </c>
      <c r="Q131" s="7">
        <v>4</v>
      </c>
      <c r="R131" s="7">
        <v>0</v>
      </c>
      <c r="S131" s="7" t="s">
        <v>492</v>
      </c>
      <c r="T131" s="7">
        <v>24</v>
      </c>
      <c r="U131" s="7">
        <v>8</v>
      </c>
      <c r="V131" s="7">
        <v>20</v>
      </c>
      <c r="W131" s="7" t="s">
        <v>508</v>
      </c>
      <c r="X131" s="108">
        <v>1</v>
      </c>
      <c r="Y131" s="7" t="s">
        <v>495</v>
      </c>
      <c r="Z131" s="7">
        <f t="shared" ref="Z131:Z194" si="2">IF(Y131="Quarterly",3,IF(Y131="Monthly",1,IF(Y131="Bi-annually",6,IF(Y131="annualy",12,0))))</f>
        <v>3</v>
      </c>
      <c r="AA131" s="7" t="s">
        <v>462</v>
      </c>
    </row>
    <row r="132" spans="1:27">
      <c r="A132" s="7" t="s">
        <v>681</v>
      </c>
      <c r="B132" s="7" t="s">
        <v>504</v>
      </c>
      <c r="C132" s="7">
        <v>706439092</v>
      </c>
      <c r="D132" s="7" t="s">
        <v>638</v>
      </c>
      <c r="F132" s="7">
        <v>5</v>
      </c>
      <c r="G132" s="7" t="s">
        <v>0</v>
      </c>
      <c r="H132" s="7" t="s">
        <v>492</v>
      </c>
      <c r="I132" s="7" t="s">
        <v>492</v>
      </c>
      <c r="J132" s="7" t="s">
        <v>493</v>
      </c>
      <c r="K132" s="7">
        <v>12</v>
      </c>
      <c r="L132" s="7">
        <v>0</v>
      </c>
      <c r="M132" s="7">
        <v>0</v>
      </c>
      <c r="N132" s="7">
        <v>3</v>
      </c>
      <c r="O132" s="7">
        <v>1</v>
      </c>
      <c r="P132" s="7">
        <v>1</v>
      </c>
      <c r="Q132" s="7">
        <v>4</v>
      </c>
      <c r="R132" s="7">
        <v>0</v>
      </c>
      <c r="S132" s="7" t="s">
        <v>644</v>
      </c>
      <c r="T132" s="7">
        <v>24</v>
      </c>
      <c r="U132" s="7">
        <v>5</v>
      </c>
      <c r="V132" s="7">
        <v>20</v>
      </c>
      <c r="W132" s="7" t="s">
        <v>499</v>
      </c>
      <c r="X132" s="108">
        <v>1</v>
      </c>
      <c r="Y132" s="7" t="s">
        <v>495</v>
      </c>
      <c r="Z132" s="7">
        <f t="shared" si="2"/>
        <v>3</v>
      </c>
      <c r="AA132" s="7" t="s">
        <v>462</v>
      </c>
    </row>
    <row r="133" spans="1:27">
      <c r="A133" s="7" t="s">
        <v>682</v>
      </c>
      <c r="B133" s="7" t="s">
        <v>504</v>
      </c>
      <c r="C133" s="7">
        <v>721955868</v>
      </c>
      <c r="D133" s="7" t="s">
        <v>638</v>
      </c>
      <c r="F133" s="7">
        <v>4</v>
      </c>
      <c r="G133" s="7" t="s">
        <v>0</v>
      </c>
      <c r="H133" s="7" t="s">
        <v>2</v>
      </c>
      <c r="I133" s="7" t="s">
        <v>492</v>
      </c>
      <c r="J133" s="7" t="s">
        <v>493</v>
      </c>
      <c r="K133" s="7">
        <v>10</v>
      </c>
      <c r="L133" s="7">
        <v>12</v>
      </c>
      <c r="M133" s="7">
        <v>0</v>
      </c>
      <c r="N133" s="7">
        <v>3.5</v>
      </c>
      <c r="O133" s="7">
        <v>0.5</v>
      </c>
      <c r="P133" s="7">
        <v>0.1</v>
      </c>
      <c r="Q133" s="7">
        <v>5</v>
      </c>
      <c r="R133" s="7">
        <v>0</v>
      </c>
      <c r="S133" s="7" t="s">
        <v>591</v>
      </c>
      <c r="T133" s="7">
        <v>24</v>
      </c>
      <c r="U133" s="7">
        <v>7</v>
      </c>
      <c r="V133" s="7">
        <v>20</v>
      </c>
      <c r="W133" s="7" t="s">
        <v>508</v>
      </c>
      <c r="X133" s="108">
        <v>1</v>
      </c>
      <c r="Y133" s="7" t="s">
        <v>495</v>
      </c>
      <c r="Z133" s="7">
        <f t="shared" si="2"/>
        <v>3</v>
      </c>
      <c r="AA133" s="7" t="s">
        <v>462</v>
      </c>
    </row>
    <row r="134" spans="1:27">
      <c r="A134" s="7" t="s">
        <v>683</v>
      </c>
      <c r="B134" s="7" t="s">
        <v>504</v>
      </c>
      <c r="C134" s="7">
        <v>723931096</v>
      </c>
      <c r="D134" s="7" t="s">
        <v>638</v>
      </c>
      <c r="F134" s="7">
        <v>6</v>
      </c>
      <c r="G134" s="7" t="s">
        <v>0</v>
      </c>
      <c r="H134" s="7" t="s">
        <v>2</v>
      </c>
      <c r="I134" s="7" t="s">
        <v>492</v>
      </c>
      <c r="J134" s="7" t="s">
        <v>493</v>
      </c>
      <c r="K134" s="7">
        <v>10</v>
      </c>
      <c r="L134" s="7">
        <v>18</v>
      </c>
      <c r="M134" s="7">
        <v>0</v>
      </c>
      <c r="N134" s="7">
        <v>4</v>
      </c>
      <c r="O134" s="7">
        <v>0.25</v>
      </c>
      <c r="P134" s="7">
        <v>0</v>
      </c>
      <c r="Q134" s="7">
        <v>3</v>
      </c>
      <c r="R134" s="7">
        <v>0</v>
      </c>
      <c r="S134" s="7" t="s">
        <v>668</v>
      </c>
      <c r="T134" s="7">
        <v>24</v>
      </c>
      <c r="U134" s="7">
        <v>2</v>
      </c>
      <c r="V134" s="7">
        <v>20</v>
      </c>
      <c r="W134" s="7" t="s">
        <v>508</v>
      </c>
      <c r="X134" s="108">
        <v>1</v>
      </c>
      <c r="Y134" s="7" t="s">
        <v>495</v>
      </c>
      <c r="Z134" s="7">
        <f t="shared" si="2"/>
        <v>3</v>
      </c>
      <c r="AA134" s="7" t="s">
        <v>462</v>
      </c>
    </row>
    <row r="135" spans="1:27">
      <c r="A135" s="7" t="s">
        <v>684</v>
      </c>
      <c r="B135" s="7" t="s">
        <v>489</v>
      </c>
      <c r="C135" s="7">
        <v>729932992</v>
      </c>
      <c r="D135" s="7" t="s">
        <v>638</v>
      </c>
      <c r="F135" s="7">
        <v>3</v>
      </c>
      <c r="G135" s="7" t="s">
        <v>0</v>
      </c>
      <c r="H135" s="7" t="s">
        <v>2</v>
      </c>
      <c r="I135" s="7" t="s">
        <v>492</v>
      </c>
      <c r="J135" s="7" t="s">
        <v>493</v>
      </c>
      <c r="K135" s="7">
        <v>10</v>
      </c>
      <c r="L135" s="7">
        <v>12</v>
      </c>
      <c r="M135" s="7">
        <v>0</v>
      </c>
      <c r="N135" s="7">
        <v>4</v>
      </c>
      <c r="O135" s="7">
        <v>1</v>
      </c>
      <c r="P135" s="7">
        <v>3</v>
      </c>
      <c r="Q135" s="7">
        <v>19</v>
      </c>
      <c r="R135" s="7">
        <v>0</v>
      </c>
      <c r="S135" s="7" t="s">
        <v>591</v>
      </c>
      <c r="T135" s="7">
        <v>24</v>
      </c>
      <c r="U135" s="7">
        <v>12</v>
      </c>
      <c r="V135" s="7">
        <v>20</v>
      </c>
      <c r="W135" s="7" t="s">
        <v>508</v>
      </c>
      <c r="X135" s="108">
        <v>1</v>
      </c>
      <c r="Y135" s="7" t="s">
        <v>495</v>
      </c>
      <c r="Z135" s="7">
        <f t="shared" si="2"/>
        <v>3</v>
      </c>
      <c r="AA135" s="7" t="s">
        <v>462</v>
      </c>
    </row>
    <row r="136" spans="1:27">
      <c r="A136" s="7" t="s">
        <v>685</v>
      </c>
      <c r="B136" s="7" t="s">
        <v>504</v>
      </c>
      <c r="C136" s="7">
        <v>704959535</v>
      </c>
      <c r="D136" s="7" t="s">
        <v>638</v>
      </c>
      <c r="F136" s="7">
        <v>5</v>
      </c>
      <c r="G136" s="7" t="s">
        <v>0</v>
      </c>
      <c r="H136" s="7" t="s">
        <v>492</v>
      </c>
      <c r="I136" s="7" t="s">
        <v>492</v>
      </c>
      <c r="J136" s="7" t="s">
        <v>493</v>
      </c>
      <c r="K136" s="7">
        <v>6</v>
      </c>
      <c r="L136" s="7">
        <v>0</v>
      </c>
      <c r="M136" s="7">
        <v>0</v>
      </c>
      <c r="N136" s="7">
        <v>3.5</v>
      </c>
      <c r="O136" s="7">
        <v>1</v>
      </c>
      <c r="P136" s="7">
        <v>0.1</v>
      </c>
      <c r="Q136" s="7">
        <v>4</v>
      </c>
      <c r="R136" s="7">
        <v>0</v>
      </c>
      <c r="S136" s="7" t="s">
        <v>591</v>
      </c>
      <c r="T136" s="7">
        <v>24</v>
      </c>
      <c r="U136" s="7">
        <v>3</v>
      </c>
      <c r="V136" s="7">
        <v>20</v>
      </c>
      <c r="W136" s="7" t="s">
        <v>508</v>
      </c>
      <c r="X136" s="108">
        <v>2</v>
      </c>
      <c r="Y136" s="7" t="s">
        <v>495</v>
      </c>
      <c r="Z136" s="7">
        <f t="shared" si="2"/>
        <v>3</v>
      </c>
      <c r="AA136" s="7" t="s">
        <v>462</v>
      </c>
    </row>
    <row r="137" spans="1:27">
      <c r="A137" s="7" t="s">
        <v>686</v>
      </c>
      <c r="B137" s="7" t="s">
        <v>489</v>
      </c>
      <c r="C137" s="7">
        <v>723882620</v>
      </c>
      <c r="D137" s="7" t="s">
        <v>638</v>
      </c>
      <c r="F137" s="7">
        <v>5</v>
      </c>
      <c r="G137" s="7" t="s">
        <v>0</v>
      </c>
      <c r="H137" s="7" t="s">
        <v>2</v>
      </c>
      <c r="I137" s="7" t="s">
        <v>492</v>
      </c>
      <c r="J137" s="7" t="s">
        <v>493</v>
      </c>
      <c r="K137" s="7">
        <v>10</v>
      </c>
      <c r="L137" s="7">
        <v>24</v>
      </c>
      <c r="M137" s="7">
        <v>0</v>
      </c>
      <c r="N137" s="7">
        <v>3.5</v>
      </c>
      <c r="O137" s="7">
        <v>4</v>
      </c>
      <c r="P137" s="7">
        <v>4</v>
      </c>
      <c r="Q137" s="7">
        <v>5</v>
      </c>
      <c r="R137" s="7">
        <v>0</v>
      </c>
      <c r="S137" s="7" t="s">
        <v>687</v>
      </c>
      <c r="T137" s="7">
        <v>24</v>
      </c>
      <c r="U137" s="7">
        <v>6</v>
      </c>
      <c r="V137" s="7">
        <v>20</v>
      </c>
      <c r="W137" s="7" t="s">
        <v>499</v>
      </c>
      <c r="X137" s="108">
        <v>1</v>
      </c>
      <c r="Y137" s="7" t="s">
        <v>512</v>
      </c>
      <c r="Z137" s="7">
        <f t="shared" si="2"/>
        <v>6</v>
      </c>
      <c r="AA137" s="7" t="s">
        <v>462</v>
      </c>
    </row>
    <row r="138" spans="1:27">
      <c r="A138" s="7" t="s">
        <v>688</v>
      </c>
      <c r="B138" s="7" t="s">
        <v>504</v>
      </c>
      <c r="C138" s="7">
        <v>711458123</v>
      </c>
      <c r="D138" s="7" t="s">
        <v>638</v>
      </c>
      <c r="F138" s="7">
        <v>4</v>
      </c>
      <c r="G138" s="7" t="s">
        <v>0</v>
      </c>
      <c r="H138" s="7" t="s">
        <v>2</v>
      </c>
      <c r="I138" s="7" t="s">
        <v>492</v>
      </c>
      <c r="J138" s="7" t="s">
        <v>493</v>
      </c>
      <c r="K138" s="7">
        <v>9</v>
      </c>
      <c r="L138" s="7">
        <v>18</v>
      </c>
      <c r="M138" s="7">
        <v>0</v>
      </c>
      <c r="N138" s="7">
        <v>3.5</v>
      </c>
      <c r="O138" s="7">
        <v>0.5</v>
      </c>
      <c r="P138" s="7">
        <v>0.02</v>
      </c>
      <c r="Q138" s="7">
        <v>7</v>
      </c>
      <c r="R138" s="7">
        <v>0</v>
      </c>
      <c r="S138" s="7" t="s">
        <v>591</v>
      </c>
      <c r="T138" s="7">
        <v>24</v>
      </c>
      <c r="U138" s="7">
        <v>5</v>
      </c>
      <c r="V138" s="7">
        <v>20</v>
      </c>
      <c r="W138" s="7" t="s">
        <v>499</v>
      </c>
      <c r="X138" s="108">
        <v>1.5</v>
      </c>
      <c r="Y138" s="7" t="s">
        <v>495</v>
      </c>
      <c r="Z138" s="7">
        <f t="shared" si="2"/>
        <v>3</v>
      </c>
      <c r="AA138" s="7" t="s">
        <v>462</v>
      </c>
    </row>
    <row r="139" spans="1:27">
      <c r="A139" s="7" t="s">
        <v>689</v>
      </c>
      <c r="B139" s="7" t="s">
        <v>489</v>
      </c>
      <c r="C139" s="7">
        <v>729925950</v>
      </c>
      <c r="D139" s="7" t="s">
        <v>638</v>
      </c>
      <c r="F139" s="7">
        <v>4</v>
      </c>
      <c r="G139" s="7" t="s">
        <v>0</v>
      </c>
      <c r="H139" s="7" t="s">
        <v>492</v>
      </c>
      <c r="I139" s="7" t="s">
        <v>492</v>
      </c>
      <c r="J139" s="7" t="s">
        <v>493</v>
      </c>
      <c r="K139" s="7">
        <v>10</v>
      </c>
      <c r="L139" s="7">
        <v>0</v>
      </c>
      <c r="M139" s="7">
        <v>0</v>
      </c>
      <c r="N139" s="7">
        <v>3</v>
      </c>
      <c r="O139" s="7">
        <v>2</v>
      </c>
      <c r="P139" s="7">
        <v>0</v>
      </c>
      <c r="Q139" s="7">
        <v>6</v>
      </c>
      <c r="R139" s="7">
        <v>0</v>
      </c>
      <c r="S139" s="7" t="s">
        <v>659</v>
      </c>
      <c r="T139" s="7">
        <v>24</v>
      </c>
      <c r="U139" s="7">
        <v>6</v>
      </c>
      <c r="V139" s="7">
        <v>20</v>
      </c>
      <c r="W139" s="7" t="s">
        <v>508</v>
      </c>
      <c r="X139" s="108">
        <v>1</v>
      </c>
      <c r="Y139" s="7" t="s">
        <v>495</v>
      </c>
      <c r="Z139" s="7">
        <f t="shared" si="2"/>
        <v>3</v>
      </c>
      <c r="AA139" s="7" t="s">
        <v>462</v>
      </c>
    </row>
    <row r="140" spans="1:27">
      <c r="A140" s="7" t="s">
        <v>690</v>
      </c>
      <c r="B140" s="7" t="s">
        <v>489</v>
      </c>
      <c r="C140" s="7">
        <v>721554292</v>
      </c>
      <c r="D140" s="7" t="s">
        <v>638</v>
      </c>
      <c r="F140" s="7">
        <v>6</v>
      </c>
      <c r="G140" s="7" t="s">
        <v>0</v>
      </c>
      <c r="H140" s="7" t="s">
        <v>2</v>
      </c>
      <c r="I140" s="7" t="s">
        <v>492</v>
      </c>
      <c r="J140" s="7" t="s">
        <v>493</v>
      </c>
      <c r="K140" s="7">
        <v>10</v>
      </c>
      <c r="L140" s="7">
        <v>24</v>
      </c>
      <c r="M140" s="7">
        <v>0</v>
      </c>
      <c r="N140" s="7">
        <v>3</v>
      </c>
      <c r="O140" s="7">
        <v>0.5</v>
      </c>
      <c r="P140" s="7">
        <v>0</v>
      </c>
      <c r="Q140" s="7">
        <v>4</v>
      </c>
      <c r="R140" s="7">
        <v>0</v>
      </c>
      <c r="S140" s="7" t="s">
        <v>591</v>
      </c>
      <c r="T140" s="7">
        <v>24</v>
      </c>
      <c r="U140" s="7">
        <v>3</v>
      </c>
      <c r="V140" s="7">
        <v>20</v>
      </c>
      <c r="W140" s="7" t="s">
        <v>508</v>
      </c>
      <c r="X140" s="108">
        <v>1</v>
      </c>
      <c r="Y140" s="7" t="s">
        <v>512</v>
      </c>
      <c r="Z140" s="7">
        <f t="shared" si="2"/>
        <v>6</v>
      </c>
      <c r="AA140" s="151" t="s">
        <v>800</v>
      </c>
    </row>
    <row r="141" spans="1:27">
      <c r="A141" s="7" t="s">
        <v>691</v>
      </c>
      <c r="B141" s="7" t="s">
        <v>489</v>
      </c>
      <c r="C141" s="7">
        <v>717116204</v>
      </c>
      <c r="D141" s="7" t="s">
        <v>638</v>
      </c>
      <c r="F141" s="7">
        <v>5</v>
      </c>
      <c r="G141" s="7" t="s">
        <v>0</v>
      </c>
      <c r="H141" s="7" t="s">
        <v>492</v>
      </c>
      <c r="I141" s="7" t="s">
        <v>492</v>
      </c>
      <c r="J141" s="7" t="s">
        <v>493</v>
      </c>
      <c r="K141" s="7">
        <v>10</v>
      </c>
      <c r="L141" s="7">
        <v>0</v>
      </c>
      <c r="M141" s="7">
        <v>0</v>
      </c>
      <c r="N141" s="7">
        <v>3.5</v>
      </c>
      <c r="O141" s="7">
        <v>0.5</v>
      </c>
      <c r="P141" s="7">
        <v>0.1</v>
      </c>
      <c r="Q141" s="7">
        <v>4</v>
      </c>
      <c r="R141" s="7">
        <v>0</v>
      </c>
      <c r="S141" s="7" t="s">
        <v>591</v>
      </c>
      <c r="T141" s="7">
        <v>24</v>
      </c>
      <c r="U141" s="7">
        <v>7</v>
      </c>
      <c r="V141" s="7">
        <v>20</v>
      </c>
      <c r="W141" s="7" t="s">
        <v>508</v>
      </c>
      <c r="X141" s="108">
        <v>2</v>
      </c>
      <c r="Y141" s="7" t="s">
        <v>495</v>
      </c>
      <c r="Z141" s="7">
        <f t="shared" si="2"/>
        <v>3</v>
      </c>
      <c r="AA141" s="7" t="s">
        <v>462</v>
      </c>
    </row>
    <row r="142" spans="1:27">
      <c r="A142" s="7" t="s">
        <v>692</v>
      </c>
      <c r="B142" s="7" t="s">
        <v>489</v>
      </c>
      <c r="C142" s="7">
        <v>727753088</v>
      </c>
      <c r="D142" s="7" t="s">
        <v>638</v>
      </c>
      <c r="F142" s="7">
        <v>5</v>
      </c>
      <c r="G142" s="7" t="s">
        <v>0</v>
      </c>
      <c r="H142" s="7" t="s">
        <v>2</v>
      </c>
      <c r="I142" s="7" t="s">
        <v>492</v>
      </c>
      <c r="J142" s="7" t="s">
        <v>493</v>
      </c>
      <c r="K142" s="7">
        <v>0</v>
      </c>
      <c r="L142" s="7">
        <v>12</v>
      </c>
      <c r="M142" s="7">
        <v>0</v>
      </c>
      <c r="N142" s="7">
        <v>3</v>
      </c>
      <c r="O142" s="7">
        <v>3</v>
      </c>
      <c r="P142" s="7">
        <v>0</v>
      </c>
      <c r="Q142" s="7">
        <v>3</v>
      </c>
      <c r="R142" s="7">
        <v>0</v>
      </c>
      <c r="S142" s="7" t="s">
        <v>492</v>
      </c>
      <c r="T142" s="7">
        <v>24</v>
      </c>
      <c r="U142" s="7">
        <v>4</v>
      </c>
      <c r="V142" s="7">
        <v>20</v>
      </c>
      <c r="W142" s="7" t="s">
        <v>508</v>
      </c>
      <c r="X142" s="108">
        <v>1</v>
      </c>
      <c r="Y142" s="7" t="s">
        <v>495</v>
      </c>
      <c r="Z142" s="7">
        <f t="shared" si="2"/>
        <v>3</v>
      </c>
      <c r="AA142" s="7" t="s">
        <v>462</v>
      </c>
    </row>
    <row r="143" spans="1:27">
      <c r="A143" s="7" t="s">
        <v>693</v>
      </c>
      <c r="B143" s="7" t="s">
        <v>489</v>
      </c>
      <c r="C143" s="7">
        <v>724262065</v>
      </c>
      <c r="D143" s="7" t="s">
        <v>638</v>
      </c>
      <c r="F143" s="7">
        <v>5</v>
      </c>
      <c r="G143" s="7" t="s">
        <v>0</v>
      </c>
      <c r="H143" s="7" t="s">
        <v>2</v>
      </c>
      <c r="I143" s="7" t="s">
        <v>492</v>
      </c>
      <c r="J143" s="7" t="s">
        <v>493</v>
      </c>
      <c r="K143" s="7">
        <v>10</v>
      </c>
      <c r="L143" s="7">
        <v>24</v>
      </c>
      <c r="M143" s="7">
        <v>0</v>
      </c>
      <c r="N143" s="7">
        <v>3</v>
      </c>
      <c r="O143" s="7">
        <v>0.25</v>
      </c>
      <c r="P143" s="7">
        <v>0</v>
      </c>
      <c r="Q143" s="7">
        <v>8</v>
      </c>
      <c r="R143" s="7">
        <v>0</v>
      </c>
      <c r="S143" s="7" t="s">
        <v>653</v>
      </c>
      <c r="T143" s="7">
        <v>24</v>
      </c>
      <c r="U143" s="7">
        <v>7</v>
      </c>
      <c r="V143" s="7">
        <v>20</v>
      </c>
      <c r="W143" s="7" t="s">
        <v>508</v>
      </c>
      <c r="X143" s="108">
        <v>2</v>
      </c>
      <c r="Y143" s="7" t="s">
        <v>495</v>
      </c>
      <c r="Z143" s="7">
        <f t="shared" si="2"/>
        <v>3</v>
      </c>
      <c r="AA143" s="7" t="s">
        <v>462</v>
      </c>
    </row>
    <row r="144" spans="1:27">
      <c r="A144" s="7" t="s">
        <v>694</v>
      </c>
      <c r="B144" s="7" t="s">
        <v>489</v>
      </c>
      <c r="C144" s="7">
        <v>720109014</v>
      </c>
      <c r="D144" s="7" t="s">
        <v>638</v>
      </c>
      <c r="F144" s="7">
        <v>6</v>
      </c>
      <c r="G144" s="7" t="s">
        <v>0</v>
      </c>
      <c r="H144" s="7" t="s">
        <v>2</v>
      </c>
      <c r="I144" s="7" t="s">
        <v>492</v>
      </c>
      <c r="J144" s="7" t="s">
        <v>493</v>
      </c>
      <c r="K144" s="7">
        <v>10</v>
      </c>
      <c r="L144" s="7">
        <v>18</v>
      </c>
      <c r="M144" s="7">
        <v>0</v>
      </c>
      <c r="N144" s="7">
        <v>3.5</v>
      </c>
      <c r="O144" s="7">
        <v>1</v>
      </c>
      <c r="P144" s="7">
        <v>0.5</v>
      </c>
      <c r="Q144" s="7">
        <v>9</v>
      </c>
      <c r="R144" s="7">
        <v>0</v>
      </c>
      <c r="S144" s="7" t="s">
        <v>695</v>
      </c>
      <c r="T144" s="7">
        <v>24</v>
      </c>
      <c r="U144" s="7">
        <v>8</v>
      </c>
      <c r="V144" s="7">
        <v>20</v>
      </c>
      <c r="W144" s="7" t="s">
        <v>499</v>
      </c>
      <c r="X144" s="108">
        <v>1</v>
      </c>
      <c r="Y144" s="7" t="s">
        <v>495</v>
      </c>
      <c r="Z144" s="7">
        <f t="shared" si="2"/>
        <v>3</v>
      </c>
      <c r="AA144" s="7" t="s">
        <v>462</v>
      </c>
    </row>
    <row r="145" spans="1:27">
      <c r="A145" s="7" t="s">
        <v>696</v>
      </c>
      <c r="B145" s="7" t="s">
        <v>504</v>
      </c>
      <c r="C145" s="7">
        <v>799671794</v>
      </c>
      <c r="D145" s="7" t="s">
        <v>638</v>
      </c>
      <c r="F145" s="7">
        <v>4</v>
      </c>
      <c r="G145" s="7" t="s">
        <v>0</v>
      </c>
      <c r="H145" s="7" t="s">
        <v>492</v>
      </c>
      <c r="I145" s="7" t="s">
        <v>492</v>
      </c>
      <c r="J145" s="7" t="s">
        <v>493</v>
      </c>
      <c r="K145" s="7">
        <v>10</v>
      </c>
      <c r="L145" s="7">
        <v>0</v>
      </c>
      <c r="M145" s="7">
        <v>0</v>
      </c>
      <c r="N145" s="7">
        <v>4</v>
      </c>
      <c r="O145" s="7">
        <v>0.3</v>
      </c>
      <c r="P145" s="7">
        <v>5</v>
      </c>
      <c r="Q145" s="7">
        <v>9</v>
      </c>
      <c r="R145" s="7">
        <v>0</v>
      </c>
      <c r="S145" s="7" t="s">
        <v>591</v>
      </c>
      <c r="T145" s="7">
        <v>24</v>
      </c>
      <c r="U145" s="7">
        <v>8</v>
      </c>
      <c r="V145" s="7">
        <v>20</v>
      </c>
      <c r="W145" s="7" t="s">
        <v>508</v>
      </c>
      <c r="X145" s="108">
        <v>1.5</v>
      </c>
      <c r="Y145" s="7" t="s">
        <v>495</v>
      </c>
      <c r="Z145" s="7">
        <f t="shared" si="2"/>
        <v>3</v>
      </c>
      <c r="AA145" s="7" t="s">
        <v>462</v>
      </c>
    </row>
    <row r="146" spans="1:27">
      <c r="A146" s="7" t="s">
        <v>697</v>
      </c>
      <c r="B146" s="7" t="s">
        <v>489</v>
      </c>
      <c r="C146" s="7">
        <v>717971064</v>
      </c>
      <c r="D146" s="7" t="s">
        <v>638</v>
      </c>
      <c r="F146" s="7">
        <v>5</v>
      </c>
      <c r="G146" s="7" t="s">
        <v>0</v>
      </c>
      <c r="H146" s="7" t="s">
        <v>492</v>
      </c>
      <c r="I146" s="7" t="s">
        <v>492</v>
      </c>
      <c r="J146" s="7" t="s">
        <v>493</v>
      </c>
      <c r="K146" s="7">
        <v>9</v>
      </c>
      <c r="L146" s="7">
        <v>0</v>
      </c>
      <c r="M146" s="7">
        <v>0</v>
      </c>
      <c r="N146" s="7">
        <v>4.5</v>
      </c>
      <c r="O146" s="7">
        <v>3</v>
      </c>
      <c r="P146" s="7">
        <v>15</v>
      </c>
      <c r="Q146" s="7">
        <v>3</v>
      </c>
      <c r="R146" s="7">
        <v>0</v>
      </c>
      <c r="S146" s="7" t="s">
        <v>659</v>
      </c>
      <c r="T146" s="7">
        <v>24</v>
      </c>
      <c r="U146" s="7">
        <v>4</v>
      </c>
      <c r="V146" s="7">
        <v>20</v>
      </c>
      <c r="W146" s="7" t="s">
        <v>508</v>
      </c>
      <c r="X146" s="108">
        <v>2</v>
      </c>
      <c r="Y146" s="7" t="s">
        <v>495</v>
      </c>
      <c r="Z146" s="7">
        <f t="shared" si="2"/>
        <v>3</v>
      </c>
      <c r="AA146" s="7" t="s">
        <v>462</v>
      </c>
    </row>
    <row r="147" spans="1:27">
      <c r="A147" s="7" t="s">
        <v>698</v>
      </c>
      <c r="B147" s="7" t="s">
        <v>489</v>
      </c>
      <c r="C147" s="7">
        <v>726303051</v>
      </c>
      <c r="D147" s="7" t="s">
        <v>638</v>
      </c>
      <c r="F147" s="7">
        <v>3</v>
      </c>
      <c r="G147" s="7" t="s">
        <v>0</v>
      </c>
      <c r="H147" s="7" t="s">
        <v>2</v>
      </c>
      <c r="I147" s="7" t="s">
        <v>492</v>
      </c>
      <c r="J147" s="7" t="s">
        <v>493</v>
      </c>
      <c r="K147" s="7">
        <v>10</v>
      </c>
      <c r="L147" s="7">
        <v>36</v>
      </c>
      <c r="M147" s="7">
        <v>0</v>
      </c>
      <c r="N147" s="7">
        <v>4</v>
      </c>
      <c r="O147" s="7">
        <v>1</v>
      </c>
      <c r="P147" s="7">
        <v>1.5</v>
      </c>
      <c r="Q147" s="7">
        <v>4</v>
      </c>
      <c r="R147" s="7">
        <v>0</v>
      </c>
      <c r="S147" s="7" t="s">
        <v>644</v>
      </c>
      <c r="T147" s="7">
        <v>24</v>
      </c>
      <c r="U147" s="7">
        <v>4</v>
      </c>
      <c r="V147" s="7">
        <v>20</v>
      </c>
      <c r="W147" s="7" t="s">
        <v>508</v>
      </c>
      <c r="X147" s="108">
        <v>1.5</v>
      </c>
      <c r="Y147" s="7" t="s">
        <v>512</v>
      </c>
      <c r="Z147" s="7">
        <f t="shared" si="2"/>
        <v>6</v>
      </c>
      <c r="AA147" s="7" t="s">
        <v>462</v>
      </c>
    </row>
    <row r="148" spans="1:27">
      <c r="A148" s="7" t="s">
        <v>699</v>
      </c>
      <c r="B148" s="7" t="s">
        <v>504</v>
      </c>
      <c r="C148" s="7">
        <v>720018252</v>
      </c>
      <c r="D148" s="7" t="s">
        <v>638</v>
      </c>
      <c r="F148" s="7">
        <v>2</v>
      </c>
      <c r="G148" s="7" t="s">
        <v>0</v>
      </c>
      <c r="H148" s="7" t="s">
        <v>2</v>
      </c>
      <c r="I148" s="7" t="s">
        <v>492</v>
      </c>
      <c r="J148" s="7" t="s">
        <v>493</v>
      </c>
      <c r="K148" s="7">
        <v>9</v>
      </c>
      <c r="L148" s="7">
        <v>12</v>
      </c>
      <c r="M148" s="7">
        <v>0</v>
      </c>
      <c r="N148" s="7">
        <v>4.25</v>
      </c>
      <c r="O148" s="7">
        <v>0.5</v>
      </c>
      <c r="P148" s="7">
        <v>0.5</v>
      </c>
      <c r="Q148" s="7">
        <v>5</v>
      </c>
      <c r="R148" s="7">
        <v>0</v>
      </c>
      <c r="S148" s="7" t="s">
        <v>581</v>
      </c>
      <c r="T148" s="7">
        <v>24</v>
      </c>
      <c r="U148" s="7">
        <v>4</v>
      </c>
      <c r="V148" s="7">
        <v>20</v>
      </c>
      <c r="W148" s="7" t="s">
        <v>499</v>
      </c>
      <c r="X148" s="108">
        <v>1</v>
      </c>
      <c r="Y148" s="7" t="s">
        <v>495</v>
      </c>
      <c r="Z148" s="7">
        <f t="shared" si="2"/>
        <v>3</v>
      </c>
      <c r="AA148" s="7" t="s">
        <v>462</v>
      </c>
    </row>
    <row r="149" spans="1:27">
      <c r="A149" s="7" t="s">
        <v>700</v>
      </c>
      <c r="B149" s="7" t="s">
        <v>504</v>
      </c>
      <c r="C149" s="7">
        <v>729741121</v>
      </c>
      <c r="D149" s="7" t="s">
        <v>638</v>
      </c>
      <c r="F149" s="7">
        <v>3</v>
      </c>
      <c r="G149" s="7" t="s">
        <v>0</v>
      </c>
      <c r="H149" s="7" t="s">
        <v>2</v>
      </c>
      <c r="I149" s="7" t="s">
        <v>492</v>
      </c>
      <c r="J149" s="7" t="s">
        <v>493</v>
      </c>
      <c r="K149" s="7">
        <v>10</v>
      </c>
      <c r="L149" s="7">
        <v>12</v>
      </c>
      <c r="M149" s="7">
        <v>0</v>
      </c>
      <c r="N149" s="7">
        <v>4</v>
      </c>
      <c r="O149" s="7">
        <v>0.25</v>
      </c>
      <c r="P149" s="7">
        <v>1</v>
      </c>
      <c r="Q149" s="7">
        <v>3</v>
      </c>
      <c r="R149" s="7">
        <v>0</v>
      </c>
      <c r="S149" s="7" t="s">
        <v>701</v>
      </c>
      <c r="T149" s="7">
        <v>24</v>
      </c>
      <c r="U149" s="7">
        <v>3</v>
      </c>
      <c r="V149" s="7">
        <v>20</v>
      </c>
      <c r="W149" s="7" t="s">
        <v>508</v>
      </c>
      <c r="X149" s="108">
        <v>2</v>
      </c>
      <c r="Y149" s="7" t="s">
        <v>512</v>
      </c>
      <c r="Z149" s="7">
        <f t="shared" si="2"/>
        <v>6</v>
      </c>
      <c r="AA149" s="7" t="s">
        <v>462</v>
      </c>
    </row>
    <row r="150" spans="1:27">
      <c r="A150" s="7" t="s">
        <v>702</v>
      </c>
      <c r="B150" s="7" t="s">
        <v>504</v>
      </c>
      <c r="C150" s="7">
        <v>729414993</v>
      </c>
      <c r="D150" s="7" t="s">
        <v>638</v>
      </c>
      <c r="F150" s="7">
        <v>6</v>
      </c>
      <c r="G150" s="7" t="s">
        <v>2</v>
      </c>
      <c r="H150" s="7" t="s">
        <v>0</v>
      </c>
      <c r="I150" s="7" t="s">
        <v>492</v>
      </c>
      <c r="J150" s="7" t="s">
        <v>493</v>
      </c>
      <c r="K150" s="7">
        <v>15</v>
      </c>
      <c r="L150" s="7">
        <v>72</v>
      </c>
      <c r="M150" s="7">
        <v>0</v>
      </c>
      <c r="N150" s="7">
        <v>4</v>
      </c>
      <c r="O150" s="7">
        <v>1</v>
      </c>
      <c r="P150" s="7">
        <v>0.2</v>
      </c>
      <c r="Q150" s="7">
        <v>9</v>
      </c>
      <c r="R150" s="7">
        <v>0</v>
      </c>
      <c r="S150" s="7" t="s">
        <v>591</v>
      </c>
      <c r="T150" s="7">
        <v>24</v>
      </c>
      <c r="U150" s="7">
        <v>30</v>
      </c>
      <c r="V150" s="7">
        <v>20</v>
      </c>
      <c r="W150" s="7" t="s">
        <v>508</v>
      </c>
      <c r="X150" s="108">
        <v>1</v>
      </c>
      <c r="Y150" s="7" t="s">
        <v>495</v>
      </c>
      <c r="Z150" s="7">
        <f t="shared" si="2"/>
        <v>3</v>
      </c>
      <c r="AA150" s="7" t="s">
        <v>462</v>
      </c>
    </row>
    <row r="151" spans="1:27">
      <c r="A151" s="7" t="s">
        <v>703</v>
      </c>
      <c r="B151" s="7" t="s">
        <v>489</v>
      </c>
      <c r="C151" s="7">
        <v>723221465</v>
      </c>
      <c r="D151" s="7" t="s">
        <v>638</v>
      </c>
      <c r="F151" s="7">
        <v>6</v>
      </c>
      <c r="G151" s="7" t="s">
        <v>0</v>
      </c>
      <c r="H151" s="7" t="s">
        <v>2</v>
      </c>
      <c r="I151" s="7" t="s">
        <v>492</v>
      </c>
      <c r="J151" s="7" t="s">
        <v>493</v>
      </c>
      <c r="K151" s="7">
        <v>7</v>
      </c>
      <c r="L151" s="7">
        <v>26</v>
      </c>
      <c r="M151" s="7">
        <v>0</v>
      </c>
      <c r="N151" s="7">
        <v>4</v>
      </c>
      <c r="O151" s="7">
        <v>3</v>
      </c>
      <c r="P151" s="7">
        <v>0</v>
      </c>
      <c r="Q151" s="7">
        <v>5</v>
      </c>
      <c r="R151" s="7">
        <v>0</v>
      </c>
      <c r="S151" s="7" t="s">
        <v>591</v>
      </c>
      <c r="T151" s="7">
        <v>24</v>
      </c>
      <c r="U151" s="7">
        <v>4</v>
      </c>
      <c r="V151" s="7">
        <v>20</v>
      </c>
      <c r="W151" s="7" t="s">
        <v>499</v>
      </c>
      <c r="X151" s="108">
        <v>1</v>
      </c>
      <c r="Y151" s="7" t="s">
        <v>495</v>
      </c>
      <c r="Z151" s="7">
        <f t="shared" si="2"/>
        <v>3</v>
      </c>
      <c r="AA151" s="7" t="s">
        <v>462</v>
      </c>
    </row>
    <row r="152" spans="1:27">
      <c r="A152" s="7" t="s">
        <v>704</v>
      </c>
      <c r="B152" s="7" t="s">
        <v>489</v>
      </c>
      <c r="C152" s="7">
        <v>799230172</v>
      </c>
      <c r="D152" s="7" t="s">
        <v>638</v>
      </c>
      <c r="F152" s="7">
        <v>5</v>
      </c>
      <c r="G152" s="7" t="s">
        <v>0</v>
      </c>
      <c r="H152" s="7" t="s">
        <v>2</v>
      </c>
      <c r="I152" s="7" t="s">
        <v>492</v>
      </c>
      <c r="J152" s="7" t="s">
        <v>493</v>
      </c>
      <c r="K152" s="7">
        <v>10</v>
      </c>
      <c r="L152" s="7">
        <v>12</v>
      </c>
      <c r="M152" s="7">
        <v>0</v>
      </c>
      <c r="N152" s="7">
        <v>4.25</v>
      </c>
      <c r="O152" s="7">
        <v>0.5</v>
      </c>
      <c r="P152" s="7">
        <v>0.1</v>
      </c>
      <c r="Q152" s="7">
        <v>11</v>
      </c>
      <c r="R152" s="7">
        <v>0</v>
      </c>
      <c r="S152" s="7" t="s">
        <v>591</v>
      </c>
      <c r="T152" s="7">
        <v>24</v>
      </c>
      <c r="U152" s="7">
        <v>16</v>
      </c>
      <c r="V152" s="7">
        <v>20</v>
      </c>
      <c r="W152" s="7" t="s">
        <v>508</v>
      </c>
      <c r="X152" s="108">
        <v>1</v>
      </c>
      <c r="Y152" s="7" t="s">
        <v>500</v>
      </c>
      <c r="Z152" s="7">
        <f t="shared" si="2"/>
        <v>1</v>
      </c>
      <c r="AA152" s="7" t="s">
        <v>462</v>
      </c>
    </row>
    <row r="153" spans="1:27">
      <c r="A153" s="7" t="s">
        <v>705</v>
      </c>
      <c r="B153" s="7" t="s">
        <v>504</v>
      </c>
      <c r="C153" s="7">
        <v>722674020</v>
      </c>
      <c r="D153" s="7" t="s">
        <v>638</v>
      </c>
      <c r="F153" s="7">
        <v>5</v>
      </c>
      <c r="G153" s="7" t="s">
        <v>0</v>
      </c>
      <c r="H153" s="7" t="s">
        <v>2</v>
      </c>
      <c r="I153" s="7" t="s">
        <v>492</v>
      </c>
      <c r="J153" s="7" t="s">
        <v>493</v>
      </c>
      <c r="K153" s="7">
        <v>8</v>
      </c>
      <c r="L153" s="7">
        <v>26</v>
      </c>
      <c r="M153" s="7">
        <v>0</v>
      </c>
      <c r="N153" s="7">
        <v>4.25</v>
      </c>
      <c r="O153" s="7">
        <v>0.5</v>
      </c>
      <c r="P153" s="7">
        <v>0.1</v>
      </c>
      <c r="Q153" s="7">
        <v>6</v>
      </c>
      <c r="R153" s="7">
        <v>0</v>
      </c>
      <c r="S153" s="7" t="s">
        <v>706</v>
      </c>
      <c r="T153" s="7">
        <v>24</v>
      </c>
      <c r="U153" s="7">
        <v>15</v>
      </c>
      <c r="V153" s="7">
        <v>20</v>
      </c>
      <c r="W153" s="7" t="s">
        <v>508</v>
      </c>
      <c r="X153" s="108">
        <v>1.5</v>
      </c>
      <c r="Y153" s="7" t="s">
        <v>512</v>
      </c>
      <c r="Z153" s="7">
        <f t="shared" si="2"/>
        <v>6</v>
      </c>
      <c r="AA153" s="7" t="s">
        <v>462</v>
      </c>
    </row>
    <row r="154" spans="1:27">
      <c r="A154" s="7" t="s">
        <v>707</v>
      </c>
      <c r="B154" s="7" t="s">
        <v>504</v>
      </c>
      <c r="C154" s="7">
        <v>700681745</v>
      </c>
      <c r="D154" s="7" t="s">
        <v>638</v>
      </c>
      <c r="F154" s="7">
        <v>6</v>
      </c>
      <c r="G154" s="7" t="s">
        <v>0</v>
      </c>
      <c r="H154" s="7" t="s">
        <v>492</v>
      </c>
      <c r="I154" s="7" t="s">
        <v>492</v>
      </c>
      <c r="J154" s="7" t="s">
        <v>493</v>
      </c>
      <c r="K154" s="7">
        <v>10</v>
      </c>
      <c r="L154" s="7">
        <v>0</v>
      </c>
      <c r="M154" s="7">
        <v>0</v>
      </c>
      <c r="N154" s="7">
        <v>4.5</v>
      </c>
      <c r="O154" s="7">
        <v>0.5</v>
      </c>
      <c r="P154" s="7">
        <v>0.1</v>
      </c>
      <c r="Q154" s="7">
        <v>3</v>
      </c>
      <c r="R154" s="7">
        <v>0</v>
      </c>
      <c r="S154" s="7" t="s">
        <v>659</v>
      </c>
      <c r="T154" s="7">
        <v>24</v>
      </c>
      <c r="U154" s="7">
        <v>3</v>
      </c>
      <c r="V154" s="7">
        <v>20</v>
      </c>
      <c r="W154" s="7" t="s">
        <v>508</v>
      </c>
      <c r="X154" s="108">
        <v>2</v>
      </c>
      <c r="Y154" s="7" t="s">
        <v>495</v>
      </c>
      <c r="Z154" s="7">
        <f t="shared" si="2"/>
        <v>3</v>
      </c>
      <c r="AA154" s="7" t="s">
        <v>462</v>
      </c>
    </row>
    <row r="155" spans="1:27">
      <c r="A155" s="7" t="s">
        <v>708</v>
      </c>
      <c r="B155" s="7" t="s">
        <v>504</v>
      </c>
      <c r="C155" s="7">
        <v>746906519</v>
      </c>
      <c r="D155" s="7" t="s">
        <v>638</v>
      </c>
      <c r="F155" s="7">
        <v>5</v>
      </c>
      <c r="G155" s="7" t="s">
        <v>2</v>
      </c>
      <c r="H155" s="7" t="s">
        <v>0</v>
      </c>
      <c r="I155" s="7" t="s">
        <v>492</v>
      </c>
      <c r="J155" s="7" t="s">
        <v>493</v>
      </c>
      <c r="K155" s="7">
        <v>0</v>
      </c>
      <c r="L155" s="7">
        <v>72</v>
      </c>
      <c r="M155" s="7">
        <v>0</v>
      </c>
      <c r="N155" s="7">
        <v>4.5</v>
      </c>
      <c r="O155" s="7">
        <v>5</v>
      </c>
      <c r="P155" s="7">
        <v>0</v>
      </c>
      <c r="Q155" s="7">
        <v>4</v>
      </c>
      <c r="R155" s="7">
        <v>0</v>
      </c>
      <c r="S155" s="7" t="s">
        <v>591</v>
      </c>
      <c r="T155" s="7">
        <v>24</v>
      </c>
      <c r="U155" s="7">
        <v>8</v>
      </c>
      <c r="V155" s="7">
        <v>20</v>
      </c>
      <c r="W155" s="7" t="s">
        <v>508</v>
      </c>
      <c r="X155" s="108">
        <v>1</v>
      </c>
      <c r="Y155" s="7" t="s">
        <v>495</v>
      </c>
      <c r="Z155" s="7">
        <f t="shared" si="2"/>
        <v>3</v>
      </c>
      <c r="AA155" s="7" t="s">
        <v>462</v>
      </c>
    </row>
    <row r="156" spans="1:27">
      <c r="A156" s="7" t="s">
        <v>709</v>
      </c>
      <c r="B156" s="7" t="s">
        <v>489</v>
      </c>
      <c r="C156" s="7">
        <v>701733258</v>
      </c>
      <c r="D156" s="7" t="s">
        <v>638</v>
      </c>
      <c r="F156" s="7">
        <v>2</v>
      </c>
      <c r="G156" s="7" t="s">
        <v>0</v>
      </c>
      <c r="H156" s="7" t="s">
        <v>2</v>
      </c>
      <c r="I156" s="7" t="s">
        <v>492</v>
      </c>
      <c r="J156" s="7" t="s">
        <v>493</v>
      </c>
      <c r="K156" s="7">
        <v>0</v>
      </c>
      <c r="L156" s="7">
        <v>24</v>
      </c>
      <c r="M156" s="7">
        <v>0</v>
      </c>
      <c r="N156" s="7">
        <v>4.5</v>
      </c>
      <c r="O156" s="7">
        <v>4</v>
      </c>
      <c r="P156" s="7">
        <v>0</v>
      </c>
      <c r="Q156" s="7">
        <v>11</v>
      </c>
      <c r="R156" s="7">
        <v>0</v>
      </c>
      <c r="S156" s="7" t="s">
        <v>710</v>
      </c>
      <c r="T156" s="7">
        <v>24</v>
      </c>
      <c r="U156" s="7">
        <v>16</v>
      </c>
      <c r="V156" s="7">
        <v>20</v>
      </c>
      <c r="W156" s="7" t="s">
        <v>508</v>
      </c>
      <c r="X156" s="108">
        <v>2</v>
      </c>
      <c r="Y156" s="7" t="s">
        <v>500</v>
      </c>
      <c r="Z156" s="7">
        <f t="shared" si="2"/>
        <v>1</v>
      </c>
      <c r="AA156" s="7" t="s">
        <v>462</v>
      </c>
    </row>
    <row r="157" spans="1:27">
      <c r="A157" s="7" t="s">
        <v>711</v>
      </c>
      <c r="B157" s="7" t="s">
        <v>489</v>
      </c>
      <c r="C157" s="7">
        <v>729552689</v>
      </c>
      <c r="D157" s="7" t="s">
        <v>638</v>
      </c>
      <c r="F157" s="7">
        <v>4</v>
      </c>
      <c r="G157" s="7" t="s">
        <v>0</v>
      </c>
      <c r="H157" s="7" t="s">
        <v>2</v>
      </c>
      <c r="I157" s="7" t="s">
        <v>492</v>
      </c>
      <c r="J157" s="7" t="s">
        <v>493</v>
      </c>
      <c r="K157" s="7">
        <v>10</v>
      </c>
      <c r="L157" s="7">
        <v>24</v>
      </c>
      <c r="M157" s="7">
        <v>0</v>
      </c>
      <c r="N157" s="7">
        <v>5</v>
      </c>
      <c r="O157" s="7">
        <v>0.5</v>
      </c>
      <c r="P157" s="7">
        <v>0.1</v>
      </c>
      <c r="Q157" s="7">
        <v>5</v>
      </c>
      <c r="R157" s="7">
        <v>0</v>
      </c>
      <c r="S157" s="7" t="s">
        <v>695</v>
      </c>
      <c r="T157" s="7">
        <v>24</v>
      </c>
      <c r="U157" s="7">
        <v>5</v>
      </c>
      <c r="V157" s="7">
        <v>20</v>
      </c>
      <c r="W157" s="7" t="s">
        <v>499</v>
      </c>
      <c r="X157" s="108">
        <v>1</v>
      </c>
      <c r="Y157" s="7" t="s">
        <v>495</v>
      </c>
      <c r="Z157" s="7">
        <f t="shared" si="2"/>
        <v>3</v>
      </c>
      <c r="AA157" s="7" t="s">
        <v>462</v>
      </c>
    </row>
    <row r="158" spans="1:27">
      <c r="A158" s="7" t="s">
        <v>712</v>
      </c>
      <c r="B158" s="7" t="s">
        <v>504</v>
      </c>
      <c r="C158" s="7">
        <v>713211051</v>
      </c>
      <c r="D158" s="7" t="s">
        <v>638</v>
      </c>
      <c r="F158" s="7">
        <v>4</v>
      </c>
      <c r="G158" s="7" t="s">
        <v>0</v>
      </c>
      <c r="H158" s="7" t="s">
        <v>2</v>
      </c>
      <c r="I158" s="7" t="s">
        <v>492</v>
      </c>
      <c r="J158" s="7" t="s">
        <v>493</v>
      </c>
      <c r="K158" s="7">
        <v>10</v>
      </c>
      <c r="L158" s="7">
        <v>6</v>
      </c>
      <c r="M158" s="7">
        <v>0</v>
      </c>
      <c r="N158" s="7">
        <v>4.5</v>
      </c>
      <c r="O158" s="7">
        <v>1</v>
      </c>
      <c r="P158" s="7">
        <v>3</v>
      </c>
      <c r="Q158" s="7">
        <v>5</v>
      </c>
      <c r="R158" s="7">
        <v>0</v>
      </c>
      <c r="S158" s="7" t="s">
        <v>644</v>
      </c>
      <c r="T158" s="7">
        <v>24</v>
      </c>
      <c r="U158" s="7">
        <v>4</v>
      </c>
      <c r="V158" s="7">
        <v>20</v>
      </c>
      <c r="W158" s="7" t="s">
        <v>508</v>
      </c>
      <c r="X158" s="108">
        <v>1.5</v>
      </c>
      <c r="Y158" s="7" t="s">
        <v>500</v>
      </c>
      <c r="Z158" s="7">
        <f t="shared" si="2"/>
        <v>1</v>
      </c>
      <c r="AA158" s="7" t="s">
        <v>462</v>
      </c>
    </row>
    <row r="159" spans="1:27">
      <c r="A159" s="7" t="s">
        <v>713</v>
      </c>
      <c r="B159" s="7" t="s">
        <v>489</v>
      </c>
      <c r="C159" s="7">
        <v>711586043</v>
      </c>
      <c r="D159" s="7" t="s">
        <v>638</v>
      </c>
      <c r="F159" s="7">
        <v>4</v>
      </c>
      <c r="G159" s="7" t="s">
        <v>0</v>
      </c>
      <c r="H159" s="7" t="s">
        <v>2</v>
      </c>
      <c r="I159" s="7" t="s">
        <v>492</v>
      </c>
      <c r="J159" s="7" t="s">
        <v>493</v>
      </c>
      <c r="K159" s="7">
        <v>7</v>
      </c>
      <c r="L159" s="7">
        <v>24</v>
      </c>
      <c r="M159" s="7">
        <v>0</v>
      </c>
      <c r="N159" s="7">
        <v>4.5</v>
      </c>
      <c r="O159" s="7">
        <v>4</v>
      </c>
      <c r="P159" s="7">
        <v>0</v>
      </c>
      <c r="Q159" s="7">
        <v>3</v>
      </c>
      <c r="R159" s="7">
        <v>0</v>
      </c>
      <c r="S159" s="7" t="s">
        <v>644</v>
      </c>
      <c r="T159" s="7">
        <v>24</v>
      </c>
      <c r="U159" s="7">
        <v>3</v>
      </c>
      <c r="V159" s="7">
        <v>20</v>
      </c>
      <c r="W159" s="7" t="s">
        <v>508</v>
      </c>
      <c r="X159" s="108">
        <v>1</v>
      </c>
      <c r="Y159" s="7" t="s">
        <v>495</v>
      </c>
      <c r="Z159" s="7">
        <f t="shared" si="2"/>
        <v>3</v>
      </c>
      <c r="AA159" s="7" t="s">
        <v>462</v>
      </c>
    </row>
    <row r="160" spans="1:27">
      <c r="A160" s="7" t="s">
        <v>714</v>
      </c>
      <c r="B160" s="7" t="s">
        <v>489</v>
      </c>
      <c r="C160" s="7">
        <v>718974958</v>
      </c>
      <c r="D160" s="7" t="s">
        <v>638</v>
      </c>
      <c r="F160" s="7">
        <v>10</v>
      </c>
      <c r="G160" s="7" t="s">
        <v>2</v>
      </c>
      <c r="H160" s="7" t="s">
        <v>0</v>
      </c>
      <c r="I160" s="7" t="s">
        <v>492</v>
      </c>
      <c r="J160" s="7" t="s">
        <v>493</v>
      </c>
      <c r="K160" s="7">
        <v>10</v>
      </c>
      <c r="L160" s="7">
        <v>72</v>
      </c>
      <c r="M160" s="7">
        <v>0</v>
      </c>
      <c r="N160" s="7">
        <v>4</v>
      </c>
      <c r="O160" s="7">
        <v>0.25</v>
      </c>
      <c r="P160" s="7">
        <v>0</v>
      </c>
      <c r="Q160" s="7">
        <v>14</v>
      </c>
      <c r="R160" s="7">
        <v>0</v>
      </c>
      <c r="S160" s="7" t="s">
        <v>591</v>
      </c>
      <c r="T160" s="7">
        <v>24</v>
      </c>
      <c r="U160" s="7">
        <v>15</v>
      </c>
      <c r="V160" s="7">
        <v>20</v>
      </c>
      <c r="W160" s="7" t="s">
        <v>499</v>
      </c>
      <c r="X160" s="108">
        <v>1</v>
      </c>
      <c r="Y160" s="7" t="s">
        <v>512</v>
      </c>
      <c r="Z160" s="7">
        <f t="shared" si="2"/>
        <v>6</v>
      </c>
      <c r="AA160" s="7" t="s">
        <v>462</v>
      </c>
    </row>
    <row r="161" spans="1:27">
      <c r="A161" s="7" t="s">
        <v>715</v>
      </c>
      <c r="B161" s="7" t="s">
        <v>504</v>
      </c>
      <c r="C161" s="7">
        <v>718631295</v>
      </c>
      <c r="D161" s="7" t="s">
        <v>638</v>
      </c>
      <c r="F161" s="7">
        <v>5</v>
      </c>
      <c r="G161" s="7" t="s">
        <v>0</v>
      </c>
      <c r="H161" s="7" t="s">
        <v>492</v>
      </c>
      <c r="I161" s="7" t="s">
        <v>492</v>
      </c>
      <c r="J161" s="7" t="s">
        <v>493</v>
      </c>
      <c r="K161" s="7">
        <v>10</v>
      </c>
      <c r="L161" s="7">
        <v>0</v>
      </c>
      <c r="M161" s="7">
        <v>0</v>
      </c>
      <c r="N161" s="7">
        <v>4.5</v>
      </c>
      <c r="O161" s="7">
        <v>1</v>
      </c>
      <c r="P161" s="7">
        <v>0.03</v>
      </c>
      <c r="Q161" s="7">
        <v>4</v>
      </c>
      <c r="R161" s="7">
        <v>0</v>
      </c>
      <c r="S161" s="7" t="s">
        <v>716</v>
      </c>
      <c r="T161" s="7">
        <v>24</v>
      </c>
      <c r="U161" s="7">
        <v>2</v>
      </c>
      <c r="V161" s="7">
        <v>20</v>
      </c>
      <c r="W161" s="7" t="s">
        <v>508</v>
      </c>
      <c r="X161" s="108">
        <v>1</v>
      </c>
      <c r="Y161" s="7" t="s">
        <v>495</v>
      </c>
      <c r="Z161" s="7">
        <f t="shared" si="2"/>
        <v>3</v>
      </c>
      <c r="AA161" s="7" t="s">
        <v>462</v>
      </c>
    </row>
    <row r="162" spans="1:27">
      <c r="A162" s="7" t="s">
        <v>717</v>
      </c>
      <c r="B162" s="7" t="s">
        <v>504</v>
      </c>
      <c r="C162" s="7">
        <v>718886227</v>
      </c>
      <c r="D162" s="7" t="s">
        <v>638</v>
      </c>
      <c r="F162" s="7">
        <v>6</v>
      </c>
      <c r="G162" s="7" t="s">
        <v>0</v>
      </c>
      <c r="H162" s="7" t="s">
        <v>2</v>
      </c>
      <c r="I162" s="7" t="s">
        <v>492</v>
      </c>
      <c r="J162" s="7" t="s">
        <v>493</v>
      </c>
      <c r="K162" s="7">
        <v>6</v>
      </c>
      <c r="L162" s="7">
        <v>36</v>
      </c>
      <c r="M162" s="7">
        <v>0</v>
      </c>
      <c r="N162" s="7">
        <v>4.75</v>
      </c>
      <c r="O162" s="7">
        <v>0.25</v>
      </c>
      <c r="P162" s="7">
        <v>0.1</v>
      </c>
      <c r="Q162" s="7">
        <v>9</v>
      </c>
      <c r="R162" s="7">
        <v>0</v>
      </c>
      <c r="S162" s="7" t="s">
        <v>591</v>
      </c>
      <c r="T162" s="7">
        <v>24</v>
      </c>
      <c r="U162" s="7">
        <v>15</v>
      </c>
      <c r="V162" s="7">
        <v>20</v>
      </c>
      <c r="W162" s="7" t="s">
        <v>718</v>
      </c>
      <c r="X162" s="108">
        <v>0</v>
      </c>
      <c r="Y162" s="7" t="s">
        <v>719</v>
      </c>
      <c r="Z162" s="7">
        <f t="shared" si="2"/>
        <v>0</v>
      </c>
      <c r="AA162" s="7" t="s">
        <v>463</v>
      </c>
    </row>
    <row r="163" spans="1:27">
      <c r="A163" s="7" t="s">
        <v>720</v>
      </c>
      <c r="B163" s="7" t="s">
        <v>489</v>
      </c>
      <c r="C163" s="7">
        <v>795306988</v>
      </c>
      <c r="D163" s="7" t="s">
        <v>638</v>
      </c>
      <c r="F163" s="7">
        <v>5</v>
      </c>
      <c r="G163" s="7" t="s">
        <v>0</v>
      </c>
      <c r="H163" s="7" t="s">
        <v>492</v>
      </c>
      <c r="I163" s="7" t="s">
        <v>492</v>
      </c>
      <c r="J163" s="7" t="s">
        <v>493</v>
      </c>
      <c r="K163" s="7">
        <v>9</v>
      </c>
      <c r="L163" s="7">
        <v>0</v>
      </c>
      <c r="M163" s="7">
        <v>0</v>
      </c>
      <c r="N163" s="7">
        <v>3.5</v>
      </c>
      <c r="O163" s="7">
        <v>0.6</v>
      </c>
      <c r="P163" s="7">
        <v>1</v>
      </c>
      <c r="Q163" s="7">
        <v>6</v>
      </c>
      <c r="R163" s="7">
        <v>0</v>
      </c>
      <c r="S163" s="7" t="s">
        <v>591</v>
      </c>
      <c r="T163" s="7">
        <v>24</v>
      </c>
      <c r="U163" s="7">
        <v>3</v>
      </c>
      <c r="V163" s="7">
        <v>20</v>
      </c>
      <c r="W163" s="7" t="s">
        <v>508</v>
      </c>
      <c r="X163" s="108">
        <v>2</v>
      </c>
      <c r="Y163" s="7" t="s">
        <v>495</v>
      </c>
      <c r="Z163" s="7">
        <f t="shared" si="2"/>
        <v>3</v>
      </c>
      <c r="AA163" s="7" t="s">
        <v>462</v>
      </c>
    </row>
    <row r="164" spans="1:27">
      <c r="A164" s="7" t="s">
        <v>721</v>
      </c>
      <c r="B164" s="7" t="s">
        <v>489</v>
      </c>
      <c r="C164" s="7">
        <v>792443812</v>
      </c>
      <c r="D164" s="7" t="s">
        <v>638</v>
      </c>
      <c r="F164" s="7">
        <v>4</v>
      </c>
      <c r="G164" s="7" t="s">
        <v>0</v>
      </c>
      <c r="H164" s="7" t="s">
        <v>2</v>
      </c>
      <c r="I164" s="7" t="s">
        <v>492</v>
      </c>
      <c r="J164" s="7" t="s">
        <v>493</v>
      </c>
      <c r="K164" s="7">
        <v>8</v>
      </c>
      <c r="L164" s="7">
        <v>24</v>
      </c>
      <c r="M164" s="7">
        <v>0</v>
      </c>
      <c r="N164" s="7">
        <v>5</v>
      </c>
      <c r="O164" s="7">
        <v>1</v>
      </c>
      <c r="P164" s="7">
        <v>0.3</v>
      </c>
      <c r="Q164" s="7">
        <v>6</v>
      </c>
      <c r="R164" s="7">
        <v>0</v>
      </c>
      <c r="S164" s="7" t="s">
        <v>639</v>
      </c>
      <c r="T164" s="7">
        <v>24</v>
      </c>
      <c r="U164" s="7">
        <v>9</v>
      </c>
      <c r="V164" s="7">
        <v>20</v>
      </c>
      <c r="W164" s="7" t="s">
        <v>508</v>
      </c>
      <c r="X164" s="108">
        <v>1</v>
      </c>
      <c r="Y164" s="7" t="s">
        <v>495</v>
      </c>
      <c r="Z164" s="7">
        <f t="shared" si="2"/>
        <v>3</v>
      </c>
      <c r="AA164" s="7" t="s">
        <v>462</v>
      </c>
    </row>
    <row r="165" spans="1:27">
      <c r="A165" s="7" t="s">
        <v>722</v>
      </c>
      <c r="B165" s="7" t="s">
        <v>504</v>
      </c>
      <c r="C165" s="7">
        <v>115109017</v>
      </c>
      <c r="D165" s="7" t="s">
        <v>638</v>
      </c>
      <c r="F165" s="7">
        <v>3</v>
      </c>
      <c r="G165" s="7" t="s">
        <v>0</v>
      </c>
      <c r="H165" s="7" t="s">
        <v>2</v>
      </c>
      <c r="I165" s="7" t="s">
        <v>492</v>
      </c>
      <c r="J165" s="7" t="s">
        <v>493</v>
      </c>
      <c r="K165" s="7">
        <v>10</v>
      </c>
      <c r="L165" s="7">
        <v>24</v>
      </c>
      <c r="M165" s="7">
        <v>0</v>
      </c>
      <c r="N165" s="7">
        <v>5</v>
      </c>
      <c r="O165" s="7">
        <v>3</v>
      </c>
      <c r="P165" s="7">
        <v>2</v>
      </c>
      <c r="Q165" s="7">
        <v>8</v>
      </c>
      <c r="R165" s="7">
        <v>0</v>
      </c>
      <c r="S165" s="7" t="s">
        <v>668</v>
      </c>
      <c r="T165" s="7">
        <v>24</v>
      </c>
      <c r="U165" s="7">
        <v>4</v>
      </c>
      <c r="V165" s="7">
        <v>20</v>
      </c>
      <c r="W165" s="7" t="s">
        <v>508</v>
      </c>
      <c r="X165" s="108">
        <v>2</v>
      </c>
      <c r="Y165" s="7" t="s">
        <v>495</v>
      </c>
      <c r="Z165" s="7">
        <f t="shared" si="2"/>
        <v>3</v>
      </c>
      <c r="AA165" s="7" t="s">
        <v>462</v>
      </c>
    </row>
    <row r="166" spans="1:27">
      <c r="A166" s="7" t="s">
        <v>723</v>
      </c>
      <c r="B166" s="7" t="s">
        <v>504</v>
      </c>
      <c r="C166" s="7">
        <v>705188731</v>
      </c>
      <c r="D166" s="7" t="s">
        <v>638</v>
      </c>
      <c r="F166" s="7">
        <v>5</v>
      </c>
      <c r="G166" s="7" t="s">
        <v>0</v>
      </c>
      <c r="H166" s="7" t="s">
        <v>2</v>
      </c>
      <c r="I166" s="7" t="s">
        <v>492</v>
      </c>
      <c r="J166" s="7" t="s">
        <v>493</v>
      </c>
      <c r="K166" s="7">
        <v>10</v>
      </c>
      <c r="L166" s="7">
        <v>24</v>
      </c>
      <c r="M166" s="7">
        <v>0</v>
      </c>
      <c r="N166" s="7">
        <v>5</v>
      </c>
      <c r="O166" s="7">
        <v>2</v>
      </c>
      <c r="P166" s="7">
        <v>1</v>
      </c>
      <c r="Q166" s="7">
        <v>4</v>
      </c>
      <c r="R166" s="7">
        <v>0</v>
      </c>
      <c r="S166" s="7" t="s">
        <v>492</v>
      </c>
      <c r="T166" s="7">
        <v>24</v>
      </c>
      <c r="U166" s="7">
        <v>8</v>
      </c>
      <c r="V166" s="7">
        <v>20</v>
      </c>
      <c r="W166" s="7" t="s">
        <v>508</v>
      </c>
      <c r="X166" s="108">
        <v>1</v>
      </c>
      <c r="Y166" s="7" t="s">
        <v>495</v>
      </c>
      <c r="Z166" s="7">
        <f t="shared" si="2"/>
        <v>3</v>
      </c>
      <c r="AA166" s="7" t="s">
        <v>462</v>
      </c>
    </row>
    <row r="167" spans="1:27">
      <c r="A167" s="7" t="s">
        <v>724</v>
      </c>
      <c r="B167" s="7" t="s">
        <v>489</v>
      </c>
      <c r="C167" s="7">
        <v>720789743</v>
      </c>
      <c r="D167" s="7" t="s">
        <v>638</v>
      </c>
      <c r="F167" s="7">
        <v>4</v>
      </c>
      <c r="G167" s="7" t="s">
        <v>0</v>
      </c>
      <c r="H167" s="7" t="s">
        <v>492</v>
      </c>
      <c r="I167" s="7" t="s">
        <v>492</v>
      </c>
      <c r="J167" s="7" t="s">
        <v>493</v>
      </c>
      <c r="K167" s="7">
        <v>10</v>
      </c>
      <c r="L167" s="7">
        <v>0</v>
      </c>
      <c r="M167" s="7">
        <v>0</v>
      </c>
      <c r="N167" s="7">
        <v>5.25</v>
      </c>
      <c r="O167" s="7">
        <v>2</v>
      </c>
      <c r="P167" s="7">
        <v>2</v>
      </c>
      <c r="Q167" s="7">
        <v>4</v>
      </c>
      <c r="R167" s="7">
        <v>0</v>
      </c>
      <c r="S167" s="7" t="s">
        <v>492</v>
      </c>
      <c r="T167" s="7">
        <v>24</v>
      </c>
      <c r="U167" s="7">
        <v>6</v>
      </c>
      <c r="V167" s="7">
        <v>20</v>
      </c>
      <c r="W167" s="7" t="s">
        <v>499</v>
      </c>
      <c r="X167" s="108">
        <v>1</v>
      </c>
      <c r="Y167" s="7" t="s">
        <v>495</v>
      </c>
      <c r="Z167" s="7">
        <f t="shared" si="2"/>
        <v>3</v>
      </c>
      <c r="AA167" s="7" t="s">
        <v>462</v>
      </c>
    </row>
    <row r="168" spans="1:27">
      <c r="A168" s="7" t="s">
        <v>725</v>
      </c>
      <c r="B168" s="7" t="s">
        <v>504</v>
      </c>
      <c r="C168" s="7">
        <v>718076467</v>
      </c>
      <c r="D168" s="7" t="s">
        <v>638</v>
      </c>
      <c r="F168" s="7">
        <v>2</v>
      </c>
      <c r="G168" s="7" t="s">
        <v>0</v>
      </c>
      <c r="H168" s="7" t="s">
        <v>492</v>
      </c>
      <c r="I168" s="7" t="s">
        <v>492</v>
      </c>
      <c r="J168" s="7" t="s">
        <v>493</v>
      </c>
      <c r="K168" s="7">
        <v>7</v>
      </c>
      <c r="L168" s="7">
        <v>0</v>
      </c>
      <c r="M168" s="7">
        <v>0</v>
      </c>
      <c r="N168" s="7">
        <v>5.33</v>
      </c>
      <c r="O168" s="7">
        <v>3.5</v>
      </c>
      <c r="P168" s="7">
        <v>0.1</v>
      </c>
      <c r="Q168" s="7">
        <v>4</v>
      </c>
      <c r="R168" s="7">
        <v>0</v>
      </c>
      <c r="S168" s="7" t="s">
        <v>591</v>
      </c>
      <c r="T168" s="7">
        <v>24</v>
      </c>
      <c r="U168" s="7">
        <v>6</v>
      </c>
      <c r="V168" s="7">
        <v>20</v>
      </c>
      <c r="W168" s="7" t="s">
        <v>508</v>
      </c>
      <c r="X168" s="108">
        <v>1</v>
      </c>
      <c r="Y168" s="7" t="s">
        <v>512</v>
      </c>
      <c r="Z168" s="7">
        <f t="shared" si="2"/>
        <v>6</v>
      </c>
      <c r="AA168" s="7" t="s">
        <v>462</v>
      </c>
    </row>
    <row r="169" spans="1:27">
      <c r="A169" s="7" t="s">
        <v>726</v>
      </c>
      <c r="B169" s="7" t="s">
        <v>489</v>
      </c>
      <c r="C169" s="7">
        <v>710593990</v>
      </c>
      <c r="D169" s="7" t="s">
        <v>638</v>
      </c>
      <c r="F169" s="7">
        <v>3</v>
      </c>
      <c r="G169" s="7" t="s">
        <v>0</v>
      </c>
      <c r="H169" s="7" t="s">
        <v>2</v>
      </c>
      <c r="I169" s="7" t="s">
        <v>492</v>
      </c>
      <c r="J169" s="7" t="s">
        <v>493</v>
      </c>
      <c r="K169" s="7">
        <v>10</v>
      </c>
      <c r="L169" s="7">
        <v>6</v>
      </c>
      <c r="M169" s="7">
        <v>0</v>
      </c>
      <c r="N169" s="7">
        <v>5.5</v>
      </c>
      <c r="O169" s="7">
        <v>3</v>
      </c>
      <c r="P169" s="7">
        <v>0</v>
      </c>
      <c r="Q169" s="7">
        <v>4</v>
      </c>
      <c r="R169" s="7">
        <v>5</v>
      </c>
      <c r="S169" s="7" t="s">
        <v>644</v>
      </c>
      <c r="T169" s="7">
        <v>24</v>
      </c>
      <c r="U169" s="7">
        <v>8</v>
      </c>
      <c r="V169" s="7">
        <v>20</v>
      </c>
      <c r="W169" s="7" t="s">
        <v>508</v>
      </c>
      <c r="X169" s="108">
        <v>1.5</v>
      </c>
      <c r="Y169" s="7" t="s">
        <v>495</v>
      </c>
      <c r="Z169" s="7">
        <f t="shared" si="2"/>
        <v>3</v>
      </c>
      <c r="AA169" s="7" t="s">
        <v>462</v>
      </c>
    </row>
    <row r="170" spans="1:27">
      <c r="A170" s="7" t="s">
        <v>727</v>
      </c>
      <c r="B170" s="7" t="s">
        <v>504</v>
      </c>
      <c r="C170" s="7">
        <v>705206497</v>
      </c>
      <c r="D170" s="7" t="s">
        <v>638</v>
      </c>
      <c r="F170" s="7">
        <v>4</v>
      </c>
      <c r="G170" s="7" t="s">
        <v>2</v>
      </c>
      <c r="H170" s="7" t="s">
        <v>0</v>
      </c>
      <c r="I170" s="7" t="s">
        <v>492</v>
      </c>
      <c r="J170" s="7" t="s">
        <v>493</v>
      </c>
      <c r="K170" s="7">
        <v>5</v>
      </c>
      <c r="L170" s="7">
        <v>72</v>
      </c>
      <c r="M170" s="7">
        <v>0</v>
      </c>
      <c r="N170" s="7">
        <v>5.5</v>
      </c>
      <c r="O170" s="7">
        <v>4</v>
      </c>
      <c r="P170" s="7">
        <v>4</v>
      </c>
      <c r="Q170" s="7">
        <v>7</v>
      </c>
      <c r="R170" s="7">
        <v>0</v>
      </c>
      <c r="S170" s="7" t="s">
        <v>492</v>
      </c>
      <c r="T170" s="7">
        <v>24</v>
      </c>
      <c r="U170" s="7">
        <v>15</v>
      </c>
      <c r="V170" s="7">
        <v>20</v>
      </c>
      <c r="W170" s="7" t="s">
        <v>508</v>
      </c>
      <c r="X170" s="108">
        <v>1</v>
      </c>
      <c r="Y170" s="7" t="s">
        <v>495</v>
      </c>
      <c r="Z170" s="7">
        <f t="shared" si="2"/>
        <v>3</v>
      </c>
      <c r="AA170" s="7" t="s">
        <v>462</v>
      </c>
    </row>
    <row r="171" spans="1:27">
      <c r="A171" s="7" t="s">
        <v>728</v>
      </c>
      <c r="B171" s="7" t="s">
        <v>489</v>
      </c>
      <c r="C171" s="7">
        <v>702320771</v>
      </c>
      <c r="D171" s="7" t="s">
        <v>638</v>
      </c>
      <c r="F171" s="7">
        <v>6</v>
      </c>
      <c r="G171" s="7" t="s">
        <v>0</v>
      </c>
      <c r="H171" s="7" t="s">
        <v>2</v>
      </c>
      <c r="I171" s="7" t="s">
        <v>492</v>
      </c>
      <c r="J171" s="7" t="s">
        <v>493</v>
      </c>
      <c r="K171" s="7">
        <v>12</v>
      </c>
      <c r="L171" s="7">
        <v>12</v>
      </c>
      <c r="M171" s="7">
        <v>0</v>
      </c>
      <c r="N171" s="7">
        <v>5.5</v>
      </c>
      <c r="O171" s="7">
        <v>1</v>
      </c>
      <c r="P171" s="7">
        <v>2</v>
      </c>
      <c r="Q171" s="7">
        <v>5</v>
      </c>
      <c r="R171" s="7">
        <v>0</v>
      </c>
      <c r="S171" s="7" t="s">
        <v>591</v>
      </c>
      <c r="T171" s="7">
        <v>24</v>
      </c>
      <c r="U171" s="7">
        <v>4</v>
      </c>
      <c r="V171" s="7">
        <v>20</v>
      </c>
      <c r="W171" s="7" t="s">
        <v>499</v>
      </c>
      <c r="X171" s="108">
        <v>1</v>
      </c>
      <c r="Y171" s="7" t="s">
        <v>495</v>
      </c>
      <c r="Z171" s="7">
        <f t="shared" si="2"/>
        <v>3</v>
      </c>
      <c r="AA171" s="7" t="s">
        <v>462</v>
      </c>
    </row>
    <row r="172" spans="1:27">
      <c r="A172" s="7" t="s">
        <v>729</v>
      </c>
      <c r="B172" s="7" t="s">
        <v>489</v>
      </c>
      <c r="C172" s="7">
        <v>715178512</v>
      </c>
      <c r="D172" s="7" t="s">
        <v>638</v>
      </c>
      <c r="F172" s="7">
        <v>4</v>
      </c>
      <c r="G172" s="7" t="s">
        <v>0</v>
      </c>
      <c r="H172" s="7" t="s">
        <v>2</v>
      </c>
      <c r="I172" s="7" t="s">
        <v>492</v>
      </c>
      <c r="J172" s="7" t="s">
        <v>493</v>
      </c>
      <c r="K172" s="7">
        <v>10</v>
      </c>
      <c r="L172" s="7">
        <v>24</v>
      </c>
      <c r="M172" s="7">
        <v>0</v>
      </c>
      <c r="N172" s="7">
        <v>5</v>
      </c>
      <c r="O172" s="7">
        <v>0.5</v>
      </c>
      <c r="P172" s="7">
        <v>1</v>
      </c>
      <c r="Q172" s="7">
        <v>4</v>
      </c>
      <c r="R172" s="7">
        <v>0</v>
      </c>
      <c r="S172" s="7" t="s">
        <v>668</v>
      </c>
      <c r="T172" s="7">
        <v>24</v>
      </c>
      <c r="U172" s="7">
        <v>1</v>
      </c>
      <c r="V172" s="7">
        <v>20</v>
      </c>
      <c r="W172" s="7" t="s">
        <v>508</v>
      </c>
      <c r="X172" s="108">
        <v>1</v>
      </c>
      <c r="Y172" s="7" t="s">
        <v>495</v>
      </c>
      <c r="Z172" s="7">
        <f t="shared" si="2"/>
        <v>3</v>
      </c>
      <c r="AA172" s="7" t="s">
        <v>462</v>
      </c>
    </row>
    <row r="173" spans="1:27">
      <c r="A173" s="7" t="s">
        <v>730</v>
      </c>
      <c r="B173" s="7" t="s">
        <v>504</v>
      </c>
      <c r="C173" s="7">
        <v>794375922</v>
      </c>
      <c r="D173" s="7" t="s">
        <v>638</v>
      </c>
      <c r="F173" s="7">
        <v>6</v>
      </c>
      <c r="G173" s="7" t="s">
        <v>0</v>
      </c>
      <c r="H173" s="7" t="s">
        <v>492</v>
      </c>
      <c r="I173" s="7" t="s">
        <v>492</v>
      </c>
      <c r="J173" s="7" t="s">
        <v>493</v>
      </c>
      <c r="K173" s="7">
        <v>10</v>
      </c>
      <c r="L173" s="7">
        <v>0</v>
      </c>
      <c r="M173" s="7">
        <v>0</v>
      </c>
      <c r="N173" s="7">
        <v>5.5</v>
      </c>
      <c r="O173" s="7">
        <v>1</v>
      </c>
      <c r="P173" s="7">
        <v>1</v>
      </c>
      <c r="Q173" s="7">
        <v>3</v>
      </c>
      <c r="R173" s="7">
        <v>0</v>
      </c>
      <c r="S173" s="7" t="s">
        <v>659</v>
      </c>
      <c r="T173" s="7">
        <v>24</v>
      </c>
      <c r="U173" s="7">
        <v>4</v>
      </c>
      <c r="V173" s="7">
        <v>20</v>
      </c>
      <c r="W173" s="7" t="s">
        <v>508</v>
      </c>
      <c r="X173" s="108">
        <v>1</v>
      </c>
      <c r="Y173" s="7" t="s">
        <v>495</v>
      </c>
      <c r="Z173" s="7">
        <f t="shared" si="2"/>
        <v>3</v>
      </c>
      <c r="AA173" s="7" t="s">
        <v>462</v>
      </c>
    </row>
    <row r="174" spans="1:27">
      <c r="A174" s="7" t="s">
        <v>731</v>
      </c>
      <c r="B174" s="7" t="s">
        <v>489</v>
      </c>
      <c r="C174" s="7">
        <v>729741051</v>
      </c>
      <c r="D174" s="7" t="s">
        <v>638</v>
      </c>
      <c r="F174" s="7">
        <v>4</v>
      </c>
      <c r="G174" s="7" t="s">
        <v>0</v>
      </c>
      <c r="H174" s="7" t="s">
        <v>2</v>
      </c>
      <c r="I174" s="7" t="s">
        <v>492</v>
      </c>
      <c r="J174" s="7" t="s">
        <v>493</v>
      </c>
      <c r="K174" s="7">
        <v>9</v>
      </c>
      <c r="L174" s="7">
        <v>12</v>
      </c>
      <c r="M174" s="7">
        <v>0</v>
      </c>
      <c r="N174" s="7">
        <v>4</v>
      </c>
      <c r="O174" s="7">
        <v>2</v>
      </c>
      <c r="P174" s="7">
        <v>0.5</v>
      </c>
      <c r="Q174" s="7">
        <v>8</v>
      </c>
      <c r="R174" s="7">
        <v>0</v>
      </c>
      <c r="S174" s="7" t="s">
        <v>591</v>
      </c>
      <c r="T174" s="7">
        <v>24</v>
      </c>
      <c r="U174" s="7">
        <v>6</v>
      </c>
      <c r="V174" s="7">
        <v>20</v>
      </c>
      <c r="W174" s="7" t="s">
        <v>499</v>
      </c>
      <c r="X174" s="108">
        <v>2</v>
      </c>
      <c r="Y174" s="7" t="s">
        <v>512</v>
      </c>
      <c r="Z174" s="7">
        <f t="shared" si="2"/>
        <v>6</v>
      </c>
      <c r="AA174" s="7" t="s">
        <v>462</v>
      </c>
    </row>
    <row r="175" spans="1:27">
      <c r="A175" s="7" t="s">
        <v>732</v>
      </c>
      <c r="B175" s="7" t="s">
        <v>504</v>
      </c>
      <c r="C175" s="7">
        <v>704395259</v>
      </c>
      <c r="D175" s="7" t="s">
        <v>638</v>
      </c>
      <c r="F175" s="7">
        <v>6</v>
      </c>
      <c r="G175" s="7" t="s">
        <v>0</v>
      </c>
      <c r="H175" s="7" t="s">
        <v>2</v>
      </c>
      <c r="I175" s="7" t="s">
        <v>492</v>
      </c>
      <c r="J175" s="7" t="s">
        <v>493</v>
      </c>
      <c r="K175" s="7">
        <v>9</v>
      </c>
      <c r="L175" s="7">
        <v>13</v>
      </c>
      <c r="M175" s="7">
        <v>0</v>
      </c>
      <c r="N175" s="7">
        <v>5</v>
      </c>
      <c r="O175" s="7">
        <v>5</v>
      </c>
      <c r="P175" s="7">
        <v>0</v>
      </c>
      <c r="Q175" s="7">
        <v>8</v>
      </c>
      <c r="R175" s="7">
        <v>0</v>
      </c>
      <c r="S175" s="7" t="s">
        <v>659</v>
      </c>
      <c r="T175" s="7">
        <v>24</v>
      </c>
      <c r="U175" s="7">
        <v>8</v>
      </c>
      <c r="V175" s="7">
        <v>20</v>
      </c>
      <c r="W175" s="7" t="s">
        <v>508</v>
      </c>
      <c r="X175" s="108">
        <v>1</v>
      </c>
      <c r="Y175" s="7" t="s">
        <v>500</v>
      </c>
      <c r="Z175" s="7">
        <f t="shared" si="2"/>
        <v>1</v>
      </c>
      <c r="AA175" s="7" t="s">
        <v>462</v>
      </c>
    </row>
    <row r="176" spans="1:27">
      <c r="A176" s="7" t="s">
        <v>733</v>
      </c>
      <c r="B176" s="7" t="s">
        <v>489</v>
      </c>
      <c r="C176" s="7">
        <v>722380602</v>
      </c>
      <c r="D176" s="7" t="s">
        <v>638</v>
      </c>
      <c r="F176" s="7">
        <v>6</v>
      </c>
      <c r="G176" s="7" t="s">
        <v>2</v>
      </c>
      <c r="H176" s="7" t="s">
        <v>0</v>
      </c>
      <c r="I176" s="7" t="s">
        <v>492</v>
      </c>
      <c r="J176" s="7" t="s">
        <v>493</v>
      </c>
      <c r="K176" s="7">
        <v>10</v>
      </c>
      <c r="L176" s="7">
        <v>12</v>
      </c>
      <c r="M176" s="7">
        <v>0</v>
      </c>
      <c r="N176" s="7">
        <v>3.5</v>
      </c>
      <c r="O176" s="7">
        <v>0.5</v>
      </c>
      <c r="P176" s="7">
        <v>0.1</v>
      </c>
      <c r="Q176" s="7">
        <v>23</v>
      </c>
      <c r="R176" s="7">
        <v>0</v>
      </c>
      <c r="S176" s="7" t="s">
        <v>492</v>
      </c>
      <c r="T176" s="7">
        <v>24</v>
      </c>
      <c r="U176" s="7">
        <v>40</v>
      </c>
      <c r="V176" s="7">
        <v>20</v>
      </c>
      <c r="W176" s="7" t="s">
        <v>508</v>
      </c>
      <c r="X176" s="108">
        <v>1</v>
      </c>
      <c r="Y176" s="7" t="s">
        <v>512</v>
      </c>
      <c r="Z176" s="7">
        <f t="shared" si="2"/>
        <v>6</v>
      </c>
      <c r="AA176" s="7" t="s">
        <v>462</v>
      </c>
    </row>
    <row r="177" spans="1:27">
      <c r="A177" s="7" t="s">
        <v>734</v>
      </c>
      <c r="B177" s="7" t="s">
        <v>489</v>
      </c>
      <c r="C177" s="7">
        <v>725506701</v>
      </c>
      <c r="D177" s="7" t="s">
        <v>638</v>
      </c>
      <c r="F177" s="32">
        <v>6</v>
      </c>
      <c r="G177" s="7" t="s">
        <v>0</v>
      </c>
      <c r="H177" s="7" t="s">
        <v>2</v>
      </c>
      <c r="I177" s="7" t="s">
        <v>492</v>
      </c>
      <c r="J177" s="7" t="s">
        <v>493</v>
      </c>
      <c r="K177" s="7">
        <v>10</v>
      </c>
      <c r="L177" s="7">
        <v>18</v>
      </c>
      <c r="M177" s="7">
        <v>0</v>
      </c>
      <c r="N177" s="7">
        <v>3.5</v>
      </c>
      <c r="O177" s="7">
        <v>0.5</v>
      </c>
      <c r="P177" s="7">
        <v>2</v>
      </c>
      <c r="Q177" s="7">
        <v>5</v>
      </c>
      <c r="R177" s="7">
        <v>0</v>
      </c>
      <c r="S177" s="7" t="s">
        <v>687</v>
      </c>
      <c r="T177" s="7">
        <v>24</v>
      </c>
      <c r="U177" s="7">
        <v>16</v>
      </c>
      <c r="V177" s="7">
        <v>20</v>
      </c>
      <c r="W177" s="7" t="s">
        <v>508</v>
      </c>
      <c r="X177" s="108">
        <v>1</v>
      </c>
      <c r="Y177" s="7" t="s">
        <v>495</v>
      </c>
      <c r="Z177" s="7">
        <f t="shared" si="2"/>
        <v>3</v>
      </c>
      <c r="AA177" s="7" t="s">
        <v>462</v>
      </c>
    </row>
    <row r="178" spans="1:27">
      <c r="A178" s="7" t="s">
        <v>735</v>
      </c>
      <c r="B178" s="7" t="s">
        <v>504</v>
      </c>
      <c r="C178" s="7">
        <v>727512478</v>
      </c>
      <c r="D178" s="7" t="s">
        <v>736</v>
      </c>
      <c r="E178" s="7" t="s">
        <v>737</v>
      </c>
      <c r="F178" s="7">
        <v>4</v>
      </c>
      <c r="G178" s="7" t="s">
        <v>2</v>
      </c>
      <c r="H178" s="7" t="s">
        <v>0</v>
      </c>
      <c r="I178" s="7" t="s">
        <v>492</v>
      </c>
      <c r="J178" s="7" t="s">
        <v>493</v>
      </c>
      <c r="K178" s="7">
        <v>3</v>
      </c>
      <c r="L178" s="7">
        <v>72</v>
      </c>
      <c r="M178" s="7">
        <v>0</v>
      </c>
      <c r="N178" s="7">
        <v>3.5</v>
      </c>
      <c r="O178" s="7">
        <v>3</v>
      </c>
      <c r="Q178" s="7">
        <v>5</v>
      </c>
      <c r="R178" s="7">
        <v>0</v>
      </c>
      <c r="S178" s="7" t="s">
        <v>738</v>
      </c>
      <c r="T178" s="7">
        <v>24</v>
      </c>
      <c r="U178" s="7">
        <v>10</v>
      </c>
      <c r="V178" s="7">
        <v>20</v>
      </c>
      <c r="W178" s="7" t="s">
        <v>499</v>
      </c>
      <c r="X178" s="108">
        <v>1</v>
      </c>
      <c r="Y178" s="7" t="s">
        <v>500</v>
      </c>
      <c r="Z178" s="7">
        <f t="shared" si="2"/>
        <v>1</v>
      </c>
      <c r="AA178" s="7" t="s">
        <v>462</v>
      </c>
    </row>
    <row r="179" spans="1:27">
      <c r="A179" s="7" t="s">
        <v>739</v>
      </c>
      <c r="B179" s="7" t="s">
        <v>489</v>
      </c>
      <c r="C179" s="7">
        <v>102933963</v>
      </c>
      <c r="D179" s="7" t="s">
        <v>736</v>
      </c>
      <c r="E179" s="7" t="s">
        <v>737</v>
      </c>
      <c r="F179" s="7">
        <v>3</v>
      </c>
      <c r="G179" s="7" t="s">
        <v>2</v>
      </c>
      <c r="H179" s="7" t="s">
        <v>0</v>
      </c>
      <c r="I179" s="7" t="s">
        <v>492</v>
      </c>
      <c r="J179" s="7" t="s">
        <v>493</v>
      </c>
      <c r="K179" s="7">
        <v>0</v>
      </c>
      <c r="L179" s="7">
        <v>72</v>
      </c>
      <c r="M179" s="7">
        <v>0</v>
      </c>
      <c r="N179" s="7">
        <v>3.5</v>
      </c>
      <c r="O179" s="7">
        <v>2</v>
      </c>
      <c r="P179" s="7">
        <v>2</v>
      </c>
      <c r="Q179" s="7">
        <v>7</v>
      </c>
      <c r="R179" s="7">
        <v>0</v>
      </c>
      <c r="S179" s="7" t="s">
        <v>492</v>
      </c>
      <c r="T179" s="7">
        <v>24</v>
      </c>
      <c r="U179" s="7">
        <v>12</v>
      </c>
      <c r="V179" s="7">
        <v>20</v>
      </c>
      <c r="W179" s="7" t="s">
        <v>499</v>
      </c>
      <c r="X179" s="108">
        <v>1</v>
      </c>
      <c r="Y179" s="7" t="s">
        <v>512</v>
      </c>
      <c r="Z179" s="7">
        <f t="shared" si="2"/>
        <v>6</v>
      </c>
      <c r="AA179" s="7" t="s">
        <v>462</v>
      </c>
    </row>
    <row r="180" spans="1:27">
      <c r="A180" s="7" t="s">
        <v>740</v>
      </c>
      <c r="B180" s="7" t="s">
        <v>489</v>
      </c>
      <c r="C180" s="7">
        <v>722422739</v>
      </c>
      <c r="D180" s="7" t="s">
        <v>736</v>
      </c>
      <c r="E180" s="7" t="s">
        <v>737</v>
      </c>
      <c r="F180" s="7">
        <v>3</v>
      </c>
      <c r="G180" s="7" t="s">
        <v>0</v>
      </c>
      <c r="H180" s="7" t="s">
        <v>2</v>
      </c>
      <c r="I180" s="7" t="s">
        <v>492</v>
      </c>
      <c r="J180" s="7" t="s">
        <v>493</v>
      </c>
      <c r="K180" s="7">
        <v>6</v>
      </c>
      <c r="L180" s="7">
        <v>24</v>
      </c>
      <c r="M180" s="7">
        <v>0</v>
      </c>
      <c r="N180" s="7">
        <v>3.5</v>
      </c>
      <c r="O180" s="7">
        <v>3</v>
      </c>
      <c r="Q180" s="7">
        <v>3</v>
      </c>
      <c r="R180" s="7">
        <v>1</v>
      </c>
      <c r="S180" s="7" t="s">
        <v>492</v>
      </c>
      <c r="T180" s="7">
        <v>24</v>
      </c>
      <c r="U180" s="7">
        <v>4</v>
      </c>
      <c r="V180" s="7">
        <v>20</v>
      </c>
      <c r="W180" s="151" t="s">
        <v>499</v>
      </c>
      <c r="X180" s="108">
        <v>2</v>
      </c>
      <c r="Y180" s="7" t="s">
        <v>495</v>
      </c>
      <c r="Z180" s="7">
        <f t="shared" si="2"/>
        <v>3</v>
      </c>
      <c r="AA180" s="7" t="s">
        <v>462</v>
      </c>
    </row>
    <row r="181" spans="1:27">
      <c r="A181" s="7" t="s">
        <v>741</v>
      </c>
      <c r="B181" s="7" t="s">
        <v>489</v>
      </c>
      <c r="C181" s="7">
        <v>721639574</v>
      </c>
      <c r="D181" s="7" t="s">
        <v>736</v>
      </c>
      <c r="E181" s="7" t="s">
        <v>742</v>
      </c>
      <c r="F181" s="7">
        <v>3</v>
      </c>
      <c r="G181" s="7" t="s">
        <v>0</v>
      </c>
      <c r="H181" s="7" t="s">
        <v>492</v>
      </c>
      <c r="I181" s="7" t="s">
        <v>492</v>
      </c>
      <c r="J181" s="7" t="s">
        <v>493</v>
      </c>
      <c r="K181" s="7">
        <v>6</v>
      </c>
      <c r="L181" s="7">
        <v>0</v>
      </c>
      <c r="M181" s="7">
        <v>0</v>
      </c>
      <c r="N181" s="7">
        <v>4.5</v>
      </c>
      <c r="O181" s="7">
        <v>3</v>
      </c>
      <c r="P181" s="7">
        <v>2</v>
      </c>
      <c r="Q181" s="7">
        <v>5</v>
      </c>
      <c r="R181" s="7">
        <v>0</v>
      </c>
      <c r="S181" s="7" t="s">
        <v>492</v>
      </c>
      <c r="T181" s="7">
        <v>24</v>
      </c>
      <c r="U181" s="7">
        <v>6</v>
      </c>
      <c r="V181" s="7">
        <v>20</v>
      </c>
      <c r="W181" s="7" t="s">
        <v>499</v>
      </c>
      <c r="X181" s="108">
        <v>1</v>
      </c>
      <c r="Y181" s="7" t="s">
        <v>495</v>
      </c>
      <c r="Z181" s="7">
        <f t="shared" si="2"/>
        <v>3</v>
      </c>
      <c r="AA181" s="151" t="s">
        <v>800</v>
      </c>
    </row>
    <row r="182" spans="1:27">
      <c r="A182" s="7" t="s">
        <v>743</v>
      </c>
      <c r="B182" s="7" t="s">
        <v>489</v>
      </c>
      <c r="C182" s="7">
        <v>727169081</v>
      </c>
      <c r="D182" s="7" t="s">
        <v>736</v>
      </c>
      <c r="E182" s="7" t="s">
        <v>744</v>
      </c>
      <c r="F182" s="7">
        <v>1</v>
      </c>
      <c r="G182" s="7" t="s">
        <v>0</v>
      </c>
      <c r="H182" s="7" t="s">
        <v>492</v>
      </c>
      <c r="I182" s="7" t="s">
        <v>492</v>
      </c>
      <c r="J182" s="7" t="s">
        <v>493</v>
      </c>
      <c r="K182" s="7">
        <v>10</v>
      </c>
      <c r="L182" s="7">
        <v>0</v>
      </c>
      <c r="M182" s="7">
        <v>0</v>
      </c>
      <c r="N182" s="7">
        <v>4</v>
      </c>
      <c r="O182" s="7">
        <v>2</v>
      </c>
      <c r="Q182" s="7">
        <v>3</v>
      </c>
      <c r="R182" s="7">
        <v>8</v>
      </c>
      <c r="S182" s="7" t="s">
        <v>492</v>
      </c>
      <c r="T182" s="7">
        <v>24</v>
      </c>
      <c r="U182" s="7">
        <v>2</v>
      </c>
      <c r="V182" s="7">
        <v>20</v>
      </c>
      <c r="W182" s="7" t="s">
        <v>499</v>
      </c>
      <c r="X182" s="108">
        <v>1</v>
      </c>
      <c r="Y182" s="7" t="s">
        <v>500</v>
      </c>
      <c r="Z182" s="7">
        <f t="shared" si="2"/>
        <v>1</v>
      </c>
      <c r="AA182" s="7" t="s">
        <v>462</v>
      </c>
    </row>
    <row r="183" spans="1:27">
      <c r="A183" s="7" t="s">
        <v>610</v>
      </c>
      <c r="B183" s="7" t="s">
        <v>504</v>
      </c>
      <c r="C183" s="7">
        <v>720406310</v>
      </c>
      <c r="D183" s="7" t="s">
        <v>736</v>
      </c>
      <c r="E183" s="7" t="s">
        <v>745</v>
      </c>
      <c r="F183" s="7">
        <v>3</v>
      </c>
      <c r="G183" s="7" t="s">
        <v>2</v>
      </c>
      <c r="H183" s="7" t="s">
        <v>0</v>
      </c>
      <c r="I183" s="7" t="s">
        <v>492</v>
      </c>
      <c r="J183" s="7" t="s">
        <v>493</v>
      </c>
      <c r="K183" s="7">
        <v>0</v>
      </c>
      <c r="L183" s="7">
        <v>72</v>
      </c>
      <c r="M183" s="7">
        <v>0</v>
      </c>
      <c r="N183" s="7">
        <v>3.25</v>
      </c>
      <c r="O183" s="7">
        <v>5</v>
      </c>
      <c r="P183" s="7">
        <v>0.2</v>
      </c>
      <c r="Q183" s="7">
        <v>3</v>
      </c>
      <c r="R183" s="7">
        <v>0</v>
      </c>
      <c r="S183" s="7" t="s">
        <v>492</v>
      </c>
      <c r="T183" s="7">
        <v>24</v>
      </c>
      <c r="U183" s="7">
        <v>4</v>
      </c>
      <c r="V183" s="7">
        <v>20</v>
      </c>
      <c r="W183" s="7" t="s">
        <v>508</v>
      </c>
      <c r="X183" s="108">
        <v>1</v>
      </c>
      <c r="Y183" s="7" t="s">
        <v>500</v>
      </c>
      <c r="Z183" s="7">
        <f t="shared" si="2"/>
        <v>1</v>
      </c>
      <c r="AA183" s="7" t="s">
        <v>462</v>
      </c>
    </row>
    <row r="184" spans="1:27">
      <c r="A184" s="7" t="s">
        <v>746</v>
      </c>
      <c r="B184" s="7" t="s">
        <v>504</v>
      </c>
      <c r="C184" s="7">
        <v>734350868</v>
      </c>
      <c r="D184" s="7" t="s">
        <v>736</v>
      </c>
      <c r="E184" s="7" t="s">
        <v>747</v>
      </c>
      <c r="F184" s="7">
        <v>4</v>
      </c>
      <c r="G184" s="7" t="s">
        <v>0</v>
      </c>
      <c r="H184" s="7" t="s">
        <v>2</v>
      </c>
      <c r="I184" s="7" t="s">
        <v>492</v>
      </c>
      <c r="J184" s="7" t="s">
        <v>493</v>
      </c>
      <c r="K184" s="7">
        <v>10</v>
      </c>
      <c r="L184" s="7">
        <v>36</v>
      </c>
      <c r="M184" s="7">
        <v>0</v>
      </c>
      <c r="N184" s="7">
        <v>3.25</v>
      </c>
      <c r="O184" s="7">
        <v>2</v>
      </c>
      <c r="Q184" s="7">
        <v>7</v>
      </c>
      <c r="R184" s="7">
        <v>0</v>
      </c>
      <c r="S184" s="7" t="s">
        <v>581</v>
      </c>
      <c r="T184" s="7">
        <v>24</v>
      </c>
      <c r="U184" s="7">
        <v>6</v>
      </c>
      <c r="V184" s="7">
        <v>20</v>
      </c>
      <c r="W184" s="7" t="s">
        <v>748</v>
      </c>
      <c r="X184" s="108">
        <v>1</v>
      </c>
      <c r="Y184" s="7" t="s">
        <v>512</v>
      </c>
      <c r="Z184" s="7">
        <f t="shared" si="2"/>
        <v>6</v>
      </c>
      <c r="AA184" s="7" t="s">
        <v>462</v>
      </c>
    </row>
    <row r="185" spans="1:27">
      <c r="A185" s="7" t="s">
        <v>749</v>
      </c>
      <c r="B185" s="7" t="s">
        <v>489</v>
      </c>
      <c r="C185" s="7">
        <v>724266440</v>
      </c>
      <c r="D185" s="7" t="s">
        <v>736</v>
      </c>
      <c r="E185" s="7" t="s">
        <v>747</v>
      </c>
      <c r="F185" s="7">
        <v>3</v>
      </c>
      <c r="G185" s="7" t="s">
        <v>2</v>
      </c>
      <c r="H185" s="7" t="s">
        <v>0</v>
      </c>
      <c r="I185" s="7" t="s">
        <v>492</v>
      </c>
      <c r="J185" s="7" t="s">
        <v>493</v>
      </c>
      <c r="K185" s="7">
        <v>2</v>
      </c>
      <c r="L185" s="7">
        <v>72</v>
      </c>
      <c r="M185" s="7">
        <v>0</v>
      </c>
      <c r="N185" s="7">
        <v>3.25</v>
      </c>
      <c r="O185" s="7">
        <v>3</v>
      </c>
      <c r="Q185" s="7">
        <v>3</v>
      </c>
      <c r="R185" s="7">
        <v>0</v>
      </c>
      <c r="S185" s="7" t="s">
        <v>492</v>
      </c>
      <c r="T185" s="7">
        <v>24</v>
      </c>
      <c r="U185" s="7">
        <v>4</v>
      </c>
      <c r="V185" s="7">
        <v>20</v>
      </c>
      <c r="W185" s="7" t="s">
        <v>499</v>
      </c>
      <c r="X185" s="108">
        <v>1</v>
      </c>
      <c r="Y185" s="7" t="s">
        <v>500</v>
      </c>
      <c r="Z185" s="7">
        <f t="shared" si="2"/>
        <v>1</v>
      </c>
      <c r="AA185" s="7" t="s">
        <v>462</v>
      </c>
    </row>
    <row r="186" spans="1:27">
      <c r="A186" s="7" t="s">
        <v>750</v>
      </c>
      <c r="B186" s="7" t="s">
        <v>504</v>
      </c>
      <c r="C186" s="7">
        <v>721441080</v>
      </c>
      <c r="D186" s="7" t="s">
        <v>736</v>
      </c>
      <c r="E186" s="7" t="s">
        <v>742</v>
      </c>
      <c r="F186" s="7">
        <v>5</v>
      </c>
      <c r="G186" s="7" t="s">
        <v>0</v>
      </c>
      <c r="H186" s="7" t="s">
        <v>492</v>
      </c>
      <c r="I186" s="7" t="s">
        <v>492</v>
      </c>
      <c r="J186" s="7" t="s">
        <v>493</v>
      </c>
      <c r="K186" s="7">
        <v>8</v>
      </c>
      <c r="L186" s="7">
        <v>0</v>
      </c>
      <c r="M186" s="7">
        <v>0</v>
      </c>
      <c r="N186" s="7">
        <v>3.25</v>
      </c>
      <c r="O186" s="7">
        <v>2</v>
      </c>
      <c r="Q186" s="7">
        <v>3</v>
      </c>
      <c r="R186" s="7">
        <v>6</v>
      </c>
      <c r="S186" s="7" t="s">
        <v>492</v>
      </c>
      <c r="T186" s="7">
        <v>24</v>
      </c>
      <c r="U186" s="7">
        <v>4</v>
      </c>
      <c r="V186" s="7">
        <v>20</v>
      </c>
      <c r="W186" s="7" t="s">
        <v>499</v>
      </c>
      <c r="X186" s="108">
        <v>1</v>
      </c>
      <c r="Y186" s="7" t="s">
        <v>512</v>
      </c>
      <c r="Z186" s="7">
        <f t="shared" si="2"/>
        <v>6</v>
      </c>
      <c r="AA186" s="7" t="s">
        <v>462</v>
      </c>
    </row>
    <row r="187" spans="1:27">
      <c r="A187" s="7" t="s">
        <v>751</v>
      </c>
      <c r="B187" s="7" t="s">
        <v>489</v>
      </c>
      <c r="C187" s="7">
        <v>716495099</v>
      </c>
      <c r="D187" s="7" t="s">
        <v>736</v>
      </c>
      <c r="E187" s="7" t="s">
        <v>737</v>
      </c>
      <c r="F187" s="7">
        <v>2</v>
      </c>
      <c r="G187" s="7" t="s">
        <v>0</v>
      </c>
      <c r="H187" s="7" t="s">
        <v>2</v>
      </c>
      <c r="I187" s="7" t="s">
        <v>492</v>
      </c>
      <c r="J187" s="7" t="s">
        <v>493</v>
      </c>
      <c r="K187" s="7">
        <v>7</v>
      </c>
      <c r="L187" s="7">
        <v>26</v>
      </c>
      <c r="M187" s="7">
        <v>0</v>
      </c>
      <c r="N187" s="7">
        <v>3</v>
      </c>
      <c r="O187" s="7">
        <v>3</v>
      </c>
      <c r="Q187" s="7">
        <v>7</v>
      </c>
      <c r="R187" s="7">
        <v>2</v>
      </c>
      <c r="S187" s="7" t="s">
        <v>752</v>
      </c>
      <c r="T187" s="7">
        <v>24</v>
      </c>
      <c r="U187" s="7">
        <v>12</v>
      </c>
      <c r="V187" s="7">
        <v>20</v>
      </c>
      <c r="W187" s="7" t="s">
        <v>499</v>
      </c>
      <c r="X187" s="108">
        <v>1</v>
      </c>
      <c r="Y187" s="7" t="s">
        <v>495</v>
      </c>
      <c r="Z187" s="7">
        <f t="shared" si="2"/>
        <v>3</v>
      </c>
      <c r="AA187" s="7" t="s">
        <v>462</v>
      </c>
    </row>
    <row r="188" spans="1:27">
      <c r="A188" s="7" t="s">
        <v>753</v>
      </c>
      <c r="B188" s="7" t="s">
        <v>504</v>
      </c>
      <c r="C188" s="7">
        <v>746511026</v>
      </c>
      <c r="D188" s="7" t="s">
        <v>736</v>
      </c>
      <c r="E188" s="7" t="s">
        <v>754</v>
      </c>
      <c r="F188" s="7">
        <v>4</v>
      </c>
      <c r="G188" s="7" t="s">
        <v>0</v>
      </c>
      <c r="H188" s="7" t="s">
        <v>492</v>
      </c>
      <c r="I188" s="7" t="s">
        <v>492</v>
      </c>
      <c r="J188" s="7" t="s">
        <v>493</v>
      </c>
      <c r="K188" s="7">
        <v>10</v>
      </c>
      <c r="L188" s="7">
        <v>0</v>
      </c>
      <c r="M188" s="7">
        <v>0</v>
      </c>
      <c r="N188" s="7">
        <v>3.5</v>
      </c>
      <c r="O188" s="7">
        <v>2</v>
      </c>
      <c r="Q188" s="7">
        <v>1</v>
      </c>
      <c r="R188" s="7">
        <v>18</v>
      </c>
      <c r="S188" s="7" t="s">
        <v>492</v>
      </c>
      <c r="T188" s="7">
        <v>24</v>
      </c>
      <c r="U188" s="7">
        <v>5</v>
      </c>
      <c r="V188" s="7">
        <v>20</v>
      </c>
      <c r="W188" s="7" t="s">
        <v>508</v>
      </c>
      <c r="X188" s="108">
        <v>1</v>
      </c>
      <c r="Y188" s="7" t="s">
        <v>500</v>
      </c>
      <c r="Z188" s="7">
        <f t="shared" si="2"/>
        <v>1</v>
      </c>
      <c r="AA188" s="7" t="s">
        <v>462</v>
      </c>
    </row>
    <row r="189" spans="1:27">
      <c r="A189" s="7" t="s">
        <v>755</v>
      </c>
      <c r="B189" s="7" t="s">
        <v>504</v>
      </c>
      <c r="C189" s="7">
        <v>727602031</v>
      </c>
      <c r="D189" s="7" t="s">
        <v>736</v>
      </c>
      <c r="E189" s="7" t="s">
        <v>744</v>
      </c>
      <c r="F189" s="7">
        <v>4</v>
      </c>
      <c r="G189" s="7" t="s">
        <v>0</v>
      </c>
      <c r="H189" s="7" t="s">
        <v>492</v>
      </c>
      <c r="I189" s="7" t="s">
        <v>492</v>
      </c>
      <c r="J189" s="7" t="s">
        <v>493</v>
      </c>
      <c r="K189" s="7">
        <v>10</v>
      </c>
      <c r="L189" s="7">
        <v>0</v>
      </c>
      <c r="M189" s="7">
        <v>0</v>
      </c>
      <c r="N189" s="7">
        <v>3.5</v>
      </c>
      <c r="O189" s="7">
        <v>3</v>
      </c>
      <c r="P189" s="7">
        <v>0.2</v>
      </c>
      <c r="Q189" s="7">
        <v>3</v>
      </c>
      <c r="R189" s="7">
        <v>0</v>
      </c>
      <c r="S189" s="7" t="s">
        <v>492</v>
      </c>
      <c r="T189" s="7">
        <v>24</v>
      </c>
      <c r="U189" s="7">
        <v>3</v>
      </c>
      <c r="V189" s="7">
        <v>20</v>
      </c>
      <c r="W189" s="7" t="s">
        <v>499</v>
      </c>
      <c r="X189" s="108">
        <v>1</v>
      </c>
      <c r="Y189" s="7" t="s">
        <v>495</v>
      </c>
      <c r="Z189" s="7">
        <f t="shared" si="2"/>
        <v>3</v>
      </c>
      <c r="AA189" s="7" t="s">
        <v>462</v>
      </c>
    </row>
    <row r="190" spans="1:27">
      <c r="A190" s="7" t="s">
        <v>756</v>
      </c>
      <c r="B190" s="7" t="s">
        <v>489</v>
      </c>
      <c r="C190" s="7">
        <v>722295665</v>
      </c>
      <c r="D190" s="7" t="s">
        <v>736</v>
      </c>
      <c r="E190" s="7" t="s">
        <v>742</v>
      </c>
      <c r="F190" s="7">
        <v>3</v>
      </c>
      <c r="G190" s="7" t="s">
        <v>0</v>
      </c>
      <c r="H190" s="7" t="s">
        <v>2</v>
      </c>
      <c r="I190" s="7" t="s">
        <v>492</v>
      </c>
      <c r="J190" s="7" t="s">
        <v>493</v>
      </c>
      <c r="K190" s="7">
        <v>6</v>
      </c>
      <c r="L190" s="7">
        <v>13</v>
      </c>
      <c r="M190" s="7">
        <v>0</v>
      </c>
      <c r="N190" s="7">
        <v>3.5</v>
      </c>
      <c r="O190" s="7">
        <v>2</v>
      </c>
      <c r="P190" s="7">
        <v>0.2</v>
      </c>
      <c r="Q190" s="7">
        <v>3</v>
      </c>
      <c r="R190" s="7">
        <v>0</v>
      </c>
      <c r="S190" s="7" t="s">
        <v>752</v>
      </c>
      <c r="T190" s="7">
        <v>24</v>
      </c>
      <c r="U190" s="7">
        <v>4</v>
      </c>
      <c r="V190" s="7">
        <v>20</v>
      </c>
      <c r="W190" s="7" t="s">
        <v>499</v>
      </c>
      <c r="X190" s="108">
        <v>2</v>
      </c>
      <c r="Y190" s="7" t="s">
        <v>495</v>
      </c>
      <c r="Z190" s="7">
        <f t="shared" si="2"/>
        <v>3</v>
      </c>
      <c r="AA190" s="7" t="s">
        <v>462</v>
      </c>
    </row>
    <row r="191" spans="1:27">
      <c r="A191" s="7" t="s">
        <v>757</v>
      </c>
      <c r="B191" s="7" t="s">
        <v>504</v>
      </c>
      <c r="C191" s="7">
        <v>715357050</v>
      </c>
      <c r="D191" s="7" t="s">
        <v>736</v>
      </c>
      <c r="E191" s="7" t="s">
        <v>742</v>
      </c>
      <c r="F191" s="7">
        <v>3</v>
      </c>
      <c r="G191" s="7" t="s">
        <v>0</v>
      </c>
      <c r="H191" s="7" t="s">
        <v>492</v>
      </c>
      <c r="I191" s="7" t="s">
        <v>492</v>
      </c>
      <c r="J191" s="7" t="s">
        <v>493</v>
      </c>
      <c r="K191" s="7">
        <v>11</v>
      </c>
      <c r="L191" s="7">
        <v>0</v>
      </c>
      <c r="M191" s="7">
        <v>0</v>
      </c>
      <c r="N191" s="7">
        <v>3.5</v>
      </c>
      <c r="O191" s="7">
        <v>3</v>
      </c>
      <c r="Q191" s="7">
        <v>3</v>
      </c>
      <c r="R191" s="7">
        <v>0</v>
      </c>
      <c r="S191" s="7" t="s">
        <v>492</v>
      </c>
      <c r="T191" s="7">
        <v>24</v>
      </c>
      <c r="U191" s="7">
        <v>4</v>
      </c>
      <c r="V191" s="7">
        <v>20</v>
      </c>
      <c r="W191" s="7" t="s">
        <v>499</v>
      </c>
      <c r="X191" s="108">
        <v>1</v>
      </c>
      <c r="Y191" s="7" t="s">
        <v>495</v>
      </c>
      <c r="Z191" s="7">
        <f t="shared" si="2"/>
        <v>3</v>
      </c>
      <c r="AA191" s="7" t="s">
        <v>462</v>
      </c>
    </row>
    <row r="192" spans="1:27">
      <c r="A192" s="7" t="s">
        <v>758</v>
      </c>
      <c r="B192" s="7" t="s">
        <v>489</v>
      </c>
      <c r="C192" s="7">
        <v>726214118</v>
      </c>
      <c r="D192" s="7" t="s">
        <v>736</v>
      </c>
      <c r="E192" s="7" t="s">
        <v>742</v>
      </c>
      <c r="F192" s="7">
        <v>6</v>
      </c>
      <c r="G192" s="7" t="s">
        <v>2</v>
      </c>
      <c r="H192" s="7" t="s">
        <v>0</v>
      </c>
      <c r="I192" s="7" t="s">
        <v>492</v>
      </c>
      <c r="J192" s="7" t="s">
        <v>493</v>
      </c>
      <c r="K192" s="7">
        <v>6</v>
      </c>
      <c r="L192" s="7">
        <v>72</v>
      </c>
      <c r="M192" s="7">
        <v>0</v>
      </c>
      <c r="N192" s="7">
        <v>3</v>
      </c>
      <c r="O192" s="7">
        <v>2</v>
      </c>
      <c r="P192" s="7">
        <v>0.5</v>
      </c>
      <c r="Q192" s="7">
        <v>3</v>
      </c>
      <c r="R192" s="7">
        <v>0</v>
      </c>
      <c r="S192" s="7" t="s">
        <v>492</v>
      </c>
      <c r="T192" s="7">
        <v>24</v>
      </c>
      <c r="U192" s="7">
        <v>4</v>
      </c>
      <c r="V192" s="7">
        <v>20</v>
      </c>
      <c r="W192" s="7" t="s">
        <v>499</v>
      </c>
      <c r="X192" s="108">
        <v>1</v>
      </c>
      <c r="Y192" s="7" t="s">
        <v>512</v>
      </c>
      <c r="Z192" s="7">
        <f t="shared" si="2"/>
        <v>6</v>
      </c>
      <c r="AA192" s="7" t="s">
        <v>462</v>
      </c>
    </row>
    <row r="193" spans="1:27">
      <c r="A193" s="7" t="s">
        <v>613</v>
      </c>
      <c r="B193" s="7" t="s">
        <v>504</v>
      </c>
      <c r="C193" s="7">
        <v>716263099</v>
      </c>
      <c r="D193" s="7" t="s">
        <v>736</v>
      </c>
      <c r="E193" s="7" t="s">
        <v>759</v>
      </c>
      <c r="F193" s="7">
        <v>2</v>
      </c>
      <c r="G193" s="7" t="s">
        <v>0</v>
      </c>
      <c r="H193" s="7" t="s">
        <v>492</v>
      </c>
      <c r="I193" s="7" t="s">
        <v>492</v>
      </c>
      <c r="J193" s="7" t="s">
        <v>493</v>
      </c>
      <c r="K193" s="7">
        <v>11</v>
      </c>
      <c r="L193" s="7">
        <v>0</v>
      </c>
      <c r="M193" s="7">
        <v>0</v>
      </c>
      <c r="N193" s="7">
        <v>3</v>
      </c>
      <c r="O193" s="7">
        <v>4</v>
      </c>
      <c r="Q193" s="7">
        <v>3</v>
      </c>
      <c r="R193" s="7">
        <v>3</v>
      </c>
      <c r="S193" s="7" t="s">
        <v>492</v>
      </c>
      <c r="T193" s="7">
        <v>24</v>
      </c>
      <c r="U193" s="7">
        <v>4</v>
      </c>
      <c r="V193" s="7">
        <v>20</v>
      </c>
      <c r="W193" s="7" t="s">
        <v>748</v>
      </c>
      <c r="X193" s="108">
        <v>1</v>
      </c>
      <c r="Y193" s="7" t="s">
        <v>495</v>
      </c>
      <c r="Z193" s="7">
        <f t="shared" si="2"/>
        <v>3</v>
      </c>
      <c r="AA193" s="7" t="s">
        <v>462</v>
      </c>
    </row>
    <row r="194" spans="1:27">
      <c r="A194" s="7" t="s">
        <v>760</v>
      </c>
      <c r="B194" s="7" t="s">
        <v>504</v>
      </c>
      <c r="C194" s="7">
        <v>729215329</v>
      </c>
      <c r="D194" s="7" t="s">
        <v>736</v>
      </c>
      <c r="E194" s="7" t="s">
        <v>737</v>
      </c>
      <c r="F194" s="7">
        <v>3</v>
      </c>
      <c r="G194" s="7" t="s">
        <v>0</v>
      </c>
      <c r="H194" s="7" t="s">
        <v>2</v>
      </c>
      <c r="I194" s="7" t="s">
        <v>492</v>
      </c>
      <c r="J194" s="7" t="s">
        <v>493</v>
      </c>
      <c r="K194" s="7">
        <v>10</v>
      </c>
      <c r="L194" s="7">
        <v>12</v>
      </c>
      <c r="M194" s="7">
        <v>0</v>
      </c>
      <c r="N194" s="7">
        <v>3.25</v>
      </c>
      <c r="O194" s="7">
        <v>2</v>
      </c>
      <c r="Q194" s="7">
        <v>4</v>
      </c>
      <c r="R194" s="7">
        <v>0</v>
      </c>
      <c r="S194" s="7" t="s">
        <v>492</v>
      </c>
      <c r="T194" s="7">
        <v>24</v>
      </c>
      <c r="U194" s="7">
        <v>6</v>
      </c>
      <c r="V194" s="7">
        <v>20</v>
      </c>
      <c r="W194" s="7" t="s">
        <v>499</v>
      </c>
      <c r="X194" s="108">
        <v>1</v>
      </c>
      <c r="Y194" s="7" t="s">
        <v>495</v>
      </c>
      <c r="Z194" s="7">
        <f t="shared" si="2"/>
        <v>3</v>
      </c>
      <c r="AA194" s="7" t="s">
        <v>462</v>
      </c>
    </row>
    <row r="195" spans="1:27">
      <c r="A195" s="7" t="s">
        <v>761</v>
      </c>
      <c r="B195" s="7" t="s">
        <v>489</v>
      </c>
      <c r="C195" s="7">
        <v>724960360</v>
      </c>
      <c r="D195" s="7" t="s">
        <v>736</v>
      </c>
      <c r="E195" s="7" t="s">
        <v>762</v>
      </c>
      <c r="F195" s="7">
        <v>2</v>
      </c>
      <c r="G195" s="7" t="s">
        <v>0</v>
      </c>
      <c r="H195" s="7" t="s">
        <v>492</v>
      </c>
      <c r="I195" s="7" t="s">
        <v>492</v>
      </c>
      <c r="J195" s="7" t="s">
        <v>493</v>
      </c>
      <c r="K195" s="7">
        <v>10</v>
      </c>
      <c r="L195" s="7">
        <v>0</v>
      </c>
      <c r="M195" s="7">
        <v>0</v>
      </c>
      <c r="N195" s="7">
        <v>3.25</v>
      </c>
      <c r="O195" s="7">
        <v>2</v>
      </c>
      <c r="Q195" s="7">
        <v>6</v>
      </c>
      <c r="R195" s="7">
        <v>0</v>
      </c>
      <c r="S195" s="7" t="s">
        <v>752</v>
      </c>
      <c r="T195" s="7">
        <v>24</v>
      </c>
      <c r="U195" s="7">
        <v>10</v>
      </c>
      <c r="V195" s="7">
        <v>20</v>
      </c>
      <c r="W195" s="7" t="s">
        <v>499</v>
      </c>
      <c r="X195" s="108">
        <v>1</v>
      </c>
      <c r="Y195" s="7" t="s">
        <v>495</v>
      </c>
      <c r="Z195" s="7">
        <f t="shared" ref="Z195:Z225" si="3">IF(Y195="Quarterly",3,IF(Y195="Monthly",1,IF(Y195="Bi-annually",6,IF(Y195="annualy",12,0))))</f>
        <v>3</v>
      </c>
      <c r="AA195" s="7" t="s">
        <v>462</v>
      </c>
    </row>
    <row r="196" spans="1:27">
      <c r="A196" s="7" t="s">
        <v>763</v>
      </c>
      <c r="B196" s="7" t="s">
        <v>504</v>
      </c>
      <c r="C196" s="7">
        <v>728035959</v>
      </c>
      <c r="D196" s="7" t="s">
        <v>736</v>
      </c>
      <c r="E196" s="7" t="s">
        <v>742</v>
      </c>
      <c r="F196" s="7">
        <v>6</v>
      </c>
      <c r="G196" s="7" t="s">
        <v>0</v>
      </c>
      <c r="H196" s="7" t="s">
        <v>492</v>
      </c>
      <c r="I196" s="7" t="s">
        <v>492</v>
      </c>
      <c r="J196" s="7" t="s">
        <v>493</v>
      </c>
      <c r="K196" s="7">
        <v>10</v>
      </c>
      <c r="L196" s="7">
        <v>0</v>
      </c>
      <c r="M196" s="7">
        <v>0</v>
      </c>
      <c r="N196" s="7">
        <v>3.5</v>
      </c>
      <c r="O196" s="7">
        <v>2</v>
      </c>
      <c r="Q196" s="7">
        <v>3</v>
      </c>
      <c r="R196" s="7">
        <v>9</v>
      </c>
      <c r="S196" s="7" t="s">
        <v>492</v>
      </c>
      <c r="T196" s="7">
        <v>24</v>
      </c>
      <c r="U196" s="7">
        <v>3</v>
      </c>
      <c r="V196" s="7">
        <v>20</v>
      </c>
      <c r="W196" s="7" t="s">
        <v>499</v>
      </c>
      <c r="X196" s="108">
        <v>1</v>
      </c>
      <c r="Y196" s="7" t="s">
        <v>495</v>
      </c>
      <c r="Z196" s="7">
        <f t="shared" si="3"/>
        <v>3</v>
      </c>
      <c r="AA196" s="7" t="s">
        <v>462</v>
      </c>
    </row>
    <row r="197" spans="1:27">
      <c r="A197" s="7" t="s">
        <v>764</v>
      </c>
      <c r="B197" s="7" t="s">
        <v>504</v>
      </c>
      <c r="C197" s="7">
        <v>712062085</v>
      </c>
      <c r="D197" s="7" t="s">
        <v>736</v>
      </c>
      <c r="E197" s="7" t="s">
        <v>742</v>
      </c>
      <c r="F197" s="7">
        <v>5</v>
      </c>
      <c r="G197" s="7" t="s">
        <v>0</v>
      </c>
      <c r="H197" s="7" t="s">
        <v>492</v>
      </c>
      <c r="I197" s="7" t="s">
        <v>492</v>
      </c>
      <c r="J197" s="7" t="s">
        <v>493</v>
      </c>
      <c r="K197" s="7">
        <v>7</v>
      </c>
      <c r="L197" s="7">
        <v>0</v>
      </c>
      <c r="M197" s="7">
        <v>0</v>
      </c>
      <c r="N197" s="7">
        <v>3.5</v>
      </c>
      <c r="O197" s="7">
        <v>4</v>
      </c>
      <c r="P197" s="7">
        <v>0.5</v>
      </c>
      <c r="Q197" s="7">
        <v>4</v>
      </c>
      <c r="R197" s="7">
        <v>0</v>
      </c>
      <c r="S197" s="7" t="s">
        <v>581</v>
      </c>
      <c r="T197" s="7">
        <v>24</v>
      </c>
      <c r="U197" s="7">
        <v>5</v>
      </c>
      <c r="V197" s="7">
        <v>20</v>
      </c>
      <c r="W197" s="7" t="s">
        <v>499</v>
      </c>
      <c r="X197" s="108">
        <v>1</v>
      </c>
      <c r="Y197" s="7" t="s">
        <v>500</v>
      </c>
      <c r="Z197" s="7">
        <f t="shared" si="3"/>
        <v>1</v>
      </c>
      <c r="AA197" s="7" t="s">
        <v>462</v>
      </c>
    </row>
    <row r="198" spans="1:27">
      <c r="A198" s="7" t="s">
        <v>765</v>
      </c>
      <c r="B198" s="7" t="s">
        <v>504</v>
      </c>
      <c r="C198" s="7">
        <v>723866152</v>
      </c>
      <c r="D198" s="7" t="s">
        <v>736</v>
      </c>
      <c r="E198" s="7" t="s">
        <v>742</v>
      </c>
      <c r="F198" s="7">
        <v>5</v>
      </c>
      <c r="G198" s="7" t="s">
        <v>2</v>
      </c>
      <c r="H198" s="7" t="s">
        <v>0</v>
      </c>
      <c r="I198" s="7" t="s">
        <v>492</v>
      </c>
      <c r="J198" s="7" t="s">
        <v>493</v>
      </c>
      <c r="K198" s="7">
        <v>0</v>
      </c>
      <c r="L198" s="7">
        <v>78</v>
      </c>
      <c r="M198" s="7">
        <v>0</v>
      </c>
      <c r="N198" s="7">
        <v>3.5</v>
      </c>
      <c r="O198" s="7">
        <v>3</v>
      </c>
      <c r="Q198" s="7">
        <v>3</v>
      </c>
      <c r="R198" s="7">
        <v>5</v>
      </c>
      <c r="S198" s="7" t="s">
        <v>492</v>
      </c>
      <c r="T198" s="7">
        <v>24</v>
      </c>
      <c r="U198" s="7">
        <v>3</v>
      </c>
      <c r="V198" s="7">
        <v>20</v>
      </c>
      <c r="W198" s="7" t="s">
        <v>499</v>
      </c>
      <c r="X198" s="108">
        <v>1</v>
      </c>
      <c r="Y198" s="7" t="s">
        <v>512</v>
      </c>
      <c r="Z198" s="7">
        <f t="shared" si="3"/>
        <v>6</v>
      </c>
      <c r="AA198" s="151" t="s">
        <v>800</v>
      </c>
    </row>
    <row r="199" spans="1:27">
      <c r="A199" s="7" t="s">
        <v>766</v>
      </c>
      <c r="B199" s="7" t="s">
        <v>489</v>
      </c>
      <c r="C199" s="7">
        <v>784031305</v>
      </c>
      <c r="D199" s="7" t="s">
        <v>736</v>
      </c>
      <c r="E199" s="7" t="s">
        <v>737</v>
      </c>
      <c r="F199" s="7">
        <v>6</v>
      </c>
      <c r="G199" s="7" t="s">
        <v>0</v>
      </c>
      <c r="H199" s="7" t="s">
        <v>2</v>
      </c>
      <c r="I199" s="7" t="s">
        <v>492</v>
      </c>
      <c r="J199" s="7" t="s">
        <v>493</v>
      </c>
      <c r="K199" s="7">
        <v>6</v>
      </c>
      <c r="L199" s="7">
        <v>36</v>
      </c>
      <c r="M199" s="7">
        <v>0</v>
      </c>
      <c r="N199" s="7">
        <v>3.75</v>
      </c>
      <c r="O199" s="7">
        <v>3</v>
      </c>
      <c r="P199" s="7">
        <v>0.5</v>
      </c>
      <c r="Q199" s="7">
        <v>6</v>
      </c>
      <c r="R199" s="7">
        <v>0</v>
      </c>
      <c r="S199" s="7" t="s">
        <v>492</v>
      </c>
      <c r="T199" s="7">
        <v>24</v>
      </c>
      <c r="U199" s="7">
        <v>10</v>
      </c>
      <c r="V199" s="7">
        <v>20</v>
      </c>
      <c r="W199" s="7" t="s">
        <v>499</v>
      </c>
      <c r="X199" s="108">
        <v>1</v>
      </c>
      <c r="Y199" s="7" t="s">
        <v>512</v>
      </c>
      <c r="Z199" s="7">
        <f t="shared" si="3"/>
        <v>6</v>
      </c>
      <c r="AA199" s="7" t="s">
        <v>462</v>
      </c>
    </row>
    <row r="200" spans="1:27">
      <c r="A200" s="7" t="s">
        <v>767</v>
      </c>
      <c r="B200" s="7" t="s">
        <v>504</v>
      </c>
      <c r="C200" s="7">
        <v>722345689</v>
      </c>
      <c r="D200" s="7" t="s">
        <v>736</v>
      </c>
      <c r="E200" s="7" t="s">
        <v>747</v>
      </c>
      <c r="F200" s="7">
        <v>5</v>
      </c>
      <c r="G200" s="7" t="s">
        <v>0</v>
      </c>
      <c r="H200" s="7" t="s">
        <v>2</v>
      </c>
      <c r="I200" s="7" t="s">
        <v>492</v>
      </c>
      <c r="J200" s="7" t="s">
        <v>493</v>
      </c>
      <c r="K200" s="7">
        <v>6</v>
      </c>
      <c r="L200" s="7">
        <v>13</v>
      </c>
      <c r="M200" s="7">
        <v>0</v>
      </c>
      <c r="N200" s="7">
        <v>4</v>
      </c>
      <c r="O200" s="7">
        <v>2</v>
      </c>
      <c r="Q200" s="7">
        <v>3</v>
      </c>
      <c r="R200" s="7">
        <v>2</v>
      </c>
      <c r="S200" s="7" t="s">
        <v>492</v>
      </c>
      <c r="T200" s="7">
        <v>24</v>
      </c>
      <c r="U200" s="7">
        <v>4</v>
      </c>
      <c r="V200" s="7">
        <v>20</v>
      </c>
      <c r="W200" s="7" t="s">
        <v>499</v>
      </c>
      <c r="X200" s="108">
        <v>2</v>
      </c>
      <c r="Y200" s="7" t="s">
        <v>495</v>
      </c>
      <c r="Z200" s="7">
        <f t="shared" si="3"/>
        <v>3</v>
      </c>
      <c r="AA200" s="7" t="s">
        <v>462</v>
      </c>
    </row>
    <row r="201" spans="1:27">
      <c r="A201" s="7" t="s">
        <v>768</v>
      </c>
      <c r="B201" s="7" t="s">
        <v>489</v>
      </c>
      <c r="C201" s="7">
        <v>722913530</v>
      </c>
      <c r="D201" s="7" t="s">
        <v>736</v>
      </c>
      <c r="E201" s="7" t="s">
        <v>737</v>
      </c>
      <c r="F201" s="7">
        <v>2</v>
      </c>
      <c r="G201" s="7" t="s">
        <v>0</v>
      </c>
      <c r="H201" s="7" t="s">
        <v>492</v>
      </c>
      <c r="I201" s="7" t="s">
        <v>492</v>
      </c>
      <c r="J201" s="7" t="s">
        <v>493</v>
      </c>
      <c r="K201" s="7">
        <v>11</v>
      </c>
      <c r="L201" s="7">
        <v>0</v>
      </c>
      <c r="M201" s="7">
        <v>0</v>
      </c>
      <c r="N201" s="7">
        <v>5</v>
      </c>
      <c r="O201" s="7">
        <v>2</v>
      </c>
      <c r="P201" s="7">
        <v>0.3</v>
      </c>
      <c r="Q201" s="7">
        <v>3</v>
      </c>
      <c r="R201" s="7">
        <v>0</v>
      </c>
      <c r="S201" s="7" t="s">
        <v>752</v>
      </c>
      <c r="T201" s="7">
        <v>24</v>
      </c>
      <c r="U201" s="7">
        <v>4</v>
      </c>
      <c r="V201" s="7">
        <v>20</v>
      </c>
      <c r="W201" s="7" t="s">
        <v>508</v>
      </c>
      <c r="X201" s="108">
        <v>1.5</v>
      </c>
      <c r="Y201" s="7" t="s">
        <v>495</v>
      </c>
      <c r="Z201" s="7">
        <f t="shared" si="3"/>
        <v>3</v>
      </c>
      <c r="AA201" s="7" t="s">
        <v>462</v>
      </c>
    </row>
    <row r="202" spans="1:27">
      <c r="A202" s="7" t="s">
        <v>769</v>
      </c>
      <c r="B202" s="7" t="s">
        <v>489</v>
      </c>
      <c r="C202" s="7">
        <v>748244199</v>
      </c>
      <c r="D202" s="7" t="s">
        <v>638</v>
      </c>
      <c r="E202" s="7" t="s">
        <v>770</v>
      </c>
      <c r="F202" s="7">
        <v>2</v>
      </c>
      <c r="G202" s="7" t="s">
        <v>0</v>
      </c>
      <c r="H202" s="7" t="s">
        <v>2</v>
      </c>
      <c r="I202" s="7" t="s">
        <v>492</v>
      </c>
      <c r="J202" s="7" t="s">
        <v>771</v>
      </c>
      <c r="K202" s="7">
        <v>10</v>
      </c>
      <c r="L202" s="7">
        <v>18</v>
      </c>
      <c r="M202" s="7">
        <v>0</v>
      </c>
      <c r="N202" s="7">
        <v>3</v>
      </c>
      <c r="O202" s="7">
        <v>3</v>
      </c>
      <c r="P202" s="7">
        <v>3</v>
      </c>
      <c r="Q202" s="7">
        <v>9</v>
      </c>
      <c r="R202" s="7">
        <v>0</v>
      </c>
      <c r="S202" s="7" t="s">
        <v>492</v>
      </c>
      <c r="T202" s="7">
        <v>24</v>
      </c>
      <c r="U202" s="7">
        <v>20</v>
      </c>
      <c r="V202" s="7">
        <v>20</v>
      </c>
      <c r="W202" s="7" t="s">
        <v>508</v>
      </c>
      <c r="X202" s="108">
        <v>1.5</v>
      </c>
      <c r="Y202" s="7" t="s">
        <v>495</v>
      </c>
      <c r="Z202" s="7">
        <f t="shared" si="3"/>
        <v>3</v>
      </c>
      <c r="AA202" s="151" t="s">
        <v>800</v>
      </c>
    </row>
    <row r="203" spans="1:27">
      <c r="A203" s="7" t="s">
        <v>772</v>
      </c>
      <c r="B203" s="7" t="s">
        <v>489</v>
      </c>
      <c r="C203" s="7">
        <v>728810347</v>
      </c>
      <c r="D203" s="7" t="s">
        <v>638</v>
      </c>
      <c r="E203" s="7" t="s">
        <v>770</v>
      </c>
      <c r="F203" s="7">
        <v>3</v>
      </c>
      <c r="G203" s="7" t="s">
        <v>0</v>
      </c>
      <c r="H203" s="7" t="s">
        <v>2</v>
      </c>
      <c r="I203" s="7" t="s">
        <v>492</v>
      </c>
      <c r="J203" s="7" t="s">
        <v>493</v>
      </c>
      <c r="K203" s="7">
        <v>11</v>
      </c>
      <c r="L203" s="7">
        <v>24</v>
      </c>
      <c r="M203" s="7">
        <v>0</v>
      </c>
      <c r="N203" s="7">
        <v>3</v>
      </c>
      <c r="O203" s="7">
        <v>1</v>
      </c>
      <c r="P203" s="7">
        <v>6</v>
      </c>
      <c r="Q203" s="7">
        <v>7</v>
      </c>
      <c r="R203" s="7">
        <v>0</v>
      </c>
      <c r="S203" s="7" t="s">
        <v>492</v>
      </c>
      <c r="T203" s="7">
        <v>24</v>
      </c>
      <c r="U203" s="7">
        <v>8</v>
      </c>
      <c r="V203" s="7">
        <v>20</v>
      </c>
      <c r="W203" s="7" t="s">
        <v>499</v>
      </c>
      <c r="X203" s="108">
        <v>1</v>
      </c>
      <c r="Y203" s="7" t="s">
        <v>500</v>
      </c>
      <c r="Z203" s="7">
        <f t="shared" si="3"/>
        <v>1</v>
      </c>
      <c r="AA203" s="7" t="s">
        <v>462</v>
      </c>
    </row>
    <row r="204" spans="1:27">
      <c r="A204" s="7" t="s">
        <v>773</v>
      </c>
      <c r="B204" s="7" t="s">
        <v>504</v>
      </c>
      <c r="C204" s="7">
        <v>724409426</v>
      </c>
      <c r="D204" s="7" t="s">
        <v>638</v>
      </c>
      <c r="E204" s="7" t="s">
        <v>770</v>
      </c>
      <c r="F204" s="7">
        <v>4</v>
      </c>
      <c r="G204" s="7" t="s">
        <v>0</v>
      </c>
      <c r="H204" s="7" t="s">
        <v>2</v>
      </c>
      <c r="I204" s="7" t="s">
        <v>492</v>
      </c>
      <c r="J204" s="7" t="s">
        <v>493</v>
      </c>
      <c r="K204" s="7">
        <v>10</v>
      </c>
      <c r="L204" s="7">
        <v>18</v>
      </c>
      <c r="M204" s="7">
        <v>0</v>
      </c>
      <c r="N204" s="7">
        <v>3</v>
      </c>
      <c r="O204" s="7">
        <v>3.5</v>
      </c>
      <c r="Q204" s="7">
        <v>8</v>
      </c>
      <c r="R204" s="7">
        <v>0</v>
      </c>
      <c r="S204" s="7" t="s">
        <v>591</v>
      </c>
      <c r="T204" s="7">
        <v>24</v>
      </c>
      <c r="U204" s="7">
        <v>12</v>
      </c>
      <c r="V204" s="7">
        <v>20</v>
      </c>
      <c r="W204" s="7" t="s">
        <v>499</v>
      </c>
      <c r="X204" s="108">
        <v>1</v>
      </c>
      <c r="Y204" s="7" t="s">
        <v>495</v>
      </c>
      <c r="Z204" s="7">
        <f t="shared" si="3"/>
        <v>3</v>
      </c>
      <c r="AA204" s="7" t="s">
        <v>462</v>
      </c>
    </row>
    <row r="205" spans="1:27">
      <c r="A205" s="7" t="s">
        <v>774</v>
      </c>
      <c r="B205" s="7" t="s">
        <v>489</v>
      </c>
      <c r="C205" s="7">
        <v>726797476</v>
      </c>
      <c r="D205" s="7" t="s">
        <v>638</v>
      </c>
      <c r="E205" s="7" t="s">
        <v>770</v>
      </c>
      <c r="F205" s="7">
        <v>5</v>
      </c>
      <c r="G205" s="7" t="s">
        <v>0</v>
      </c>
      <c r="H205" s="7" t="s">
        <v>2</v>
      </c>
      <c r="I205" s="7" t="s">
        <v>492</v>
      </c>
      <c r="J205" s="7" t="s">
        <v>493</v>
      </c>
      <c r="K205" s="7">
        <v>9</v>
      </c>
      <c r="L205" s="7">
        <v>24</v>
      </c>
      <c r="M205" s="7">
        <v>0</v>
      </c>
      <c r="N205" s="7">
        <v>3</v>
      </c>
      <c r="O205" s="7">
        <v>3</v>
      </c>
      <c r="P205" s="7">
        <v>1</v>
      </c>
      <c r="Q205" s="7">
        <v>5</v>
      </c>
      <c r="R205" s="7">
        <v>0</v>
      </c>
      <c r="S205" s="7" t="s">
        <v>492</v>
      </c>
      <c r="T205" s="7">
        <v>24</v>
      </c>
      <c r="U205" s="7">
        <v>7</v>
      </c>
      <c r="V205" s="7">
        <v>17</v>
      </c>
      <c r="W205" s="7" t="s">
        <v>508</v>
      </c>
      <c r="X205" s="108">
        <v>1</v>
      </c>
      <c r="Y205" s="7" t="s">
        <v>512</v>
      </c>
      <c r="Z205" s="7">
        <f t="shared" si="3"/>
        <v>6</v>
      </c>
      <c r="AA205" s="7" t="s">
        <v>462</v>
      </c>
    </row>
    <row r="206" spans="1:27">
      <c r="A206" s="7" t="s">
        <v>775</v>
      </c>
      <c r="B206" s="7" t="s">
        <v>504</v>
      </c>
      <c r="C206" s="7">
        <v>711450394</v>
      </c>
      <c r="D206" s="7" t="s">
        <v>638</v>
      </c>
      <c r="E206" s="7" t="s">
        <v>770</v>
      </c>
      <c r="F206" s="7">
        <v>4</v>
      </c>
      <c r="G206" s="7" t="s">
        <v>0</v>
      </c>
      <c r="H206" s="7" t="s">
        <v>2</v>
      </c>
      <c r="I206" s="7" t="s">
        <v>492</v>
      </c>
      <c r="J206" s="7" t="s">
        <v>493</v>
      </c>
      <c r="K206" s="7">
        <v>11</v>
      </c>
      <c r="L206" s="7">
        <v>24</v>
      </c>
      <c r="M206" s="7">
        <v>0</v>
      </c>
      <c r="N206" s="7">
        <v>3.5</v>
      </c>
      <c r="O206" s="7">
        <v>2.5</v>
      </c>
      <c r="Q206" s="7">
        <v>5</v>
      </c>
      <c r="R206" s="7">
        <v>0</v>
      </c>
      <c r="S206" s="7" t="s">
        <v>492</v>
      </c>
      <c r="T206" s="7">
        <v>24</v>
      </c>
      <c r="U206" s="7">
        <v>9</v>
      </c>
      <c r="V206" s="7">
        <v>20</v>
      </c>
      <c r="W206" s="7" t="s">
        <v>508</v>
      </c>
      <c r="X206" s="108">
        <v>1</v>
      </c>
      <c r="Y206" s="7" t="s">
        <v>495</v>
      </c>
      <c r="Z206" s="7">
        <f t="shared" si="3"/>
        <v>3</v>
      </c>
      <c r="AA206" s="7" t="s">
        <v>462</v>
      </c>
    </row>
    <row r="207" spans="1:27">
      <c r="A207" s="7" t="s">
        <v>776</v>
      </c>
      <c r="B207" s="7" t="s">
        <v>489</v>
      </c>
      <c r="C207" s="7">
        <v>726920581</v>
      </c>
      <c r="D207" s="7" t="s">
        <v>638</v>
      </c>
      <c r="E207" s="7" t="s">
        <v>770</v>
      </c>
      <c r="F207" s="7">
        <v>5</v>
      </c>
      <c r="G207" s="7" t="s">
        <v>0</v>
      </c>
      <c r="H207" s="7" t="s">
        <v>2</v>
      </c>
      <c r="I207" s="7" t="s">
        <v>492</v>
      </c>
      <c r="J207" s="7" t="s">
        <v>493</v>
      </c>
      <c r="K207" s="7">
        <v>8</v>
      </c>
      <c r="L207" s="7">
        <v>24</v>
      </c>
      <c r="M207" s="7">
        <v>0</v>
      </c>
      <c r="N207" s="7">
        <v>3</v>
      </c>
      <c r="O207" s="7">
        <v>3</v>
      </c>
      <c r="P207" s="7">
        <v>4</v>
      </c>
      <c r="Q207" s="7">
        <v>6</v>
      </c>
      <c r="R207" s="7">
        <v>0</v>
      </c>
      <c r="S207" s="7" t="s">
        <v>600</v>
      </c>
      <c r="T207" s="7">
        <v>24</v>
      </c>
      <c r="U207" s="7">
        <v>9</v>
      </c>
      <c r="V207" s="7">
        <v>20</v>
      </c>
      <c r="W207" s="7" t="s">
        <v>499</v>
      </c>
      <c r="X207" s="108">
        <v>1.5</v>
      </c>
      <c r="Y207" s="7" t="s">
        <v>500</v>
      </c>
      <c r="Z207" s="7">
        <f t="shared" si="3"/>
        <v>1</v>
      </c>
      <c r="AA207" s="7" t="s">
        <v>462</v>
      </c>
    </row>
    <row r="208" spans="1:27">
      <c r="A208" s="7" t="s">
        <v>777</v>
      </c>
      <c r="B208" s="7" t="s">
        <v>504</v>
      </c>
      <c r="C208" s="7">
        <v>721273732</v>
      </c>
      <c r="D208" s="7" t="s">
        <v>638</v>
      </c>
      <c r="E208" s="7" t="s">
        <v>770</v>
      </c>
      <c r="F208" s="7">
        <v>5</v>
      </c>
      <c r="G208" s="7" t="s">
        <v>0</v>
      </c>
      <c r="H208" s="7" t="s">
        <v>2</v>
      </c>
      <c r="I208" s="7" t="s">
        <v>492</v>
      </c>
      <c r="J208" s="7" t="s">
        <v>493</v>
      </c>
      <c r="K208" s="7">
        <v>10</v>
      </c>
      <c r="L208" s="7">
        <v>12</v>
      </c>
      <c r="M208" s="7">
        <v>0</v>
      </c>
      <c r="N208" s="7">
        <v>3.5</v>
      </c>
      <c r="O208" s="7">
        <v>2</v>
      </c>
      <c r="P208" s="7">
        <v>3</v>
      </c>
      <c r="Q208" s="7">
        <v>5</v>
      </c>
      <c r="R208" s="7">
        <v>0</v>
      </c>
      <c r="S208" s="7" t="s">
        <v>600</v>
      </c>
      <c r="T208" s="7">
        <v>24</v>
      </c>
      <c r="U208" s="7">
        <v>6</v>
      </c>
      <c r="V208" s="7">
        <v>20</v>
      </c>
      <c r="W208" s="7" t="s">
        <v>508</v>
      </c>
      <c r="X208" s="108">
        <v>1</v>
      </c>
      <c r="Y208" s="7" t="s">
        <v>495</v>
      </c>
      <c r="Z208" s="7">
        <f t="shared" si="3"/>
        <v>3</v>
      </c>
      <c r="AA208" s="7" t="s">
        <v>462</v>
      </c>
    </row>
    <row r="209" spans="1:27">
      <c r="A209" s="7" t="s">
        <v>778</v>
      </c>
      <c r="B209" s="7" t="s">
        <v>489</v>
      </c>
      <c r="C209" s="7">
        <v>708296850</v>
      </c>
      <c r="D209" s="7" t="s">
        <v>638</v>
      </c>
      <c r="E209" s="7" t="s">
        <v>770</v>
      </c>
      <c r="F209" s="7">
        <v>4</v>
      </c>
      <c r="G209" s="7" t="s">
        <v>0</v>
      </c>
      <c r="H209" s="7" t="s">
        <v>492</v>
      </c>
      <c r="I209" s="7" t="s">
        <v>492</v>
      </c>
      <c r="J209" s="7" t="s">
        <v>493</v>
      </c>
      <c r="K209" s="7">
        <v>9</v>
      </c>
      <c r="L209" s="7">
        <v>0</v>
      </c>
      <c r="M209" s="7">
        <v>0</v>
      </c>
      <c r="N209" s="7">
        <v>4</v>
      </c>
      <c r="O209" s="7">
        <v>3</v>
      </c>
      <c r="P209" s="7">
        <v>1.5</v>
      </c>
      <c r="Q209" s="7">
        <v>5</v>
      </c>
      <c r="R209" s="7">
        <v>0</v>
      </c>
      <c r="S209" s="7" t="s">
        <v>492</v>
      </c>
      <c r="T209" s="7">
        <v>24</v>
      </c>
      <c r="U209" s="7">
        <v>8</v>
      </c>
      <c r="V209" s="7">
        <v>20</v>
      </c>
      <c r="W209" s="7" t="s">
        <v>508</v>
      </c>
      <c r="X209" s="108">
        <v>1</v>
      </c>
      <c r="Y209" s="7" t="s">
        <v>495</v>
      </c>
      <c r="Z209" s="7">
        <f t="shared" si="3"/>
        <v>3</v>
      </c>
      <c r="AA209" s="7" t="s">
        <v>462</v>
      </c>
    </row>
    <row r="210" spans="1:27">
      <c r="A210" s="7" t="s">
        <v>779</v>
      </c>
      <c r="B210" s="7" t="s">
        <v>489</v>
      </c>
      <c r="C210" s="7">
        <v>727812538</v>
      </c>
      <c r="D210" s="7" t="s">
        <v>638</v>
      </c>
      <c r="E210" s="7" t="s">
        <v>770</v>
      </c>
      <c r="F210" s="7">
        <v>3</v>
      </c>
      <c r="G210" s="7" t="s">
        <v>0</v>
      </c>
      <c r="H210" s="7" t="s">
        <v>2</v>
      </c>
      <c r="I210" s="7" t="s">
        <v>492</v>
      </c>
      <c r="J210" s="7" t="s">
        <v>493</v>
      </c>
      <c r="K210" s="7">
        <v>10</v>
      </c>
      <c r="L210" s="7">
        <v>18</v>
      </c>
      <c r="M210" s="7">
        <v>0</v>
      </c>
      <c r="N210" s="7">
        <v>5</v>
      </c>
      <c r="O210" s="7">
        <v>3</v>
      </c>
      <c r="R210" s="7">
        <v>0</v>
      </c>
      <c r="S210" s="7" t="s">
        <v>492</v>
      </c>
      <c r="T210" s="7">
        <v>24</v>
      </c>
      <c r="U210" s="7">
        <v>8</v>
      </c>
      <c r="V210" s="7">
        <v>20</v>
      </c>
      <c r="W210" s="7" t="s">
        <v>508</v>
      </c>
      <c r="X210" s="108">
        <v>1</v>
      </c>
      <c r="Y210" s="7" t="s">
        <v>512</v>
      </c>
      <c r="Z210" s="7">
        <f t="shared" si="3"/>
        <v>6</v>
      </c>
      <c r="AA210" s="151" t="s">
        <v>800</v>
      </c>
    </row>
    <row r="211" spans="1:27">
      <c r="A211" s="7" t="s">
        <v>780</v>
      </c>
      <c r="B211" s="7" t="s">
        <v>489</v>
      </c>
      <c r="C211" s="7">
        <v>728845814</v>
      </c>
      <c r="D211" s="7" t="s">
        <v>638</v>
      </c>
      <c r="E211" s="7" t="s">
        <v>770</v>
      </c>
      <c r="F211" s="7">
        <v>5</v>
      </c>
      <c r="G211" s="7" t="s">
        <v>0</v>
      </c>
      <c r="H211" s="7" t="s">
        <v>2</v>
      </c>
      <c r="I211" s="7" t="s">
        <v>492</v>
      </c>
      <c r="J211" s="7" t="s">
        <v>493</v>
      </c>
      <c r="K211" s="7">
        <v>10</v>
      </c>
      <c r="L211" s="7">
        <v>12</v>
      </c>
      <c r="M211" s="7">
        <v>0</v>
      </c>
      <c r="N211" s="7">
        <v>5</v>
      </c>
      <c r="O211" s="7">
        <v>4</v>
      </c>
      <c r="P211" s="7">
        <v>1</v>
      </c>
      <c r="Q211" s="7">
        <v>6</v>
      </c>
      <c r="R211" s="7">
        <v>0</v>
      </c>
      <c r="S211" s="7" t="s">
        <v>591</v>
      </c>
      <c r="T211" s="7">
        <v>24</v>
      </c>
      <c r="U211" s="7">
        <v>7</v>
      </c>
      <c r="V211" s="7">
        <v>20</v>
      </c>
      <c r="W211" s="7" t="s">
        <v>508</v>
      </c>
      <c r="X211" s="108">
        <v>1</v>
      </c>
      <c r="Y211" s="7" t="s">
        <v>500</v>
      </c>
      <c r="Z211" s="7">
        <f t="shared" si="3"/>
        <v>1</v>
      </c>
      <c r="AA211" s="7" t="s">
        <v>462</v>
      </c>
    </row>
    <row r="212" spans="1:27">
      <c r="A212" s="7" t="s">
        <v>781</v>
      </c>
      <c r="B212" s="7" t="s">
        <v>489</v>
      </c>
      <c r="C212" s="7">
        <v>710472951</v>
      </c>
      <c r="D212" s="7" t="s">
        <v>638</v>
      </c>
      <c r="E212" s="7" t="s">
        <v>770</v>
      </c>
      <c r="F212" s="7">
        <v>5</v>
      </c>
      <c r="G212" s="7" t="s">
        <v>0</v>
      </c>
      <c r="H212" s="7" t="s">
        <v>2</v>
      </c>
      <c r="I212" s="7" t="s">
        <v>492</v>
      </c>
      <c r="J212" s="7" t="s">
        <v>493</v>
      </c>
      <c r="K212" s="7">
        <v>10</v>
      </c>
      <c r="L212" s="7">
        <v>18</v>
      </c>
      <c r="M212" s="7">
        <v>0</v>
      </c>
      <c r="N212" s="7">
        <v>5</v>
      </c>
      <c r="O212" s="7">
        <v>1</v>
      </c>
      <c r="P212" s="7">
        <v>2</v>
      </c>
      <c r="Q212" s="7">
        <v>5</v>
      </c>
      <c r="R212" s="7">
        <v>0</v>
      </c>
      <c r="S212" s="7" t="s">
        <v>492</v>
      </c>
      <c r="T212" s="7">
        <v>24</v>
      </c>
      <c r="U212" s="7">
        <v>8</v>
      </c>
      <c r="V212" s="7">
        <v>20</v>
      </c>
      <c r="W212" s="7" t="s">
        <v>508</v>
      </c>
      <c r="X212" s="108">
        <v>1</v>
      </c>
      <c r="Y212" s="7" t="s">
        <v>500</v>
      </c>
      <c r="Z212" s="7">
        <f t="shared" si="3"/>
        <v>1</v>
      </c>
      <c r="AA212" s="7" t="s">
        <v>462</v>
      </c>
    </row>
    <row r="213" spans="1:27">
      <c r="A213" s="7" t="s">
        <v>782</v>
      </c>
      <c r="B213" s="7" t="s">
        <v>504</v>
      </c>
      <c r="C213" s="7">
        <v>706609102</v>
      </c>
      <c r="D213" s="7" t="s">
        <v>638</v>
      </c>
      <c r="E213" s="7" t="s">
        <v>770</v>
      </c>
      <c r="F213" s="7">
        <v>5</v>
      </c>
      <c r="G213" s="7" t="s">
        <v>0</v>
      </c>
      <c r="H213" s="7" t="s">
        <v>492</v>
      </c>
      <c r="I213" s="7" t="s">
        <v>492</v>
      </c>
      <c r="J213" s="7" t="s">
        <v>493</v>
      </c>
      <c r="K213" s="7">
        <v>11</v>
      </c>
      <c r="L213" s="7">
        <v>0</v>
      </c>
      <c r="M213" s="7">
        <v>0</v>
      </c>
      <c r="N213" s="7">
        <v>4</v>
      </c>
      <c r="O213" s="7">
        <v>2</v>
      </c>
      <c r="P213" s="7">
        <v>2</v>
      </c>
      <c r="Q213" s="7">
        <v>6</v>
      </c>
      <c r="R213" s="7">
        <v>0</v>
      </c>
      <c r="S213" s="7" t="s">
        <v>492</v>
      </c>
      <c r="T213" s="7">
        <v>24</v>
      </c>
      <c r="U213" s="7">
        <v>12</v>
      </c>
      <c r="V213" s="7">
        <v>20</v>
      </c>
      <c r="W213" s="7" t="s">
        <v>508</v>
      </c>
      <c r="X213" s="108">
        <v>1</v>
      </c>
      <c r="Y213" s="7" t="s">
        <v>495</v>
      </c>
      <c r="Z213" s="7">
        <f t="shared" si="3"/>
        <v>3</v>
      </c>
      <c r="AA213" s="7" t="s">
        <v>462</v>
      </c>
    </row>
    <row r="214" spans="1:27">
      <c r="A214" s="7" t="s">
        <v>783</v>
      </c>
      <c r="B214" s="7" t="s">
        <v>489</v>
      </c>
      <c r="C214" s="7">
        <v>720113810</v>
      </c>
      <c r="D214" s="7" t="s">
        <v>638</v>
      </c>
      <c r="E214" s="7" t="s">
        <v>770</v>
      </c>
      <c r="F214" s="7">
        <v>5</v>
      </c>
      <c r="G214" s="7" t="s">
        <v>0</v>
      </c>
      <c r="H214" s="7" t="s">
        <v>492</v>
      </c>
      <c r="I214" s="7" t="s">
        <v>492</v>
      </c>
      <c r="J214" s="7" t="s">
        <v>493</v>
      </c>
      <c r="K214" s="7">
        <v>10</v>
      </c>
      <c r="L214" s="7">
        <v>0</v>
      </c>
      <c r="M214" s="7">
        <v>0</v>
      </c>
      <c r="N214" s="7">
        <v>3.5</v>
      </c>
      <c r="O214" s="7">
        <v>1</v>
      </c>
      <c r="P214" s="7">
        <v>2</v>
      </c>
      <c r="Q214" s="7">
        <v>7</v>
      </c>
      <c r="R214" s="7">
        <v>0</v>
      </c>
      <c r="S214" s="7" t="s">
        <v>492</v>
      </c>
      <c r="T214" s="7">
        <v>24</v>
      </c>
      <c r="U214" s="7">
        <v>9</v>
      </c>
      <c r="V214" s="7">
        <v>20</v>
      </c>
      <c r="W214" s="7" t="s">
        <v>508</v>
      </c>
      <c r="X214" s="108">
        <v>1.5</v>
      </c>
      <c r="Y214" s="7" t="s">
        <v>500</v>
      </c>
      <c r="Z214" s="7">
        <f t="shared" si="3"/>
        <v>1</v>
      </c>
      <c r="AA214" s="7" t="s">
        <v>462</v>
      </c>
    </row>
    <row r="215" spans="1:27">
      <c r="A215" s="7" t="s">
        <v>784</v>
      </c>
      <c r="B215" s="7" t="s">
        <v>504</v>
      </c>
      <c r="C215" s="7">
        <v>714392498</v>
      </c>
      <c r="D215" s="7" t="s">
        <v>638</v>
      </c>
      <c r="E215" s="7" t="s">
        <v>770</v>
      </c>
      <c r="F215" s="7">
        <v>5</v>
      </c>
      <c r="G215" s="7" t="s">
        <v>0</v>
      </c>
      <c r="H215" s="7" t="s">
        <v>2</v>
      </c>
      <c r="I215" s="7" t="s">
        <v>492</v>
      </c>
      <c r="J215" s="7" t="s">
        <v>493</v>
      </c>
      <c r="K215" s="7">
        <v>8</v>
      </c>
      <c r="L215" s="7">
        <v>24</v>
      </c>
      <c r="M215" s="7">
        <v>0</v>
      </c>
      <c r="N215" s="7">
        <v>4</v>
      </c>
      <c r="O215" s="7">
        <v>2.5</v>
      </c>
      <c r="P215" s="7">
        <v>2</v>
      </c>
      <c r="Q215" s="7">
        <v>5</v>
      </c>
      <c r="R215" s="7">
        <v>0</v>
      </c>
      <c r="S215" s="7" t="s">
        <v>492</v>
      </c>
      <c r="T215" s="7">
        <v>24</v>
      </c>
      <c r="U215" s="7">
        <v>9</v>
      </c>
      <c r="V215" s="7">
        <v>20</v>
      </c>
      <c r="W215" s="7" t="s">
        <v>508</v>
      </c>
      <c r="X215" s="108">
        <v>1</v>
      </c>
      <c r="Y215" s="7" t="s">
        <v>495</v>
      </c>
      <c r="Z215" s="7">
        <f t="shared" si="3"/>
        <v>3</v>
      </c>
      <c r="AA215" s="7" t="s">
        <v>462</v>
      </c>
    </row>
    <row r="216" spans="1:27">
      <c r="A216" s="7" t="s">
        <v>785</v>
      </c>
      <c r="B216" s="7" t="s">
        <v>504</v>
      </c>
      <c r="C216" s="7">
        <v>742529978</v>
      </c>
      <c r="D216" s="7" t="s">
        <v>638</v>
      </c>
      <c r="E216" s="7" t="s">
        <v>770</v>
      </c>
      <c r="F216" s="7">
        <v>4</v>
      </c>
      <c r="G216" s="7" t="s">
        <v>0</v>
      </c>
      <c r="H216" s="7" t="s">
        <v>2</v>
      </c>
      <c r="I216" s="7" t="s">
        <v>492</v>
      </c>
      <c r="J216" s="7" t="s">
        <v>493</v>
      </c>
      <c r="K216" s="7">
        <v>10</v>
      </c>
      <c r="L216" s="7">
        <v>12</v>
      </c>
      <c r="M216" s="7">
        <v>0</v>
      </c>
      <c r="N216" s="7">
        <v>3.5</v>
      </c>
      <c r="O216" s="7">
        <v>2</v>
      </c>
      <c r="P216" s="7">
        <v>2</v>
      </c>
      <c r="Q216" s="7">
        <v>5</v>
      </c>
      <c r="R216" s="7">
        <v>0</v>
      </c>
      <c r="S216" s="7" t="s">
        <v>591</v>
      </c>
      <c r="T216" s="7">
        <v>24</v>
      </c>
      <c r="U216" s="7">
        <v>6</v>
      </c>
      <c r="V216" s="7">
        <v>20</v>
      </c>
      <c r="W216" s="7" t="s">
        <v>508</v>
      </c>
      <c r="X216" s="108">
        <v>1</v>
      </c>
      <c r="Y216" s="7" t="s">
        <v>512</v>
      </c>
      <c r="Z216" s="7">
        <f t="shared" si="3"/>
        <v>6</v>
      </c>
      <c r="AA216" s="7" t="s">
        <v>462</v>
      </c>
    </row>
    <row r="217" spans="1:27">
      <c r="A217" s="7" t="s">
        <v>786</v>
      </c>
      <c r="B217" s="7" t="s">
        <v>489</v>
      </c>
      <c r="C217" s="7">
        <v>720775723</v>
      </c>
      <c r="D217" s="7" t="s">
        <v>638</v>
      </c>
      <c r="E217" s="7" t="s">
        <v>770</v>
      </c>
      <c r="F217" s="7">
        <v>6</v>
      </c>
      <c r="G217" s="7" t="s">
        <v>0</v>
      </c>
      <c r="H217" s="7" t="s">
        <v>2</v>
      </c>
      <c r="I217" s="7" t="s">
        <v>492</v>
      </c>
      <c r="J217" s="7" t="s">
        <v>493</v>
      </c>
      <c r="K217" s="7">
        <v>10</v>
      </c>
      <c r="L217" s="7">
        <v>18</v>
      </c>
      <c r="M217" s="7">
        <v>0</v>
      </c>
      <c r="N217" s="7">
        <v>4</v>
      </c>
      <c r="O217" s="7">
        <v>1</v>
      </c>
      <c r="P217" s="7">
        <v>2</v>
      </c>
      <c r="Q217" s="7">
        <v>6</v>
      </c>
      <c r="R217" s="7">
        <v>0</v>
      </c>
      <c r="S217" s="7" t="s">
        <v>492</v>
      </c>
      <c r="T217" s="7">
        <v>24</v>
      </c>
      <c r="U217" s="7">
        <v>10</v>
      </c>
      <c r="V217" s="7">
        <v>20</v>
      </c>
      <c r="W217" s="7" t="s">
        <v>508</v>
      </c>
      <c r="X217" s="108">
        <v>2</v>
      </c>
      <c r="Y217" s="7" t="s">
        <v>512</v>
      </c>
      <c r="Z217" s="7">
        <f t="shared" si="3"/>
        <v>6</v>
      </c>
      <c r="AA217" s="7" t="s">
        <v>462</v>
      </c>
    </row>
    <row r="218" spans="1:27">
      <c r="A218" s="7" t="s">
        <v>662</v>
      </c>
      <c r="B218" s="7" t="s">
        <v>489</v>
      </c>
      <c r="C218" s="7">
        <v>711579800</v>
      </c>
      <c r="D218" s="7" t="s">
        <v>638</v>
      </c>
      <c r="E218" s="7" t="s">
        <v>770</v>
      </c>
      <c r="F218" s="7">
        <v>3</v>
      </c>
      <c r="G218" s="7" t="s">
        <v>0</v>
      </c>
      <c r="H218" s="7" t="s">
        <v>2</v>
      </c>
      <c r="I218" s="7" t="s">
        <v>492</v>
      </c>
      <c r="J218" s="7" t="s">
        <v>493</v>
      </c>
      <c r="K218" s="7">
        <v>10</v>
      </c>
      <c r="L218" s="7">
        <v>24</v>
      </c>
      <c r="M218" s="7">
        <v>0</v>
      </c>
      <c r="N218" s="7">
        <v>3.5</v>
      </c>
      <c r="O218" s="7">
        <v>4</v>
      </c>
      <c r="P218" s="7">
        <v>3</v>
      </c>
      <c r="Q218" s="7">
        <v>5</v>
      </c>
      <c r="R218" s="7">
        <v>0</v>
      </c>
      <c r="S218" s="7" t="s">
        <v>492</v>
      </c>
      <c r="T218" s="7">
        <v>24</v>
      </c>
      <c r="U218" s="7">
        <v>8</v>
      </c>
      <c r="V218" s="7">
        <v>20</v>
      </c>
      <c r="W218" s="7" t="s">
        <v>508</v>
      </c>
      <c r="X218" s="108">
        <v>1</v>
      </c>
      <c r="Y218" s="7" t="s">
        <v>500</v>
      </c>
      <c r="Z218" s="7">
        <f t="shared" si="3"/>
        <v>1</v>
      </c>
      <c r="AA218" s="7" t="s">
        <v>462</v>
      </c>
    </row>
    <row r="219" spans="1:27">
      <c r="A219" s="7" t="s">
        <v>787</v>
      </c>
      <c r="B219" s="7" t="s">
        <v>504</v>
      </c>
      <c r="C219" s="7">
        <v>723483938</v>
      </c>
      <c r="D219" s="7" t="s">
        <v>638</v>
      </c>
      <c r="E219" s="7" t="s">
        <v>770</v>
      </c>
      <c r="F219" s="7">
        <v>5</v>
      </c>
      <c r="G219" s="7" t="s">
        <v>0</v>
      </c>
      <c r="H219" s="7" t="s">
        <v>2</v>
      </c>
      <c r="I219" s="7" t="s">
        <v>492</v>
      </c>
      <c r="J219" s="7" t="s">
        <v>493</v>
      </c>
      <c r="K219" s="7">
        <v>11</v>
      </c>
      <c r="L219" s="7">
        <v>24</v>
      </c>
      <c r="M219" s="7">
        <v>0</v>
      </c>
      <c r="N219" s="7">
        <v>3.5</v>
      </c>
      <c r="O219" s="7">
        <v>4</v>
      </c>
      <c r="P219" s="7">
        <v>4</v>
      </c>
      <c r="Q219" s="7">
        <v>5</v>
      </c>
      <c r="R219" s="7">
        <v>3</v>
      </c>
      <c r="S219" s="7" t="s">
        <v>591</v>
      </c>
      <c r="T219" s="7">
        <v>24</v>
      </c>
      <c r="U219" s="7">
        <v>9</v>
      </c>
      <c r="V219" s="7">
        <v>20</v>
      </c>
      <c r="W219" s="7" t="s">
        <v>508</v>
      </c>
      <c r="X219" s="108">
        <v>1</v>
      </c>
      <c r="Y219" s="7" t="s">
        <v>500</v>
      </c>
      <c r="Z219" s="7">
        <f t="shared" si="3"/>
        <v>1</v>
      </c>
      <c r="AA219" s="7" t="s">
        <v>462</v>
      </c>
    </row>
    <row r="220" spans="1:27">
      <c r="A220" s="7" t="s">
        <v>788</v>
      </c>
      <c r="B220" s="7" t="s">
        <v>504</v>
      </c>
      <c r="C220" s="7">
        <v>711139873</v>
      </c>
      <c r="D220" s="7" t="s">
        <v>638</v>
      </c>
      <c r="E220" s="7" t="s">
        <v>770</v>
      </c>
      <c r="F220" s="7">
        <v>8</v>
      </c>
      <c r="G220" s="7" t="s">
        <v>2</v>
      </c>
      <c r="H220" s="7" t="s">
        <v>0</v>
      </c>
      <c r="I220" s="7" t="s">
        <v>492</v>
      </c>
      <c r="J220" s="7" t="s">
        <v>493</v>
      </c>
      <c r="K220" s="7">
        <v>0</v>
      </c>
      <c r="L220" s="7">
        <v>72</v>
      </c>
      <c r="M220" s="7">
        <v>0</v>
      </c>
      <c r="N220" s="7">
        <v>4</v>
      </c>
      <c r="O220" s="7">
        <v>2</v>
      </c>
      <c r="P220" s="7">
        <v>2</v>
      </c>
      <c r="Q220" s="7">
        <v>6</v>
      </c>
      <c r="R220" s="7">
        <v>0</v>
      </c>
      <c r="S220" s="7" t="s">
        <v>591</v>
      </c>
      <c r="T220" s="7">
        <v>24</v>
      </c>
      <c r="U220" s="7">
        <v>10</v>
      </c>
      <c r="V220" s="7">
        <v>20</v>
      </c>
      <c r="W220" s="7" t="s">
        <v>499</v>
      </c>
      <c r="X220" s="108">
        <v>1</v>
      </c>
      <c r="Y220" s="7" t="s">
        <v>500</v>
      </c>
      <c r="Z220" s="7">
        <f t="shared" si="3"/>
        <v>1</v>
      </c>
      <c r="AA220" s="7" t="s">
        <v>462</v>
      </c>
    </row>
    <row r="221" spans="1:27">
      <c r="A221" s="7" t="s">
        <v>789</v>
      </c>
      <c r="B221" s="7" t="s">
        <v>489</v>
      </c>
      <c r="C221" s="7">
        <v>710640847</v>
      </c>
      <c r="D221" s="7" t="s">
        <v>638</v>
      </c>
      <c r="E221" s="7" t="s">
        <v>770</v>
      </c>
      <c r="F221" s="7">
        <v>4</v>
      </c>
      <c r="G221" s="7" t="s">
        <v>0</v>
      </c>
      <c r="H221" s="7" t="s">
        <v>2</v>
      </c>
      <c r="I221" s="7" t="s">
        <v>492</v>
      </c>
      <c r="J221" s="7" t="s">
        <v>493</v>
      </c>
      <c r="K221" s="7">
        <v>10</v>
      </c>
      <c r="L221" s="7">
        <v>18</v>
      </c>
      <c r="M221" s="7">
        <v>0</v>
      </c>
      <c r="N221" s="7">
        <v>4</v>
      </c>
      <c r="O221" s="7">
        <v>2</v>
      </c>
      <c r="P221" s="7">
        <v>4</v>
      </c>
      <c r="Q221" s="7">
        <v>5</v>
      </c>
      <c r="R221" s="7">
        <v>0</v>
      </c>
      <c r="S221" s="7" t="s">
        <v>492</v>
      </c>
      <c r="T221" s="7">
        <v>24</v>
      </c>
      <c r="U221" s="7">
        <v>6</v>
      </c>
      <c r="V221" s="7">
        <v>20</v>
      </c>
      <c r="W221" s="7" t="s">
        <v>790</v>
      </c>
      <c r="X221" s="108">
        <v>1</v>
      </c>
      <c r="Y221" s="7" t="s">
        <v>500</v>
      </c>
      <c r="Z221" s="7">
        <f t="shared" si="3"/>
        <v>1</v>
      </c>
      <c r="AA221" s="7" t="s">
        <v>462</v>
      </c>
    </row>
    <row r="222" spans="1:27">
      <c r="A222" s="7" t="s">
        <v>791</v>
      </c>
      <c r="B222" s="7" t="s">
        <v>489</v>
      </c>
      <c r="C222" s="7">
        <v>723279535</v>
      </c>
      <c r="D222" s="7" t="s">
        <v>638</v>
      </c>
      <c r="E222" s="7" t="s">
        <v>770</v>
      </c>
      <c r="F222" s="7">
        <v>6</v>
      </c>
      <c r="G222" s="7" t="s">
        <v>0</v>
      </c>
      <c r="H222" s="7" t="s">
        <v>2</v>
      </c>
      <c r="I222" s="7" t="s">
        <v>492</v>
      </c>
      <c r="J222" s="7" t="s">
        <v>493</v>
      </c>
      <c r="K222" s="7">
        <v>10</v>
      </c>
      <c r="L222" s="7">
        <v>24</v>
      </c>
      <c r="M222" s="7">
        <v>0</v>
      </c>
      <c r="N222" s="7">
        <v>3.5</v>
      </c>
      <c r="O222" s="7">
        <v>3</v>
      </c>
      <c r="Q222" s="7">
        <v>5</v>
      </c>
      <c r="R222" s="7">
        <v>0</v>
      </c>
      <c r="S222" s="7" t="s">
        <v>591</v>
      </c>
      <c r="T222" s="7">
        <v>24</v>
      </c>
      <c r="U222" s="7">
        <v>7</v>
      </c>
      <c r="V222" s="7">
        <v>20</v>
      </c>
      <c r="W222" s="7" t="s">
        <v>508</v>
      </c>
      <c r="X222" s="108">
        <v>1</v>
      </c>
      <c r="Y222" s="7" t="s">
        <v>512</v>
      </c>
      <c r="Z222" s="7">
        <f t="shared" si="3"/>
        <v>6</v>
      </c>
      <c r="AA222" s="7" t="s">
        <v>462</v>
      </c>
    </row>
    <row r="223" spans="1:27">
      <c r="A223" s="7" t="s">
        <v>792</v>
      </c>
      <c r="B223" s="7" t="s">
        <v>489</v>
      </c>
      <c r="C223" s="7">
        <v>727966791</v>
      </c>
      <c r="D223" s="7" t="s">
        <v>638</v>
      </c>
      <c r="E223" s="7" t="s">
        <v>770</v>
      </c>
      <c r="F223" s="7">
        <v>5</v>
      </c>
      <c r="G223" s="7" t="s">
        <v>0</v>
      </c>
      <c r="H223" s="7" t="s">
        <v>492</v>
      </c>
      <c r="I223" s="7" t="s">
        <v>492</v>
      </c>
      <c r="J223" s="7" t="s">
        <v>493</v>
      </c>
      <c r="K223" s="7">
        <v>10</v>
      </c>
      <c r="L223" s="7">
        <v>0</v>
      </c>
      <c r="M223" s="7">
        <v>0</v>
      </c>
      <c r="N223" s="7">
        <v>4.5</v>
      </c>
      <c r="O223" s="7">
        <v>3.5</v>
      </c>
      <c r="P223" s="7">
        <v>3</v>
      </c>
      <c r="Q223" s="7">
        <v>5</v>
      </c>
      <c r="R223" s="7">
        <v>0</v>
      </c>
      <c r="S223" s="7" t="s">
        <v>591</v>
      </c>
      <c r="T223" s="7">
        <v>24</v>
      </c>
      <c r="U223" s="7">
        <v>7</v>
      </c>
      <c r="V223" s="7">
        <v>20</v>
      </c>
      <c r="W223" s="7" t="s">
        <v>499</v>
      </c>
      <c r="X223" s="108">
        <v>1</v>
      </c>
      <c r="Y223" s="7" t="s">
        <v>495</v>
      </c>
      <c r="Z223" s="7">
        <f t="shared" si="3"/>
        <v>3</v>
      </c>
      <c r="AA223" s="7" t="s">
        <v>462</v>
      </c>
    </row>
    <row r="224" spans="1:27">
      <c r="A224" s="7" t="s">
        <v>793</v>
      </c>
      <c r="B224" s="7" t="s">
        <v>504</v>
      </c>
      <c r="C224" s="7">
        <v>723982972</v>
      </c>
      <c r="D224" s="7" t="s">
        <v>638</v>
      </c>
      <c r="E224" s="7" t="s">
        <v>770</v>
      </c>
      <c r="F224" s="7">
        <v>5</v>
      </c>
      <c r="G224" s="7" t="s">
        <v>0</v>
      </c>
      <c r="H224" s="7" t="s">
        <v>2</v>
      </c>
      <c r="I224" s="7" t="s">
        <v>492</v>
      </c>
      <c r="J224" s="7" t="s">
        <v>493</v>
      </c>
      <c r="K224" s="7">
        <v>10</v>
      </c>
      <c r="L224" s="7">
        <v>26</v>
      </c>
      <c r="M224" s="7">
        <v>0</v>
      </c>
      <c r="N224" s="7">
        <v>4.5</v>
      </c>
      <c r="O224" s="7">
        <v>3</v>
      </c>
      <c r="Q224" s="7">
        <v>5</v>
      </c>
      <c r="R224" s="7">
        <v>0</v>
      </c>
      <c r="S224" s="7" t="s">
        <v>591</v>
      </c>
      <c r="T224" s="7">
        <v>24</v>
      </c>
      <c r="U224" s="7">
        <v>7</v>
      </c>
      <c r="V224" s="7">
        <v>20</v>
      </c>
      <c r="W224" s="7" t="s">
        <v>499</v>
      </c>
      <c r="X224" s="108">
        <v>2</v>
      </c>
      <c r="Y224" s="7" t="s">
        <v>500</v>
      </c>
      <c r="Z224" s="7">
        <f t="shared" si="3"/>
        <v>1</v>
      </c>
      <c r="AA224" s="7" t="s">
        <v>462</v>
      </c>
    </row>
    <row r="225" spans="1:27">
      <c r="A225" s="7" t="s">
        <v>794</v>
      </c>
      <c r="B225" s="7" t="s">
        <v>504</v>
      </c>
      <c r="C225" s="7">
        <v>725004010</v>
      </c>
      <c r="D225" s="7" t="s">
        <v>638</v>
      </c>
      <c r="E225" s="7" t="s">
        <v>770</v>
      </c>
      <c r="F225" s="7">
        <v>4</v>
      </c>
      <c r="G225" s="7" t="s">
        <v>0</v>
      </c>
      <c r="H225" s="7" t="s">
        <v>2</v>
      </c>
      <c r="I225" s="7" t="s">
        <v>492</v>
      </c>
      <c r="J225" s="7" t="s">
        <v>493</v>
      </c>
      <c r="K225" s="7">
        <v>6</v>
      </c>
      <c r="L225" s="7">
        <v>24</v>
      </c>
      <c r="M225" s="7">
        <v>0</v>
      </c>
      <c r="N225" s="7">
        <v>4</v>
      </c>
      <c r="O225" s="7">
        <v>2</v>
      </c>
      <c r="P225" s="7">
        <v>0.5</v>
      </c>
      <c r="Q225" s="7">
        <v>5</v>
      </c>
      <c r="R225" s="7">
        <v>0</v>
      </c>
      <c r="S225" s="7" t="s">
        <v>591</v>
      </c>
      <c r="T225" s="7">
        <v>24</v>
      </c>
      <c r="U225" s="7">
        <v>6</v>
      </c>
      <c r="V225" s="7">
        <v>20</v>
      </c>
      <c r="W225" s="7" t="s">
        <v>499</v>
      </c>
      <c r="X225" s="108">
        <v>1</v>
      </c>
      <c r="Y225" s="7" t="s">
        <v>495</v>
      </c>
      <c r="Z225" s="7">
        <f t="shared" si="3"/>
        <v>3</v>
      </c>
      <c r="AA225" s="7" t="s">
        <v>462</v>
      </c>
    </row>
    <row r="226" spans="1:27">
      <c r="A226" s="7" t="s">
        <v>795</v>
      </c>
      <c r="B226" s="7" t="s">
        <v>489</v>
      </c>
      <c r="C226" s="7">
        <v>712306359</v>
      </c>
      <c r="D226" s="7" t="s">
        <v>638</v>
      </c>
      <c r="E226" s="7" t="s">
        <v>770</v>
      </c>
      <c r="F226" s="7">
        <v>7</v>
      </c>
      <c r="G226" s="7" t="s">
        <v>0</v>
      </c>
      <c r="H226" s="7" t="s">
        <v>2</v>
      </c>
      <c r="I226" s="7" t="s">
        <v>492</v>
      </c>
      <c r="J226" s="7" t="s">
        <v>493</v>
      </c>
      <c r="K226" s="7">
        <v>9</v>
      </c>
      <c r="L226" s="7">
        <v>12</v>
      </c>
      <c r="M226" s="7">
        <v>0</v>
      </c>
      <c r="N226" s="7">
        <v>5</v>
      </c>
      <c r="O226" s="7">
        <v>3</v>
      </c>
      <c r="Q226" s="7">
        <v>11</v>
      </c>
      <c r="R226" s="7">
        <v>0</v>
      </c>
      <c r="S226" s="7" t="s">
        <v>591</v>
      </c>
      <c r="T226" s="7">
        <v>24</v>
      </c>
      <c r="U226" s="7">
        <v>16</v>
      </c>
      <c r="V226" s="7">
        <v>20</v>
      </c>
      <c r="W226" s="7" t="s">
        <v>508</v>
      </c>
      <c r="X226" s="108">
        <v>1.5</v>
      </c>
      <c r="Y226" s="7" t="s">
        <v>495</v>
      </c>
      <c r="Z226" s="7">
        <f>IF(Y226="Quarterly",3,IF(Y226="Monthly",1,IF(Y226="Bi-annually",6,IF(Y226="annualy",12,0))))</f>
        <v>3</v>
      </c>
      <c r="AA226" s="7" t="s">
        <v>462</v>
      </c>
    </row>
    <row r="227" spans="1:27" customFormat="1">
      <c r="A227" s="87"/>
      <c r="B227" s="87"/>
      <c r="C227" s="87"/>
      <c r="F227" s="87"/>
      <c r="G227" s="87"/>
      <c r="H227" s="87"/>
      <c r="I227" s="87"/>
      <c r="J227" s="87"/>
      <c r="K227" s="87"/>
      <c r="L227" s="7"/>
      <c r="M227" s="87"/>
      <c r="N227" s="7"/>
      <c r="O227" s="7"/>
      <c r="Q227" s="87"/>
      <c r="R227" s="87"/>
      <c r="S227" s="87"/>
      <c r="T227" s="7"/>
      <c r="U227" s="7"/>
      <c r="V227" s="7"/>
      <c r="W227" s="7"/>
      <c r="X227" s="160"/>
      <c r="Z227" s="90">
        <f>AVERAGE(Z2:Z226)</f>
        <v>3.3377777777777777</v>
      </c>
    </row>
    <row r="228" spans="1:27" customFormat="1">
      <c r="A228" s="87"/>
      <c r="Q228" s="7"/>
      <c r="R228" s="7"/>
      <c r="X228" s="160"/>
    </row>
    <row r="229" spans="1:27" customFormat="1">
      <c r="X229" s="160"/>
    </row>
    <row r="230" spans="1:27" customFormat="1">
      <c r="F230" t="s">
        <v>0</v>
      </c>
      <c r="G230">
        <f>COUNTIF(G2:G226,F230)</f>
        <v>190</v>
      </c>
      <c r="H230" s="161">
        <f>G230/G234</f>
        <v>0.84444444444444444</v>
      </c>
      <c r="K230" s="162">
        <f>AVERAGE(K2:K226)</f>
        <v>8.1333333333333329</v>
      </c>
      <c r="L230" s="163">
        <f>AVERAGE(L2:L226)</f>
        <v>20.004444444444445</v>
      </c>
      <c r="M230" s="164">
        <f>AVERAGE(M2:M226)</f>
        <v>0.08</v>
      </c>
      <c r="N230" s="164">
        <f>AVERAGE(N2:N226)</f>
        <v>3.7416888888888891</v>
      </c>
      <c r="O230" s="164">
        <f>AVERAGE(O2:O226)</f>
        <v>2.3077777777777779</v>
      </c>
      <c r="Q230" s="162">
        <f>AVERAGE(Q2:Q226)</f>
        <v>5.1210762331838566</v>
      </c>
      <c r="R230" s="162">
        <f>AVERAGE(R2:R226)</f>
        <v>0.56888888888888889</v>
      </c>
      <c r="X230" s="162">
        <f>AVERAGE(X2:X226)</f>
        <v>1.2066666666666668</v>
      </c>
    </row>
    <row r="231" spans="1:27">
      <c r="F231" s="7" t="s">
        <v>112</v>
      </c>
      <c r="G231" s="7">
        <f>COUNTIF(G2:G226,F231)</f>
        <v>7</v>
      </c>
      <c r="H231" s="84">
        <f>G231/G234</f>
        <v>3.111111111111111E-2</v>
      </c>
      <c r="K231" s="7">
        <f>STDEV(K2:K226)</f>
        <v>3.3098877840279028</v>
      </c>
      <c r="L231" s="7">
        <f>STDEV(L2:L226)</f>
        <v>26.749248617247208</v>
      </c>
    </row>
    <row r="232" spans="1:27">
      <c r="F232" s="7" t="s">
        <v>2</v>
      </c>
      <c r="G232" s="7">
        <f>COUNTIF(G2:G226,F232)</f>
        <v>28</v>
      </c>
      <c r="H232" s="84">
        <f>G232/G234</f>
        <v>0.12444444444444444</v>
      </c>
    </row>
    <row r="233" spans="1:27">
      <c r="L233" s="7">
        <f>L230/365</f>
        <v>5.4806697108066973E-2</v>
      </c>
    </row>
    <row r="234" spans="1:27">
      <c r="G234" s="7">
        <f>SUM(G230:G232)</f>
        <v>225</v>
      </c>
    </row>
    <row r="236" spans="1:27">
      <c r="G236" s="165">
        <f>G234/225</f>
        <v>1</v>
      </c>
      <c r="J236" s="167" t="s">
        <v>26</v>
      </c>
      <c r="K236" s="171">
        <f>SUM(K2:K226)</f>
        <v>1830</v>
      </c>
      <c r="L236" s="171">
        <f>SUM(L2:L226)</f>
        <v>4501</v>
      </c>
      <c r="M236" s="171">
        <f>SUM(M2:M226)</f>
        <v>18</v>
      </c>
      <c r="P236" s="167" t="s">
        <v>26</v>
      </c>
      <c r="Q236" s="171">
        <f>SUM(Q2:Q226)</f>
        <v>1142</v>
      </c>
      <c r="R236" s="171">
        <f>SUM(R2:R226)</f>
        <v>128</v>
      </c>
    </row>
    <row r="237" spans="1:27">
      <c r="J237" s="167" t="s">
        <v>888</v>
      </c>
      <c r="K237" s="168">
        <f>AVERAGE(K2:K226)</f>
        <v>8.1333333333333329</v>
      </c>
      <c r="L237" s="168">
        <f>AVERAGE(L2:L226)</f>
        <v>20.004444444444445</v>
      </c>
      <c r="M237" s="168">
        <f>AVERAGE(M2:M226)</f>
        <v>0.08</v>
      </c>
      <c r="P237" s="167" t="s">
        <v>888</v>
      </c>
      <c r="Q237" s="168">
        <f>AVERAGE(Q2:Q226)</f>
        <v>5.1210762331838566</v>
      </c>
      <c r="R237" s="168">
        <f>AVERAGE(R2:R226)</f>
        <v>0.56888888888888889</v>
      </c>
    </row>
    <row r="238" spans="1:27">
      <c r="J238" s="167" t="s">
        <v>889</v>
      </c>
      <c r="K238" s="149">
        <f>STDEV(K2:K226)</f>
        <v>3.3098877840279028</v>
      </c>
      <c r="L238" s="149">
        <f>STDEV(L2:L226)</f>
        <v>26.749248617247208</v>
      </c>
      <c r="M238" s="149">
        <f>STDEV(M2:M226)</f>
        <v>0.45345892868042637</v>
      </c>
      <c r="P238" s="167" t="s">
        <v>889</v>
      </c>
      <c r="Q238" s="149">
        <f>STDEV(Q2:Q226)</f>
        <v>2.7702822421857185</v>
      </c>
      <c r="R238" s="149">
        <f>STDEV(R2:R226)</f>
        <v>2.9270766607278631</v>
      </c>
    </row>
    <row r="239" spans="1:27">
      <c r="J239" s="167" t="s">
        <v>890</v>
      </c>
      <c r="K239" s="108">
        <v>1.645</v>
      </c>
      <c r="L239" s="108">
        <v>2.645</v>
      </c>
      <c r="M239" s="108">
        <v>3.645</v>
      </c>
      <c r="P239" s="167" t="s">
        <v>890</v>
      </c>
      <c r="Q239" s="108">
        <v>1.645</v>
      </c>
      <c r="R239" s="108">
        <v>2.645</v>
      </c>
    </row>
    <row r="240" spans="1:27">
      <c r="J240" s="167" t="s">
        <v>891</v>
      </c>
      <c r="K240" s="149">
        <f>(K238/K237)^2</f>
        <v>0.16561108285023227</v>
      </c>
      <c r="L240" s="149">
        <f>(L238/L237)^2</f>
        <v>1.7880109941184734</v>
      </c>
      <c r="M240" s="149">
        <f>(M238/M237)^2</f>
        <v>32.128906249999993</v>
      </c>
      <c r="P240" s="167" t="s">
        <v>891</v>
      </c>
      <c r="Q240" s="149">
        <f>(Q238/Q237)^2</f>
        <v>0.29263451943574997</v>
      </c>
      <c r="R240" s="149">
        <f>(R238/R237)^2</f>
        <v>26.473617553710934</v>
      </c>
    </row>
    <row r="241" spans="10:18">
      <c r="J241" s="167" t="s">
        <v>892</v>
      </c>
      <c r="K241" s="108">
        <f>COUNT(K2:K226)</f>
        <v>225</v>
      </c>
      <c r="L241" s="108">
        <f>COUNT(L2:L226)</f>
        <v>225</v>
      </c>
      <c r="M241" s="108">
        <f>COUNT(M2:M226)</f>
        <v>225</v>
      </c>
      <c r="P241" s="167" t="s">
        <v>892</v>
      </c>
      <c r="Q241" s="108">
        <f>COUNT(Q2:Q226)</f>
        <v>223</v>
      </c>
      <c r="R241" s="108">
        <f>COUNT(R2:R226)</f>
        <v>225</v>
      </c>
    </row>
    <row r="242" spans="10:18">
      <c r="J242" s="167" t="s">
        <v>893</v>
      </c>
      <c r="K242" s="169">
        <f>SQRT(K239^2*K240/K241)</f>
        <v>4.4629224628900822E-2</v>
      </c>
      <c r="L242" s="169">
        <f>SQRT(L239^2*L240/L241)</f>
        <v>0.23578681157282447</v>
      </c>
      <c r="M242" s="169">
        <f>SQRT(M239^2*M240/M241)</f>
        <v>1.3773814958667949</v>
      </c>
      <c r="P242" s="167" t="s">
        <v>893</v>
      </c>
      <c r="Q242" s="169">
        <f>SQRT(Q239^2*Q240/Q241)</f>
        <v>5.9590392785744468E-2</v>
      </c>
      <c r="R242" s="169">
        <f>SQRT(R239^2*R240/R241)</f>
        <v>0.9072794258935778</v>
      </c>
    </row>
  </sheetData>
  <autoFilter ref="A1:AJ228" xr:uid="{1F8633D8-6080-AC43-B031-8127F85F3C8C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979DB-D570-D54B-A233-A8ED54C62AAB}">
  <dimension ref="A1:X88"/>
  <sheetViews>
    <sheetView topLeftCell="C42" workbookViewId="0">
      <selection activeCell="U42" sqref="U42"/>
    </sheetView>
  </sheetViews>
  <sheetFormatPr baseColWidth="10" defaultRowHeight="15"/>
  <cols>
    <col min="2" max="2" width="18.33203125" customWidth="1"/>
    <col min="3" max="3" width="22.83203125" customWidth="1"/>
  </cols>
  <sheetData>
    <row r="1" spans="1:24">
      <c r="A1" s="185" t="s">
        <v>805</v>
      </c>
      <c r="B1" s="185" t="s">
        <v>806</v>
      </c>
      <c r="C1" s="185" t="s">
        <v>807</v>
      </c>
      <c r="D1" s="119"/>
      <c r="E1" s="176" t="s">
        <v>808</v>
      </c>
      <c r="F1" s="177"/>
      <c r="G1" s="178"/>
      <c r="H1" s="179" t="s">
        <v>809</v>
      </c>
      <c r="I1" s="181"/>
      <c r="J1" s="181"/>
      <c r="K1" s="180"/>
      <c r="L1" s="176" t="s">
        <v>810</v>
      </c>
      <c r="M1" s="177"/>
      <c r="N1" s="177"/>
      <c r="O1" s="178"/>
      <c r="P1" s="179" t="s">
        <v>811</v>
      </c>
      <c r="Q1" s="180"/>
      <c r="R1" s="120"/>
      <c r="S1" s="120"/>
      <c r="T1" s="120"/>
      <c r="U1" s="121"/>
      <c r="V1" s="116"/>
      <c r="W1" s="116"/>
      <c r="X1" s="116"/>
    </row>
    <row r="2" spans="1:24" ht="64">
      <c r="A2" s="186"/>
      <c r="B2" s="186"/>
      <c r="C2" s="186"/>
      <c r="D2" s="122" t="s">
        <v>812</v>
      </c>
      <c r="E2" s="123" t="s">
        <v>813</v>
      </c>
      <c r="F2" s="124" t="s">
        <v>814</v>
      </c>
      <c r="G2" s="124" t="s">
        <v>815</v>
      </c>
      <c r="H2" s="122" t="s">
        <v>816</v>
      </c>
      <c r="I2" s="122" t="s">
        <v>817</v>
      </c>
      <c r="J2" s="122" t="s">
        <v>818</v>
      </c>
      <c r="K2" s="122" t="s">
        <v>819</v>
      </c>
      <c r="L2" s="124" t="s">
        <v>813</v>
      </c>
      <c r="M2" s="124" t="s">
        <v>820</v>
      </c>
      <c r="N2" s="124" t="s">
        <v>818</v>
      </c>
      <c r="O2" s="124" t="s">
        <v>819</v>
      </c>
      <c r="P2" s="122" t="s">
        <v>816</v>
      </c>
      <c r="Q2" s="122" t="s">
        <v>821</v>
      </c>
      <c r="R2" s="124" t="s">
        <v>822</v>
      </c>
      <c r="S2" s="124" t="s">
        <v>823</v>
      </c>
      <c r="T2" s="124" t="s">
        <v>824</v>
      </c>
      <c r="U2" s="125" t="s">
        <v>825</v>
      </c>
      <c r="V2" s="116"/>
      <c r="W2" s="116"/>
      <c r="X2" s="116"/>
    </row>
    <row r="3" spans="1:24">
      <c r="A3" s="114">
        <v>1</v>
      </c>
      <c r="B3" s="115" t="s">
        <v>826</v>
      </c>
      <c r="C3" s="115" t="s">
        <v>827</v>
      </c>
      <c r="D3" s="115" t="s">
        <v>828</v>
      </c>
      <c r="E3" s="126">
        <v>44809</v>
      </c>
      <c r="F3" s="115">
        <v>36</v>
      </c>
      <c r="G3" s="115">
        <v>6</v>
      </c>
      <c r="H3" s="127">
        <f>E3+1</f>
        <v>44810</v>
      </c>
      <c r="I3" s="115">
        <v>22</v>
      </c>
      <c r="J3" s="115">
        <v>10</v>
      </c>
      <c r="K3" s="115">
        <v>6</v>
      </c>
      <c r="L3" s="126">
        <f>H3+1</f>
        <v>44811</v>
      </c>
      <c r="M3" s="115">
        <v>18.5</v>
      </c>
      <c r="N3" s="115">
        <v>10</v>
      </c>
      <c r="O3" s="115">
        <v>6</v>
      </c>
      <c r="P3" s="127">
        <f>L3+1</f>
        <v>44812</v>
      </c>
      <c r="Q3" s="115">
        <v>17</v>
      </c>
      <c r="R3" s="105">
        <f t="shared" ref="R3:R34" si="0">(F3-I3)/G3</f>
        <v>2.3333333333333335</v>
      </c>
      <c r="S3" s="8">
        <f>((I3+J3)-M3)/K3</f>
        <v>2.25</v>
      </c>
      <c r="T3" s="89">
        <f>(M3+N3-Q3)/O3</f>
        <v>1.9166666666666667</v>
      </c>
      <c r="U3" s="170">
        <f>AVERAGE(R3:T3)</f>
        <v>2.166666666666667</v>
      </c>
      <c r="V3" s="116"/>
      <c r="W3" s="116"/>
      <c r="X3" s="116"/>
    </row>
    <row r="4" spans="1:24">
      <c r="A4" s="114">
        <v>2</v>
      </c>
      <c r="B4" s="115" t="s">
        <v>829</v>
      </c>
      <c r="C4" s="115" t="s">
        <v>827</v>
      </c>
      <c r="D4" s="115" t="s">
        <v>828</v>
      </c>
      <c r="E4" s="126">
        <v>44809</v>
      </c>
      <c r="F4" s="115">
        <v>32</v>
      </c>
      <c r="G4" s="115">
        <v>6</v>
      </c>
      <c r="H4" s="127">
        <f t="shared" ref="H4:H34" si="1">E4+1</f>
        <v>44810</v>
      </c>
      <c r="I4" s="115">
        <v>23</v>
      </c>
      <c r="J4" s="115">
        <v>10</v>
      </c>
      <c r="K4" s="115">
        <v>6</v>
      </c>
      <c r="L4" s="126">
        <f t="shared" ref="L4:L34" si="2">H4+1</f>
        <v>44811</v>
      </c>
      <c r="M4" s="115">
        <v>22</v>
      </c>
      <c r="N4" s="115">
        <v>10</v>
      </c>
      <c r="O4" s="115">
        <v>6</v>
      </c>
      <c r="P4" s="127">
        <f t="shared" ref="P4:P34" si="3">L4+1</f>
        <v>44812</v>
      </c>
      <c r="Q4" s="115">
        <v>18</v>
      </c>
      <c r="R4" s="105">
        <f t="shared" si="0"/>
        <v>1.5</v>
      </c>
      <c r="S4" s="8">
        <f t="shared" ref="S4:S34" si="4">((I4+J4)-M4)/K4</f>
        <v>1.8333333333333333</v>
      </c>
      <c r="T4" s="89">
        <f t="shared" ref="T4:T34" si="5">(M4+N4-Q4)/O4</f>
        <v>2.3333333333333335</v>
      </c>
      <c r="U4" s="170">
        <f t="shared" ref="U4:U34" si="6">AVERAGE(R4:T4)</f>
        <v>1.8888888888888886</v>
      </c>
      <c r="V4" s="116"/>
      <c r="W4" s="116"/>
      <c r="X4" s="116"/>
    </row>
    <row r="5" spans="1:24">
      <c r="A5" s="114">
        <v>3</v>
      </c>
      <c r="B5" s="115" t="s">
        <v>830</v>
      </c>
      <c r="C5" s="115" t="s">
        <v>827</v>
      </c>
      <c r="D5" s="115" t="s">
        <v>828</v>
      </c>
      <c r="E5" s="126">
        <v>44809</v>
      </c>
      <c r="F5" s="115">
        <v>38</v>
      </c>
      <c r="G5" s="115">
        <v>3</v>
      </c>
      <c r="H5" s="127">
        <f t="shared" si="1"/>
        <v>44810</v>
      </c>
      <c r="I5" s="115">
        <v>32</v>
      </c>
      <c r="J5" s="115">
        <v>10</v>
      </c>
      <c r="K5" s="115">
        <v>3</v>
      </c>
      <c r="L5" s="126">
        <f t="shared" si="2"/>
        <v>44811</v>
      </c>
      <c r="M5" s="115">
        <v>34</v>
      </c>
      <c r="N5" s="115">
        <v>10</v>
      </c>
      <c r="O5" s="115">
        <v>3</v>
      </c>
      <c r="P5" s="127">
        <f t="shared" si="3"/>
        <v>44812</v>
      </c>
      <c r="Q5" s="115">
        <v>39</v>
      </c>
      <c r="R5" s="105">
        <f t="shared" si="0"/>
        <v>2</v>
      </c>
      <c r="S5" s="8">
        <f t="shared" si="4"/>
        <v>2.6666666666666665</v>
      </c>
      <c r="T5" s="89">
        <f t="shared" si="5"/>
        <v>1.6666666666666667</v>
      </c>
      <c r="U5" s="170">
        <f t="shared" si="6"/>
        <v>2.1111111111111112</v>
      </c>
      <c r="V5" s="116"/>
      <c r="W5" s="116"/>
      <c r="X5" s="116"/>
    </row>
    <row r="6" spans="1:24">
      <c r="A6" s="114">
        <v>4</v>
      </c>
      <c r="B6" s="115" t="s">
        <v>831</v>
      </c>
      <c r="C6" s="115" t="s">
        <v>827</v>
      </c>
      <c r="D6" s="115" t="s">
        <v>828</v>
      </c>
      <c r="E6" s="126">
        <v>44809</v>
      </c>
      <c r="F6" s="115">
        <v>32</v>
      </c>
      <c r="G6" s="115">
        <v>3</v>
      </c>
      <c r="H6" s="127">
        <f t="shared" si="1"/>
        <v>44810</v>
      </c>
      <c r="I6" s="115">
        <v>26</v>
      </c>
      <c r="J6" s="115">
        <v>10</v>
      </c>
      <c r="K6" s="115">
        <v>3</v>
      </c>
      <c r="L6" s="126">
        <f t="shared" si="2"/>
        <v>44811</v>
      </c>
      <c r="M6" s="115">
        <v>30</v>
      </c>
      <c r="N6" s="115">
        <v>10</v>
      </c>
      <c r="O6" s="115">
        <v>3</v>
      </c>
      <c r="P6" s="127">
        <f t="shared" si="3"/>
        <v>44812</v>
      </c>
      <c r="Q6" s="115">
        <v>34</v>
      </c>
      <c r="R6" s="105">
        <f t="shared" si="0"/>
        <v>2</v>
      </c>
      <c r="S6" s="8">
        <f t="shared" si="4"/>
        <v>2</v>
      </c>
      <c r="T6" s="89">
        <f t="shared" si="5"/>
        <v>2</v>
      </c>
      <c r="U6" s="170">
        <f t="shared" si="6"/>
        <v>2</v>
      </c>
      <c r="V6" s="116"/>
      <c r="W6" s="116"/>
      <c r="X6" s="116"/>
    </row>
    <row r="7" spans="1:24">
      <c r="A7" s="114">
        <v>5</v>
      </c>
      <c r="B7" s="115" t="s">
        <v>832</v>
      </c>
      <c r="C7" s="115" t="s">
        <v>827</v>
      </c>
      <c r="D7" s="115" t="s">
        <v>828</v>
      </c>
      <c r="E7" s="126">
        <v>44809</v>
      </c>
      <c r="F7" s="115">
        <v>35</v>
      </c>
      <c r="G7" s="115">
        <v>2</v>
      </c>
      <c r="H7" s="127">
        <f t="shared" si="1"/>
        <v>44810</v>
      </c>
      <c r="I7" s="115">
        <v>29</v>
      </c>
      <c r="J7" s="115">
        <v>10</v>
      </c>
      <c r="K7" s="115">
        <v>2</v>
      </c>
      <c r="L7" s="126">
        <f t="shared" si="2"/>
        <v>44811</v>
      </c>
      <c r="M7" s="115">
        <v>33</v>
      </c>
      <c r="N7" s="115">
        <v>10</v>
      </c>
      <c r="O7" s="115">
        <v>2</v>
      </c>
      <c r="P7" s="127">
        <f t="shared" si="3"/>
        <v>44812</v>
      </c>
      <c r="Q7" s="115">
        <v>38</v>
      </c>
      <c r="R7" s="105">
        <f t="shared" si="0"/>
        <v>3</v>
      </c>
      <c r="S7" s="8">
        <f t="shared" si="4"/>
        <v>3</v>
      </c>
      <c r="T7" s="89">
        <f t="shared" si="5"/>
        <v>2.5</v>
      </c>
      <c r="U7" s="170">
        <f t="shared" si="6"/>
        <v>2.8333333333333335</v>
      </c>
      <c r="V7" s="116"/>
      <c r="W7" s="116"/>
      <c r="X7" s="116"/>
    </row>
    <row r="8" spans="1:24">
      <c r="A8" s="114">
        <v>6</v>
      </c>
      <c r="B8" s="115" t="s">
        <v>833</v>
      </c>
      <c r="C8" s="115" t="s">
        <v>827</v>
      </c>
      <c r="D8" s="115" t="s">
        <v>828</v>
      </c>
      <c r="E8" s="126">
        <v>44809</v>
      </c>
      <c r="F8" s="115">
        <v>37</v>
      </c>
      <c r="G8" s="115">
        <v>5</v>
      </c>
      <c r="H8" s="127">
        <f t="shared" si="1"/>
        <v>44810</v>
      </c>
      <c r="I8" s="115">
        <v>27</v>
      </c>
      <c r="J8" s="115">
        <v>10</v>
      </c>
      <c r="K8" s="115">
        <v>5</v>
      </c>
      <c r="L8" s="126">
        <f t="shared" si="2"/>
        <v>44811</v>
      </c>
      <c r="M8" s="115">
        <v>27</v>
      </c>
      <c r="N8" s="115">
        <v>10</v>
      </c>
      <c r="O8" s="115">
        <v>5</v>
      </c>
      <c r="P8" s="127">
        <f t="shared" si="3"/>
        <v>44812</v>
      </c>
      <c r="Q8" s="115">
        <v>28</v>
      </c>
      <c r="R8" s="105">
        <f t="shared" si="0"/>
        <v>2</v>
      </c>
      <c r="S8" s="8">
        <f t="shared" si="4"/>
        <v>2</v>
      </c>
      <c r="T8" s="89">
        <f t="shared" si="5"/>
        <v>1.8</v>
      </c>
      <c r="U8" s="170">
        <f t="shared" si="6"/>
        <v>1.9333333333333333</v>
      </c>
      <c r="V8" s="116"/>
      <c r="W8" s="116"/>
      <c r="X8" s="116"/>
    </row>
    <row r="9" spans="1:24">
      <c r="A9" s="114">
        <v>7</v>
      </c>
      <c r="B9" s="115" t="s">
        <v>834</v>
      </c>
      <c r="C9" s="115" t="s">
        <v>827</v>
      </c>
      <c r="D9" s="115" t="s">
        <v>828</v>
      </c>
      <c r="E9" s="126">
        <v>44809</v>
      </c>
      <c r="F9" s="115">
        <v>33</v>
      </c>
      <c r="G9" s="115">
        <v>5</v>
      </c>
      <c r="H9" s="127">
        <f t="shared" si="1"/>
        <v>44810</v>
      </c>
      <c r="I9" s="115">
        <v>25</v>
      </c>
      <c r="J9" s="115">
        <v>10</v>
      </c>
      <c r="K9" s="115">
        <v>5</v>
      </c>
      <c r="L9" s="126">
        <f t="shared" si="2"/>
        <v>44811</v>
      </c>
      <c r="M9" s="115">
        <v>26</v>
      </c>
      <c r="N9" s="115">
        <v>10</v>
      </c>
      <c r="O9" s="115">
        <v>5</v>
      </c>
      <c r="P9" s="127">
        <f t="shared" si="3"/>
        <v>44812</v>
      </c>
      <c r="Q9" s="115">
        <v>25</v>
      </c>
      <c r="R9" s="105">
        <f t="shared" si="0"/>
        <v>1.6</v>
      </c>
      <c r="S9" s="8">
        <f t="shared" si="4"/>
        <v>1.8</v>
      </c>
      <c r="T9" s="89">
        <f t="shared" si="5"/>
        <v>2.2000000000000002</v>
      </c>
      <c r="U9" s="170">
        <f t="shared" si="6"/>
        <v>1.8666666666666669</v>
      </c>
      <c r="V9" s="116"/>
      <c r="W9" s="116"/>
      <c r="X9" s="116"/>
    </row>
    <row r="10" spans="1:24">
      <c r="A10" s="114">
        <v>8</v>
      </c>
      <c r="B10" s="115" t="s">
        <v>835</v>
      </c>
      <c r="C10" s="115" t="s">
        <v>836</v>
      </c>
      <c r="D10" s="115" t="s">
        <v>828</v>
      </c>
      <c r="E10" s="126">
        <v>44816</v>
      </c>
      <c r="F10" s="115">
        <v>35</v>
      </c>
      <c r="G10" s="115">
        <v>2</v>
      </c>
      <c r="H10" s="127">
        <f t="shared" si="1"/>
        <v>44817</v>
      </c>
      <c r="I10" s="115">
        <v>28</v>
      </c>
      <c r="J10" s="115">
        <v>10</v>
      </c>
      <c r="K10" s="115">
        <v>2</v>
      </c>
      <c r="L10" s="126">
        <f t="shared" si="2"/>
        <v>44818</v>
      </c>
      <c r="M10" s="115">
        <v>31</v>
      </c>
      <c r="N10" s="115">
        <v>10</v>
      </c>
      <c r="O10" s="115">
        <v>2</v>
      </c>
      <c r="P10" s="127">
        <f t="shared" si="3"/>
        <v>44819</v>
      </c>
      <c r="Q10" s="115">
        <v>37</v>
      </c>
      <c r="R10" s="105">
        <f t="shared" si="0"/>
        <v>3.5</v>
      </c>
      <c r="S10" s="8">
        <f t="shared" si="4"/>
        <v>3.5</v>
      </c>
      <c r="T10" s="89">
        <f t="shared" si="5"/>
        <v>2</v>
      </c>
      <c r="U10" s="170">
        <f t="shared" si="6"/>
        <v>3</v>
      </c>
      <c r="V10" s="116"/>
      <c r="W10" s="116"/>
      <c r="X10" s="116"/>
    </row>
    <row r="11" spans="1:24">
      <c r="A11" s="114">
        <v>9</v>
      </c>
      <c r="B11" s="115" t="s">
        <v>837</v>
      </c>
      <c r="C11" s="115" t="s">
        <v>836</v>
      </c>
      <c r="D11" s="115" t="s">
        <v>828</v>
      </c>
      <c r="E11" s="126">
        <v>44816</v>
      </c>
      <c r="F11" s="115">
        <v>53</v>
      </c>
      <c r="G11" s="115">
        <v>10</v>
      </c>
      <c r="H11" s="127">
        <f t="shared" si="1"/>
        <v>44817</v>
      </c>
      <c r="I11" s="115">
        <v>32</v>
      </c>
      <c r="J11" s="115">
        <v>30</v>
      </c>
      <c r="K11" s="115">
        <v>10</v>
      </c>
      <c r="L11" s="126">
        <f t="shared" si="2"/>
        <v>44818</v>
      </c>
      <c r="M11" s="115">
        <v>39</v>
      </c>
      <c r="N11" s="115">
        <v>10</v>
      </c>
      <c r="O11" s="115">
        <v>10</v>
      </c>
      <c r="P11" s="127">
        <f t="shared" si="3"/>
        <v>44819</v>
      </c>
      <c r="Q11" s="115">
        <v>28</v>
      </c>
      <c r="R11" s="105">
        <f t="shared" si="0"/>
        <v>2.1</v>
      </c>
      <c r="S11" s="8">
        <f t="shared" si="4"/>
        <v>2.2999999999999998</v>
      </c>
      <c r="T11" s="89">
        <f t="shared" si="5"/>
        <v>2.1</v>
      </c>
      <c r="U11" s="170">
        <f t="shared" si="6"/>
        <v>2.1666666666666665</v>
      </c>
      <c r="V11" s="116"/>
      <c r="W11" s="116"/>
      <c r="X11" s="116"/>
    </row>
    <row r="12" spans="1:24">
      <c r="A12" s="114">
        <v>10</v>
      </c>
      <c r="B12" s="115" t="s">
        <v>838</v>
      </c>
      <c r="C12" s="115" t="s">
        <v>836</v>
      </c>
      <c r="D12" s="115" t="s">
        <v>828</v>
      </c>
      <c r="E12" s="126">
        <v>44816</v>
      </c>
      <c r="F12" s="115">
        <v>31</v>
      </c>
      <c r="G12" s="115">
        <v>6</v>
      </c>
      <c r="H12" s="127">
        <f t="shared" si="1"/>
        <v>44817</v>
      </c>
      <c r="I12" s="115">
        <v>21</v>
      </c>
      <c r="J12" s="115">
        <v>10</v>
      </c>
      <c r="K12" s="115">
        <v>6</v>
      </c>
      <c r="L12" s="126">
        <f t="shared" si="2"/>
        <v>44818</v>
      </c>
      <c r="M12" s="115">
        <v>19</v>
      </c>
      <c r="N12" s="115">
        <v>10</v>
      </c>
      <c r="O12" s="115">
        <v>6</v>
      </c>
      <c r="P12" s="127">
        <f t="shared" si="3"/>
        <v>44819</v>
      </c>
      <c r="Q12" s="115">
        <v>18</v>
      </c>
      <c r="R12" s="105">
        <f t="shared" si="0"/>
        <v>1.6666666666666667</v>
      </c>
      <c r="S12" s="8">
        <f t="shared" si="4"/>
        <v>2</v>
      </c>
      <c r="T12" s="89">
        <f t="shared" si="5"/>
        <v>1.8333333333333333</v>
      </c>
      <c r="U12" s="143">
        <f t="shared" si="6"/>
        <v>1.8333333333333333</v>
      </c>
      <c r="V12" s="116"/>
      <c r="W12" s="116"/>
      <c r="X12" s="116"/>
    </row>
    <row r="13" spans="1:24">
      <c r="A13" s="114">
        <v>11</v>
      </c>
      <c r="B13" s="115" t="s">
        <v>839</v>
      </c>
      <c r="C13" s="115" t="s">
        <v>836</v>
      </c>
      <c r="D13" s="115" t="s">
        <v>828</v>
      </c>
      <c r="E13" s="126">
        <v>44816</v>
      </c>
      <c r="F13" s="115">
        <v>33</v>
      </c>
      <c r="G13" s="115">
        <v>2</v>
      </c>
      <c r="H13" s="127">
        <f t="shared" si="1"/>
        <v>44817</v>
      </c>
      <c r="I13" s="115">
        <v>29</v>
      </c>
      <c r="J13" s="115">
        <v>10</v>
      </c>
      <c r="K13" s="115">
        <v>2</v>
      </c>
      <c r="L13" s="126">
        <f t="shared" si="2"/>
        <v>44818</v>
      </c>
      <c r="M13" s="115">
        <v>34</v>
      </c>
      <c r="N13" s="115">
        <v>10</v>
      </c>
      <c r="O13" s="115">
        <v>2</v>
      </c>
      <c r="P13" s="127">
        <f t="shared" si="3"/>
        <v>44819</v>
      </c>
      <c r="Q13" s="115">
        <v>37</v>
      </c>
      <c r="R13" s="105">
        <f t="shared" si="0"/>
        <v>2</v>
      </c>
      <c r="S13" s="8">
        <f t="shared" si="4"/>
        <v>2.5</v>
      </c>
      <c r="T13" s="89">
        <f t="shared" si="5"/>
        <v>3.5</v>
      </c>
      <c r="U13" s="170">
        <f t="shared" si="6"/>
        <v>2.6666666666666665</v>
      </c>
      <c r="V13" s="116"/>
      <c r="W13" s="116"/>
      <c r="X13" s="116"/>
    </row>
    <row r="14" spans="1:24">
      <c r="A14" s="114">
        <v>12</v>
      </c>
      <c r="B14" s="115" t="s">
        <v>840</v>
      </c>
      <c r="C14" s="115" t="s">
        <v>841</v>
      </c>
      <c r="D14" s="115" t="s">
        <v>828</v>
      </c>
      <c r="E14" s="126">
        <v>44848</v>
      </c>
      <c r="F14" s="115">
        <v>30</v>
      </c>
      <c r="G14" s="115">
        <v>5</v>
      </c>
      <c r="H14" s="127">
        <f t="shared" si="1"/>
        <v>44849</v>
      </c>
      <c r="I14" s="115">
        <v>20</v>
      </c>
      <c r="J14" s="115">
        <v>10</v>
      </c>
      <c r="K14" s="115">
        <v>5</v>
      </c>
      <c r="L14" s="126">
        <f t="shared" si="2"/>
        <v>44850</v>
      </c>
      <c r="M14" s="115">
        <v>22</v>
      </c>
      <c r="N14" s="115">
        <v>10</v>
      </c>
      <c r="O14" s="115">
        <v>5</v>
      </c>
      <c r="P14" s="127">
        <f t="shared" si="3"/>
        <v>44851</v>
      </c>
      <c r="Q14" s="115">
        <v>23</v>
      </c>
      <c r="R14" s="105">
        <f t="shared" si="0"/>
        <v>2</v>
      </c>
      <c r="S14" s="8">
        <f t="shared" si="4"/>
        <v>1.6</v>
      </c>
      <c r="T14" s="89">
        <f t="shared" si="5"/>
        <v>1.8</v>
      </c>
      <c r="U14" s="170">
        <f t="shared" si="6"/>
        <v>1.8</v>
      </c>
      <c r="V14" s="116"/>
      <c r="W14" s="116"/>
      <c r="X14" s="116"/>
    </row>
    <row r="15" spans="1:24">
      <c r="A15" s="114">
        <v>13</v>
      </c>
      <c r="B15" s="115" t="s">
        <v>842</v>
      </c>
      <c r="C15" s="115" t="s">
        <v>841</v>
      </c>
      <c r="D15" s="115" t="s">
        <v>828</v>
      </c>
      <c r="E15" s="126">
        <v>44848</v>
      </c>
      <c r="F15" s="115">
        <v>38</v>
      </c>
      <c r="G15" s="115">
        <v>3</v>
      </c>
      <c r="H15" s="127">
        <f t="shared" si="1"/>
        <v>44849</v>
      </c>
      <c r="I15" s="115">
        <v>30</v>
      </c>
      <c r="J15" s="115">
        <v>10</v>
      </c>
      <c r="K15" s="115">
        <v>5</v>
      </c>
      <c r="L15" s="126">
        <f t="shared" si="2"/>
        <v>44850</v>
      </c>
      <c r="M15" s="115">
        <v>30</v>
      </c>
      <c r="N15" s="115">
        <v>10</v>
      </c>
      <c r="O15" s="115">
        <v>5</v>
      </c>
      <c r="P15" s="127">
        <f t="shared" si="3"/>
        <v>44851</v>
      </c>
      <c r="Q15" s="115">
        <v>23</v>
      </c>
      <c r="R15" s="105">
        <f t="shared" si="0"/>
        <v>2.6666666666666665</v>
      </c>
      <c r="S15" s="8">
        <f t="shared" si="4"/>
        <v>2</v>
      </c>
      <c r="T15" s="89">
        <f t="shared" si="5"/>
        <v>3.4</v>
      </c>
      <c r="U15" s="170">
        <f t="shared" si="6"/>
        <v>2.6888888888888887</v>
      </c>
      <c r="V15" s="116"/>
      <c r="W15" s="116"/>
      <c r="X15" s="129"/>
    </row>
    <row r="16" spans="1:24">
      <c r="A16" s="114">
        <v>14</v>
      </c>
      <c r="B16" s="115" t="s">
        <v>843</v>
      </c>
      <c r="C16" s="115" t="s">
        <v>841</v>
      </c>
      <c r="D16" s="115" t="s">
        <v>828</v>
      </c>
      <c r="E16" s="126">
        <v>44848</v>
      </c>
      <c r="F16" s="115">
        <v>32</v>
      </c>
      <c r="G16" s="130">
        <v>5</v>
      </c>
      <c r="H16" s="127">
        <f t="shared" si="1"/>
        <v>44849</v>
      </c>
      <c r="I16" s="115">
        <v>19</v>
      </c>
      <c r="J16" s="115">
        <v>10</v>
      </c>
      <c r="K16" s="115">
        <v>5</v>
      </c>
      <c r="L16" s="126">
        <f t="shared" si="2"/>
        <v>44850</v>
      </c>
      <c r="M16" s="115">
        <v>18</v>
      </c>
      <c r="N16" s="115">
        <v>10</v>
      </c>
      <c r="O16" s="115">
        <v>5</v>
      </c>
      <c r="P16" s="127">
        <f t="shared" si="3"/>
        <v>44851</v>
      </c>
      <c r="Q16" s="115">
        <v>17.5</v>
      </c>
      <c r="R16" s="105">
        <f t="shared" si="0"/>
        <v>2.6</v>
      </c>
      <c r="S16" s="8">
        <f t="shared" si="4"/>
        <v>2.2000000000000002</v>
      </c>
      <c r="T16" s="89">
        <f t="shared" si="5"/>
        <v>2.1</v>
      </c>
      <c r="U16" s="170">
        <f t="shared" si="6"/>
        <v>2.3000000000000003</v>
      </c>
      <c r="V16" s="116"/>
      <c r="W16" s="116"/>
      <c r="X16" s="129"/>
    </row>
    <row r="17" spans="1:24">
      <c r="A17" s="114">
        <v>15</v>
      </c>
      <c r="B17" s="115" t="s">
        <v>844</v>
      </c>
      <c r="C17" s="115" t="s">
        <v>841</v>
      </c>
      <c r="D17" s="115" t="s">
        <v>828</v>
      </c>
      <c r="E17" s="126">
        <v>44848</v>
      </c>
      <c r="F17" s="115">
        <v>34</v>
      </c>
      <c r="G17" s="115">
        <v>3</v>
      </c>
      <c r="H17" s="127">
        <f t="shared" si="1"/>
        <v>44849</v>
      </c>
      <c r="I17" s="115">
        <v>26</v>
      </c>
      <c r="J17" s="115">
        <v>10</v>
      </c>
      <c r="K17" s="115">
        <v>3</v>
      </c>
      <c r="L17" s="126">
        <f t="shared" si="2"/>
        <v>44850</v>
      </c>
      <c r="M17" s="115">
        <v>26</v>
      </c>
      <c r="N17" s="115">
        <v>10</v>
      </c>
      <c r="O17" s="115">
        <v>3</v>
      </c>
      <c r="P17" s="127">
        <f t="shared" si="3"/>
        <v>44851</v>
      </c>
      <c r="Q17" s="115">
        <v>27.5</v>
      </c>
      <c r="R17" s="105">
        <f t="shared" si="0"/>
        <v>2.6666666666666665</v>
      </c>
      <c r="S17" s="8">
        <f t="shared" si="4"/>
        <v>3.3333333333333335</v>
      </c>
      <c r="T17" s="89">
        <f t="shared" si="5"/>
        <v>2.8333333333333335</v>
      </c>
      <c r="U17" s="170">
        <f t="shared" si="6"/>
        <v>2.9444444444444446</v>
      </c>
      <c r="V17" s="116"/>
      <c r="W17" s="116"/>
      <c r="X17" s="116"/>
    </row>
    <row r="18" spans="1:24">
      <c r="A18" s="114">
        <v>16</v>
      </c>
      <c r="B18" s="115" t="s">
        <v>845</v>
      </c>
      <c r="C18" s="115" t="s">
        <v>841</v>
      </c>
      <c r="D18" s="115" t="s">
        <v>828</v>
      </c>
      <c r="E18" s="126">
        <v>44848</v>
      </c>
      <c r="F18" s="115">
        <v>33</v>
      </c>
      <c r="G18" s="115">
        <v>3</v>
      </c>
      <c r="H18" s="127">
        <f t="shared" si="1"/>
        <v>44849</v>
      </c>
      <c r="I18" s="115">
        <v>23</v>
      </c>
      <c r="J18" s="115">
        <v>10</v>
      </c>
      <c r="K18" s="115">
        <v>3</v>
      </c>
      <c r="L18" s="126">
        <f t="shared" si="2"/>
        <v>44850</v>
      </c>
      <c r="M18" s="115">
        <v>26</v>
      </c>
      <c r="N18" s="115">
        <v>10</v>
      </c>
      <c r="O18" s="115">
        <v>3</v>
      </c>
      <c r="P18" s="127">
        <f t="shared" si="3"/>
        <v>44851</v>
      </c>
      <c r="Q18" s="115">
        <v>29</v>
      </c>
      <c r="R18" s="105">
        <f t="shared" si="0"/>
        <v>3.3333333333333335</v>
      </c>
      <c r="S18" s="8">
        <f t="shared" si="4"/>
        <v>2.3333333333333335</v>
      </c>
      <c r="T18" s="89">
        <f t="shared" si="5"/>
        <v>2.3333333333333335</v>
      </c>
      <c r="U18" s="170">
        <f t="shared" si="6"/>
        <v>2.6666666666666665</v>
      </c>
      <c r="V18" s="116"/>
      <c r="W18" s="116"/>
      <c r="X18" s="116"/>
    </row>
    <row r="19" spans="1:24">
      <c r="A19" s="114">
        <v>17</v>
      </c>
      <c r="B19" s="115" t="s">
        <v>564</v>
      </c>
      <c r="C19" s="115" t="s">
        <v>497</v>
      </c>
      <c r="D19" s="115" t="s">
        <v>828</v>
      </c>
      <c r="E19" s="126">
        <v>44848</v>
      </c>
      <c r="F19" s="115">
        <v>36</v>
      </c>
      <c r="G19" s="115">
        <v>5</v>
      </c>
      <c r="H19" s="127">
        <f t="shared" si="1"/>
        <v>44849</v>
      </c>
      <c r="I19" s="115">
        <v>21</v>
      </c>
      <c r="J19" s="115">
        <v>10</v>
      </c>
      <c r="K19" s="115">
        <v>5</v>
      </c>
      <c r="L19" s="126">
        <f t="shared" si="2"/>
        <v>44850</v>
      </c>
      <c r="M19" s="115">
        <v>22</v>
      </c>
      <c r="N19" s="115">
        <v>10</v>
      </c>
      <c r="O19" s="115">
        <v>5</v>
      </c>
      <c r="P19" s="127">
        <f t="shared" si="3"/>
        <v>44851</v>
      </c>
      <c r="Q19" s="115">
        <v>21</v>
      </c>
      <c r="R19" s="105">
        <f t="shared" si="0"/>
        <v>3</v>
      </c>
      <c r="S19" s="8">
        <f t="shared" si="4"/>
        <v>1.8</v>
      </c>
      <c r="T19" s="89">
        <f t="shared" si="5"/>
        <v>2.2000000000000002</v>
      </c>
      <c r="U19" s="170">
        <f t="shared" si="6"/>
        <v>2.3333333333333335</v>
      </c>
      <c r="V19" s="116"/>
      <c r="W19" s="116"/>
      <c r="X19" s="116"/>
    </row>
    <row r="20" spans="1:24">
      <c r="A20" s="114">
        <v>18</v>
      </c>
      <c r="B20" s="115" t="s">
        <v>565</v>
      </c>
      <c r="C20" s="115" t="s">
        <v>491</v>
      </c>
      <c r="D20" s="115" t="s">
        <v>828</v>
      </c>
      <c r="E20" s="126">
        <v>44848</v>
      </c>
      <c r="F20" s="115">
        <v>30</v>
      </c>
      <c r="G20" s="115">
        <v>2</v>
      </c>
      <c r="H20" s="127">
        <f t="shared" si="1"/>
        <v>44849</v>
      </c>
      <c r="I20" s="115">
        <v>30</v>
      </c>
      <c r="J20" s="115">
        <v>10</v>
      </c>
      <c r="K20" s="115">
        <v>2</v>
      </c>
      <c r="L20" s="126">
        <f t="shared" si="2"/>
        <v>44850</v>
      </c>
      <c r="M20" s="115">
        <v>40</v>
      </c>
      <c r="N20" s="115">
        <v>10</v>
      </c>
      <c r="O20" s="115">
        <v>2</v>
      </c>
      <c r="P20" s="127">
        <f t="shared" si="3"/>
        <v>44851</v>
      </c>
      <c r="Q20" s="115">
        <v>45</v>
      </c>
      <c r="R20" s="105">
        <f t="shared" si="0"/>
        <v>0</v>
      </c>
      <c r="S20" s="8">
        <f t="shared" si="4"/>
        <v>0</v>
      </c>
      <c r="T20" s="89">
        <f t="shared" si="5"/>
        <v>2.5</v>
      </c>
      <c r="U20" s="170">
        <f t="shared" si="6"/>
        <v>0.83333333333333337</v>
      </c>
      <c r="V20" s="116"/>
      <c r="W20" s="116"/>
      <c r="X20" s="116"/>
    </row>
    <row r="21" spans="1:24">
      <c r="A21" s="114">
        <v>19</v>
      </c>
      <c r="B21" s="115" t="s">
        <v>566</v>
      </c>
      <c r="C21" s="115" t="s">
        <v>497</v>
      </c>
      <c r="D21" s="115" t="s">
        <v>828</v>
      </c>
      <c r="E21" s="126">
        <v>44848</v>
      </c>
      <c r="F21" s="115">
        <v>34</v>
      </c>
      <c r="G21" s="115">
        <v>4</v>
      </c>
      <c r="H21" s="127">
        <f t="shared" si="1"/>
        <v>44849</v>
      </c>
      <c r="I21" s="115">
        <v>28</v>
      </c>
      <c r="J21" s="115">
        <v>10</v>
      </c>
      <c r="K21" s="115">
        <v>4</v>
      </c>
      <c r="L21" s="126">
        <f t="shared" si="2"/>
        <v>44850</v>
      </c>
      <c r="M21" s="115">
        <v>34</v>
      </c>
      <c r="N21" s="115">
        <v>10</v>
      </c>
      <c r="O21" s="115">
        <v>4</v>
      </c>
      <c r="P21" s="127">
        <f t="shared" si="3"/>
        <v>44851</v>
      </c>
      <c r="Q21" s="115">
        <v>34</v>
      </c>
      <c r="R21" s="105">
        <f t="shared" si="0"/>
        <v>1.5</v>
      </c>
      <c r="S21" s="8">
        <f t="shared" si="4"/>
        <v>1</v>
      </c>
      <c r="T21" s="89">
        <f t="shared" si="5"/>
        <v>2.5</v>
      </c>
      <c r="U21" s="170">
        <f t="shared" si="6"/>
        <v>1.6666666666666667</v>
      </c>
      <c r="V21" s="116"/>
      <c r="W21" s="116"/>
      <c r="X21" s="116"/>
    </row>
    <row r="22" spans="1:24">
      <c r="A22" s="114">
        <v>20</v>
      </c>
      <c r="B22" s="115" t="s">
        <v>568</v>
      </c>
      <c r="C22" s="115" t="s">
        <v>491</v>
      </c>
      <c r="D22" s="115" t="s">
        <v>828</v>
      </c>
      <c r="E22" s="126">
        <v>44848</v>
      </c>
      <c r="F22" s="115">
        <v>34</v>
      </c>
      <c r="G22" s="115">
        <v>4</v>
      </c>
      <c r="H22" s="127">
        <f t="shared" si="1"/>
        <v>44849</v>
      </c>
      <c r="I22" s="115">
        <v>25</v>
      </c>
      <c r="J22" s="115">
        <v>10</v>
      </c>
      <c r="K22" s="115">
        <v>4</v>
      </c>
      <c r="L22" s="126">
        <f t="shared" si="2"/>
        <v>44850</v>
      </c>
      <c r="M22" s="115">
        <v>29</v>
      </c>
      <c r="N22" s="115">
        <v>10</v>
      </c>
      <c r="O22" s="115">
        <v>4</v>
      </c>
      <c r="P22" s="127">
        <f t="shared" si="3"/>
        <v>44851</v>
      </c>
      <c r="Q22" s="115">
        <v>30</v>
      </c>
      <c r="R22" s="105">
        <f t="shared" si="0"/>
        <v>2.25</v>
      </c>
      <c r="S22" s="8">
        <f t="shared" si="4"/>
        <v>1.5</v>
      </c>
      <c r="T22" s="89">
        <f t="shared" si="5"/>
        <v>2.25</v>
      </c>
      <c r="U22" s="170">
        <f t="shared" si="6"/>
        <v>2</v>
      </c>
      <c r="V22" s="116"/>
      <c r="W22" s="116"/>
      <c r="X22" s="116"/>
    </row>
    <row r="23" spans="1:24">
      <c r="A23" s="114">
        <v>21</v>
      </c>
      <c r="B23" s="115" t="s">
        <v>569</v>
      </c>
      <c r="C23" s="115" t="s">
        <v>542</v>
      </c>
      <c r="D23" s="115" t="s">
        <v>828</v>
      </c>
      <c r="E23" s="126">
        <v>44848</v>
      </c>
      <c r="F23" s="115">
        <v>35</v>
      </c>
      <c r="G23" s="115">
        <v>8</v>
      </c>
      <c r="H23" s="127">
        <f t="shared" si="1"/>
        <v>44849</v>
      </c>
      <c r="I23" s="115">
        <v>15</v>
      </c>
      <c r="J23" s="115">
        <v>10</v>
      </c>
      <c r="K23" s="115">
        <v>8</v>
      </c>
      <c r="L23" s="126">
        <f t="shared" si="2"/>
        <v>44850</v>
      </c>
      <c r="M23" s="115">
        <v>9</v>
      </c>
      <c r="N23" s="115">
        <v>10</v>
      </c>
      <c r="O23" s="115">
        <v>8</v>
      </c>
      <c r="P23" s="127">
        <f t="shared" si="3"/>
        <v>44851</v>
      </c>
      <c r="Q23" s="115">
        <v>10</v>
      </c>
      <c r="R23" s="105">
        <f>(F23-I23)/G23</f>
        <v>2.5</v>
      </c>
      <c r="S23" s="8">
        <f t="shared" si="4"/>
        <v>2</v>
      </c>
      <c r="T23" s="89">
        <f t="shared" si="5"/>
        <v>1.125</v>
      </c>
      <c r="U23" s="170">
        <f t="shared" si="6"/>
        <v>1.875</v>
      </c>
      <c r="V23" s="116"/>
      <c r="W23" s="116"/>
      <c r="X23" s="116"/>
    </row>
    <row r="24" spans="1:24">
      <c r="A24" s="114">
        <v>22</v>
      </c>
      <c r="B24" s="115" t="s">
        <v>571</v>
      </c>
      <c r="C24" s="115" t="s">
        <v>491</v>
      </c>
      <c r="D24" s="115" t="s">
        <v>828</v>
      </c>
      <c r="E24" s="126">
        <v>44848</v>
      </c>
      <c r="F24" s="115">
        <v>35</v>
      </c>
      <c r="G24" s="115">
        <v>5</v>
      </c>
      <c r="H24" s="127">
        <f t="shared" si="1"/>
        <v>44849</v>
      </c>
      <c r="I24" s="115">
        <v>26</v>
      </c>
      <c r="J24" s="115">
        <v>10</v>
      </c>
      <c r="K24" s="115">
        <v>5</v>
      </c>
      <c r="L24" s="126">
        <f t="shared" si="2"/>
        <v>44850</v>
      </c>
      <c r="M24" s="115">
        <v>30</v>
      </c>
      <c r="N24" s="115">
        <v>10</v>
      </c>
      <c r="O24" s="115">
        <v>5</v>
      </c>
      <c r="P24" s="127">
        <f t="shared" si="3"/>
        <v>44851</v>
      </c>
      <c r="Q24" s="115">
        <v>29</v>
      </c>
      <c r="R24" s="105">
        <f t="shared" si="0"/>
        <v>1.8</v>
      </c>
      <c r="S24" s="8">
        <f t="shared" si="4"/>
        <v>1.2</v>
      </c>
      <c r="T24" s="89">
        <f t="shared" si="5"/>
        <v>2.2000000000000002</v>
      </c>
      <c r="U24" s="170">
        <f t="shared" si="6"/>
        <v>1.7333333333333334</v>
      </c>
      <c r="V24" s="116"/>
      <c r="W24" s="116"/>
      <c r="X24" s="116"/>
    </row>
    <row r="25" spans="1:24">
      <c r="A25" s="114">
        <v>23</v>
      </c>
      <c r="B25" s="115" t="s">
        <v>572</v>
      </c>
      <c r="C25" s="115" t="s">
        <v>510</v>
      </c>
      <c r="D25" s="115" t="s">
        <v>828</v>
      </c>
      <c r="E25" s="126">
        <v>44854</v>
      </c>
      <c r="F25" s="115">
        <v>32</v>
      </c>
      <c r="G25" s="115">
        <v>2</v>
      </c>
      <c r="H25" s="127">
        <f t="shared" si="1"/>
        <v>44855</v>
      </c>
      <c r="I25" s="115">
        <v>31</v>
      </c>
      <c r="J25" s="115">
        <v>10</v>
      </c>
      <c r="K25" s="115">
        <v>2</v>
      </c>
      <c r="L25" s="126">
        <f t="shared" si="2"/>
        <v>44856</v>
      </c>
      <c r="M25" s="115">
        <v>40</v>
      </c>
      <c r="N25" s="115">
        <v>10</v>
      </c>
      <c r="O25" s="115">
        <v>2</v>
      </c>
      <c r="P25" s="127">
        <f t="shared" si="3"/>
        <v>44857</v>
      </c>
      <c r="Q25" s="115">
        <v>46</v>
      </c>
      <c r="R25" s="105">
        <f t="shared" si="0"/>
        <v>0.5</v>
      </c>
      <c r="S25" s="8">
        <f t="shared" si="4"/>
        <v>0.5</v>
      </c>
      <c r="T25" s="89">
        <f t="shared" si="5"/>
        <v>2</v>
      </c>
      <c r="U25" s="170">
        <f t="shared" si="6"/>
        <v>1</v>
      </c>
      <c r="V25" s="116"/>
      <c r="W25" s="116"/>
      <c r="X25" s="116"/>
    </row>
    <row r="26" spans="1:24">
      <c r="A26" s="114">
        <v>24</v>
      </c>
      <c r="B26" s="115" t="s">
        <v>573</v>
      </c>
      <c r="C26" s="115" t="s">
        <v>491</v>
      </c>
      <c r="D26" s="115" t="s">
        <v>828</v>
      </c>
      <c r="E26" s="126">
        <v>44854</v>
      </c>
      <c r="F26" s="115">
        <v>31</v>
      </c>
      <c r="G26" s="115">
        <v>6</v>
      </c>
      <c r="H26" s="127">
        <f t="shared" si="1"/>
        <v>44855</v>
      </c>
      <c r="I26" s="115">
        <v>27</v>
      </c>
      <c r="J26" s="115">
        <v>10</v>
      </c>
      <c r="K26" s="115">
        <v>6</v>
      </c>
      <c r="L26" s="126">
        <f t="shared" si="2"/>
        <v>44856</v>
      </c>
      <c r="M26" s="115">
        <v>25</v>
      </c>
      <c r="N26" s="115">
        <v>10</v>
      </c>
      <c r="O26" s="115">
        <v>6</v>
      </c>
      <c r="P26" s="127">
        <f t="shared" si="3"/>
        <v>44857</v>
      </c>
      <c r="Q26" s="115">
        <v>25</v>
      </c>
      <c r="R26" s="105">
        <f t="shared" si="0"/>
        <v>0.66666666666666663</v>
      </c>
      <c r="S26" s="8">
        <f t="shared" si="4"/>
        <v>2</v>
      </c>
      <c r="T26" s="89">
        <f t="shared" si="5"/>
        <v>1.6666666666666667</v>
      </c>
      <c r="U26" s="170">
        <f t="shared" si="6"/>
        <v>1.4444444444444444</v>
      </c>
      <c r="V26" s="116"/>
      <c r="W26" s="116"/>
      <c r="X26" s="116"/>
    </row>
    <row r="27" spans="1:24">
      <c r="A27" s="114">
        <v>25</v>
      </c>
      <c r="B27" s="115" t="s">
        <v>576</v>
      </c>
      <c r="C27" s="115" t="s">
        <v>505</v>
      </c>
      <c r="D27" s="115" t="s">
        <v>828</v>
      </c>
      <c r="E27" s="126">
        <v>44854</v>
      </c>
      <c r="F27" s="115">
        <v>30</v>
      </c>
      <c r="G27" s="115">
        <v>3</v>
      </c>
      <c r="H27" s="127">
        <f t="shared" si="1"/>
        <v>44855</v>
      </c>
      <c r="I27" s="115">
        <v>28</v>
      </c>
      <c r="J27" s="115">
        <v>10</v>
      </c>
      <c r="K27" s="115">
        <v>3</v>
      </c>
      <c r="L27" s="126">
        <f t="shared" si="2"/>
        <v>44856</v>
      </c>
      <c r="M27" s="115">
        <v>34</v>
      </c>
      <c r="N27" s="115">
        <v>10</v>
      </c>
      <c r="O27" s="115">
        <v>3</v>
      </c>
      <c r="P27" s="127">
        <f t="shared" si="3"/>
        <v>44857</v>
      </c>
      <c r="Q27" s="115">
        <v>37</v>
      </c>
      <c r="R27" s="105">
        <f t="shared" si="0"/>
        <v>0.66666666666666663</v>
      </c>
      <c r="S27" s="8">
        <f t="shared" si="4"/>
        <v>1.3333333333333333</v>
      </c>
      <c r="T27" s="89">
        <f t="shared" si="5"/>
        <v>2.3333333333333335</v>
      </c>
      <c r="U27" s="170">
        <f t="shared" si="6"/>
        <v>1.4444444444444446</v>
      </c>
      <c r="V27" s="116"/>
      <c r="W27" s="116"/>
      <c r="X27" s="116"/>
    </row>
    <row r="28" spans="1:24">
      <c r="A28" s="114">
        <v>26</v>
      </c>
      <c r="B28" s="115" t="s">
        <v>577</v>
      </c>
      <c r="C28" s="115" t="s">
        <v>491</v>
      </c>
      <c r="D28" s="115" t="s">
        <v>828</v>
      </c>
      <c r="E28" s="126">
        <v>44854</v>
      </c>
      <c r="F28" s="115">
        <v>31</v>
      </c>
      <c r="G28" s="115">
        <v>7</v>
      </c>
      <c r="H28" s="127">
        <f t="shared" si="1"/>
        <v>44855</v>
      </c>
      <c r="I28" s="115">
        <v>21</v>
      </c>
      <c r="J28" s="115">
        <v>10</v>
      </c>
      <c r="K28" s="115">
        <v>7</v>
      </c>
      <c r="L28" s="126">
        <f t="shared" si="2"/>
        <v>44856</v>
      </c>
      <c r="M28" s="115">
        <v>20</v>
      </c>
      <c r="N28" s="115">
        <v>10</v>
      </c>
      <c r="O28" s="115">
        <v>7</v>
      </c>
      <c r="P28" s="127">
        <f t="shared" si="3"/>
        <v>44857</v>
      </c>
      <c r="Q28" s="115">
        <v>16</v>
      </c>
      <c r="R28" s="105">
        <f t="shared" si="0"/>
        <v>1.4285714285714286</v>
      </c>
      <c r="S28" s="8">
        <f t="shared" si="4"/>
        <v>1.5714285714285714</v>
      </c>
      <c r="T28" s="89">
        <f t="shared" si="5"/>
        <v>2</v>
      </c>
      <c r="U28" s="170">
        <f t="shared" si="6"/>
        <v>1.6666666666666667</v>
      </c>
      <c r="V28" s="116"/>
      <c r="W28" s="116"/>
      <c r="X28" s="116"/>
    </row>
    <row r="29" spans="1:24">
      <c r="A29" s="114">
        <v>27</v>
      </c>
      <c r="B29" s="115" t="s">
        <v>582</v>
      </c>
      <c r="C29" s="115" t="s">
        <v>580</v>
      </c>
      <c r="D29" s="115" t="s">
        <v>828</v>
      </c>
      <c r="E29" s="126">
        <v>44854</v>
      </c>
      <c r="F29" s="115">
        <v>32</v>
      </c>
      <c r="G29" s="115">
        <v>7</v>
      </c>
      <c r="H29" s="127">
        <f t="shared" si="1"/>
        <v>44855</v>
      </c>
      <c r="I29" s="115">
        <v>20</v>
      </c>
      <c r="J29" s="115">
        <v>10</v>
      </c>
      <c r="K29" s="115">
        <v>7</v>
      </c>
      <c r="L29" s="126">
        <f t="shared" si="2"/>
        <v>44856</v>
      </c>
      <c r="M29" s="115">
        <v>16</v>
      </c>
      <c r="N29" s="115">
        <v>10</v>
      </c>
      <c r="O29" s="115">
        <v>7</v>
      </c>
      <c r="P29" s="127">
        <f t="shared" si="3"/>
        <v>44857</v>
      </c>
      <c r="Q29" s="115">
        <v>11</v>
      </c>
      <c r="R29" s="105">
        <f t="shared" si="0"/>
        <v>1.7142857142857142</v>
      </c>
      <c r="S29" s="8">
        <f t="shared" si="4"/>
        <v>2</v>
      </c>
      <c r="T29" s="89">
        <f t="shared" si="5"/>
        <v>2.1428571428571428</v>
      </c>
      <c r="U29" s="170">
        <f t="shared" si="6"/>
        <v>1.9523809523809526</v>
      </c>
      <c r="V29" s="116"/>
      <c r="W29" s="116"/>
      <c r="X29" s="116"/>
    </row>
    <row r="30" spans="1:24">
      <c r="A30" s="114">
        <v>28</v>
      </c>
      <c r="B30" s="115" t="s">
        <v>583</v>
      </c>
      <c r="C30" s="115" t="s">
        <v>584</v>
      </c>
      <c r="D30" s="115" t="s">
        <v>828</v>
      </c>
      <c r="E30" s="126">
        <v>44854</v>
      </c>
      <c r="F30" s="115">
        <v>30</v>
      </c>
      <c r="G30" s="115">
        <v>4</v>
      </c>
      <c r="H30" s="127">
        <f t="shared" si="1"/>
        <v>44855</v>
      </c>
      <c r="I30" s="115">
        <v>27</v>
      </c>
      <c r="J30" s="115">
        <v>10</v>
      </c>
      <c r="K30" s="115">
        <v>4</v>
      </c>
      <c r="L30" s="126">
        <f t="shared" si="2"/>
        <v>44856</v>
      </c>
      <c r="M30" s="115">
        <v>30</v>
      </c>
      <c r="N30" s="115">
        <v>10</v>
      </c>
      <c r="O30" s="115">
        <v>4</v>
      </c>
      <c r="P30" s="127">
        <f t="shared" si="3"/>
        <v>44857</v>
      </c>
      <c r="Q30" s="115">
        <v>32</v>
      </c>
      <c r="R30" s="105">
        <f t="shared" si="0"/>
        <v>0.75</v>
      </c>
      <c r="S30" s="8">
        <f t="shared" si="4"/>
        <v>1.75</v>
      </c>
      <c r="T30" s="89">
        <f t="shared" si="5"/>
        <v>2</v>
      </c>
      <c r="U30" s="170">
        <f t="shared" si="6"/>
        <v>1.5</v>
      </c>
      <c r="V30" s="116"/>
      <c r="W30" s="116"/>
      <c r="X30" s="116"/>
    </row>
    <row r="31" spans="1:24">
      <c r="A31" s="114">
        <v>29</v>
      </c>
      <c r="B31" s="115" t="s">
        <v>585</v>
      </c>
      <c r="C31" s="115" t="s">
        <v>584</v>
      </c>
      <c r="D31" s="115" t="s">
        <v>828</v>
      </c>
      <c r="E31" s="126">
        <v>44854</v>
      </c>
      <c r="F31" s="115">
        <v>33</v>
      </c>
      <c r="G31" s="115">
        <v>2</v>
      </c>
      <c r="H31" s="127">
        <f t="shared" si="1"/>
        <v>44855</v>
      </c>
      <c r="I31" s="115">
        <v>31</v>
      </c>
      <c r="J31" s="115">
        <v>10</v>
      </c>
      <c r="K31" s="115">
        <v>2</v>
      </c>
      <c r="L31" s="126">
        <f t="shared" si="2"/>
        <v>44856</v>
      </c>
      <c r="M31" s="115">
        <v>40</v>
      </c>
      <c r="N31" s="115">
        <v>10</v>
      </c>
      <c r="O31" s="115">
        <v>2</v>
      </c>
      <c r="P31" s="127">
        <f t="shared" si="3"/>
        <v>44857</v>
      </c>
      <c r="Q31" s="115">
        <v>48</v>
      </c>
      <c r="R31" s="105">
        <f t="shared" si="0"/>
        <v>1</v>
      </c>
      <c r="S31" s="8">
        <f t="shared" si="4"/>
        <v>0.5</v>
      </c>
      <c r="T31" s="89">
        <f t="shared" si="5"/>
        <v>1</v>
      </c>
      <c r="U31" s="170">
        <f t="shared" si="6"/>
        <v>0.83333333333333337</v>
      </c>
      <c r="V31" s="116"/>
      <c r="W31" s="116"/>
      <c r="X31" s="116"/>
    </row>
    <row r="32" spans="1:24">
      <c r="A32" s="114">
        <v>30</v>
      </c>
      <c r="B32" s="115" t="s">
        <v>594</v>
      </c>
      <c r="C32" s="115" t="s">
        <v>580</v>
      </c>
      <c r="D32" s="115" t="s">
        <v>828</v>
      </c>
      <c r="E32" s="126">
        <v>44854</v>
      </c>
      <c r="F32" s="115">
        <v>34</v>
      </c>
      <c r="G32" s="115">
        <v>2</v>
      </c>
      <c r="H32" s="127">
        <f t="shared" si="1"/>
        <v>44855</v>
      </c>
      <c r="I32" s="115">
        <v>29</v>
      </c>
      <c r="J32" s="115">
        <v>10</v>
      </c>
      <c r="K32" s="115">
        <v>2</v>
      </c>
      <c r="L32" s="126">
        <f t="shared" si="2"/>
        <v>44856</v>
      </c>
      <c r="M32" s="115">
        <v>37</v>
      </c>
      <c r="N32" s="115">
        <v>10</v>
      </c>
      <c r="O32" s="115">
        <v>2</v>
      </c>
      <c r="P32" s="127">
        <f t="shared" si="3"/>
        <v>44857</v>
      </c>
      <c r="Q32" s="115">
        <v>42</v>
      </c>
      <c r="R32" s="105">
        <f t="shared" si="0"/>
        <v>2.5</v>
      </c>
      <c r="S32" s="8">
        <f t="shared" si="4"/>
        <v>1</v>
      </c>
      <c r="T32" s="89">
        <f t="shared" si="5"/>
        <v>2.5</v>
      </c>
      <c r="U32" s="170">
        <f t="shared" si="6"/>
        <v>2</v>
      </c>
      <c r="V32" s="116"/>
      <c r="W32" s="116"/>
      <c r="X32" s="116"/>
    </row>
    <row r="33" spans="1:24">
      <c r="A33" s="114">
        <v>31</v>
      </c>
      <c r="B33" s="115" t="s">
        <v>595</v>
      </c>
      <c r="C33" s="115" t="s">
        <v>580</v>
      </c>
      <c r="D33" s="115" t="s">
        <v>828</v>
      </c>
      <c r="E33" s="126">
        <v>44854</v>
      </c>
      <c r="F33" s="115">
        <v>30</v>
      </c>
      <c r="G33" s="115">
        <v>4</v>
      </c>
      <c r="H33" s="127">
        <f t="shared" si="1"/>
        <v>44855</v>
      </c>
      <c r="I33" s="115">
        <v>28</v>
      </c>
      <c r="J33" s="115">
        <v>10</v>
      </c>
      <c r="K33" s="115">
        <v>4</v>
      </c>
      <c r="L33" s="126">
        <f t="shared" si="2"/>
        <v>44856</v>
      </c>
      <c r="M33" s="115">
        <v>32</v>
      </c>
      <c r="N33" s="115">
        <v>10</v>
      </c>
      <c r="O33" s="115">
        <v>4</v>
      </c>
      <c r="P33" s="127">
        <f t="shared" si="3"/>
        <v>44857</v>
      </c>
      <c r="Q33" s="115">
        <v>35</v>
      </c>
      <c r="R33" s="105">
        <f t="shared" si="0"/>
        <v>0.5</v>
      </c>
      <c r="S33" s="8">
        <f t="shared" si="4"/>
        <v>1.5</v>
      </c>
      <c r="T33" s="89">
        <f t="shared" si="5"/>
        <v>1.75</v>
      </c>
      <c r="U33" s="170">
        <f t="shared" si="6"/>
        <v>1.25</v>
      </c>
      <c r="V33" s="116"/>
      <c r="W33" s="116"/>
      <c r="X33" s="116"/>
    </row>
    <row r="34" spans="1:24">
      <c r="A34" s="114">
        <v>32</v>
      </c>
      <c r="B34" s="115" t="s">
        <v>597</v>
      </c>
      <c r="C34" s="115" t="s">
        <v>580</v>
      </c>
      <c r="D34" s="115" t="s">
        <v>828</v>
      </c>
      <c r="E34" s="126">
        <v>44854</v>
      </c>
      <c r="F34" s="115">
        <v>36</v>
      </c>
      <c r="G34" s="115">
        <v>4</v>
      </c>
      <c r="H34" s="127">
        <f t="shared" si="1"/>
        <v>44855</v>
      </c>
      <c r="I34" s="115">
        <v>31</v>
      </c>
      <c r="J34" s="115">
        <v>10</v>
      </c>
      <c r="K34" s="115">
        <v>4</v>
      </c>
      <c r="L34" s="126">
        <f t="shared" si="2"/>
        <v>44856</v>
      </c>
      <c r="M34" s="115">
        <v>37</v>
      </c>
      <c r="N34" s="115">
        <v>10</v>
      </c>
      <c r="O34" s="115">
        <v>4</v>
      </c>
      <c r="P34" s="127">
        <f t="shared" si="3"/>
        <v>44857</v>
      </c>
      <c r="Q34" s="115">
        <v>38</v>
      </c>
      <c r="R34" s="105">
        <f t="shared" si="0"/>
        <v>1.25</v>
      </c>
      <c r="S34" s="8">
        <f t="shared" si="4"/>
        <v>1</v>
      </c>
      <c r="T34" s="89">
        <f t="shared" si="5"/>
        <v>2.25</v>
      </c>
      <c r="U34" s="170">
        <f t="shared" si="6"/>
        <v>1.5</v>
      </c>
      <c r="V34" s="116"/>
      <c r="W34" s="116"/>
      <c r="X34" s="116"/>
    </row>
    <row r="35" spans="1:24">
      <c r="A35" s="116"/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31"/>
      <c r="V35" s="116"/>
      <c r="W35" s="116"/>
      <c r="X35" s="116"/>
    </row>
    <row r="36" spans="1:24">
      <c r="A36" s="116"/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67" t="s">
        <v>26</v>
      </c>
      <c r="U36" s="168">
        <f>SUM(U3:U34)</f>
        <v>61.899603174603179</v>
      </c>
      <c r="V36" s="116"/>
      <c r="W36" s="116"/>
      <c r="X36" s="116"/>
    </row>
    <row r="37" spans="1:24">
      <c r="A37" s="116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67" t="s">
        <v>888</v>
      </c>
      <c r="U37" s="168">
        <f>AVERAGE(U3:U34)</f>
        <v>1.9343625992063493</v>
      </c>
      <c r="V37" s="116"/>
      <c r="W37" s="116"/>
      <c r="X37" s="116"/>
    </row>
    <row r="38" spans="1:24">
      <c r="A38" s="116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67" t="s">
        <v>889</v>
      </c>
      <c r="U38" s="149">
        <f>STDEV(U3:U34)</f>
        <v>0.56501790035920041</v>
      </c>
      <c r="V38" s="116"/>
      <c r="W38" s="116"/>
      <c r="X38" s="116"/>
    </row>
    <row r="39" spans="1:24">
      <c r="A39" s="116"/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67" t="s">
        <v>890</v>
      </c>
      <c r="U39" s="108">
        <v>1.645</v>
      </c>
      <c r="V39" s="116"/>
      <c r="W39" s="116"/>
      <c r="X39" s="116"/>
    </row>
    <row r="40" spans="1:24">
      <c r="A40" s="116"/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67" t="s">
        <v>891</v>
      </c>
      <c r="U40" s="149">
        <f>(U38/U37)^2</f>
        <v>8.5319566623771964E-2</v>
      </c>
      <c r="V40" s="116"/>
      <c r="W40" s="116"/>
      <c r="X40" s="116"/>
    </row>
    <row r="41" spans="1:24">
      <c r="A41" s="116"/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67" t="s">
        <v>892</v>
      </c>
      <c r="U41" s="108">
        <f>COUNT(U3:U34)</f>
        <v>32</v>
      </c>
      <c r="V41" s="116"/>
      <c r="W41" s="116"/>
      <c r="X41" s="116"/>
    </row>
    <row r="42" spans="1:24">
      <c r="A42" s="116"/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67" t="s">
        <v>893</v>
      </c>
      <c r="U42" s="169">
        <f>SQRT(U39^2*U40/U41)</f>
        <v>8.4940582223894265E-2</v>
      </c>
      <c r="V42" s="116"/>
      <c r="W42" s="116"/>
      <c r="X42" s="116"/>
    </row>
    <row r="43" spans="1:24">
      <c r="A43" s="116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</row>
    <row r="44" spans="1:24">
      <c r="A44" s="116"/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 t="s">
        <v>846</v>
      </c>
      <c r="T44" s="116"/>
      <c r="U44" s="132">
        <f>U37</f>
        <v>1.9343625992063493</v>
      </c>
      <c r="V44" s="116"/>
      <c r="W44" s="116"/>
      <c r="X44" s="116"/>
    </row>
    <row r="45" spans="1:24">
      <c r="A45" s="116"/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 t="s">
        <v>847</v>
      </c>
      <c r="T45" s="116"/>
      <c r="U45" s="132">
        <f>AVERAGE(O3:O34)</f>
        <v>4.375</v>
      </c>
      <c r="V45" s="116"/>
      <c r="W45" s="116"/>
      <c r="X45" s="116"/>
    </row>
    <row r="46" spans="1:24">
      <c r="A46" s="116"/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 t="s">
        <v>848</v>
      </c>
      <c r="T46" s="116"/>
      <c r="U46" s="132">
        <f>U44*U45</f>
        <v>8.4628363715277786</v>
      </c>
      <c r="V46" s="116"/>
      <c r="W46" s="133"/>
      <c r="X46" s="116"/>
    </row>
    <row r="47" spans="1:24">
      <c r="A47" s="116"/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V47" s="116"/>
      <c r="W47" s="133"/>
      <c r="X47" s="116"/>
    </row>
    <row r="48" spans="1:24">
      <c r="A48" s="116"/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V48" s="116"/>
      <c r="W48" s="133"/>
      <c r="X48" s="116"/>
    </row>
    <row r="49" spans="1:24">
      <c r="A49" s="116"/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31"/>
      <c r="V49" s="116"/>
      <c r="W49" s="116"/>
      <c r="X49" s="116"/>
    </row>
    <row r="50" spans="1:24">
      <c r="A50" s="116"/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31"/>
      <c r="V50" s="116"/>
      <c r="W50" s="116"/>
      <c r="X50" s="116"/>
    </row>
    <row r="51" spans="1:24">
      <c r="A51" s="116"/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31"/>
      <c r="V51" s="116"/>
      <c r="W51" s="116"/>
      <c r="X51" s="116"/>
    </row>
    <row r="52" spans="1:24">
      <c r="A52" s="166" t="s">
        <v>112</v>
      </c>
      <c r="B52" s="116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31"/>
      <c r="V52" s="116"/>
      <c r="W52" s="116"/>
      <c r="X52" s="116"/>
    </row>
    <row r="53" spans="1:24">
      <c r="A53" s="182" t="s">
        <v>805</v>
      </c>
      <c r="B53" s="183" t="s">
        <v>806</v>
      </c>
      <c r="C53" s="182" t="s">
        <v>807</v>
      </c>
      <c r="D53" s="182" t="s">
        <v>865</v>
      </c>
      <c r="E53" s="175" t="s">
        <v>808</v>
      </c>
      <c r="F53" s="175"/>
      <c r="G53" s="175"/>
      <c r="H53" s="174" t="s">
        <v>810</v>
      </c>
      <c r="I53" s="174"/>
      <c r="J53" s="174"/>
      <c r="K53" s="174"/>
      <c r="L53" s="175" t="s">
        <v>811</v>
      </c>
      <c r="M53" s="175"/>
      <c r="N53" s="175"/>
      <c r="O53" s="175"/>
      <c r="P53" s="140" t="s">
        <v>849</v>
      </c>
      <c r="Q53" s="140"/>
      <c r="R53" s="7"/>
      <c r="S53" s="7"/>
      <c r="T53" s="7"/>
      <c r="U53" s="143"/>
      <c r="X53" s="116"/>
    </row>
    <row r="54" spans="1:24" ht="64">
      <c r="A54" s="182"/>
      <c r="B54" s="184"/>
      <c r="C54" s="182"/>
      <c r="D54" s="182"/>
      <c r="E54" s="135" t="s">
        <v>813</v>
      </c>
      <c r="F54" s="136" t="s">
        <v>814</v>
      </c>
      <c r="G54" s="136" t="s">
        <v>815</v>
      </c>
      <c r="H54" s="137" t="s">
        <v>816</v>
      </c>
      <c r="I54" s="137" t="s">
        <v>817</v>
      </c>
      <c r="J54" s="137" t="s">
        <v>818</v>
      </c>
      <c r="K54" s="137" t="s">
        <v>819</v>
      </c>
      <c r="L54" s="136" t="s">
        <v>813</v>
      </c>
      <c r="M54" s="136" t="s">
        <v>820</v>
      </c>
      <c r="N54" s="136" t="s">
        <v>818</v>
      </c>
      <c r="O54" s="136" t="s">
        <v>819</v>
      </c>
      <c r="P54" s="137" t="s">
        <v>816</v>
      </c>
      <c r="Q54" s="137" t="s">
        <v>821</v>
      </c>
      <c r="R54" s="136" t="s">
        <v>850</v>
      </c>
      <c r="S54" s="136" t="s">
        <v>851</v>
      </c>
      <c r="T54" s="136" t="s">
        <v>852</v>
      </c>
      <c r="U54" s="144" t="s">
        <v>825</v>
      </c>
      <c r="X54" s="116"/>
    </row>
    <row r="55" spans="1:24">
      <c r="A55" s="7">
        <v>1</v>
      </c>
      <c r="B55" s="7" t="s">
        <v>853</v>
      </c>
      <c r="C55" s="7" t="s">
        <v>827</v>
      </c>
      <c r="D55" s="7" t="s">
        <v>112</v>
      </c>
      <c r="E55" s="138">
        <v>44690</v>
      </c>
      <c r="F55" s="7">
        <v>10</v>
      </c>
      <c r="G55" s="7">
        <v>3</v>
      </c>
      <c r="H55" s="139">
        <v>44721</v>
      </c>
      <c r="I55" s="145">
        <v>6.5</v>
      </c>
      <c r="J55" s="7">
        <v>0</v>
      </c>
      <c r="K55" s="7">
        <v>3</v>
      </c>
      <c r="L55" s="138">
        <v>44751</v>
      </c>
      <c r="M55" s="7">
        <v>5.5</v>
      </c>
      <c r="N55" s="7">
        <v>0</v>
      </c>
      <c r="O55" s="7">
        <v>3</v>
      </c>
      <c r="P55" s="139">
        <v>44782</v>
      </c>
      <c r="Q55" s="7">
        <v>3</v>
      </c>
      <c r="R55" s="105">
        <f t="shared" ref="R55:R63" si="7">(F55-I55)/G55</f>
        <v>1.1666666666666667</v>
      </c>
      <c r="S55" s="8">
        <f t="shared" ref="S55:S63" si="8">((I55+J55)-M55)/K55</f>
        <v>0.33333333333333331</v>
      </c>
      <c r="T55" s="89">
        <f t="shared" ref="T55:T63" si="9">((M55+N55)-Q55)/O55</f>
        <v>0.83333333333333337</v>
      </c>
      <c r="U55" s="146">
        <f>AVERAGE(R55:T55)</f>
        <v>0.77777777777777779</v>
      </c>
      <c r="X55" s="116"/>
    </row>
    <row r="56" spans="1:24">
      <c r="A56" s="7">
        <v>2</v>
      </c>
      <c r="B56" s="7" t="s">
        <v>854</v>
      </c>
      <c r="C56" s="7" t="s">
        <v>827</v>
      </c>
      <c r="D56" s="7" t="s">
        <v>112</v>
      </c>
      <c r="E56" s="138">
        <v>44690</v>
      </c>
      <c r="F56" s="7">
        <v>10</v>
      </c>
      <c r="G56" s="7">
        <v>4</v>
      </c>
      <c r="H56" s="139">
        <v>44721</v>
      </c>
      <c r="I56" s="7">
        <v>6</v>
      </c>
      <c r="J56" s="7">
        <v>0</v>
      </c>
      <c r="K56" s="7">
        <v>4</v>
      </c>
      <c r="L56" s="138">
        <v>44751</v>
      </c>
      <c r="M56" s="7">
        <v>5.5</v>
      </c>
      <c r="N56" s="7">
        <v>0</v>
      </c>
      <c r="O56" s="7">
        <v>4</v>
      </c>
      <c r="P56" s="139">
        <v>44782</v>
      </c>
      <c r="Q56" s="7">
        <v>4</v>
      </c>
      <c r="R56" s="105">
        <f t="shared" si="7"/>
        <v>1</v>
      </c>
      <c r="S56" s="8">
        <f t="shared" si="8"/>
        <v>0.125</v>
      </c>
      <c r="T56" s="89">
        <f t="shared" si="9"/>
        <v>0.375</v>
      </c>
      <c r="U56" s="146">
        <f t="shared" ref="U56:U63" si="10">AVERAGE(R56:T56)</f>
        <v>0.5</v>
      </c>
      <c r="X56" s="116"/>
    </row>
    <row r="57" spans="1:24">
      <c r="A57" s="7">
        <v>3</v>
      </c>
      <c r="B57" s="7" t="s">
        <v>855</v>
      </c>
      <c r="C57" s="7" t="s">
        <v>827</v>
      </c>
      <c r="D57" s="7" t="s">
        <v>112</v>
      </c>
      <c r="E57" s="138">
        <v>44690</v>
      </c>
      <c r="F57" s="7">
        <v>10</v>
      </c>
      <c r="G57" s="7">
        <v>3</v>
      </c>
      <c r="H57" s="139">
        <v>44721</v>
      </c>
      <c r="I57" s="7">
        <v>7</v>
      </c>
      <c r="J57" s="7">
        <v>0</v>
      </c>
      <c r="K57" s="7">
        <v>3</v>
      </c>
      <c r="L57" s="138">
        <v>44751</v>
      </c>
      <c r="M57" s="7">
        <v>6</v>
      </c>
      <c r="N57" s="7">
        <v>0</v>
      </c>
      <c r="O57" s="7">
        <v>3</v>
      </c>
      <c r="P57" s="139">
        <v>44782</v>
      </c>
      <c r="Q57" s="7">
        <v>4.5</v>
      </c>
      <c r="R57" s="105">
        <f t="shared" si="7"/>
        <v>1</v>
      </c>
      <c r="S57" s="8">
        <f t="shared" si="8"/>
        <v>0.33333333333333331</v>
      </c>
      <c r="T57" s="89">
        <f t="shared" si="9"/>
        <v>0.5</v>
      </c>
      <c r="U57" s="146">
        <f t="shared" si="10"/>
        <v>0.61111111111111105</v>
      </c>
      <c r="X57" s="116"/>
    </row>
    <row r="58" spans="1:24">
      <c r="A58" s="7">
        <v>4</v>
      </c>
      <c r="B58" s="7" t="s">
        <v>856</v>
      </c>
      <c r="C58" s="7" t="s">
        <v>836</v>
      </c>
      <c r="D58" s="7" t="s">
        <v>112</v>
      </c>
      <c r="E58" s="138">
        <v>44904</v>
      </c>
      <c r="F58" s="7">
        <v>10</v>
      </c>
      <c r="G58" s="7">
        <v>3</v>
      </c>
      <c r="H58" s="140" t="s">
        <v>857</v>
      </c>
      <c r="I58" s="7">
        <v>7.5</v>
      </c>
      <c r="J58" s="7">
        <v>0</v>
      </c>
      <c r="K58" s="7">
        <v>3</v>
      </c>
      <c r="L58" s="141" t="s">
        <v>858</v>
      </c>
      <c r="M58" s="7">
        <v>6</v>
      </c>
      <c r="N58" s="7">
        <v>0</v>
      </c>
      <c r="O58" s="7">
        <v>3</v>
      </c>
      <c r="P58" s="140" t="s">
        <v>859</v>
      </c>
      <c r="Q58" s="7">
        <v>4</v>
      </c>
      <c r="R58" s="105">
        <f t="shared" si="7"/>
        <v>0.83333333333333337</v>
      </c>
      <c r="S58" s="8">
        <f t="shared" si="8"/>
        <v>0.5</v>
      </c>
      <c r="T58" s="89">
        <f t="shared" si="9"/>
        <v>0.66666666666666663</v>
      </c>
      <c r="U58" s="146">
        <f t="shared" si="10"/>
        <v>0.66666666666666663</v>
      </c>
      <c r="X58" s="116"/>
    </row>
    <row r="59" spans="1:24">
      <c r="A59" s="7">
        <v>5</v>
      </c>
      <c r="B59" s="7" t="s">
        <v>860</v>
      </c>
      <c r="C59" s="7" t="s">
        <v>836</v>
      </c>
      <c r="D59" s="7" t="s">
        <v>112</v>
      </c>
      <c r="E59" s="138">
        <v>44904</v>
      </c>
      <c r="F59" s="7">
        <v>10</v>
      </c>
      <c r="G59" s="7">
        <v>3</v>
      </c>
      <c r="H59" s="140" t="s">
        <v>857</v>
      </c>
      <c r="I59" s="7">
        <v>8</v>
      </c>
      <c r="J59" s="7">
        <v>0</v>
      </c>
      <c r="K59" s="7">
        <v>3</v>
      </c>
      <c r="L59" s="141" t="s">
        <v>858</v>
      </c>
      <c r="M59" s="7">
        <v>5.5</v>
      </c>
      <c r="N59" s="7">
        <v>0</v>
      </c>
      <c r="O59" s="7">
        <v>3</v>
      </c>
      <c r="P59" s="140" t="s">
        <v>859</v>
      </c>
      <c r="Q59" s="7">
        <v>3.5</v>
      </c>
      <c r="R59" s="105">
        <f t="shared" si="7"/>
        <v>0.66666666666666663</v>
      </c>
      <c r="S59" s="8">
        <f t="shared" si="8"/>
        <v>0.83333333333333337</v>
      </c>
      <c r="T59" s="89">
        <f t="shared" si="9"/>
        <v>0.66666666666666663</v>
      </c>
      <c r="U59" s="146">
        <f t="shared" si="10"/>
        <v>0.72222222222222221</v>
      </c>
      <c r="X59" s="116"/>
    </row>
    <row r="60" spans="1:24">
      <c r="A60" s="7">
        <v>6</v>
      </c>
      <c r="B60" s="7" t="s">
        <v>861</v>
      </c>
      <c r="C60" s="7" t="s">
        <v>836</v>
      </c>
      <c r="D60" s="7" t="s">
        <v>112</v>
      </c>
      <c r="E60" s="138">
        <v>44904</v>
      </c>
      <c r="F60" s="7">
        <v>10</v>
      </c>
      <c r="G60" s="7">
        <v>5</v>
      </c>
      <c r="H60" s="140" t="s">
        <v>857</v>
      </c>
      <c r="I60" s="7">
        <v>7</v>
      </c>
      <c r="J60" s="7">
        <v>0</v>
      </c>
      <c r="K60" s="7">
        <v>5</v>
      </c>
      <c r="L60" s="141" t="s">
        <v>858</v>
      </c>
      <c r="M60" s="7">
        <v>4</v>
      </c>
      <c r="N60" s="7">
        <v>0</v>
      </c>
      <c r="O60" s="7">
        <v>5</v>
      </c>
      <c r="P60" s="140" t="s">
        <v>859</v>
      </c>
      <c r="Q60" s="7">
        <v>2.5</v>
      </c>
      <c r="R60" s="105">
        <f t="shared" si="7"/>
        <v>0.6</v>
      </c>
      <c r="S60" s="8">
        <f t="shared" si="8"/>
        <v>0.6</v>
      </c>
      <c r="T60" s="89">
        <f t="shared" si="9"/>
        <v>0.3</v>
      </c>
      <c r="U60" s="146">
        <f t="shared" si="10"/>
        <v>0.5</v>
      </c>
      <c r="X60" s="116"/>
    </row>
    <row r="61" spans="1:24">
      <c r="A61" s="7">
        <v>7</v>
      </c>
      <c r="B61" s="7" t="s">
        <v>862</v>
      </c>
      <c r="C61" s="7" t="s">
        <v>836</v>
      </c>
      <c r="D61" s="7" t="s">
        <v>112</v>
      </c>
      <c r="E61" s="138">
        <v>44904</v>
      </c>
      <c r="F61" s="7">
        <v>10</v>
      </c>
      <c r="G61" s="7">
        <v>5</v>
      </c>
      <c r="H61" s="140" t="s">
        <v>857</v>
      </c>
      <c r="I61" s="7">
        <v>7</v>
      </c>
      <c r="J61" s="7">
        <v>0</v>
      </c>
      <c r="K61" s="7">
        <v>5</v>
      </c>
      <c r="L61" s="141" t="s">
        <v>858</v>
      </c>
      <c r="M61" s="7">
        <v>3.5</v>
      </c>
      <c r="N61" s="7">
        <v>0</v>
      </c>
      <c r="O61" s="7">
        <v>5</v>
      </c>
      <c r="P61" s="140" t="s">
        <v>859</v>
      </c>
      <c r="Q61" s="7">
        <v>3</v>
      </c>
      <c r="R61" s="105">
        <f t="shared" si="7"/>
        <v>0.6</v>
      </c>
      <c r="S61" s="8">
        <f t="shared" si="8"/>
        <v>0.7</v>
      </c>
      <c r="T61" s="89">
        <f t="shared" si="9"/>
        <v>0.1</v>
      </c>
      <c r="U61" s="146">
        <f t="shared" si="10"/>
        <v>0.46666666666666662</v>
      </c>
      <c r="X61" s="116"/>
    </row>
    <row r="62" spans="1:24">
      <c r="A62" s="7">
        <v>8</v>
      </c>
      <c r="B62" s="7" t="s">
        <v>863</v>
      </c>
      <c r="C62" s="7" t="s">
        <v>836</v>
      </c>
      <c r="D62" s="7" t="s">
        <v>112</v>
      </c>
      <c r="E62" s="138">
        <v>44904</v>
      </c>
      <c r="F62" s="7">
        <v>10</v>
      </c>
      <c r="G62" s="7">
        <v>6</v>
      </c>
      <c r="H62" s="140" t="s">
        <v>857</v>
      </c>
      <c r="I62" s="140">
        <v>6.5</v>
      </c>
      <c r="J62" s="7">
        <v>0</v>
      </c>
      <c r="K62" s="7">
        <v>6</v>
      </c>
      <c r="L62" s="141" t="s">
        <v>858</v>
      </c>
      <c r="M62" s="7">
        <v>4</v>
      </c>
      <c r="N62" s="7">
        <v>0</v>
      </c>
      <c r="O62" s="7">
        <v>6</v>
      </c>
      <c r="P62" s="140" t="s">
        <v>859</v>
      </c>
      <c r="Q62" s="7">
        <v>1</v>
      </c>
      <c r="R62" s="105">
        <f t="shared" si="7"/>
        <v>0.58333333333333337</v>
      </c>
      <c r="S62" s="8">
        <f t="shared" si="8"/>
        <v>0.41666666666666669</v>
      </c>
      <c r="T62" s="89">
        <f t="shared" si="9"/>
        <v>0.5</v>
      </c>
      <c r="U62" s="146">
        <f t="shared" si="10"/>
        <v>0.5</v>
      </c>
      <c r="X62" s="116"/>
    </row>
    <row r="63" spans="1:24">
      <c r="A63" s="7">
        <v>9</v>
      </c>
      <c r="B63" s="7" t="s">
        <v>864</v>
      </c>
      <c r="C63" s="7" t="s">
        <v>836</v>
      </c>
      <c r="D63" s="7" t="s">
        <v>112</v>
      </c>
      <c r="E63" s="138">
        <v>44904</v>
      </c>
      <c r="F63" s="7">
        <v>10</v>
      </c>
      <c r="G63" s="7">
        <v>6</v>
      </c>
      <c r="H63" s="140" t="s">
        <v>857</v>
      </c>
      <c r="I63" s="7">
        <v>7</v>
      </c>
      <c r="J63" s="7">
        <v>0</v>
      </c>
      <c r="K63" s="7">
        <v>6</v>
      </c>
      <c r="L63" s="141" t="s">
        <v>858</v>
      </c>
      <c r="M63" s="7">
        <v>4</v>
      </c>
      <c r="N63" s="7">
        <v>0</v>
      </c>
      <c r="O63" s="7">
        <v>6</v>
      </c>
      <c r="P63" s="140" t="s">
        <v>859</v>
      </c>
      <c r="Q63" s="7">
        <v>1.5</v>
      </c>
      <c r="R63" s="105">
        <f t="shared" si="7"/>
        <v>0.5</v>
      </c>
      <c r="S63" s="8">
        <f t="shared" si="8"/>
        <v>0.5</v>
      </c>
      <c r="T63" s="89">
        <f t="shared" si="9"/>
        <v>0.41666666666666669</v>
      </c>
      <c r="U63" s="146">
        <f t="shared" si="10"/>
        <v>0.47222222222222227</v>
      </c>
      <c r="X63" s="116"/>
    </row>
    <row r="64" spans="1:24">
      <c r="M64" s="116"/>
      <c r="U64" s="134"/>
      <c r="X64" s="116"/>
    </row>
    <row r="65" spans="1:24">
      <c r="T65" s="167" t="s">
        <v>26</v>
      </c>
      <c r="U65" s="168">
        <f>SUM(U55:U63)</f>
        <v>5.2166666666666668</v>
      </c>
      <c r="X65" s="116"/>
    </row>
    <row r="66" spans="1:24">
      <c r="T66" s="167" t="s">
        <v>888</v>
      </c>
      <c r="U66" s="168">
        <f>AVERAGE(U55:U63)</f>
        <v>0.57962962962962961</v>
      </c>
      <c r="X66" s="116"/>
    </row>
    <row r="67" spans="1:24">
      <c r="T67" s="167" t="s">
        <v>889</v>
      </c>
      <c r="U67" s="149">
        <f>STDEV(T37:T64)</f>
        <v>0.21994492857290032</v>
      </c>
      <c r="X67" s="116"/>
    </row>
    <row r="68" spans="1:24">
      <c r="A68" s="116"/>
      <c r="B68" s="151" t="s">
        <v>879</v>
      </c>
      <c r="C68" s="152">
        <f>'Baseline Survey'!K230</f>
        <v>8.1333333333333329</v>
      </c>
      <c r="D68" s="116" t="s">
        <v>885</v>
      </c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T68" s="167" t="s">
        <v>890</v>
      </c>
      <c r="U68" s="108">
        <v>1.645</v>
      </c>
      <c r="V68" s="116"/>
      <c r="W68" s="116"/>
      <c r="X68" s="116"/>
    </row>
    <row r="69" spans="1:24">
      <c r="A69" s="116"/>
      <c r="B69" s="114" t="s">
        <v>880</v>
      </c>
      <c r="C69" s="153">
        <f>'Baseline Survey'!K231</f>
        <v>3.3098877840279028</v>
      </c>
      <c r="D69" s="116" t="s">
        <v>886</v>
      </c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T69" s="167" t="s">
        <v>891</v>
      </c>
      <c r="U69" s="149">
        <f>(U67/U66)^2</f>
        <v>0.14398814931253751</v>
      </c>
      <c r="V69" s="116"/>
      <c r="W69" s="116"/>
      <c r="X69" s="116"/>
    </row>
    <row r="70" spans="1:24">
      <c r="A70" s="116"/>
      <c r="B70" s="114" t="s">
        <v>881</v>
      </c>
      <c r="C70" s="115">
        <v>1.645</v>
      </c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T70" s="167" t="s">
        <v>892</v>
      </c>
      <c r="U70" s="108">
        <f>COUNT(T37:T64)</f>
        <v>9</v>
      </c>
      <c r="V70" s="116"/>
      <c r="W70" s="116"/>
      <c r="X70" s="116"/>
    </row>
    <row r="71" spans="1:24">
      <c r="A71" s="116"/>
      <c r="B71" s="114" t="s">
        <v>882</v>
      </c>
      <c r="C71" s="115">
        <v>0.3</v>
      </c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T71" s="167" t="s">
        <v>893</v>
      </c>
      <c r="U71" s="169">
        <f>SQRT(U68^2*U69/U70)</f>
        <v>0.20806930782886832</v>
      </c>
      <c r="V71" s="116"/>
      <c r="W71" s="116"/>
      <c r="X71" s="116"/>
    </row>
    <row r="72" spans="1:24">
      <c r="A72" s="116"/>
      <c r="B72" s="114" t="s">
        <v>883</v>
      </c>
      <c r="C72" s="128">
        <f>(C69/C68)^2</f>
        <v>0.16561108285023227</v>
      </c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31"/>
      <c r="V72" s="116"/>
      <c r="W72" s="116"/>
      <c r="X72" s="116"/>
    </row>
    <row r="73" spans="1:24">
      <c r="A73" s="116"/>
      <c r="B73" s="154" t="s">
        <v>884</v>
      </c>
      <c r="C73" s="155">
        <f>ROUNDUP(C70*C70*C72/(C71)^2,0)</f>
        <v>5</v>
      </c>
      <c r="D73" s="116"/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31"/>
      <c r="V73" s="116"/>
      <c r="W73" s="116"/>
      <c r="X73" s="116"/>
    </row>
    <row r="74" spans="1:24">
      <c r="A74" s="116"/>
      <c r="B74" s="116"/>
      <c r="C74" s="116"/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t="s">
        <v>846</v>
      </c>
      <c r="U74" s="134">
        <f>U66</f>
        <v>0.57962962962962961</v>
      </c>
      <c r="V74" s="116"/>
      <c r="W74" s="116"/>
      <c r="X74" s="116"/>
    </row>
    <row r="75" spans="1:24">
      <c r="A75" s="116"/>
      <c r="B75" s="116"/>
      <c r="C75" s="116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t="s">
        <v>847</v>
      </c>
      <c r="U75" s="134">
        <f>AVERAGE(O55:O63)</f>
        <v>4.2222222222222223</v>
      </c>
      <c r="V75" s="116"/>
      <c r="W75" s="116"/>
      <c r="X75" s="116"/>
    </row>
    <row r="76" spans="1:24">
      <c r="A76" s="116"/>
      <c r="B76" s="116"/>
      <c r="C76" s="116"/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t="s">
        <v>887</v>
      </c>
      <c r="U76" s="142">
        <f>U74*U75</f>
        <v>2.4473251028806584</v>
      </c>
      <c r="V76" s="116"/>
      <c r="W76" s="116"/>
      <c r="X76" s="116"/>
    </row>
    <row r="77" spans="1:24">
      <c r="A77" s="116"/>
      <c r="B77" s="116"/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V77" s="116"/>
      <c r="W77" s="116"/>
      <c r="X77" s="116"/>
    </row>
    <row r="78" spans="1:24">
      <c r="A78" s="116"/>
      <c r="B78" s="116"/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V78" s="116"/>
      <c r="W78" s="116"/>
      <c r="X78" s="116"/>
    </row>
    <row r="79" spans="1:24">
      <c r="A79" s="116"/>
      <c r="B79" s="116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V79" s="116"/>
      <c r="W79" s="116"/>
      <c r="X79" s="116"/>
    </row>
    <row r="80" spans="1:24">
      <c r="A80" s="116"/>
      <c r="B80" s="116"/>
      <c r="C80" s="116"/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V80" s="116"/>
      <c r="W80" s="116"/>
      <c r="X80" s="116"/>
    </row>
    <row r="81" spans="1:24">
      <c r="A81" s="116"/>
      <c r="B81" s="116"/>
      <c r="C81" s="116"/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V81" s="116"/>
      <c r="W81" s="116"/>
      <c r="X81" s="116"/>
    </row>
    <row r="82" spans="1:24">
      <c r="A82" s="116"/>
      <c r="B82" s="116"/>
      <c r="C82" s="116"/>
      <c r="D82" s="116"/>
      <c r="E82" s="116"/>
      <c r="F82" s="116"/>
      <c r="G82" s="116"/>
      <c r="H82" s="116"/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31"/>
      <c r="V82" s="116"/>
      <c r="W82" s="116"/>
      <c r="X82" s="116"/>
    </row>
    <row r="83" spans="1:24">
      <c r="A83" s="116"/>
      <c r="B83" s="116"/>
      <c r="C83" s="116"/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31"/>
      <c r="V83" s="116"/>
      <c r="W83" s="116"/>
      <c r="X83" s="116"/>
    </row>
    <row r="84" spans="1:24">
      <c r="A84" s="116"/>
      <c r="B84" s="116"/>
      <c r="C84" s="116"/>
      <c r="D84" s="116"/>
      <c r="E84" s="116"/>
      <c r="F84" s="116"/>
      <c r="G84" s="116"/>
      <c r="H84" s="116"/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31"/>
      <c r="V84" s="116"/>
      <c r="W84" s="116"/>
      <c r="X84" s="116"/>
    </row>
    <row r="85" spans="1:24">
      <c r="A85" s="116"/>
      <c r="B85" s="116"/>
      <c r="C85" s="116"/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31"/>
      <c r="V85" s="116"/>
      <c r="W85" s="116"/>
      <c r="X85" s="116"/>
    </row>
    <row r="86" spans="1:24">
      <c r="A86" s="116"/>
      <c r="B86" s="116"/>
      <c r="C86" s="116"/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6"/>
      <c r="O86" s="116"/>
      <c r="P86" s="116"/>
      <c r="Q86" s="116"/>
      <c r="R86" s="116"/>
      <c r="S86" s="116"/>
      <c r="T86" s="116"/>
      <c r="U86" s="131"/>
      <c r="V86" s="116"/>
      <c r="W86" s="116"/>
      <c r="X86" s="116"/>
    </row>
    <row r="87" spans="1:24">
      <c r="A87" s="116"/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31"/>
      <c r="V87" s="116"/>
      <c r="W87" s="116"/>
      <c r="X87" s="116"/>
    </row>
    <row r="88" spans="1:24">
      <c r="A88" s="116"/>
      <c r="B88" s="116"/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31"/>
      <c r="V88" s="116"/>
      <c r="W88" s="116"/>
      <c r="X88" s="116"/>
    </row>
  </sheetData>
  <mergeCells count="14">
    <mergeCell ref="A53:A54"/>
    <mergeCell ref="B53:B54"/>
    <mergeCell ref="C53:C54"/>
    <mergeCell ref="E53:G53"/>
    <mergeCell ref="A1:A2"/>
    <mergeCell ref="B1:B2"/>
    <mergeCell ref="C1:C2"/>
    <mergeCell ref="E1:G1"/>
    <mergeCell ref="D53:D54"/>
    <mergeCell ref="H53:K53"/>
    <mergeCell ref="L53:O53"/>
    <mergeCell ref="L1:O1"/>
    <mergeCell ref="P1:Q1"/>
    <mergeCell ref="H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36"/>
  <sheetViews>
    <sheetView topLeftCell="A12" zoomScale="116" workbookViewId="0">
      <selection activeCell="E20" sqref="E20"/>
    </sheetView>
  </sheetViews>
  <sheetFormatPr baseColWidth="10" defaultColWidth="8.83203125" defaultRowHeight="15"/>
  <cols>
    <col min="2" max="2" width="44" customWidth="1"/>
    <col min="3" max="3" width="13.6640625" customWidth="1"/>
    <col min="4" max="5" width="15" customWidth="1"/>
    <col min="6" max="6" width="14.5" customWidth="1"/>
    <col min="7" max="7" width="53.6640625" customWidth="1"/>
    <col min="9" max="9" width="19.5" customWidth="1"/>
    <col min="11" max="11" width="24.1640625" customWidth="1"/>
    <col min="14" max="14" width="22.33203125" customWidth="1"/>
  </cols>
  <sheetData>
    <row r="2" spans="2:14">
      <c r="B2" s="2" t="s">
        <v>140</v>
      </c>
      <c r="K2" s="2" t="s">
        <v>29</v>
      </c>
    </row>
    <row r="3" spans="2:14">
      <c r="B3" s="14" t="s">
        <v>12</v>
      </c>
      <c r="C3" s="14" t="s">
        <v>3</v>
      </c>
      <c r="D3" s="14" t="s">
        <v>0</v>
      </c>
      <c r="E3" s="14" t="s">
        <v>112</v>
      </c>
      <c r="F3" s="14" t="s">
        <v>877</v>
      </c>
      <c r="G3" s="14" t="s">
        <v>6</v>
      </c>
      <c r="K3" s="15"/>
      <c r="L3" s="16" t="s">
        <v>4</v>
      </c>
      <c r="M3" s="16" t="s">
        <v>5</v>
      </c>
      <c r="N3" s="17" t="s">
        <v>6</v>
      </c>
    </row>
    <row r="4" spans="2:14">
      <c r="B4" s="18" t="s">
        <v>45</v>
      </c>
      <c r="C4" s="7" t="s">
        <v>15</v>
      </c>
      <c r="D4" s="101">
        <f>'Baseline KPT'!U46/1000</f>
        <v>8.4628363715277787E-3</v>
      </c>
      <c r="E4" s="101">
        <f>'Baseline KPT'!U76/1000</f>
        <v>2.4473251028806586E-3</v>
      </c>
      <c r="F4" s="147">
        <f>'Baseline Survey'!L230/365/1000</f>
        <v>5.4806697108066974E-5</v>
      </c>
      <c r="G4" s="32" t="s">
        <v>1</v>
      </c>
      <c r="K4" s="6" t="s">
        <v>443</v>
      </c>
      <c r="L4" s="3">
        <v>5</v>
      </c>
      <c r="M4" s="3">
        <v>0.1</v>
      </c>
      <c r="N4" s="4"/>
    </row>
    <row r="5" spans="2:14">
      <c r="B5" s="20" t="s">
        <v>47</v>
      </c>
      <c r="C5" s="7" t="s">
        <v>18</v>
      </c>
      <c r="D5" s="34">
        <f>15.6/1000</f>
        <v>1.5599999999999999E-2</v>
      </c>
      <c r="E5" s="34">
        <f>29.5/1000</f>
        <v>2.9499999999999998E-2</v>
      </c>
      <c r="F5" s="34">
        <f>47.3/1000</f>
        <v>4.7299999999999995E-2</v>
      </c>
      <c r="G5" s="32" t="s">
        <v>7</v>
      </c>
      <c r="K5" s="6" t="s">
        <v>108</v>
      </c>
      <c r="L5" s="3">
        <v>28</v>
      </c>
      <c r="M5" s="3">
        <v>265</v>
      </c>
      <c r="N5" s="4"/>
    </row>
    <row r="6" spans="2:14">
      <c r="B6" s="7" t="s">
        <v>54</v>
      </c>
      <c r="C6" s="7" t="s">
        <v>55</v>
      </c>
      <c r="D6" s="7">
        <v>112</v>
      </c>
      <c r="E6" s="7">
        <v>165.22</v>
      </c>
      <c r="F6" s="7">
        <f>63000/1000</f>
        <v>63</v>
      </c>
      <c r="G6" s="7" t="s">
        <v>110</v>
      </c>
      <c r="K6" s="1"/>
      <c r="L6" s="3"/>
      <c r="M6" s="3"/>
      <c r="N6" s="4"/>
    </row>
    <row r="7" spans="2:14">
      <c r="B7" s="7" t="s">
        <v>56</v>
      </c>
      <c r="C7" s="7" t="s">
        <v>55</v>
      </c>
      <c r="D7" s="7">
        <v>9.4600000000000009</v>
      </c>
      <c r="E7" s="7">
        <v>44.83</v>
      </c>
      <c r="F7" s="8">
        <f>L7+M7</f>
        <v>0.16650000000000001</v>
      </c>
      <c r="G7" s="7" t="s">
        <v>109</v>
      </c>
      <c r="K7" s="6" t="s">
        <v>17</v>
      </c>
      <c r="L7" s="5">
        <f>L4*L5/1000</f>
        <v>0.14000000000000001</v>
      </c>
      <c r="M7" s="5">
        <f>M4*M5/1000</f>
        <v>2.6499999999999999E-2</v>
      </c>
      <c r="N7" s="4" t="s">
        <v>10</v>
      </c>
    </row>
    <row r="8" spans="2:14">
      <c r="B8" s="1" t="s">
        <v>44</v>
      </c>
      <c r="C8" s="7" t="s">
        <v>13</v>
      </c>
      <c r="D8" s="34">
        <v>365</v>
      </c>
      <c r="E8" s="34">
        <v>365</v>
      </c>
      <c r="F8" s="34">
        <f>D8</f>
        <v>365</v>
      </c>
      <c r="G8" s="32" t="s">
        <v>14</v>
      </c>
      <c r="K8" s="6"/>
    </row>
    <row r="9" spans="2:14">
      <c r="B9" s="1" t="s">
        <v>51</v>
      </c>
      <c r="C9" s="7" t="s">
        <v>58</v>
      </c>
      <c r="D9" s="39">
        <v>0.9</v>
      </c>
      <c r="E9" s="39">
        <f>D9</f>
        <v>0.9</v>
      </c>
      <c r="F9" s="39">
        <f>D9</f>
        <v>0.9</v>
      </c>
      <c r="G9" s="32" t="s">
        <v>14</v>
      </c>
      <c r="K9" s="1"/>
      <c r="L9" s="3"/>
      <c r="M9" s="3"/>
      <c r="N9" s="4"/>
    </row>
    <row r="10" spans="2:14">
      <c r="B10" s="19" t="s">
        <v>48</v>
      </c>
      <c r="C10" s="7" t="s">
        <v>16</v>
      </c>
      <c r="D10" s="33">
        <f>fNRB!C18</f>
        <v>0.82490154813650229</v>
      </c>
      <c r="E10" s="33">
        <f>D10</f>
        <v>0.82490154813650229</v>
      </c>
      <c r="F10" s="33"/>
      <c r="G10" s="32" t="s">
        <v>111</v>
      </c>
    </row>
    <row r="11" spans="2:14">
      <c r="B11" s="19" t="s">
        <v>52</v>
      </c>
      <c r="C11" s="7" t="s">
        <v>57</v>
      </c>
      <c r="D11" s="33">
        <f>D4*D5*D6</f>
        <v>1.4786267708333333E-2</v>
      </c>
      <c r="E11" s="33">
        <f>E4*E5*E6</f>
        <v>1.1928238078189301E-2</v>
      </c>
      <c r="F11" s="33">
        <f>F4*F5*F6</f>
        <v>1.6331847671232873E-4</v>
      </c>
      <c r="G11" s="32" t="s">
        <v>128</v>
      </c>
    </row>
    <row r="12" spans="2:14">
      <c r="B12" s="19" t="s">
        <v>53</v>
      </c>
      <c r="C12" s="7" t="s">
        <v>57</v>
      </c>
      <c r="D12" s="33">
        <f>D4*D5*D7</f>
        <v>1.2489115403645835E-3</v>
      </c>
      <c r="E12" s="33">
        <f>E4*E5*E7</f>
        <v>3.2365507386831276E-3</v>
      </c>
      <c r="F12" s="33">
        <f>F4*F5*F7</f>
        <v>4.31627402739726E-7</v>
      </c>
      <c r="G12" s="32" t="s">
        <v>128</v>
      </c>
    </row>
    <row r="13" spans="2:14">
      <c r="B13" s="7"/>
      <c r="C13" s="7"/>
      <c r="D13" s="29"/>
      <c r="E13" s="29"/>
      <c r="F13" s="29"/>
      <c r="G13" s="32"/>
    </row>
    <row r="14" spans="2:14">
      <c r="B14" s="9" t="s">
        <v>8</v>
      </c>
      <c r="C14" s="13" t="s">
        <v>19</v>
      </c>
      <c r="D14" s="22">
        <f>D8*D9*(D10*D11+D12)</f>
        <v>4.4170526091665474</v>
      </c>
      <c r="E14" s="22">
        <f>E8*E9*(E10*E11+E12)</f>
        <v>4.295522763460462</v>
      </c>
      <c r="F14" s="22">
        <f>F8*F9*(F11+F12)</f>
        <v>5.3791909201799985E-2</v>
      </c>
      <c r="G14" s="189"/>
    </row>
    <row r="15" spans="2:14">
      <c r="B15" s="9" t="s">
        <v>428</v>
      </c>
      <c r="C15" s="13"/>
      <c r="D15" s="100">
        <f>'Baseline Survey'!H230</f>
        <v>0.84444444444444444</v>
      </c>
      <c r="E15" s="100">
        <f>'Baseline Survey'!H231</f>
        <v>3.111111111111111E-2</v>
      </c>
      <c r="F15" s="22"/>
      <c r="G15" s="189"/>
    </row>
    <row r="16" spans="2:14">
      <c r="B16" s="9" t="s">
        <v>27</v>
      </c>
      <c r="C16" s="13" t="s">
        <v>19</v>
      </c>
      <c r="D16" s="187">
        <f>D14*D15+E14*E15+F14</f>
        <v>3.9173859318056543</v>
      </c>
      <c r="E16" s="187"/>
      <c r="F16" s="188"/>
      <c r="G16" s="189"/>
    </row>
    <row r="18" spans="2:11">
      <c r="B18" s="2" t="s">
        <v>28</v>
      </c>
    </row>
    <row r="19" spans="2:11">
      <c r="B19" s="14" t="s">
        <v>12</v>
      </c>
      <c r="C19" s="14" t="s">
        <v>3</v>
      </c>
      <c r="D19" s="14" t="s">
        <v>20</v>
      </c>
      <c r="E19" s="14" t="s">
        <v>125</v>
      </c>
      <c r="F19" s="14"/>
      <c r="G19" s="14" t="s">
        <v>6</v>
      </c>
    </row>
    <row r="20" spans="2:11">
      <c r="B20" s="7" t="s">
        <v>114</v>
      </c>
      <c r="C20" s="7" t="s">
        <v>13</v>
      </c>
      <c r="D20" s="7">
        <v>365</v>
      </c>
      <c r="E20" s="7">
        <v>365</v>
      </c>
      <c r="F20" s="35"/>
      <c r="G20" s="32" t="s">
        <v>126</v>
      </c>
    </row>
    <row r="21" spans="2:11">
      <c r="B21" s="7" t="s">
        <v>115</v>
      </c>
      <c r="C21" s="7" t="s">
        <v>11</v>
      </c>
      <c r="D21" s="7">
        <v>0.94</v>
      </c>
      <c r="E21" s="7">
        <v>0.94</v>
      </c>
      <c r="F21" s="29"/>
      <c r="G21" s="32" t="s">
        <v>22</v>
      </c>
    </row>
    <row r="22" spans="2:11" ht="15" customHeight="1">
      <c r="B22" s="7" t="s">
        <v>116</v>
      </c>
      <c r="C22" s="7" t="s">
        <v>11</v>
      </c>
      <c r="D22" s="21">
        <v>0.9</v>
      </c>
      <c r="E22" s="21">
        <v>0.9</v>
      </c>
      <c r="F22" s="28"/>
      <c r="G22" s="32" t="s">
        <v>126</v>
      </c>
      <c r="I22" s="92"/>
      <c r="J22" s="92"/>
      <c r="K22" s="92"/>
    </row>
    <row r="23" spans="2:11">
      <c r="B23" s="7" t="s">
        <v>117</v>
      </c>
      <c r="C23" s="32" t="s">
        <v>24</v>
      </c>
      <c r="D23" s="7">
        <v>28</v>
      </c>
      <c r="E23" s="7">
        <v>28</v>
      </c>
      <c r="F23" s="28"/>
      <c r="G23" s="85" t="s">
        <v>124</v>
      </c>
      <c r="H23" s="91"/>
      <c r="I23" s="92"/>
      <c r="J23" s="92"/>
      <c r="K23" s="92"/>
    </row>
    <row r="24" spans="2:11">
      <c r="B24" s="7" t="s">
        <v>118</v>
      </c>
      <c r="C24" s="7" t="s">
        <v>21</v>
      </c>
      <c r="D24" s="7">
        <v>6.7000000000000002E-4</v>
      </c>
      <c r="E24" s="7">
        <v>6.7000000000000002E-4</v>
      </c>
      <c r="F24" s="28"/>
      <c r="G24" s="87" t="s">
        <v>22</v>
      </c>
      <c r="H24" s="91"/>
      <c r="I24" s="92"/>
      <c r="J24" s="92"/>
      <c r="K24" s="92"/>
    </row>
    <row r="25" spans="2:11">
      <c r="B25" s="7" t="s">
        <v>119</v>
      </c>
      <c r="C25" s="7" t="s">
        <v>120</v>
      </c>
      <c r="D25" s="7">
        <v>0.13</v>
      </c>
      <c r="E25" s="7">
        <v>0.28999999999999998</v>
      </c>
      <c r="F25" s="28"/>
      <c r="G25" s="32" t="s">
        <v>878</v>
      </c>
      <c r="H25" s="91"/>
      <c r="I25" s="92"/>
      <c r="J25" s="92"/>
      <c r="K25" s="92"/>
    </row>
    <row r="26" spans="2:11">
      <c r="B26" s="32" t="s">
        <v>798</v>
      </c>
      <c r="C26" s="32" t="s">
        <v>11</v>
      </c>
      <c r="D26" s="28">
        <v>0.62</v>
      </c>
      <c r="E26" s="28">
        <v>0.62</v>
      </c>
      <c r="F26" s="38"/>
      <c r="G26" s="32" t="s">
        <v>799</v>
      </c>
      <c r="H26" s="192" t="s">
        <v>804</v>
      </c>
      <c r="I26" s="193"/>
      <c r="J26" s="193"/>
    </row>
    <row r="27" spans="2:11">
      <c r="B27" s="32" t="s">
        <v>801</v>
      </c>
      <c r="C27" s="32" t="s">
        <v>11</v>
      </c>
      <c r="D27" s="28">
        <v>0.01</v>
      </c>
      <c r="E27" s="28">
        <v>0.01</v>
      </c>
      <c r="F27" s="38"/>
      <c r="G27" s="32" t="s">
        <v>799</v>
      </c>
      <c r="H27" s="192"/>
      <c r="I27" s="193"/>
      <c r="J27" s="193"/>
    </row>
    <row r="28" spans="2:11">
      <c r="B28" s="32" t="s">
        <v>803</v>
      </c>
      <c r="C28" s="32" t="s">
        <v>11</v>
      </c>
      <c r="D28" s="84">
        <f>'Baseline Survey'!AB4+'Baseline Survey'!AC4</f>
        <v>0.99111111111111116</v>
      </c>
      <c r="E28" s="84">
        <f>'Baseline Survey'!AB4+'Baseline Survey'!AC4</f>
        <v>0.99111111111111116</v>
      </c>
      <c r="F28" s="33"/>
      <c r="G28" s="32" t="s">
        <v>127</v>
      </c>
    </row>
    <row r="29" spans="2:11">
      <c r="B29" s="32" t="s">
        <v>802</v>
      </c>
      <c r="C29" s="32" t="s">
        <v>11</v>
      </c>
      <c r="D29" s="84">
        <f>'Baseline Survey'!AD4</f>
        <v>8.8888888888888889E-3</v>
      </c>
      <c r="E29" s="84">
        <f>'Baseline Survey'!AD4</f>
        <v>8.8888888888888889E-3</v>
      </c>
      <c r="F29" s="36"/>
      <c r="G29" s="32" t="s">
        <v>1</v>
      </c>
    </row>
    <row r="30" spans="2:11" ht="16">
      <c r="B30" s="7" t="s">
        <v>121</v>
      </c>
      <c r="C30" s="7" t="s">
        <v>25</v>
      </c>
      <c r="D30" s="86">
        <f>'Baseline Survey'!Q230</f>
        <v>5.1210762331838566</v>
      </c>
      <c r="E30" s="86">
        <f>'Baseline Survey'!R230</f>
        <v>0.56888888888888889</v>
      </c>
      <c r="F30" s="83"/>
      <c r="G30" s="88" t="s">
        <v>127</v>
      </c>
    </row>
    <row r="31" spans="2:11">
      <c r="B31" s="111" t="s">
        <v>455</v>
      </c>
      <c r="C31" s="7" t="s">
        <v>460</v>
      </c>
      <c r="D31" s="105">
        <v>15.2</v>
      </c>
      <c r="E31" s="105">
        <v>8.6999999999999993</v>
      </c>
      <c r="F31" s="110"/>
      <c r="G31" s="194" t="s">
        <v>461</v>
      </c>
    </row>
    <row r="32" spans="2:11">
      <c r="B32" s="111" t="s">
        <v>456</v>
      </c>
      <c r="C32" s="32" t="s">
        <v>457</v>
      </c>
      <c r="D32" s="7">
        <v>260</v>
      </c>
      <c r="E32" s="7">
        <v>49</v>
      </c>
      <c r="F32" s="110"/>
      <c r="G32" s="195"/>
    </row>
    <row r="33" spans="2:7">
      <c r="B33" s="111" t="s">
        <v>458</v>
      </c>
      <c r="C33" s="32" t="s">
        <v>459</v>
      </c>
      <c r="D33" s="7">
        <v>365</v>
      </c>
      <c r="E33" s="7">
        <v>365</v>
      </c>
      <c r="F33" s="110"/>
      <c r="G33" s="112"/>
    </row>
    <row r="34" spans="2:7">
      <c r="B34" s="7" t="s">
        <v>122</v>
      </c>
      <c r="C34" s="7" t="s">
        <v>123</v>
      </c>
      <c r="D34" s="7">
        <f>D31*(D32/1000)*D33</f>
        <v>1442.48</v>
      </c>
      <c r="E34" s="7">
        <f>E31*(E32/1000)*E33</f>
        <v>155.59949999999998</v>
      </c>
      <c r="G34" s="113"/>
    </row>
    <row r="35" spans="2:7">
      <c r="B35" s="7" t="s">
        <v>113</v>
      </c>
      <c r="C35" s="7" t="s">
        <v>19</v>
      </c>
      <c r="D35" s="86">
        <f>(D20/365)*D23*D24*D21*D22*D30*D25*D34*(D26*D28+D27*D29)</f>
        <v>9.3668689335388446</v>
      </c>
      <c r="E35" s="86">
        <f>(E20/365)*E23*E24*E21*E22*E30*E25*E34*(E26*E28+E27*E29)</f>
        <v>0.25038810676080037</v>
      </c>
      <c r="F35" s="37"/>
      <c r="G35" s="191"/>
    </row>
    <row r="36" spans="2:7" ht="17.25" customHeight="1">
      <c r="B36" s="7" t="s">
        <v>26</v>
      </c>
      <c r="C36" s="7" t="s">
        <v>19</v>
      </c>
      <c r="D36" s="190">
        <f>SUM(D35:E35)</f>
        <v>9.6172570402996449</v>
      </c>
      <c r="E36" s="190"/>
      <c r="F36" s="7"/>
      <c r="G36" s="191"/>
    </row>
  </sheetData>
  <mergeCells count="6">
    <mergeCell ref="D16:F16"/>
    <mergeCell ref="G14:G16"/>
    <mergeCell ref="D36:E36"/>
    <mergeCell ref="G35:G36"/>
    <mergeCell ref="H26:J27"/>
    <mergeCell ref="G31:G32"/>
  </mergeCells>
  <hyperlinks>
    <hyperlink ref="G23" r:id="rId1" xr:uid="{3FFE66FF-C407-42FA-AE92-2BB708850DF9}"/>
  </hyperlink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49"/>
  <sheetViews>
    <sheetView zoomScale="85" zoomScaleNormal="85" workbookViewId="0">
      <selection activeCell="D10" sqref="D10"/>
    </sheetView>
  </sheetViews>
  <sheetFormatPr baseColWidth="10" defaultColWidth="8.83203125" defaultRowHeight="15"/>
  <cols>
    <col min="2" max="2" width="27.83203125" customWidth="1"/>
    <col min="3" max="3" width="18.5" customWidth="1"/>
    <col min="4" max="4" width="15" customWidth="1"/>
    <col min="5" max="5" width="11" customWidth="1"/>
    <col min="6" max="6" width="11.5" customWidth="1"/>
    <col min="7" max="7" width="59.5" customWidth="1"/>
    <col min="8" max="8" width="21.1640625" customWidth="1"/>
    <col min="9" max="9" width="17.1640625" customWidth="1"/>
    <col min="10" max="10" width="16.83203125" customWidth="1"/>
    <col min="11" max="11" width="24.1640625" customWidth="1"/>
    <col min="14" max="14" width="22.33203125" customWidth="1"/>
  </cols>
  <sheetData>
    <row r="2" spans="2:11">
      <c r="B2" s="2" t="s">
        <v>137</v>
      </c>
    </row>
    <row r="3" spans="2:11">
      <c r="B3" s="14" t="s">
        <v>12</v>
      </c>
      <c r="C3" s="14" t="s">
        <v>3</v>
      </c>
      <c r="D3" s="14" t="s">
        <v>0</v>
      </c>
      <c r="E3" s="14" t="s">
        <v>112</v>
      </c>
      <c r="F3" s="14" t="s">
        <v>2</v>
      </c>
      <c r="G3" s="14" t="s">
        <v>6</v>
      </c>
    </row>
    <row r="4" spans="2:11">
      <c r="B4" s="18" t="s">
        <v>444</v>
      </c>
      <c r="C4" s="7" t="s">
        <v>15</v>
      </c>
      <c r="D4" s="101">
        <f>'Baseline Emission'!D4*5%</f>
        <v>4.2314181857638894E-4</v>
      </c>
      <c r="E4" s="101">
        <f>'Baseline Emission'!E4*5%</f>
        <v>1.2236625514403294E-4</v>
      </c>
      <c r="F4" s="101">
        <f>'Baseline Emission'!F4*5%</f>
        <v>2.7403348554033488E-6</v>
      </c>
      <c r="G4" s="32" t="s">
        <v>138</v>
      </c>
    </row>
    <row r="5" spans="2:11">
      <c r="B5" s="20" t="s">
        <v>445</v>
      </c>
      <c r="C5" s="7" t="s">
        <v>18</v>
      </c>
      <c r="D5" s="34">
        <f>15.6/1000</f>
        <v>1.5599999999999999E-2</v>
      </c>
      <c r="E5" s="34">
        <f>29.5/1000</f>
        <v>2.9499999999999998E-2</v>
      </c>
      <c r="F5" s="34">
        <f>47.3/1000</f>
        <v>4.7299999999999995E-2</v>
      </c>
      <c r="G5" s="32" t="s">
        <v>7</v>
      </c>
      <c r="H5" s="102"/>
    </row>
    <row r="6" spans="2:11">
      <c r="B6" t="s">
        <v>446</v>
      </c>
      <c r="C6" t="s">
        <v>55</v>
      </c>
      <c r="D6">
        <v>112</v>
      </c>
      <c r="E6" s="103">
        <v>165.22</v>
      </c>
      <c r="F6">
        <f>63000/1000</f>
        <v>63</v>
      </c>
      <c r="G6" t="s">
        <v>110</v>
      </c>
    </row>
    <row r="7" spans="2:11">
      <c r="B7" t="s">
        <v>447</v>
      </c>
      <c r="C7" t="s">
        <v>55</v>
      </c>
      <c r="D7">
        <v>9.4600000000000009</v>
      </c>
      <c r="E7">
        <f>'Baseline Emission'!E7</f>
        <v>44.83</v>
      </c>
      <c r="F7" s="82">
        <f>'Baseline Emission'!F7</f>
        <v>0.16650000000000001</v>
      </c>
      <c r="G7" t="s">
        <v>109</v>
      </c>
      <c r="I7" s="182" t="s">
        <v>866</v>
      </c>
      <c r="J7" s="182"/>
    </row>
    <row r="8" spans="2:11" ht="32">
      <c r="B8" s="19" t="s">
        <v>450</v>
      </c>
      <c r="C8" s="7" t="s">
        <v>13</v>
      </c>
      <c r="D8" s="34">
        <v>365</v>
      </c>
      <c r="E8" s="34">
        <v>365</v>
      </c>
      <c r="F8" s="34">
        <f>D8</f>
        <v>365</v>
      </c>
      <c r="G8" s="32" t="s">
        <v>14</v>
      </c>
      <c r="I8" s="106" t="s">
        <v>453</v>
      </c>
      <c r="J8" s="107" t="s">
        <v>454</v>
      </c>
    </row>
    <row r="9" spans="2:11">
      <c r="B9" s="19" t="s">
        <v>51</v>
      </c>
      <c r="C9" s="7" t="s">
        <v>58</v>
      </c>
      <c r="D9" s="39">
        <v>0.9</v>
      </c>
      <c r="E9" s="39">
        <f>D9</f>
        <v>0.9</v>
      </c>
      <c r="F9" s="39">
        <f>D9</f>
        <v>0.9</v>
      </c>
      <c r="G9" s="32" t="s">
        <v>14</v>
      </c>
      <c r="I9" s="89">
        <f>'Baseline Emission'!D4-'Project Emission'!D4</f>
        <v>8.0396945529513895E-3</v>
      </c>
      <c r="J9" s="89">
        <f>('Baseline Emission'!E4-'Project Emission'!E4)*6</f>
        <v>1.3949753086419752E-2</v>
      </c>
    </row>
    <row r="10" spans="2:11">
      <c r="B10" s="19" t="s">
        <v>46</v>
      </c>
      <c r="C10" s="7" t="s">
        <v>16</v>
      </c>
      <c r="D10" s="101">
        <f>fNRB!C18</f>
        <v>0.82490154813650229</v>
      </c>
      <c r="E10" s="33">
        <f>D10</f>
        <v>0.82490154813650229</v>
      </c>
      <c r="F10" s="33"/>
      <c r="G10" s="32" t="s">
        <v>111</v>
      </c>
      <c r="I10" s="117">
        <f>I9*50000*365</f>
        <v>146724.42559136284</v>
      </c>
      <c r="J10" s="117">
        <f>J9*50000*365</f>
        <v>254582.99382716048</v>
      </c>
    </row>
    <row r="11" spans="2:11">
      <c r="B11" s="19" t="s">
        <v>135</v>
      </c>
      <c r="C11" s="7" t="s">
        <v>57</v>
      </c>
      <c r="D11" s="33">
        <f>D4*D5*D6</f>
        <v>7.393133854166667E-4</v>
      </c>
      <c r="E11" s="33">
        <f>E4*E5*E6</f>
        <v>5.96411903909465E-4</v>
      </c>
      <c r="F11" s="33">
        <f>F4*F5*F6</f>
        <v>8.1659238356164377E-6</v>
      </c>
      <c r="G11" s="32" t="s">
        <v>128</v>
      </c>
      <c r="I11" s="89">
        <f>I10/50000</f>
        <v>2.934488511827257</v>
      </c>
      <c r="J11" s="89">
        <f>J10/50000</f>
        <v>5.0916598765432095</v>
      </c>
    </row>
    <row r="12" spans="2:11">
      <c r="B12" s="19" t="s">
        <v>136</v>
      </c>
      <c r="C12" s="7" t="s">
        <v>57</v>
      </c>
      <c r="D12" s="33">
        <f>D4*D5*D7</f>
        <v>6.244557701822918E-5</v>
      </c>
      <c r="E12" s="33">
        <f>E4*E5*E7</f>
        <v>1.6182753693415639E-4</v>
      </c>
      <c r="F12" s="33">
        <f>F4*F5*F7</f>
        <v>2.1581370136986299E-8</v>
      </c>
      <c r="G12" s="32" t="s">
        <v>128</v>
      </c>
      <c r="I12" s="89">
        <f>I11*D10</f>
        <v>2.4206641163950851</v>
      </c>
      <c r="J12" s="89">
        <f>J11*E10</f>
        <v>4.2001181147450053</v>
      </c>
    </row>
    <row r="13" spans="2:11">
      <c r="B13" s="7"/>
      <c r="C13" s="7"/>
      <c r="D13" s="29"/>
      <c r="E13" s="29"/>
      <c r="F13" s="29"/>
      <c r="G13" s="32"/>
      <c r="I13" s="21">
        <f>'Baseline Survey'!H230</f>
        <v>0.84444444444444444</v>
      </c>
      <c r="J13" s="21">
        <f>'Baseline Survey'!H231</f>
        <v>3.111111111111111E-2</v>
      </c>
    </row>
    <row r="14" spans="2:11" ht="14.5" customHeight="1">
      <c r="B14" s="9" t="s">
        <v>448</v>
      </c>
      <c r="C14" s="13" t="s">
        <v>19</v>
      </c>
      <c r="D14" s="22">
        <f>D8*D9*(D10*D11+D12)</f>
        <v>0.2208526304583274</v>
      </c>
      <c r="E14" s="22">
        <f>E8*E9*(E10*E11+E12)</f>
        <v>0.21477613817302307</v>
      </c>
      <c r="F14" s="22">
        <f>F8*F9*(F11+F12)</f>
        <v>2.6895954600899994E-3</v>
      </c>
      <c r="G14" s="189"/>
      <c r="I14" s="200">
        <f>I12*I13+J12*J13</f>
        <v>2.1747867063034723</v>
      </c>
      <c r="J14" s="201"/>
    </row>
    <row r="15" spans="2:11">
      <c r="B15" s="9" t="s">
        <v>449</v>
      </c>
      <c r="C15" s="13" t="s">
        <v>19</v>
      </c>
      <c r="D15" s="208">
        <f>D14+F14+E14</f>
        <v>0.43831836409144048</v>
      </c>
      <c r="E15" s="208"/>
      <c r="F15" s="208"/>
      <c r="G15" s="189"/>
      <c r="I15" s="199"/>
      <c r="J15" s="199"/>
    </row>
    <row r="16" spans="2:11">
      <c r="D16" s="31"/>
      <c r="K16" s="95"/>
    </row>
    <row r="17" spans="2:13">
      <c r="B17" s="2" t="s">
        <v>30</v>
      </c>
    </row>
    <row r="18" spans="2:13">
      <c r="B18" s="14" t="s">
        <v>12</v>
      </c>
      <c r="C18" s="14" t="s">
        <v>3</v>
      </c>
      <c r="D18" s="14" t="s">
        <v>20</v>
      </c>
      <c r="E18" s="14" t="s">
        <v>129</v>
      </c>
      <c r="F18" s="14"/>
      <c r="G18" s="14" t="s">
        <v>6</v>
      </c>
    </row>
    <row r="19" spans="2:13">
      <c r="B19" s="7" t="s">
        <v>114</v>
      </c>
      <c r="C19" s="7" t="s">
        <v>13</v>
      </c>
      <c r="D19" s="7">
        <v>365</v>
      </c>
      <c r="E19" s="7">
        <v>365</v>
      </c>
      <c r="F19" s="7"/>
      <c r="G19" s="7" t="s">
        <v>14</v>
      </c>
    </row>
    <row r="20" spans="2:13">
      <c r="B20" s="7" t="s">
        <v>51</v>
      </c>
      <c r="C20" s="7" t="s">
        <v>11</v>
      </c>
      <c r="D20" s="21">
        <v>0.9</v>
      </c>
      <c r="E20" s="21">
        <f>D20</f>
        <v>0.9</v>
      </c>
      <c r="F20" s="7"/>
      <c r="G20" s="7" t="s">
        <v>14</v>
      </c>
    </row>
    <row r="21" spans="2:13">
      <c r="B21" s="7" t="s">
        <v>23</v>
      </c>
      <c r="C21" s="7" t="s">
        <v>24</v>
      </c>
      <c r="D21" s="12">
        <f>'Baseline Emission'!D23</f>
        <v>28</v>
      </c>
      <c r="E21" s="12">
        <f>'Baseline Emission'!E23</f>
        <v>28</v>
      </c>
      <c r="F21" s="12"/>
      <c r="G21" s="7" t="s">
        <v>7</v>
      </c>
    </row>
    <row r="22" spans="2:13">
      <c r="B22" s="7" t="s">
        <v>134</v>
      </c>
      <c r="C22" s="7" t="str">
        <f>'Baseline Emission'!C24</f>
        <v>t/m3</v>
      </c>
      <c r="D22" s="7">
        <f>'Baseline Emission'!D24</f>
        <v>6.7000000000000002E-4</v>
      </c>
      <c r="E22" s="7">
        <f>'Baseline Emission'!E24</f>
        <v>6.7000000000000002E-4</v>
      </c>
      <c r="F22" s="7"/>
      <c r="G22" s="7" t="str">
        <f>'Baseline Emission'!G24</f>
        <v>Methodology</v>
      </c>
    </row>
    <row r="23" spans="2:13">
      <c r="B23" s="7" t="s">
        <v>130</v>
      </c>
      <c r="C23" s="7" t="s">
        <v>9</v>
      </c>
      <c r="D23" s="11">
        <f>'Baseline Emission'!D25</f>
        <v>0.13</v>
      </c>
      <c r="E23" s="11">
        <f>'Baseline Emission'!E25</f>
        <v>0.28999999999999998</v>
      </c>
      <c r="F23" s="11"/>
      <c r="G23" s="93" t="str">
        <f>'Baseline Emission'!G25</f>
        <v>2019 Refinement to the 2006 IPCC Guidelines for National Greenhouse Gas Inventories 1 (Table 10.16A)</v>
      </c>
    </row>
    <row r="24" spans="2:13">
      <c r="B24" s="90" t="s">
        <v>133</v>
      </c>
      <c r="C24" s="90" t="s">
        <v>25</v>
      </c>
      <c r="D24" s="82">
        <f>'Baseline Emission'!D30</f>
        <v>5.1210762331838566</v>
      </c>
      <c r="E24" s="82">
        <f>'Baseline Emission'!E30</f>
        <v>0.56888888888888889</v>
      </c>
      <c r="G24" t="str">
        <f>'Baseline Emission'!G30</f>
        <v>Baseline Survey</v>
      </c>
    </row>
    <row r="25" spans="2:13">
      <c r="B25" s="7" t="s">
        <v>131</v>
      </c>
      <c r="C25" s="7" t="s">
        <v>139</v>
      </c>
      <c r="D25" s="148">
        <f>'Baseline Emission'!D34</f>
        <v>1442.48</v>
      </c>
      <c r="E25" s="148">
        <f>'Baseline Emission'!E34</f>
        <v>155.59949999999998</v>
      </c>
      <c r="F25" s="10"/>
      <c r="G25" s="94">
        <f>'Baseline Emission'!G34</f>
        <v>0</v>
      </c>
    </row>
    <row r="26" spans="2:13">
      <c r="B26" s="90" t="s">
        <v>132</v>
      </c>
      <c r="C26" s="90" t="s">
        <v>11</v>
      </c>
      <c r="D26" s="95">
        <v>0.7</v>
      </c>
      <c r="E26" s="95">
        <f>D26</f>
        <v>0.7</v>
      </c>
      <c r="G26" s="7" t="s">
        <v>14</v>
      </c>
    </row>
    <row r="27" spans="2:13" ht="15" customHeight="1">
      <c r="B27" s="13" t="s">
        <v>49</v>
      </c>
      <c r="C27" s="7" t="s">
        <v>19</v>
      </c>
      <c r="D27" s="209">
        <f>0.1*(D19/365)*D20*D21*D22*D23*D24*D25*D26</f>
        <v>1.1349788719098834</v>
      </c>
      <c r="E27" s="209">
        <f>0.1*(E19/365)*E20*E21*E22*E23*E24*E25*E26</f>
        <v>3.0339402949631996E-2</v>
      </c>
      <c r="F27" s="209"/>
      <c r="G27" s="197"/>
      <c r="H27" s="202"/>
      <c r="I27" s="203"/>
      <c r="J27" s="203"/>
      <c r="K27" s="203"/>
      <c r="L27" s="203"/>
      <c r="M27" s="203"/>
    </row>
    <row r="28" spans="2:13">
      <c r="B28" s="13" t="s">
        <v>50</v>
      </c>
      <c r="C28" s="7" t="s">
        <v>19</v>
      </c>
      <c r="D28" s="196">
        <f>D27+E27+F27</f>
        <v>1.1653182748595154</v>
      </c>
      <c r="E28" s="196"/>
      <c r="F28" s="196"/>
      <c r="G28" s="198"/>
      <c r="H28" s="202"/>
      <c r="I28" s="203"/>
      <c r="J28" s="203"/>
      <c r="K28" s="203"/>
      <c r="L28" s="203"/>
      <c r="M28" s="203"/>
    </row>
    <row r="29" spans="2:13">
      <c r="D29" s="31"/>
      <c r="E29" s="30"/>
      <c r="J29" s="31"/>
    </row>
    <row r="31" spans="2:13">
      <c r="B31" s="2" t="s">
        <v>894</v>
      </c>
    </row>
    <row r="32" spans="2:13">
      <c r="B32" s="14" t="s">
        <v>12</v>
      </c>
      <c r="C32" s="14" t="s">
        <v>3</v>
      </c>
      <c r="D32" s="14" t="s">
        <v>20</v>
      </c>
      <c r="E32" s="14" t="s">
        <v>125</v>
      </c>
      <c r="F32" s="14"/>
      <c r="G32" s="14" t="s">
        <v>6</v>
      </c>
    </row>
    <row r="33" spans="2:7">
      <c r="B33" s="7" t="s">
        <v>114</v>
      </c>
      <c r="C33" s="7" t="s">
        <v>13</v>
      </c>
      <c r="D33" s="7">
        <v>365</v>
      </c>
      <c r="E33" s="7">
        <f>D33</f>
        <v>365</v>
      </c>
      <c r="F33" s="35"/>
      <c r="G33" s="32" t="s">
        <v>126</v>
      </c>
    </row>
    <row r="34" spans="2:7">
      <c r="B34" s="7" t="s">
        <v>115</v>
      </c>
      <c r="C34" s="7" t="s">
        <v>11</v>
      </c>
      <c r="D34" s="7">
        <v>0.94</v>
      </c>
      <c r="E34" s="7">
        <v>0.94</v>
      </c>
      <c r="F34" s="29"/>
      <c r="G34" s="32" t="s">
        <v>22</v>
      </c>
    </row>
    <row r="35" spans="2:7">
      <c r="B35" s="7" t="s">
        <v>116</v>
      </c>
      <c r="C35" s="7" t="s">
        <v>11</v>
      </c>
      <c r="D35" s="21">
        <v>0.9</v>
      </c>
      <c r="E35" s="21">
        <f>D35</f>
        <v>0.9</v>
      </c>
      <c r="F35" s="28"/>
      <c r="G35" s="32" t="s">
        <v>126</v>
      </c>
    </row>
    <row r="36" spans="2:7">
      <c r="B36" s="7" t="s">
        <v>117</v>
      </c>
      <c r="C36" s="32" t="s">
        <v>24</v>
      </c>
      <c r="D36" s="7">
        <v>28</v>
      </c>
      <c r="E36" s="7">
        <v>28</v>
      </c>
      <c r="F36" s="28"/>
      <c r="G36" s="85" t="s">
        <v>124</v>
      </c>
    </row>
    <row r="37" spans="2:7">
      <c r="B37" s="7" t="s">
        <v>118</v>
      </c>
      <c r="C37" s="7" t="s">
        <v>21</v>
      </c>
      <c r="D37" s="7">
        <v>6.7000000000000002E-4</v>
      </c>
      <c r="E37" s="7">
        <v>6.7000000000000002E-4</v>
      </c>
      <c r="F37" s="28"/>
      <c r="G37" s="87" t="s">
        <v>22</v>
      </c>
    </row>
    <row r="38" spans="2:7">
      <c r="B38" s="7" t="s">
        <v>119</v>
      </c>
      <c r="C38" s="7" t="s">
        <v>120</v>
      </c>
      <c r="D38" s="7">
        <v>0.13</v>
      </c>
      <c r="E38" s="7">
        <v>0.28999999999999998</v>
      </c>
      <c r="F38" s="28"/>
      <c r="G38" s="32" t="s">
        <v>878</v>
      </c>
    </row>
    <row r="39" spans="2:7">
      <c r="B39" s="32" t="s">
        <v>798</v>
      </c>
      <c r="C39" s="32" t="s">
        <v>11</v>
      </c>
      <c r="D39" s="28">
        <v>0.62</v>
      </c>
      <c r="E39" s="28">
        <v>0.62</v>
      </c>
      <c r="F39" s="38"/>
      <c r="G39" s="32" t="s">
        <v>799</v>
      </c>
    </row>
    <row r="40" spans="2:7">
      <c r="B40" s="32" t="s">
        <v>801</v>
      </c>
      <c r="C40" s="32" t="s">
        <v>11</v>
      </c>
      <c r="D40" s="28">
        <v>0.01</v>
      </c>
      <c r="E40" s="28">
        <v>0.01</v>
      </c>
      <c r="F40" s="38"/>
      <c r="G40" s="32" t="s">
        <v>799</v>
      </c>
    </row>
    <row r="41" spans="2:7">
      <c r="B41" s="32" t="s">
        <v>803</v>
      </c>
      <c r="C41" s="32" t="s">
        <v>11</v>
      </c>
      <c r="D41" s="84">
        <f>(1-D26)*'Baseline Emission'!D28</f>
        <v>0.29733333333333339</v>
      </c>
      <c r="E41" s="84">
        <f>D41</f>
        <v>0.29733333333333339</v>
      </c>
      <c r="F41" s="33"/>
      <c r="G41" s="32" t="s">
        <v>126</v>
      </c>
    </row>
    <row r="42" spans="2:7">
      <c r="B42" s="32" t="s">
        <v>802</v>
      </c>
      <c r="C42" s="32" t="s">
        <v>11</v>
      </c>
      <c r="D42" s="84">
        <f>(1-D26)*'Baseline Emission'!D29</f>
        <v>2.666666666666667E-3</v>
      </c>
      <c r="E42" s="84">
        <f>D42</f>
        <v>2.666666666666667E-3</v>
      </c>
      <c r="F42" s="36"/>
      <c r="G42" s="32" t="s">
        <v>126</v>
      </c>
    </row>
    <row r="43" spans="2:7" ht="16">
      <c r="B43" s="7" t="s">
        <v>121</v>
      </c>
      <c r="C43" s="7" t="s">
        <v>25</v>
      </c>
      <c r="D43" s="89">
        <f>'Baseline Emission'!D30</f>
        <v>5.1210762331838566</v>
      </c>
      <c r="E43" s="89">
        <f>'Baseline Emission'!E30</f>
        <v>0.56888888888888889</v>
      </c>
      <c r="F43" s="83"/>
      <c r="G43" s="88" t="s">
        <v>127</v>
      </c>
    </row>
    <row r="44" spans="2:7">
      <c r="B44" s="111" t="s">
        <v>455</v>
      </c>
      <c r="C44" s="7" t="s">
        <v>460</v>
      </c>
      <c r="D44" s="105">
        <v>15.2</v>
      </c>
      <c r="E44" s="105">
        <v>8.6999999999999993</v>
      </c>
      <c r="F44" s="110"/>
      <c r="G44" s="194" t="s">
        <v>461</v>
      </c>
    </row>
    <row r="45" spans="2:7">
      <c r="B45" s="111" t="s">
        <v>456</v>
      </c>
      <c r="C45" s="32" t="s">
        <v>457</v>
      </c>
      <c r="D45" s="7">
        <v>260</v>
      </c>
      <c r="E45" s="7">
        <v>49</v>
      </c>
      <c r="F45" s="110"/>
      <c r="G45" s="195"/>
    </row>
    <row r="46" spans="2:7">
      <c r="B46" s="111" t="s">
        <v>458</v>
      </c>
      <c r="C46" s="32" t="s">
        <v>895</v>
      </c>
      <c r="D46" s="7">
        <v>365</v>
      </c>
      <c r="E46" s="7">
        <f>D46</f>
        <v>365</v>
      </c>
      <c r="F46" s="110"/>
      <c r="G46" s="112"/>
    </row>
    <row r="47" spans="2:7">
      <c r="B47" s="7" t="s">
        <v>122</v>
      </c>
      <c r="C47" s="7" t="s">
        <v>123</v>
      </c>
      <c r="D47" s="7">
        <f>D44*(D45/1000)*D46</f>
        <v>1442.48</v>
      </c>
      <c r="E47" s="7">
        <f>E44*(E45/1000)*E46</f>
        <v>155.59949999999998</v>
      </c>
      <c r="G47" s="113"/>
    </row>
    <row r="48" spans="2:7">
      <c r="B48" s="7" t="s">
        <v>896</v>
      </c>
      <c r="C48" s="7" t="s">
        <v>19</v>
      </c>
      <c r="D48" s="86">
        <f>(D33/365)*D36*D37*D34*D35*D43*D38*D47*(D39*D41+D40*D42)</f>
        <v>2.8100606800616541</v>
      </c>
      <c r="E48" s="86">
        <f>(E33/365)*E36*E37*E34*E35*E43*E38*E47*(E39*E41+E40*E42)</f>
        <v>7.5116432028240115E-2</v>
      </c>
      <c r="F48" s="37"/>
      <c r="G48" s="191"/>
    </row>
    <row r="49" spans="2:7">
      <c r="B49" s="7" t="s">
        <v>26</v>
      </c>
      <c r="C49" s="7" t="s">
        <v>19</v>
      </c>
      <c r="D49" s="196">
        <f>SUM(D48:E48)</f>
        <v>2.8851771120898944</v>
      </c>
      <c r="E49" s="196"/>
      <c r="F49" s="7"/>
      <c r="G49" s="191"/>
    </row>
  </sheetData>
  <mergeCells count="11">
    <mergeCell ref="I7:J7"/>
    <mergeCell ref="I15:J15"/>
    <mergeCell ref="I14:J14"/>
    <mergeCell ref="H27:M28"/>
    <mergeCell ref="G14:G15"/>
    <mergeCell ref="G44:G45"/>
    <mergeCell ref="G48:G49"/>
    <mergeCell ref="D49:E49"/>
    <mergeCell ref="D15:F15"/>
    <mergeCell ref="G27:G28"/>
    <mergeCell ref="D28:F28"/>
  </mergeCells>
  <hyperlinks>
    <hyperlink ref="G36" r:id="rId1" xr:uid="{06422054-DFE7-5C48-B6D3-1B5994D77D11}"/>
  </hyperlinks>
  <pageMargins left="0.7" right="0.7" top="0.75" bottom="0.75" header="0.3" footer="0.3"/>
  <pageSetup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35"/>
  <sheetViews>
    <sheetView tabSelected="1" zoomScale="85" zoomScaleNormal="85" workbookViewId="0">
      <selection activeCell="E29" sqref="E29:E30"/>
    </sheetView>
  </sheetViews>
  <sheetFormatPr baseColWidth="10" defaultColWidth="8.83203125" defaultRowHeight="15"/>
  <cols>
    <col min="2" max="2" width="33.5" customWidth="1"/>
    <col min="3" max="3" width="16.83203125" customWidth="1"/>
    <col min="4" max="4" width="21.6640625" customWidth="1"/>
    <col min="5" max="5" width="25.1640625" customWidth="1"/>
    <col min="6" max="6" width="19" customWidth="1"/>
    <col min="8" max="8" width="13" customWidth="1"/>
    <col min="12" max="12" width="9.1640625" customWidth="1"/>
    <col min="16" max="16" width="9.1640625" customWidth="1"/>
  </cols>
  <sheetData>
    <row r="1" spans="2:8">
      <c r="B1" s="14"/>
      <c r="C1" s="14" t="s">
        <v>141</v>
      </c>
      <c r="D1" s="14" t="s">
        <v>31</v>
      </c>
      <c r="E1" s="14" t="s">
        <v>26</v>
      </c>
    </row>
    <row r="2" spans="2:8">
      <c r="B2" s="7" t="s">
        <v>32</v>
      </c>
      <c r="C2" s="8">
        <f>'Baseline Emission'!D16</f>
        <v>3.9173859318056543</v>
      </c>
      <c r="D2" s="8">
        <f>'Baseline Emission'!D36:E36</f>
        <v>9.6172570402996449</v>
      </c>
      <c r="E2" s="8">
        <f>SUM(C2:D2)</f>
        <v>13.534642972105299</v>
      </c>
    </row>
    <row r="3" spans="2:8">
      <c r="B3" s="7" t="s">
        <v>33</v>
      </c>
      <c r="C3" s="8">
        <f>'Project Emission'!D15</f>
        <v>0.43831836409144048</v>
      </c>
      <c r="D3" s="8">
        <f>'Project Emission'!D28+'Project Emission'!D49</f>
        <v>4.05049538694941</v>
      </c>
      <c r="E3" s="8">
        <f>SUM(C3:D3)</f>
        <v>4.4888137510408503</v>
      </c>
    </row>
    <row r="4" spans="2:8">
      <c r="B4" s="7" t="s">
        <v>451</v>
      </c>
      <c r="C4" s="8">
        <f>C2-C3</f>
        <v>3.479067567714214</v>
      </c>
      <c r="D4" s="8">
        <f>D2-D3</f>
        <v>5.5667616533502349</v>
      </c>
      <c r="E4" s="8">
        <f>E2-E3</f>
        <v>9.045829221064448</v>
      </c>
    </row>
    <row r="7" spans="2:8">
      <c r="B7" s="14" t="s">
        <v>41</v>
      </c>
      <c r="C7" s="14" t="s">
        <v>39</v>
      </c>
      <c r="D7" s="14" t="s">
        <v>40</v>
      </c>
      <c r="H7" s="118"/>
    </row>
    <row r="8" spans="2:8">
      <c r="B8" s="7" t="s">
        <v>34</v>
      </c>
      <c r="C8" s="23">
        <v>1500</v>
      </c>
      <c r="D8" s="7">
        <f>C8</f>
        <v>1500</v>
      </c>
    </row>
    <row r="9" spans="2:8">
      <c r="B9" s="7" t="s">
        <v>35</v>
      </c>
      <c r="C9" s="23">
        <v>13500</v>
      </c>
      <c r="D9" s="7">
        <f>C9+D8</f>
        <v>15000</v>
      </c>
    </row>
    <row r="10" spans="2:8">
      <c r="B10" s="7" t="s">
        <v>36</v>
      </c>
      <c r="C10" s="23">
        <v>35000</v>
      </c>
      <c r="D10" s="7">
        <f t="shared" ref="D10:D12" si="0">C10+D9</f>
        <v>50000</v>
      </c>
    </row>
    <row r="11" spans="2:8">
      <c r="B11" s="7" t="s">
        <v>37</v>
      </c>
      <c r="C11" s="7">
        <v>0</v>
      </c>
      <c r="D11" s="7">
        <f t="shared" si="0"/>
        <v>50000</v>
      </c>
    </row>
    <row r="12" spans="2:8">
      <c r="B12" s="7" t="s">
        <v>38</v>
      </c>
      <c r="C12" s="7">
        <v>0</v>
      </c>
      <c r="D12" s="7">
        <f t="shared" si="0"/>
        <v>50000</v>
      </c>
    </row>
    <row r="14" spans="2:8">
      <c r="B14" s="2" t="s">
        <v>867</v>
      </c>
    </row>
    <row r="15" spans="2:8">
      <c r="B15" s="14" t="s">
        <v>41</v>
      </c>
      <c r="C15" s="24" t="s">
        <v>871</v>
      </c>
      <c r="D15" s="24" t="s">
        <v>872</v>
      </c>
      <c r="E15" s="24" t="s">
        <v>873</v>
      </c>
      <c r="F15" s="24" t="s">
        <v>874</v>
      </c>
    </row>
    <row r="16" spans="2:8">
      <c r="B16" s="7" t="s">
        <v>34</v>
      </c>
      <c r="C16" s="25">
        <f>$E$2*D8</f>
        <v>20301.964458157949</v>
      </c>
      <c r="D16" s="25">
        <f>$E$3*D8</f>
        <v>6733.2206265612758</v>
      </c>
      <c r="E16" s="25">
        <v>0</v>
      </c>
      <c r="F16" s="25">
        <f>ROUND(C16-D16-E16,0)</f>
        <v>13569</v>
      </c>
    </row>
    <row r="17" spans="2:11">
      <c r="B17" s="7" t="s">
        <v>35</v>
      </c>
      <c r="C17" s="25">
        <f t="shared" ref="C17:C20" si="1">$E$2*D9</f>
        <v>203019.64458157949</v>
      </c>
      <c r="D17" s="25">
        <f t="shared" ref="D17:D20" si="2">$E$3*D9</f>
        <v>67332.206265612753</v>
      </c>
      <c r="E17" s="25">
        <v>0</v>
      </c>
      <c r="F17" s="25">
        <f t="shared" ref="F17:F20" si="3">ROUND(C17-D17-E17,0)</f>
        <v>135687</v>
      </c>
    </row>
    <row r="18" spans="2:11">
      <c r="B18" s="7" t="s">
        <v>36</v>
      </c>
      <c r="C18" s="25">
        <f t="shared" si="1"/>
        <v>676732.14860526496</v>
      </c>
      <c r="D18" s="25">
        <f t="shared" si="2"/>
        <v>224440.68755204251</v>
      </c>
      <c r="E18" s="25">
        <v>0</v>
      </c>
      <c r="F18" s="25">
        <f t="shared" si="3"/>
        <v>452291</v>
      </c>
    </row>
    <row r="19" spans="2:11">
      <c r="B19" s="7" t="s">
        <v>37</v>
      </c>
      <c r="C19" s="25">
        <f t="shared" si="1"/>
        <v>676732.14860526496</v>
      </c>
      <c r="D19" s="25">
        <f t="shared" si="2"/>
        <v>224440.68755204251</v>
      </c>
      <c r="E19" s="25">
        <v>0</v>
      </c>
      <c r="F19" s="25">
        <f t="shared" si="3"/>
        <v>452291</v>
      </c>
    </row>
    <row r="20" spans="2:11">
      <c r="B20" s="7" t="s">
        <v>38</v>
      </c>
      <c r="C20" s="25">
        <f t="shared" si="1"/>
        <v>676732.14860526496</v>
      </c>
      <c r="D20" s="25">
        <f t="shared" si="2"/>
        <v>224440.68755204251</v>
      </c>
      <c r="E20" s="25">
        <v>0</v>
      </c>
      <c r="F20" s="25">
        <f t="shared" si="3"/>
        <v>452291</v>
      </c>
    </row>
    <row r="21" spans="2:11">
      <c r="B21" s="13" t="s">
        <v>42</v>
      </c>
      <c r="C21" s="26">
        <f>SUM(C16:C20)</f>
        <v>2253518.054855532</v>
      </c>
      <c r="D21" s="26">
        <f t="shared" ref="D21:F21" si="4">SUM(D16:D20)</f>
        <v>747387.48954830156</v>
      </c>
      <c r="E21" s="26">
        <f t="shared" si="4"/>
        <v>0</v>
      </c>
      <c r="F21" s="26">
        <f t="shared" si="4"/>
        <v>1506129</v>
      </c>
    </row>
    <row r="22" spans="2:11">
      <c r="B22" s="13" t="s">
        <v>43</v>
      </c>
      <c r="C22" s="27">
        <f>C21/5</f>
        <v>450703.61097110639</v>
      </c>
      <c r="D22" s="27">
        <f>D21/5</f>
        <v>149477.49790966031</v>
      </c>
      <c r="E22" s="27">
        <f t="shared" ref="E22:F22" si="5">E21/5</f>
        <v>0</v>
      </c>
      <c r="F22" s="27">
        <f t="shared" si="5"/>
        <v>301225.8</v>
      </c>
    </row>
    <row r="23" spans="2:11">
      <c r="K23" t="s">
        <v>899</v>
      </c>
    </row>
    <row r="27" spans="2:11">
      <c r="B27" s="2" t="s">
        <v>866</v>
      </c>
    </row>
    <row r="28" spans="2:11">
      <c r="B28" s="14" t="s">
        <v>41</v>
      </c>
      <c r="C28" s="24" t="s">
        <v>869</v>
      </c>
      <c r="D28" s="24" t="s">
        <v>868</v>
      </c>
      <c r="E28" s="24" t="s">
        <v>870</v>
      </c>
    </row>
    <row r="29" spans="2:11">
      <c r="B29" s="7" t="s">
        <v>34</v>
      </c>
      <c r="C29" s="7">
        <v>0</v>
      </c>
      <c r="D29" s="117">
        <f>D8*'Project Emission'!$I$14</f>
        <v>3262.1800594552083</v>
      </c>
      <c r="E29" s="117">
        <f>D29-C29</f>
        <v>3262.1800594552083</v>
      </c>
    </row>
    <row r="30" spans="2:11">
      <c r="B30" s="7" t="s">
        <v>35</v>
      </c>
      <c r="C30" s="7">
        <v>0</v>
      </c>
      <c r="D30" s="117">
        <f>D9*'Project Emission'!$I$14</f>
        <v>32621.800594552085</v>
      </c>
      <c r="E30" s="117">
        <f>D30-C30</f>
        <v>32621.800594552085</v>
      </c>
    </row>
    <row r="31" spans="2:11">
      <c r="B31" s="7" t="s">
        <v>36</v>
      </c>
      <c r="C31" s="7">
        <v>0</v>
      </c>
      <c r="D31" s="117">
        <f>D10*'Project Emission'!$I$14</f>
        <v>108739.33531517361</v>
      </c>
      <c r="E31" s="117">
        <f>D31-C31</f>
        <v>108739.33531517361</v>
      </c>
    </row>
    <row r="32" spans="2:11">
      <c r="B32" s="7" t="s">
        <v>37</v>
      </c>
      <c r="C32" s="7">
        <v>0</v>
      </c>
      <c r="D32" s="117">
        <f>D11*'Project Emission'!$I$14</f>
        <v>108739.33531517361</v>
      </c>
      <c r="E32" s="117">
        <f>D32-C32</f>
        <v>108739.33531517361</v>
      </c>
    </row>
    <row r="33" spans="2:5">
      <c r="B33" s="7" t="s">
        <v>38</v>
      </c>
      <c r="C33" s="7">
        <v>0</v>
      </c>
      <c r="D33" s="117">
        <f>D12*'Project Emission'!$I$14</f>
        <v>108739.33531517361</v>
      </c>
      <c r="E33" s="117">
        <f>D33-C33</f>
        <v>108739.33531517361</v>
      </c>
    </row>
    <row r="34" spans="2:5">
      <c r="B34" s="13" t="s">
        <v>42</v>
      </c>
      <c r="C34" s="26">
        <f>SUM(C29:C33)</f>
        <v>0</v>
      </c>
      <c r="D34" s="26">
        <f t="shared" ref="D34" si="6">SUM(D29:D33)</f>
        <v>362101.98659952811</v>
      </c>
      <c r="E34" s="26">
        <f>SUM(E29:E33)</f>
        <v>362101.98659952811</v>
      </c>
    </row>
    <row r="35" spans="2:5">
      <c r="B35" s="13" t="s">
        <v>43</v>
      </c>
      <c r="C35" s="27">
        <f>C34/5</f>
        <v>0</v>
      </c>
      <c r="D35" s="27">
        <f>D34/5</f>
        <v>72420.39731990562</v>
      </c>
      <c r="E35" s="27">
        <f>E34/5</f>
        <v>72420.39731990562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1866B-E7E1-49C0-A895-508B202378BA}">
  <dimension ref="C4:F11"/>
  <sheetViews>
    <sheetView workbookViewId="0">
      <selection activeCell="C15" sqref="C15"/>
    </sheetView>
  </sheetViews>
  <sheetFormatPr baseColWidth="10" defaultColWidth="8.83203125" defaultRowHeight="15"/>
  <cols>
    <col min="3" max="3" width="42" bestFit="1" customWidth="1"/>
    <col min="6" max="6" width="28.5" bestFit="1" customWidth="1"/>
  </cols>
  <sheetData>
    <row r="4" spans="3:6">
      <c r="C4" s="14" t="s">
        <v>429</v>
      </c>
      <c r="D4" s="14" t="s">
        <v>430</v>
      </c>
      <c r="E4" s="14" t="s">
        <v>3</v>
      </c>
      <c r="F4" s="14" t="s">
        <v>431</v>
      </c>
    </row>
    <row r="5" spans="3:6">
      <c r="C5" s="7" t="s">
        <v>432</v>
      </c>
      <c r="D5" s="21">
        <v>0.55000000000000004</v>
      </c>
      <c r="E5" s="7"/>
      <c r="F5" s="204" t="s">
        <v>433</v>
      </c>
    </row>
    <row r="6" spans="3:6">
      <c r="C6" s="7" t="s">
        <v>434</v>
      </c>
      <c r="D6" s="7">
        <v>21.6</v>
      </c>
      <c r="E6" s="7" t="s">
        <v>435</v>
      </c>
      <c r="F6" s="204"/>
    </row>
    <row r="7" spans="3:6">
      <c r="C7" s="104" t="s">
        <v>452</v>
      </c>
      <c r="D7" s="7">
        <v>0.5</v>
      </c>
      <c r="E7" s="7" t="s">
        <v>436</v>
      </c>
      <c r="F7" s="7" t="s">
        <v>433</v>
      </c>
    </row>
    <row r="8" spans="3:6">
      <c r="C8" s="7"/>
      <c r="D8" s="7">
        <f>D7/(60*60)</f>
        <v>1.3888888888888889E-4</v>
      </c>
      <c r="E8" s="7" t="s">
        <v>437</v>
      </c>
      <c r="F8" s="7"/>
    </row>
    <row r="9" spans="3:6">
      <c r="C9" s="7" t="s">
        <v>438</v>
      </c>
      <c r="D9" s="7">
        <f>D5*D6*D8</f>
        <v>1.6500000000000004E-3</v>
      </c>
      <c r="E9" s="7" t="s">
        <v>439</v>
      </c>
      <c r="F9" s="7"/>
    </row>
    <row r="10" spans="3:6">
      <c r="C10" s="7" t="s">
        <v>440</v>
      </c>
      <c r="D10" s="7">
        <f>'Emission Reduction'!D12</f>
        <v>50000</v>
      </c>
      <c r="E10" s="7"/>
      <c r="F10" s="7"/>
    </row>
    <row r="11" spans="3:6">
      <c r="C11" s="7" t="s">
        <v>441</v>
      </c>
      <c r="D11" s="7">
        <f>D9*D10</f>
        <v>82.500000000000014</v>
      </c>
      <c r="E11" s="7" t="s">
        <v>442</v>
      </c>
      <c r="F11" s="7"/>
    </row>
  </sheetData>
  <mergeCells count="1">
    <mergeCell ref="F5:F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D9F43-926B-456E-B46F-C3AA718E76DF}">
  <dimension ref="A3:M122"/>
  <sheetViews>
    <sheetView zoomScale="82" zoomScaleNormal="50" workbookViewId="0">
      <selection activeCell="C36" sqref="C36"/>
    </sheetView>
  </sheetViews>
  <sheetFormatPr baseColWidth="10" defaultColWidth="11" defaultRowHeight="15"/>
  <cols>
    <col min="1" max="1" width="91.83203125" style="41" customWidth="1"/>
    <col min="2" max="2" width="23" style="41" customWidth="1"/>
    <col min="3" max="3" width="18.1640625" style="41" customWidth="1"/>
    <col min="4" max="4" width="16" style="41" bestFit="1" customWidth="1"/>
    <col min="5" max="5" width="11" style="41"/>
    <col min="6" max="6" width="14" style="41" bestFit="1" customWidth="1"/>
    <col min="7" max="7" width="48.1640625" style="41" customWidth="1"/>
    <col min="8" max="8" width="18.83203125" style="41" bestFit="1" customWidth="1"/>
    <col min="9" max="9" width="15.83203125" style="41" customWidth="1"/>
    <col min="10" max="10" width="179.1640625" style="41" customWidth="1"/>
    <col min="11" max="12" width="11" style="41"/>
    <col min="13" max="13" width="39" style="41" customWidth="1"/>
    <col min="14" max="15" width="11" style="41"/>
    <col min="16" max="16" width="16.33203125" style="41" customWidth="1"/>
    <col min="17" max="16384" width="11" style="41"/>
  </cols>
  <sheetData>
    <row r="3" spans="7:12">
      <c r="G3" s="40"/>
    </row>
    <row r="4" spans="7:12">
      <c r="G4" s="40"/>
    </row>
    <row r="5" spans="7:12">
      <c r="G5" s="40"/>
    </row>
    <row r="6" spans="7:12" ht="16">
      <c r="G6" s="42"/>
      <c r="H6" s="43"/>
      <c r="I6" s="44"/>
      <c r="J6"/>
      <c r="K6"/>
      <c r="L6"/>
    </row>
    <row r="7" spans="7:12" ht="16">
      <c r="G7" s="42"/>
      <c r="H7" s="44"/>
      <c r="I7" s="44"/>
      <c r="J7"/>
      <c r="K7"/>
      <c r="L7"/>
    </row>
    <row r="8" spans="7:12" ht="16">
      <c r="G8" s="42"/>
      <c r="H8" s="44"/>
      <c r="I8" s="44"/>
      <c r="J8"/>
      <c r="K8"/>
      <c r="L8"/>
    </row>
    <row r="9" spans="7:12" ht="16">
      <c r="G9" s="44"/>
      <c r="H9" s="44"/>
      <c r="I9" s="44"/>
      <c r="J9"/>
      <c r="K9"/>
      <c r="L9"/>
    </row>
    <row r="10" spans="7:12" ht="16">
      <c r="G10" s="45"/>
      <c r="H10" s="46"/>
      <c r="I10" s="44"/>
      <c r="J10"/>
      <c r="K10"/>
      <c r="L10"/>
    </row>
    <row r="11" spans="7:12" ht="16">
      <c r="G11" s="42"/>
      <c r="H11" s="44"/>
      <c r="I11" s="44"/>
      <c r="J11"/>
      <c r="K11"/>
      <c r="L11"/>
    </row>
    <row r="12" spans="7:12" ht="16">
      <c r="G12" s="42"/>
      <c r="H12" s="44"/>
      <c r="I12" s="44"/>
      <c r="J12"/>
      <c r="K12"/>
      <c r="L12"/>
    </row>
    <row r="13" spans="7:12" ht="16">
      <c r="G13" s="42"/>
      <c r="H13" s="44"/>
      <c r="I13" s="44"/>
      <c r="J13"/>
      <c r="K13"/>
      <c r="L13"/>
    </row>
    <row r="14" spans="7:12" ht="16">
      <c r="G14" s="42"/>
      <c r="H14" s="44"/>
      <c r="I14" s="44"/>
      <c r="J14"/>
      <c r="K14"/>
      <c r="L14"/>
    </row>
    <row r="15" spans="7:12" ht="16">
      <c r="G15" s="42"/>
      <c r="H15" s="44"/>
      <c r="I15" s="44"/>
      <c r="J15"/>
      <c r="K15"/>
      <c r="L15"/>
    </row>
    <row r="16" spans="7:12" ht="16">
      <c r="G16" s="45"/>
      <c r="H16" s="47"/>
      <c r="I16" s="44"/>
      <c r="J16"/>
      <c r="K16"/>
      <c r="L16"/>
    </row>
    <row r="17" spans="1:12" ht="16">
      <c r="A17" s="48" t="s">
        <v>59</v>
      </c>
      <c r="C17" s="48" t="s">
        <v>60</v>
      </c>
      <c r="G17" s="42"/>
      <c r="H17" s="49"/>
      <c r="I17" s="44"/>
      <c r="J17"/>
      <c r="K17"/>
      <c r="L17"/>
    </row>
    <row r="18" spans="1:12" ht="79.25" customHeight="1">
      <c r="A18" s="50" t="s">
        <v>61</v>
      </c>
      <c r="B18" s="51"/>
      <c r="C18" s="52">
        <f>C36/(C36+C97)</f>
        <v>0.82490154813650229</v>
      </c>
      <c r="D18" s="53"/>
      <c r="G18" s="45"/>
      <c r="H18" s="49"/>
      <c r="I18"/>
      <c r="J18"/>
      <c r="K18"/>
      <c r="L18"/>
    </row>
    <row r="19" spans="1:12" ht="16">
      <c r="G19"/>
      <c r="H19"/>
      <c r="I19"/>
      <c r="J19"/>
      <c r="K19"/>
      <c r="L19"/>
    </row>
    <row r="21" spans="1:12">
      <c r="H21" s="78"/>
    </row>
    <row r="35" spans="1:13" ht="16">
      <c r="A35" s="48" t="s">
        <v>62</v>
      </c>
      <c r="C35" s="48" t="s">
        <v>63</v>
      </c>
    </row>
    <row r="36" spans="1:13" ht="51">
      <c r="A36" s="50" t="s">
        <v>64</v>
      </c>
      <c r="B36" s="51"/>
      <c r="C36" s="54">
        <f>C65-C97</f>
        <v>26082682.977584809</v>
      </c>
      <c r="D36" s="55"/>
    </row>
    <row r="37" spans="1:13" ht="16">
      <c r="A37" s="50"/>
      <c r="B37" s="51"/>
      <c r="C37" s="56"/>
      <c r="H37" s="40"/>
    </row>
    <row r="38" spans="1:13">
      <c r="H38" s="40"/>
    </row>
    <row r="39" spans="1:13">
      <c r="H39" s="40"/>
    </row>
    <row r="40" spans="1:13">
      <c r="H40" s="40"/>
    </row>
    <row r="41" spans="1:13">
      <c r="H41" s="40"/>
    </row>
    <row r="43" spans="1:13" ht="18">
      <c r="G43" s="57"/>
      <c r="H43" s="58"/>
    </row>
    <row r="44" spans="1:13" ht="16">
      <c r="G44" s="57"/>
      <c r="H44" s="59"/>
      <c r="J44" s="60"/>
    </row>
    <row r="45" spans="1:13" ht="16">
      <c r="G45" s="48" t="s">
        <v>65</v>
      </c>
      <c r="I45" s="61"/>
    </row>
    <row r="46" spans="1:13">
      <c r="H46" s="60"/>
    </row>
    <row r="47" spans="1:13" ht="16">
      <c r="G47" s="48" t="s">
        <v>12</v>
      </c>
      <c r="H47" s="62" t="s">
        <v>66</v>
      </c>
      <c r="I47" s="62" t="s">
        <v>67</v>
      </c>
      <c r="J47" s="48" t="s">
        <v>68</v>
      </c>
    </row>
    <row r="48" spans="1:13" ht="16">
      <c r="F48"/>
      <c r="G48" s="65" t="s">
        <v>898</v>
      </c>
      <c r="H48" s="172">
        <v>54406000</v>
      </c>
      <c r="I48" s="70" t="s">
        <v>69</v>
      </c>
      <c r="J48" s="173" t="s">
        <v>897</v>
      </c>
      <c r="K48" s="64"/>
      <c r="L48" s="64"/>
      <c r="M48" s="64"/>
    </row>
    <row r="49" spans="1:12" ht="60.75" customHeight="1">
      <c r="G49" s="65" t="s">
        <v>898</v>
      </c>
      <c r="H49" s="65">
        <f>H48*'wood density'!C287</f>
        <v>31619146.595744688</v>
      </c>
      <c r="I49" s="65" t="s">
        <v>70</v>
      </c>
      <c r="J49" s="65" t="s">
        <v>71</v>
      </c>
    </row>
    <row r="50" spans="1:12" ht="32.25" customHeight="1">
      <c r="G50" s="65" t="s">
        <v>72</v>
      </c>
      <c r="H50" s="65">
        <f>H49</f>
        <v>31619146.595744688</v>
      </c>
      <c r="I50" s="65" t="s">
        <v>70</v>
      </c>
      <c r="J50" s="65" t="s">
        <v>71</v>
      </c>
    </row>
    <row r="51" spans="1:12" ht="16">
      <c r="F51"/>
      <c r="G51" s="57"/>
      <c r="H51"/>
      <c r="I51" s="57"/>
      <c r="J51" s="63"/>
      <c r="L51" s="66"/>
    </row>
    <row r="52" spans="1:12" ht="16">
      <c r="F52"/>
    </row>
    <row r="54" spans="1:12" ht="16">
      <c r="H54" s="67"/>
      <c r="J54" s="68"/>
    </row>
    <row r="55" spans="1:12" ht="16">
      <c r="G55" s="57"/>
      <c r="H55" s="69"/>
      <c r="J55" s="57"/>
    </row>
    <row r="56" spans="1:12" ht="16">
      <c r="F56"/>
    </row>
    <row r="60" spans="1:12">
      <c r="G60" s="72"/>
      <c r="H60" s="73"/>
    </row>
    <row r="61" spans="1:12" ht="16">
      <c r="H61" s="61"/>
      <c r="I61" s="57"/>
    </row>
    <row r="63" spans="1:12">
      <c r="H63" s="60"/>
    </row>
    <row r="64" spans="1:12" ht="16">
      <c r="A64" s="48" t="s">
        <v>73</v>
      </c>
      <c r="C64" s="48" t="s">
        <v>74</v>
      </c>
    </row>
    <row r="65" spans="1:10" ht="51">
      <c r="A65" s="50" t="s">
        <v>64</v>
      </c>
      <c r="B65" s="51"/>
      <c r="C65" s="54">
        <f>H50</f>
        <v>31619146.595744688</v>
      </c>
      <c r="D65" s="60"/>
    </row>
    <row r="66" spans="1:10" ht="16">
      <c r="A66" s="74"/>
      <c r="B66" s="75"/>
    </row>
    <row r="67" spans="1:10" ht="16">
      <c r="A67" s="74"/>
      <c r="B67" s="75"/>
    </row>
    <row r="68" spans="1:10" ht="16">
      <c r="A68" s="74"/>
      <c r="B68" s="75"/>
    </row>
    <row r="69" spans="1:10" ht="16">
      <c r="A69" s="74"/>
      <c r="B69" s="75"/>
      <c r="G69" s="61"/>
    </row>
    <row r="70" spans="1:10" ht="16">
      <c r="A70" s="74"/>
      <c r="B70" s="75"/>
    </row>
    <row r="71" spans="1:10" ht="16">
      <c r="A71" s="74"/>
      <c r="B71" s="75"/>
      <c r="G71" s="48" t="s">
        <v>75</v>
      </c>
      <c r="J71"/>
    </row>
    <row r="72" spans="1:10" ht="16">
      <c r="A72" s="74"/>
      <c r="B72" s="75"/>
      <c r="G72" s="206" t="s">
        <v>900</v>
      </c>
      <c r="H72">
        <f>3611.09*1000</f>
        <v>3611090</v>
      </c>
      <c r="I72" s="57" t="s">
        <v>76</v>
      </c>
      <c r="J72" t="s">
        <v>912</v>
      </c>
    </row>
    <row r="73" spans="1:10" ht="16">
      <c r="A73" s="74"/>
      <c r="B73" s="75"/>
      <c r="G73" s="206" t="s">
        <v>901</v>
      </c>
      <c r="H73">
        <f>152.79*1000</f>
        <v>152790</v>
      </c>
      <c r="I73" s="57" t="s">
        <v>76</v>
      </c>
      <c r="J73" t="s">
        <v>913</v>
      </c>
    </row>
    <row r="74" spans="1:10" ht="16">
      <c r="A74" s="74"/>
      <c r="B74" s="75"/>
      <c r="G74" s="206" t="s">
        <v>902</v>
      </c>
      <c r="H74">
        <f>32271.45*1000</f>
        <v>32271450</v>
      </c>
      <c r="I74" s="57" t="s">
        <v>76</v>
      </c>
      <c r="J74" t="s">
        <v>912</v>
      </c>
    </row>
    <row r="75" spans="1:10" ht="16">
      <c r="A75" s="74"/>
      <c r="B75" s="75"/>
      <c r="G75" s="206" t="s">
        <v>903</v>
      </c>
      <c r="H75">
        <f>21031.46*1000</f>
        <v>21031460</v>
      </c>
      <c r="I75" s="57" t="s">
        <v>76</v>
      </c>
      <c r="J75" t="s">
        <v>912</v>
      </c>
    </row>
    <row r="76" spans="1:10" ht="16">
      <c r="A76" s="74"/>
      <c r="B76" s="75"/>
    </row>
    <row r="77" spans="1:10" ht="16">
      <c r="A77" s="74"/>
      <c r="B77" s="75"/>
      <c r="G77" s="57" t="s">
        <v>77</v>
      </c>
    </row>
    <row r="78" spans="1:10" ht="16">
      <c r="A78" s="74"/>
      <c r="B78" s="75"/>
      <c r="G78" s="57" t="s">
        <v>78</v>
      </c>
      <c r="H78">
        <f>3858.54*1000</f>
        <v>3858540</v>
      </c>
      <c r="I78" s="57" t="s">
        <v>76</v>
      </c>
      <c r="J78" s="116" t="s">
        <v>912</v>
      </c>
    </row>
    <row r="79" spans="1:10" ht="16">
      <c r="A79" s="74"/>
      <c r="B79" s="75"/>
      <c r="G79" s="109" t="s">
        <v>904</v>
      </c>
      <c r="H79" s="71">
        <f>H72-H73</f>
        <v>3458300</v>
      </c>
      <c r="I79" s="57" t="s">
        <v>76</v>
      </c>
      <c r="J79" s="57" t="s">
        <v>79</v>
      </c>
    </row>
    <row r="80" spans="1:10" ht="16">
      <c r="A80" s="74"/>
      <c r="B80" s="75"/>
      <c r="G80" s="206" t="s">
        <v>905</v>
      </c>
      <c r="H80" s="71">
        <f>H79-H78</f>
        <v>-400240</v>
      </c>
      <c r="I80" s="57" t="s">
        <v>80</v>
      </c>
      <c r="J80" s="57" t="s">
        <v>71</v>
      </c>
    </row>
    <row r="81" spans="1:12" ht="16">
      <c r="A81" s="74"/>
      <c r="B81" s="75"/>
      <c r="G81" s="57" t="s">
        <v>81</v>
      </c>
      <c r="H81" s="71">
        <f>H80/30</f>
        <v>-13341.333333333334</v>
      </c>
      <c r="I81" s="57" t="s">
        <v>76</v>
      </c>
      <c r="J81" s="57" t="s">
        <v>71</v>
      </c>
    </row>
    <row r="82" spans="1:12" ht="16.25" customHeight="1">
      <c r="A82" s="74"/>
      <c r="B82" s="75"/>
      <c r="F82" s="41">
        <v>2023</v>
      </c>
      <c r="G82" s="48" t="s">
        <v>906</v>
      </c>
      <c r="H82" s="76">
        <f>H79-(3*(-H81))</f>
        <v>3418276</v>
      </c>
      <c r="I82" s="57" t="s">
        <v>76</v>
      </c>
      <c r="J82" s="57" t="s">
        <v>71</v>
      </c>
    </row>
    <row r="83" spans="1:12" ht="16">
      <c r="A83" s="74"/>
      <c r="B83" s="75"/>
      <c r="G83" s="41" t="s">
        <v>82</v>
      </c>
      <c r="H83" s="77">
        <f>H82/(H82+H88+H94)</f>
        <v>6.0238257435586001E-2</v>
      </c>
      <c r="I83" s="41" t="s">
        <v>58</v>
      </c>
      <c r="J83" s="41" t="s">
        <v>10</v>
      </c>
    </row>
    <row r="84" spans="1:12" ht="16">
      <c r="A84" s="74"/>
      <c r="B84" s="75"/>
      <c r="G84" s="57" t="s">
        <v>83</v>
      </c>
      <c r="H84">
        <f>34850.25*1000</f>
        <v>34850250</v>
      </c>
      <c r="I84" s="57" t="s">
        <v>76</v>
      </c>
      <c r="J84" t="s">
        <v>912</v>
      </c>
    </row>
    <row r="85" spans="1:12" ht="16">
      <c r="A85" s="74"/>
      <c r="B85" s="75"/>
      <c r="G85" s="206" t="s">
        <v>908</v>
      </c>
      <c r="H85">
        <f>32271.45*1000</f>
        <v>32271450</v>
      </c>
      <c r="I85" s="57" t="s">
        <v>76</v>
      </c>
      <c r="J85" t="s">
        <v>912</v>
      </c>
    </row>
    <row r="86" spans="1:12" ht="16">
      <c r="A86" s="74"/>
      <c r="B86" s="75"/>
      <c r="G86" s="206" t="s">
        <v>909</v>
      </c>
      <c r="H86" s="71">
        <f>H85-H84</f>
        <v>-2578800</v>
      </c>
      <c r="I86" s="57" t="s">
        <v>76</v>
      </c>
      <c r="J86" s="57" t="s">
        <v>71</v>
      </c>
    </row>
    <row r="87" spans="1:12" ht="16">
      <c r="A87" s="74"/>
      <c r="B87" s="75"/>
      <c r="G87" s="57" t="s">
        <v>84</v>
      </c>
      <c r="H87" s="71">
        <f>H86/30</f>
        <v>-85960</v>
      </c>
      <c r="I87" s="57" t="s">
        <v>76</v>
      </c>
      <c r="J87" s="57" t="s">
        <v>71</v>
      </c>
    </row>
    <row r="88" spans="1:12" ht="16">
      <c r="A88" s="74"/>
      <c r="B88" s="75"/>
      <c r="F88" s="41">
        <v>2023</v>
      </c>
      <c r="G88" s="48" t="s">
        <v>907</v>
      </c>
      <c r="H88" s="76">
        <f>H85-(3*(-H87))</f>
        <v>32013570</v>
      </c>
      <c r="I88" s="57" t="s">
        <v>76</v>
      </c>
      <c r="J88" s="57" t="s">
        <v>71</v>
      </c>
    </row>
    <row r="89" spans="1:12" ht="16">
      <c r="A89" s="74"/>
      <c r="B89" s="75"/>
      <c r="G89" s="41" t="s">
        <v>85</v>
      </c>
      <c r="H89" s="77">
        <f>H88/(H82+H88+H94)</f>
        <v>0.56415622117469533</v>
      </c>
      <c r="I89" s="41" t="s">
        <v>58</v>
      </c>
      <c r="J89" s="57" t="s">
        <v>71</v>
      </c>
    </row>
    <row r="90" spans="1:12" ht="16">
      <c r="A90" s="74"/>
      <c r="B90" s="75"/>
      <c r="G90" s="57" t="s">
        <v>86</v>
      </c>
      <c r="H90">
        <f>18205.21*1000</f>
        <v>18205210</v>
      </c>
      <c r="I90" s="57" t="s">
        <v>76</v>
      </c>
      <c r="J90" t="s">
        <v>912</v>
      </c>
      <c r="K90" s="57"/>
      <c r="L90" s="57"/>
    </row>
    <row r="91" spans="1:12" ht="16">
      <c r="A91" s="74"/>
      <c r="B91" s="75"/>
      <c r="G91" s="206" t="s">
        <v>903</v>
      </c>
      <c r="H91">
        <f>21031.46*1000</f>
        <v>21031460</v>
      </c>
      <c r="I91" s="57" t="s">
        <v>76</v>
      </c>
      <c r="J91" t="s">
        <v>912</v>
      </c>
    </row>
    <row r="92" spans="1:12" ht="16">
      <c r="A92" s="74"/>
      <c r="B92" s="75"/>
      <c r="G92" s="206" t="s">
        <v>910</v>
      </c>
      <c r="H92" s="78">
        <f>H91-H90</f>
        <v>2826250</v>
      </c>
      <c r="I92" s="57" t="s">
        <v>76</v>
      </c>
      <c r="J92" s="57" t="s">
        <v>71</v>
      </c>
    </row>
    <row r="93" spans="1:12" ht="16">
      <c r="A93" s="74"/>
      <c r="B93" s="75"/>
      <c r="G93" s="57" t="s">
        <v>87</v>
      </c>
      <c r="H93" s="69">
        <f>H92/30</f>
        <v>94208.333333333328</v>
      </c>
      <c r="I93" s="57" t="s">
        <v>76</v>
      </c>
      <c r="J93" s="57" t="s">
        <v>71</v>
      </c>
    </row>
    <row r="94" spans="1:12" ht="68.25" customHeight="1">
      <c r="A94" s="74"/>
      <c r="B94" s="75"/>
      <c r="F94" s="41">
        <v>2023</v>
      </c>
      <c r="G94" s="48" t="s">
        <v>911</v>
      </c>
      <c r="H94" s="76">
        <f>H91+(3*H93)</f>
        <v>21314085</v>
      </c>
      <c r="I94" s="57" t="s">
        <v>76</v>
      </c>
      <c r="J94" s="57" t="s">
        <v>71</v>
      </c>
    </row>
    <row r="95" spans="1:12" ht="16">
      <c r="A95" s="74"/>
      <c r="B95" s="75"/>
      <c r="G95" s="41" t="s">
        <v>88</v>
      </c>
      <c r="H95" s="77">
        <f>H94/(H82+H88+H94)</f>
        <v>0.3756055213897187</v>
      </c>
      <c r="I95" s="41" t="s">
        <v>58</v>
      </c>
      <c r="J95" s="57" t="s">
        <v>71</v>
      </c>
    </row>
    <row r="96" spans="1:12" ht="16">
      <c r="A96" s="48" t="s">
        <v>89</v>
      </c>
      <c r="C96" s="48" t="s">
        <v>90</v>
      </c>
      <c r="G96" s="48" t="s">
        <v>91</v>
      </c>
    </row>
    <row r="97" spans="1:13" ht="56" customHeight="1">
      <c r="A97" s="205" t="s">
        <v>64</v>
      </c>
      <c r="B97" s="51"/>
      <c r="C97" s="79">
        <f>H109</f>
        <v>5536463.618159879</v>
      </c>
      <c r="G97" s="57" t="s">
        <v>92</v>
      </c>
      <c r="H97" s="41">
        <f>AVERAGE(1.3,0.64,0.44)</f>
        <v>0.79333333333333333</v>
      </c>
      <c r="I97" s="57" t="s">
        <v>93</v>
      </c>
      <c r="J97" s="207" t="s">
        <v>94</v>
      </c>
    </row>
    <row r="98" spans="1:13" ht="51">
      <c r="A98" s="205"/>
      <c r="G98" s="57" t="s">
        <v>95</v>
      </c>
      <c r="H98" s="41">
        <f>0.25</f>
        <v>0.25</v>
      </c>
      <c r="I98" s="57" t="s">
        <v>93</v>
      </c>
      <c r="J98" s="80" t="s">
        <v>96</v>
      </c>
    </row>
    <row r="99" spans="1:13" ht="34">
      <c r="A99" s="205"/>
      <c r="G99" s="57" t="s">
        <v>97</v>
      </c>
      <c r="H99" s="41">
        <v>0.08</v>
      </c>
      <c r="I99" s="57" t="s">
        <v>93</v>
      </c>
      <c r="J99" s="80" t="s">
        <v>98</v>
      </c>
    </row>
    <row r="100" spans="1:13" ht="16">
      <c r="G100" s="57" t="s">
        <v>92</v>
      </c>
      <c r="H100" s="67">
        <f>H97*'wood density'!C287</f>
        <v>0.46106170212765968</v>
      </c>
      <c r="I100" s="57" t="s">
        <v>99</v>
      </c>
      <c r="J100" s="57" t="s">
        <v>100</v>
      </c>
    </row>
    <row r="101" spans="1:13" ht="16">
      <c r="G101" s="57" t="s">
        <v>95</v>
      </c>
      <c r="H101" s="67">
        <f>H98*'wood density'!C287</f>
        <v>0.1452925531914894</v>
      </c>
      <c r="I101" s="57" t="s">
        <v>99</v>
      </c>
      <c r="J101" s="150" t="s">
        <v>100</v>
      </c>
    </row>
    <row r="102" spans="1:13" ht="16">
      <c r="G102" s="57" t="s">
        <v>97</v>
      </c>
      <c r="H102" s="67">
        <f>H99*'wood density'!C287</f>
        <v>4.6493617021276606E-2</v>
      </c>
      <c r="I102" s="57" t="s">
        <v>99</v>
      </c>
      <c r="J102" s="57" t="s">
        <v>100</v>
      </c>
    </row>
    <row r="104" spans="1:13" ht="16">
      <c r="G104" s="41" t="s">
        <v>101</v>
      </c>
      <c r="H104" s="69">
        <v>132218.17000000001</v>
      </c>
      <c r="I104" s="41" t="s">
        <v>102</v>
      </c>
      <c r="J104" s="41" t="s">
        <v>103</v>
      </c>
    </row>
    <row r="105" spans="1:13" ht="16">
      <c r="G105" s="57" t="s">
        <v>101</v>
      </c>
      <c r="H105" s="78">
        <f>H104*100</f>
        <v>13221817.000000002</v>
      </c>
      <c r="I105" s="41" t="s">
        <v>76</v>
      </c>
      <c r="J105" s="41" t="s">
        <v>71</v>
      </c>
    </row>
    <row r="106" spans="1:13" ht="16">
      <c r="G106" s="57" t="s">
        <v>104</v>
      </c>
      <c r="H106" s="78">
        <f>H105*H83</f>
        <v>796459.21621220745</v>
      </c>
      <c r="I106" s="41" t="s">
        <v>76</v>
      </c>
      <c r="J106" s="41" t="s">
        <v>71</v>
      </c>
    </row>
    <row r="107" spans="1:13" ht="16">
      <c r="G107" s="57" t="s">
        <v>105</v>
      </c>
      <c r="H107" s="78">
        <f>H105*H89</f>
        <v>7459170.3157833479</v>
      </c>
      <c r="I107" s="41" t="s">
        <v>76</v>
      </c>
      <c r="J107" s="41" t="s">
        <v>71</v>
      </c>
      <c r="M107" s="48"/>
    </row>
    <row r="108" spans="1:13" ht="16">
      <c r="G108" s="57" t="s">
        <v>106</v>
      </c>
      <c r="H108" s="71">
        <f>H105*H95</f>
        <v>4966187.4680044474</v>
      </c>
      <c r="I108" s="41" t="s">
        <v>76</v>
      </c>
      <c r="J108" s="41" t="s">
        <v>71</v>
      </c>
    </row>
    <row r="109" spans="1:13" ht="16">
      <c r="G109" s="48" t="s">
        <v>107</v>
      </c>
      <c r="H109" s="81">
        <f>H100*(H82-H106)+H101*(H88-H107)+H102*(H94-H108)</f>
        <v>5536463.618159879</v>
      </c>
      <c r="I109" s="41" t="s">
        <v>70</v>
      </c>
      <c r="J109" s="41" t="s">
        <v>71</v>
      </c>
      <c r="M109" s="72"/>
    </row>
    <row r="115" spans="1:13">
      <c r="H115" s="71"/>
    </row>
    <row r="116" spans="1:13">
      <c r="H116" s="71"/>
    </row>
    <row r="117" spans="1:13" ht="16">
      <c r="A117" s="48"/>
    </row>
    <row r="120" spans="1:13" ht="16">
      <c r="M120" s="48"/>
    </row>
    <row r="122" spans="1:13">
      <c r="M122" s="72"/>
    </row>
  </sheetData>
  <mergeCells count="1">
    <mergeCell ref="A97:A99"/>
  </mergeCells>
  <hyperlinks>
    <hyperlink ref="J48" r:id="rId1" xr:uid="{238ECD85-A2CE-4F30-978F-BFDDEA13930A}"/>
  </hyperlinks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F3B71-72FD-4150-9723-E4160DD61383}">
  <dimension ref="B4:E287"/>
  <sheetViews>
    <sheetView topLeftCell="A69" workbookViewId="0">
      <selection activeCell="G293" sqref="G293"/>
    </sheetView>
  </sheetViews>
  <sheetFormatPr baseColWidth="10" defaultColWidth="8.83203125" defaultRowHeight="15"/>
  <cols>
    <col min="2" max="2" width="26" customWidth="1"/>
    <col min="3" max="4" width="11.5" customWidth="1"/>
    <col min="5" max="5" width="23.5" customWidth="1"/>
  </cols>
  <sheetData>
    <row r="4" spans="2:5">
      <c r="B4" s="96" t="s">
        <v>142</v>
      </c>
      <c r="C4" t="s">
        <v>143</v>
      </c>
      <c r="E4" t="s">
        <v>144</v>
      </c>
    </row>
    <row r="5" spans="2:5">
      <c r="B5" s="97" t="s">
        <v>145</v>
      </c>
      <c r="C5" s="98">
        <v>0.66</v>
      </c>
      <c r="E5" s="98"/>
    </row>
    <row r="6" spans="2:5">
      <c r="B6" s="97" t="s">
        <v>146</v>
      </c>
      <c r="C6" s="98">
        <v>0.63</v>
      </c>
      <c r="E6" s="98"/>
    </row>
    <row r="7" spans="2:5">
      <c r="B7" s="97" t="s">
        <v>147</v>
      </c>
      <c r="C7" s="98">
        <v>0.67</v>
      </c>
      <c r="E7" s="98"/>
    </row>
    <row r="8" spans="2:5">
      <c r="B8" s="97" t="s">
        <v>148</v>
      </c>
      <c r="C8" s="98">
        <v>0.78</v>
      </c>
      <c r="E8" s="98"/>
    </row>
    <row r="9" spans="2:5">
      <c r="B9" s="97" t="s">
        <v>149</v>
      </c>
      <c r="C9" s="98">
        <v>0.47</v>
      </c>
      <c r="E9" s="98"/>
    </row>
    <row r="10" spans="2:5">
      <c r="B10" s="97" t="s">
        <v>150</v>
      </c>
      <c r="C10" s="98">
        <v>0.52</v>
      </c>
      <c r="E10" s="98"/>
    </row>
    <row r="11" spans="2:5">
      <c r="B11" s="97" t="s">
        <v>151</v>
      </c>
      <c r="C11" s="98">
        <v>0.51</v>
      </c>
      <c r="E11" s="98"/>
    </row>
    <row r="12" spans="2:5">
      <c r="B12" s="97" t="s">
        <v>152</v>
      </c>
      <c r="C12" s="98">
        <v>0.52</v>
      </c>
      <c r="E12" s="98"/>
    </row>
    <row r="13" spans="2:5">
      <c r="B13" s="97" t="s">
        <v>153</v>
      </c>
      <c r="C13" s="98">
        <v>0.46</v>
      </c>
      <c r="E13" s="98"/>
    </row>
    <row r="14" spans="2:5">
      <c r="B14" s="97" t="s">
        <v>154</v>
      </c>
      <c r="C14" s="98">
        <v>0.63</v>
      </c>
      <c r="E14" s="98"/>
    </row>
    <row r="15" spans="2:5">
      <c r="B15" s="97" t="s">
        <v>155</v>
      </c>
      <c r="C15" s="98">
        <v>0.45</v>
      </c>
      <c r="E15" s="98"/>
    </row>
    <row r="16" spans="2:5">
      <c r="B16" s="97" t="s">
        <v>156</v>
      </c>
      <c r="C16" s="98">
        <v>0.33</v>
      </c>
      <c r="E16" s="98"/>
    </row>
    <row r="17" spans="2:5">
      <c r="B17" s="97" t="s">
        <v>157</v>
      </c>
      <c r="C17" s="98">
        <v>0.63</v>
      </c>
      <c r="E17" s="98"/>
    </row>
    <row r="18" spans="2:5">
      <c r="B18" s="97" t="s">
        <v>158</v>
      </c>
      <c r="C18" s="98">
        <v>0.63</v>
      </c>
      <c r="E18" s="98"/>
    </row>
    <row r="19" spans="2:5">
      <c r="B19" s="97" t="s">
        <v>159</v>
      </c>
      <c r="C19" s="98">
        <v>0.63</v>
      </c>
      <c r="E19" s="98"/>
    </row>
    <row r="20" spans="2:5">
      <c r="B20" s="97" t="s">
        <v>160</v>
      </c>
      <c r="C20" s="98">
        <v>0.28999999999999998</v>
      </c>
      <c r="E20" s="98"/>
    </row>
    <row r="21" spans="2:5">
      <c r="B21" s="97" t="s">
        <v>161</v>
      </c>
      <c r="C21" s="98">
        <v>0.74</v>
      </c>
      <c r="E21" s="98"/>
    </row>
    <row r="22" spans="2:5">
      <c r="B22" s="97" t="s">
        <v>162</v>
      </c>
      <c r="C22" s="98">
        <v>0.5</v>
      </c>
      <c r="E22" s="98"/>
    </row>
    <row r="23" spans="2:5">
      <c r="B23" s="97" t="s">
        <v>163</v>
      </c>
      <c r="C23" s="98">
        <v>0.78</v>
      </c>
      <c r="E23" s="98"/>
    </row>
    <row r="24" spans="2:5">
      <c r="B24" s="97" t="s">
        <v>164</v>
      </c>
      <c r="C24" s="98">
        <v>0.32</v>
      </c>
      <c r="E24" s="98"/>
    </row>
    <row r="25" spans="2:5">
      <c r="B25" s="97" t="s">
        <v>165</v>
      </c>
      <c r="C25" s="98">
        <v>0.37</v>
      </c>
      <c r="E25" s="98"/>
    </row>
    <row r="26" spans="2:5">
      <c r="B26" s="97" t="s">
        <v>166</v>
      </c>
      <c r="C26" s="98">
        <v>0.38</v>
      </c>
      <c r="E26" s="98"/>
    </row>
    <row r="27" spans="2:5">
      <c r="B27" s="97" t="s">
        <v>167</v>
      </c>
      <c r="C27" s="98">
        <v>0.5</v>
      </c>
    </row>
    <row r="28" spans="2:5">
      <c r="B28" s="97" t="s">
        <v>168</v>
      </c>
      <c r="C28" s="98">
        <v>0.37</v>
      </c>
    </row>
    <row r="29" spans="2:5">
      <c r="B29" s="97" t="s">
        <v>169</v>
      </c>
      <c r="C29" s="98">
        <v>0.78</v>
      </c>
    </row>
    <row r="30" spans="2:5">
      <c r="B30" s="97" t="s">
        <v>170</v>
      </c>
      <c r="C30" s="98">
        <v>0.71</v>
      </c>
    </row>
    <row r="31" spans="2:5">
      <c r="B31" s="97" t="s">
        <v>171</v>
      </c>
      <c r="C31" s="98">
        <v>0.63</v>
      </c>
    </row>
    <row r="32" spans="2:5">
      <c r="B32" s="97" t="s">
        <v>172</v>
      </c>
      <c r="C32" s="98">
        <v>0.93</v>
      </c>
    </row>
    <row r="33" spans="2:3">
      <c r="B33" s="97" t="s">
        <v>173</v>
      </c>
      <c r="C33" s="98">
        <v>0.63</v>
      </c>
    </row>
    <row r="34" spans="2:3">
      <c r="B34" s="97" t="s">
        <v>174</v>
      </c>
      <c r="C34" s="98">
        <v>0.63</v>
      </c>
    </row>
    <row r="35" spans="2:3">
      <c r="B35" s="97" t="s">
        <v>175</v>
      </c>
      <c r="C35" s="98">
        <v>0.56000000000000005</v>
      </c>
    </row>
    <row r="36" spans="2:3">
      <c r="B36" s="97" t="s">
        <v>176</v>
      </c>
      <c r="C36" s="98">
        <v>0.7</v>
      </c>
    </row>
    <row r="37" spans="2:3">
      <c r="B37" s="97" t="s">
        <v>177</v>
      </c>
      <c r="C37" s="98">
        <v>0.5</v>
      </c>
    </row>
    <row r="38" spans="2:3">
      <c r="B38" s="97" t="s">
        <v>178</v>
      </c>
      <c r="C38" s="98">
        <v>0.5</v>
      </c>
    </row>
    <row r="39" spans="2:3">
      <c r="B39" s="97" t="s">
        <v>179</v>
      </c>
      <c r="C39" s="98">
        <v>0.6</v>
      </c>
    </row>
    <row r="40" spans="2:3">
      <c r="B40" s="97" t="s">
        <v>180</v>
      </c>
      <c r="C40" s="98">
        <v>0.56000000000000005</v>
      </c>
    </row>
    <row r="41" spans="2:3">
      <c r="B41" s="97" t="s">
        <v>181</v>
      </c>
      <c r="C41" s="98">
        <v>0.57999999999999996</v>
      </c>
    </row>
    <row r="42" spans="2:3">
      <c r="B42" s="97" t="s">
        <v>182</v>
      </c>
      <c r="C42" s="98">
        <v>0.74</v>
      </c>
    </row>
    <row r="43" spans="2:3">
      <c r="B43" s="97" t="s">
        <v>183</v>
      </c>
      <c r="C43" s="98">
        <v>0.32</v>
      </c>
    </row>
    <row r="44" spans="2:3">
      <c r="B44" s="97" t="s">
        <v>184</v>
      </c>
      <c r="C44" s="98">
        <v>0.41</v>
      </c>
    </row>
    <row r="45" spans="2:3">
      <c r="B45" s="97" t="s">
        <v>185</v>
      </c>
      <c r="C45" s="98">
        <v>0.36</v>
      </c>
    </row>
    <row r="46" spans="2:3">
      <c r="B46" s="97" t="s">
        <v>186</v>
      </c>
      <c r="C46" s="98">
        <v>0.4</v>
      </c>
    </row>
    <row r="47" spans="2:3">
      <c r="B47" s="97" t="s">
        <v>187</v>
      </c>
      <c r="C47" s="98">
        <v>0.56000000000000005</v>
      </c>
    </row>
    <row r="48" spans="2:3">
      <c r="B48" s="97" t="s">
        <v>188</v>
      </c>
      <c r="C48" s="98">
        <v>0.45</v>
      </c>
    </row>
    <row r="49" spans="2:3">
      <c r="B49" s="97" t="s">
        <v>189</v>
      </c>
      <c r="C49" s="98">
        <v>0.5</v>
      </c>
    </row>
    <row r="50" spans="2:3">
      <c r="B50" s="97" t="s">
        <v>190</v>
      </c>
      <c r="C50" s="98">
        <v>0.52</v>
      </c>
    </row>
    <row r="51" spans="2:3">
      <c r="B51" s="97" t="s">
        <v>191</v>
      </c>
      <c r="C51" s="98">
        <v>0.5</v>
      </c>
    </row>
    <row r="52" spans="2:3">
      <c r="B52" s="97" t="s">
        <v>192</v>
      </c>
      <c r="C52" s="98">
        <v>0.47</v>
      </c>
    </row>
    <row r="53" spans="2:3">
      <c r="B53" s="97" t="s">
        <v>193</v>
      </c>
      <c r="C53" s="98">
        <v>0.66</v>
      </c>
    </row>
    <row r="54" spans="2:3">
      <c r="B54" s="97" t="s">
        <v>194</v>
      </c>
      <c r="C54" s="98">
        <v>0.63</v>
      </c>
    </row>
    <row r="55" spans="2:3">
      <c r="B55" s="97" t="s">
        <v>195</v>
      </c>
      <c r="C55" s="98">
        <v>0.4</v>
      </c>
    </row>
    <row r="56" spans="2:3">
      <c r="B56" s="97" t="s">
        <v>196</v>
      </c>
      <c r="C56" s="98">
        <v>0.63</v>
      </c>
    </row>
    <row r="57" spans="2:3">
      <c r="B57" s="97" t="s">
        <v>197</v>
      </c>
      <c r="C57" s="98">
        <v>0.59</v>
      </c>
    </row>
    <row r="58" spans="2:3">
      <c r="B58" s="97" t="s">
        <v>198</v>
      </c>
      <c r="C58" s="98">
        <v>0.5</v>
      </c>
    </row>
    <row r="59" spans="2:3">
      <c r="B59" s="97" t="s">
        <v>199</v>
      </c>
      <c r="C59" s="98">
        <v>0.7</v>
      </c>
    </row>
    <row r="60" spans="2:3">
      <c r="B60" s="97" t="s">
        <v>200</v>
      </c>
      <c r="C60" s="98">
        <v>0.59</v>
      </c>
    </row>
    <row r="61" spans="2:3">
      <c r="B61" s="97" t="s">
        <v>201</v>
      </c>
      <c r="C61" s="98">
        <v>0.26</v>
      </c>
    </row>
    <row r="62" spans="2:3">
      <c r="B62" s="97" t="s">
        <v>202</v>
      </c>
      <c r="C62" s="98">
        <v>0.5</v>
      </c>
    </row>
    <row r="63" spans="2:3">
      <c r="B63" s="97" t="s">
        <v>203</v>
      </c>
      <c r="C63" s="98">
        <v>0.56000000000000005</v>
      </c>
    </row>
    <row r="64" spans="2:3">
      <c r="B64" s="97" t="s">
        <v>204</v>
      </c>
      <c r="C64" s="98">
        <v>0.59</v>
      </c>
    </row>
    <row r="65" spans="2:3">
      <c r="B65" s="97" t="s">
        <v>205</v>
      </c>
      <c r="C65" s="98">
        <v>0.59</v>
      </c>
    </row>
    <row r="66" spans="2:3">
      <c r="B66" s="97" t="s">
        <v>206</v>
      </c>
      <c r="C66" s="98">
        <v>0.55000000000000004</v>
      </c>
    </row>
    <row r="67" spans="2:3">
      <c r="B67" s="97" t="s">
        <v>207</v>
      </c>
      <c r="C67" s="98">
        <v>0.56000000000000005</v>
      </c>
    </row>
    <row r="68" spans="2:3">
      <c r="B68" s="97" t="s">
        <v>208</v>
      </c>
      <c r="C68" s="98">
        <v>0.87</v>
      </c>
    </row>
    <row r="69" spans="2:3">
      <c r="B69" s="97" t="s">
        <v>209</v>
      </c>
      <c r="C69" s="98">
        <v>0.36</v>
      </c>
    </row>
    <row r="70" spans="2:3">
      <c r="B70" s="97" t="s">
        <v>210</v>
      </c>
      <c r="C70" s="98">
        <v>0.56000000000000005</v>
      </c>
    </row>
    <row r="71" spans="2:3">
      <c r="B71" s="97" t="s">
        <v>211</v>
      </c>
      <c r="C71" s="98">
        <v>0.5</v>
      </c>
    </row>
    <row r="72" spans="2:3">
      <c r="B72" s="97" t="s">
        <v>212</v>
      </c>
      <c r="C72" s="98">
        <v>0.46</v>
      </c>
    </row>
    <row r="73" spans="2:3">
      <c r="B73" s="97" t="s">
        <v>213</v>
      </c>
      <c r="C73" s="98">
        <v>0.46</v>
      </c>
    </row>
    <row r="74" spans="2:3">
      <c r="B74" s="97" t="s">
        <v>214</v>
      </c>
      <c r="C74" s="98">
        <v>0.7</v>
      </c>
    </row>
    <row r="75" spans="2:3">
      <c r="B75" s="97" t="s">
        <v>215</v>
      </c>
      <c r="C75" s="98">
        <v>0.7</v>
      </c>
    </row>
    <row r="76" spans="2:3">
      <c r="B76" s="97" t="s">
        <v>216</v>
      </c>
      <c r="C76" s="98">
        <v>0.7</v>
      </c>
    </row>
    <row r="77" spans="2:3">
      <c r="B77" s="97" t="s">
        <v>217</v>
      </c>
      <c r="C77" s="98">
        <v>0.5</v>
      </c>
    </row>
    <row r="78" spans="2:3">
      <c r="B78" s="97" t="s">
        <v>218</v>
      </c>
      <c r="C78" s="98">
        <v>0.63</v>
      </c>
    </row>
    <row r="79" spans="2:3">
      <c r="B79" s="97" t="s">
        <v>219</v>
      </c>
      <c r="C79" s="98">
        <v>0.5</v>
      </c>
    </row>
    <row r="80" spans="2:3">
      <c r="B80" s="97" t="s">
        <v>220</v>
      </c>
      <c r="C80" s="98">
        <v>0.4</v>
      </c>
    </row>
    <row r="81" spans="2:3">
      <c r="B81" s="97" t="s">
        <v>221</v>
      </c>
      <c r="C81" s="98">
        <v>0.34</v>
      </c>
    </row>
    <row r="82" spans="2:3">
      <c r="B82" s="97" t="s">
        <v>222</v>
      </c>
      <c r="C82" s="98">
        <v>0.36</v>
      </c>
    </row>
    <row r="83" spans="2:3">
      <c r="B83" s="97" t="s">
        <v>223</v>
      </c>
      <c r="C83" s="98">
        <v>0.56000000000000005</v>
      </c>
    </row>
    <row r="84" spans="2:3">
      <c r="B84" s="97" t="s">
        <v>224</v>
      </c>
      <c r="C84" s="98">
        <v>0.63</v>
      </c>
    </row>
    <row r="85" spans="2:3">
      <c r="B85" s="97" t="s">
        <v>225</v>
      </c>
      <c r="C85" s="98">
        <v>0.78</v>
      </c>
    </row>
    <row r="86" spans="2:3">
      <c r="B86" s="97" t="s">
        <v>226</v>
      </c>
      <c r="C86" s="98">
        <v>0.5</v>
      </c>
    </row>
    <row r="87" spans="2:3">
      <c r="B87" s="97" t="s">
        <v>227</v>
      </c>
      <c r="C87" s="98">
        <v>0.56999999999999995</v>
      </c>
    </row>
    <row r="88" spans="2:3">
      <c r="B88" s="97" t="s">
        <v>228</v>
      </c>
      <c r="C88" s="98">
        <v>0.7</v>
      </c>
    </row>
    <row r="89" spans="2:3">
      <c r="B89" s="97" t="s">
        <v>229</v>
      </c>
      <c r="C89" s="98">
        <v>0.78</v>
      </c>
    </row>
    <row r="90" spans="2:3">
      <c r="B90" s="97" t="s">
        <v>230</v>
      </c>
      <c r="C90" s="98">
        <v>0.8</v>
      </c>
    </row>
    <row r="91" spans="2:3">
      <c r="B91" s="97" t="s">
        <v>231</v>
      </c>
      <c r="C91" s="98">
        <v>0.74</v>
      </c>
    </row>
    <row r="92" spans="2:3">
      <c r="B92" s="97" t="s">
        <v>232</v>
      </c>
      <c r="C92" s="98">
        <v>0.53</v>
      </c>
    </row>
    <row r="93" spans="2:3">
      <c r="B93" s="97" t="s">
        <v>233</v>
      </c>
      <c r="C93" s="98">
        <v>0.5</v>
      </c>
    </row>
    <row r="94" spans="2:3">
      <c r="B94" s="97" t="s">
        <v>234</v>
      </c>
      <c r="C94" s="98">
        <v>0.53</v>
      </c>
    </row>
    <row r="95" spans="2:3">
      <c r="B95" s="97" t="s">
        <v>235</v>
      </c>
      <c r="C95" s="98">
        <v>0.7</v>
      </c>
    </row>
    <row r="96" spans="2:3">
      <c r="B96" s="97" t="s">
        <v>236</v>
      </c>
      <c r="C96" s="98">
        <v>0.5</v>
      </c>
    </row>
    <row r="97" spans="2:3">
      <c r="B97" s="97" t="s">
        <v>237</v>
      </c>
      <c r="C97" s="98">
        <v>0.5</v>
      </c>
    </row>
    <row r="98" spans="2:3">
      <c r="B98" s="97" t="s">
        <v>238</v>
      </c>
      <c r="C98" s="98">
        <v>0.61</v>
      </c>
    </row>
    <row r="99" spans="2:3">
      <c r="B99" s="97" t="s">
        <v>239</v>
      </c>
      <c r="C99" s="98">
        <v>0.45</v>
      </c>
    </row>
    <row r="100" spans="2:3">
      <c r="B100" s="97" t="s">
        <v>240</v>
      </c>
      <c r="C100" s="98">
        <v>0.4</v>
      </c>
    </row>
    <row r="101" spans="2:3">
      <c r="B101" s="97" t="s">
        <v>241</v>
      </c>
      <c r="C101" s="98">
        <v>0.45</v>
      </c>
    </row>
    <row r="102" spans="2:3">
      <c r="B102" s="97" t="s">
        <v>242</v>
      </c>
      <c r="C102" s="98">
        <v>0.87</v>
      </c>
    </row>
    <row r="103" spans="2:3">
      <c r="B103" s="97" t="s">
        <v>243</v>
      </c>
      <c r="C103" s="98">
        <v>0.63</v>
      </c>
    </row>
    <row r="104" spans="2:3">
      <c r="B104" s="97" t="s">
        <v>244</v>
      </c>
      <c r="C104" s="98">
        <v>0.83</v>
      </c>
    </row>
    <row r="105" spans="2:3">
      <c r="B105" s="97" t="s">
        <v>245</v>
      </c>
      <c r="C105" s="98">
        <v>0.72</v>
      </c>
    </row>
    <row r="106" spans="2:3">
      <c r="B106" s="97" t="s">
        <v>246</v>
      </c>
      <c r="C106" s="98">
        <v>0.78</v>
      </c>
    </row>
    <row r="107" spans="2:3">
      <c r="B107" s="97" t="s">
        <v>247</v>
      </c>
      <c r="C107" s="98">
        <v>0.78</v>
      </c>
    </row>
    <row r="108" spans="2:3">
      <c r="B108" s="97" t="s">
        <v>248</v>
      </c>
      <c r="C108" s="98">
        <v>0.53</v>
      </c>
    </row>
    <row r="109" spans="2:3">
      <c r="B109" s="97" t="s">
        <v>249</v>
      </c>
      <c r="C109" s="98">
        <v>0.5</v>
      </c>
    </row>
    <row r="110" spans="2:3">
      <c r="B110" s="97" t="s">
        <v>250</v>
      </c>
      <c r="C110" s="98">
        <v>0.78</v>
      </c>
    </row>
    <row r="111" spans="2:3">
      <c r="B111" s="97" t="s">
        <v>251</v>
      </c>
      <c r="C111" s="98">
        <v>0.82</v>
      </c>
    </row>
    <row r="112" spans="2:3">
      <c r="B112" s="97" t="s">
        <v>252</v>
      </c>
      <c r="C112" s="98">
        <v>0.32</v>
      </c>
    </row>
    <row r="113" spans="2:3">
      <c r="B113" s="97" t="s">
        <v>253</v>
      </c>
      <c r="C113" s="98">
        <v>0.57999999999999996</v>
      </c>
    </row>
    <row r="114" spans="2:3">
      <c r="B114" s="97" t="s">
        <v>254</v>
      </c>
      <c r="C114" s="98">
        <v>0.63</v>
      </c>
    </row>
    <row r="115" spans="2:3">
      <c r="B115" s="97" t="s">
        <v>255</v>
      </c>
      <c r="C115" s="98">
        <v>0.63</v>
      </c>
    </row>
    <row r="116" spans="2:3">
      <c r="B116" s="97" t="s">
        <v>256</v>
      </c>
      <c r="C116" s="98">
        <v>0.51</v>
      </c>
    </row>
    <row r="117" spans="2:3">
      <c r="B117" s="97" t="s">
        <v>257</v>
      </c>
      <c r="C117" s="98">
        <v>0.42</v>
      </c>
    </row>
    <row r="118" spans="2:3">
      <c r="B118" s="97" t="s">
        <v>258</v>
      </c>
      <c r="C118" s="98">
        <v>0.66</v>
      </c>
    </row>
    <row r="119" spans="2:3">
      <c r="B119" s="97" t="s">
        <v>259</v>
      </c>
      <c r="C119" s="98">
        <v>0.45</v>
      </c>
    </row>
    <row r="120" spans="2:3">
      <c r="B120" s="97" t="s">
        <v>260</v>
      </c>
      <c r="C120" s="98">
        <v>0.59</v>
      </c>
    </row>
    <row r="121" spans="2:3">
      <c r="B121" s="97" t="s">
        <v>261</v>
      </c>
      <c r="C121" s="98">
        <v>0.55000000000000004</v>
      </c>
    </row>
    <row r="122" spans="2:3">
      <c r="B122" s="97" t="s">
        <v>262</v>
      </c>
      <c r="C122" s="98">
        <v>0.53</v>
      </c>
    </row>
    <row r="123" spans="2:3">
      <c r="B123" s="97" t="s">
        <v>263</v>
      </c>
      <c r="C123" s="98">
        <v>0.6</v>
      </c>
    </row>
    <row r="124" spans="2:3">
      <c r="B124" s="97" t="s">
        <v>264</v>
      </c>
      <c r="C124" s="98">
        <v>0.5</v>
      </c>
    </row>
    <row r="125" spans="2:3">
      <c r="B125" s="97" t="s">
        <v>265</v>
      </c>
      <c r="C125" s="98">
        <v>0.56000000000000005</v>
      </c>
    </row>
    <row r="126" spans="2:3">
      <c r="B126" s="97" t="s">
        <v>266</v>
      </c>
      <c r="C126" s="98">
        <v>0.25</v>
      </c>
    </row>
    <row r="127" spans="2:3">
      <c r="B127" s="97" t="s">
        <v>267</v>
      </c>
      <c r="C127" s="98">
        <v>0.72</v>
      </c>
    </row>
    <row r="128" spans="2:3">
      <c r="B128" s="97" t="s">
        <v>268</v>
      </c>
      <c r="C128" s="98">
        <v>0.5</v>
      </c>
    </row>
    <row r="129" spans="2:3">
      <c r="B129" s="97" t="s">
        <v>269</v>
      </c>
      <c r="C129" s="98">
        <v>0.41</v>
      </c>
    </row>
    <row r="130" spans="2:3">
      <c r="B130" s="97" t="s">
        <v>270</v>
      </c>
      <c r="C130" s="98">
        <v>0.69</v>
      </c>
    </row>
    <row r="131" spans="2:3">
      <c r="B131" s="97" t="s">
        <v>271</v>
      </c>
      <c r="C131" s="98">
        <v>0.4</v>
      </c>
    </row>
    <row r="132" spans="2:3">
      <c r="B132" s="97" t="s">
        <v>272</v>
      </c>
      <c r="C132" s="98">
        <v>0.39</v>
      </c>
    </row>
    <row r="133" spans="2:3">
      <c r="B133" s="97" t="s">
        <v>273</v>
      </c>
      <c r="C133" s="98">
        <v>0.4</v>
      </c>
    </row>
    <row r="134" spans="2:3">
      <c r="B134" s="97" t="s">
        <v>274</v>
      </c>
      <c r="C134" s="98">
        <v>0.45</v>
      </c>
    </row>
    <row r="135" spans="2:3">
      <c r="B135" s="97" t="s">
        <v>275</v>
      </c>
      <c r="C135" s="98">
        <v>0.63</v>
      </c>
    </row>
    <row r="136" spans="2:3">
      <c r="B136" s="97" t="s">
        <v>276</v>
      </c>
      <c r="C136" s="98">
        <v>0.63</v>
      </c>
    </row>
    <row r="137" spans="2:3">
      <c r="B137" s="97" t="s">
        <v>277</v>
      </c>
      <c r="C137" s="98">
        <v>0.56000000000000005</v>
      </c>
    </row>
    <row r="138" spans="2:3">
      <c r="B138" s="97" t="s">
        <v>278</v>
      </c>
      <c r="C138" s="98">
        <v>0.56000000000000005</v>
      </c>
    </row>
    <row r="139" spans="2:3">
      <c r="B139" s="97" t="s">
        <v>279</v>
      </c>
      <c r="C139" s="98">
        <v>0.66</v>
      </c>
    </row>
    <row r="140" spans="2:3">
      <c r="B140" s="97" t="s">
        <v>280</v>
      </c>
      <c r="C140" s="98">
        <v>0.78</v>
      </c>
    </row>
    <row r="141" spans="2:3">
      <c r="B141" s="97" t="s">
        <v>281</v>
      </c>
      <c r="C141" s="98">
        <v>0.78</v>
      </c>
    </row>
    <row r="142" spans="2:3">
      <c r="B142" s="97" t="s">
        <v>282</v>
      </c>
      <c r="C142" s="98">
        <v>0.65</v>
      </c>
    </row>
    <row r="143" spans="2:3">
      <c r="B143" s="97" t="s">
        <v>283</v>
      </c>
      <c r="C143" s="98">
        <v>0.66</v>
      </c>
    </row>
    <row r="144" spans="2:3">
      <c r="B144" s="97" t="s">
        <v>284</v>
      </c>
      <c r="C144" s="98">
        <v>0.63</v>
      </c>
    </row>
    <row r="145" spans="2:3">
      <c r="B145" s="97" t="s">
        <v>285</v>
      </c>
      <c r="C145" s="98">
        <v>0.87</v>
      </c>
    </row>
    <row r="146" spans="2:3">
      <c r="B146" s="97" t="s">
        <v>286</v>
      </c>
      <c r="C146" s="98">
        <v>0.4</v>
      </c>
    </row>
    <row r="147" spans="2:3">
      <c r="B147" s="97" t="s">
        <v>287</v>
      </c>
      <c r="C147" s="98">
        <v>0.48</v>
      </c>
    </row>
    <row r="148" spans="2:3">
      <c r="B148" s="97" t="s">
        <v>288</v>
      </c>
      <c r="C148" s="98">
        <v>0.56000000000000005</v>
      </c>
    </row>
    <row r="149" spans="2:3">
      <c r="B149" s="97" t="s">
        <v>289</v>
      </c>
      <c r="C149" s="98">
        <v>0.55000000000000004</v>
      </c>
    </row>
    <row r="150" spans="2:3">
      <c r="B150" s="97" t="s">
        <v>290</v>
      </c>
      <c r="C150" s="98">
        <v>0.64</v>
      </c>
    </row>
    <row r="151" spans="2:3">
      <c r="B151" s="97" t="s">
        <v>291</v>
      </c>
      <c r="C151" s="98">
        <v>0.7</v>
      </c>
    </row>
    <row r="152" spans="2:3">
      <c r="B152" s="97" t="s">
        <v>292</v>
      </c>
      <c r="C152" s="98">
        <v>0.67</v>
      </c>
    </row>
    <row r="153" spans="2:3">
      <c r="B153" s="97" t="s">
        <v>293</v>
      </c>
      <c r="C153" s="98">
        <v>0.74</v>
      </c>
    </row>
    <row r="154" spans="2:3">
      <c r="B154" s="97" t="s">
        <v>294</v>
      </c>
      <c r="C154" s="98">
        <v>0.72</v>
      </c>
    </row>
    <row r="155" spans="2:3">
      <c r="B155" s="97" t="s">
        <v>295</v>
      </c>
      <c r="C155" s="98">
        <v>0.74</v>
      </c>
    </row>
    <row r="156" spans="2:3">
      <c r="B156" s="97" t="s">
        <v>296</v>
      </c>
      <c r="C156" s="98">
        <v>0.28000000000000003</v>
      </c>
    </row>
    <row r="157" spans="2:3">
      <c r="B157" s="97" t="s">
        <v>297</v>
      </c>
      <c r="C157" s="98">
        <v>0.45</v>
      </c>
    </row>
    <row r="158" spans="2:3">
      <c r="B158" s="97" t="s">
        <v>298</v>
      </c>
      <c r="C158" s="98">
        <v>0.48</v>
      </c>
    </row>
    <row r="159" spans="2:3">
      <c r="B159" s="97" t="s">
        <v>299</v>
      </c>
      <c r="C159" s="98">
        <v>0.59</v>
      </c>
    </row>
    <row r="160" spans="2:3">
      <c r="B160" s="97" t="s">
        <v>300</v>
      </c>
      <c r="C160" s="98">
        <v>0.66</v>
      </c>
    </row>
    <row r="161" spans="2:3">
      <c r="B161" s="97" t="s">
        <v>301</v>
      </c>
      <c r="C161" s="98">
        <v>0.7</v>
      </c>
    </row>
    <row r="162" spans="2:3">
      <c r="B162" s="97" t="s">
        <v>302</v>
      </c>
      <c r="C162" s="98">
        <v>0.78</v>
      </c>
    </row>
    <row r="163" spans="2:3">
      <c r="B163" s="97" t="s">
        <v>303</v>
      </c>
      <c r="C163" s="98">
        <v>0.78</v>
      </c>
    </row>
    <row r="164" spans="2:3">
      <c r="B164" s="97" t="s">
        <v>304</v>
      </c>
      <c r="C164" s="98">
        <v>0.78</v>
      </c>
    </row>
    <row r="165" spans="2:3">
      <c r="B165" s="97" t="s">
        <v>305</v>
      </c>
      <c r="C165" s="98">
        <v>0.71</v>
      </c>
    </row>
    <row r="166" spans="2:3">
      <c r="B166" s="97" t="s">
        <v>306</v>
      </c>
      <c r="C166" s="98">
        <v>0.78</v>
      </c>
    </row>
    <row r="167" spans="2:3">
      <c r="B167" s="97" t="s">
        <v>307</v>
      </c>
      <c r="C167" s="98">
        <v>0.78</v>
      </c>
    </row>
    <row r="168" spans="2:3">
      <c r="B168" s="97" t="s">
        <v>308</v>
      </c>
      <c r="C168" s="98">
        <v>0.6</v>
      </c>
    </row>
    <row r="169" spans="2:3">
      <c r="B169" s="97" t="s">
        <v>309</v>
      </c>
      <c r="C169" s="98">
        <v>0.44</v>
      </c>
    </row>
    <row r="170" spans="2:3">
      <c r="B170" s="97" t="s">
        <v>310</v>
      </c>
      <c r="C170" s="98">
        <v>0.6</v>
      </c>
    </row>
    <row r="171" spans="2:3">
      <c r="B171" s="97" t="s">
        <v>311</v>
      </c>
      <c r="C171" s="98">
        <v>0.87</v>
      </c>
    </row>
    <row r="172" spans="2:3">
      <c r="B172" s="97" t="s">
        <v>312</v>
      </c>
      <c r="C172" s="98">
        <v>0.45</v>
      </c>
    </row>
    <row r="173" spans="2:3">
      <c r="B173" s="97" t="s">
        <v>313</v>
      </c>
      <c r="C173" s="98">
        <v>0.78</v>
      </c>
    </row>
    <row r="174" spans="2:3">
      <c r="B174" s="97" t="s">
        <v>314</v>
      </c>
      <c r="C174" s="98">
        <v>0.87</v>
      </c>
    </row>
    <row r="175" spans="2:3">
      <c r="B175" s="97" t="s">
        <v>315</v>
      </c>
      <c r="C175" s="98">
        <v>0.87</v>
      </c>
    </row>
    <row r="176" spans="2:3">
      <c r="B176" s="97" t="s">
        <v>316</v>
      </c>
      <c r="C176" s="98">
        <v>0.45</v>
      </c>
    </row>
    <row r="177" spans="2:3">
      <c r="B177" s="97" t="s">
        <v>317</v>
      </c>
      <c r="C177" s="98">
        <v>0.4</v>
      </c>
    </row>
    <row r="178" spans="2:3">
      <c r="B178" s="97" t="s">
        <v>318</v>
      </c>
      <c r="C178" s="98">
        <v>0.4</v>
      </c>
    </row>
    <row r="179" spans="2:3">
      <c r="B179" s="97" t="s">
        <v>319</v>
      </c>
      <c r="C179" s="98">
        <v>0.41</v>
      </c>
    </row>
    <row r="180" spans="2:3">
      <c r="B180" s="97" t="s">
        <v>320</v>
      </c>
      <c r="C180" s="98">
        <v>0.45</v>
      </c>
    </row>
    <row r="181" spans="2:3">
      <c r="B181" s="97" t="s">
        <v>321</v>
      </c>
      <c r="C181" s="98">
        <v>0.62</v>
      </c>
    </row>
    <row r="182" spans="2:3">
      <c r="B182" s="97" t="s">
        <v>322</v>
      </c>
      <c r="C182" s="98">
        <v>0.81</v>
      </c>
    </row>
    <row r="183" spans="2:3">
      <c r="B183" s="97" t="s">
        <v>323</v>
      </c>
      <c r="C183" s="98">
        <v>0.78</v>
      </c>
    </row>
    <row r="184" spans="2:3">
      <c r="B184" s="97" t="s">
        <v>324</v>
      </c>
      <c r="C184" s="98">
        <v>0.5</v>
      </c>
    </row>
    <row r="185" spans="2:3">
      <c r="B185" s="97" t="s">
        <v>325</v>
      </c>
      <c r="C185" s="98">
        <v>0.45</v>
      </c>
    </row>
    <row r="186" spans="2:3">
      <c r="B186" s="97" t="s">
        <v>326</v>
      </c>
      <c r="C186" s="98">
        <v>0.77</v>
      </c>
    </row>
    <row r="187" spans="2:3">
      <c r="B187" s="97" t="s">
        <v>327</v>
      </c>
      <c r="C187" s="98">
        <v>0.63</v>
      </c>
    </row>
    <row r="188" spans="2:3">
      <c r="B188" s="97" t="s">
        <v>328</v>
      </c>
      <c r="C188" s="98">
        <v>0.7</v>
      </c>
    </row>
    <row r="189" spans="2:3">
      <c r="B189" s="97" t="s">
        <v>329</v>
      </c>
      <c r="C189" s="98">
        <v>0.42</v>
      </c>
    </row>
    <row r="190" spans="2:3">
      <c r="B190" s="97" t="s">
        <v>330</v>
      </c>
      <c r="C190" s="98">
        <v>0.7</v>
      </c>
    </row>
    <row r="191" spans="2:3">
      <c r="B191" s="97" t="s">
        <v>331</v>
      </c>
      <c r="C191" s="98">
        <v>0.72</v>
      </c>
    </row>
    <row r="192" spans="2:3">
      <c r="B192" s="97" t="s">
        <v>332</v>
      </c>
      <c r="C192" s="98">
        <v>0.45</v>
      </c>
    </row>
    <row r="193" spans="2:3">
      <c r="B193" s="97" t="s">
        <v>333</v>
      </c>
      <c r="C193" s="98">
        <v>0.47</v>
      </c>
    </row>
    <row r="194" spans="2:3">
      <c r="B194" s="97" t="s">
        <v>334</v>
      </c>
      <c r="C194" s="98">
        <v>0.45</v>
      </c>
    </row>
    <row r="195" spans="2:3">
      <c r="B195" s="97" t="s">
        <v>335</v>
      </c>
      <c r="C195" s="98">
        <v>0.5</v>
      </c>
    </row>
    <row r="196" spans="2:3">
      <c r="B196" s="97" t="s">
        <v>336</v>
      </c>
      <c r="C196" s="98">
        <v>0.39</v>
      </c>
    </row>
    <row r="197" spans="2:3">
      <c r="B197" s="97" t="s">
        <v>337</v>
      </c>
      <c r="C197" s="98">
        <v>0.5</v>
      </c>
    </row>
    <row r="198" spans="2:3">
      <c r="B198" s="97" t="s">
        <v>338</v>
      </c>
      <c r="C198" s="98">
        <v>0.47</v>
      </c>
    </row>
    <row r="199" spans="2:3">
      <c r="B199" s="97" t="s">
        <v>339</v>
      </c>
      <c r="C199" s="98">
        <v>0.23</v>
      </c>
    </row>
    <row r="200" spans="2:3">
      <c r="B200" s="97" t="s">
        <v>340</v>
      </c>
      <c r="C200" s="98">
        <v>0.63</v>
      </c>
    </row>
    <row r="201" spans="2:3">
      <c r="B201" s="97" t="s">
        <v>341</v>
      </c>
      <c r="C201" s="98">
        <v>0.32</v>
      </c>
    </row>
    <row r="202" spans="2:3">
      <c r="B202" s="97" t="s">
        <v>342</v>
      </c>
      <c r="C202" s="98">
        <v>0.7</v>
      </c>
    </row>
    <row r="203" spans="2:3">
      <c r="B203" s="97" t="s">
        <v>343</v>
      </c>
      <c r="C203" s="98">
        <v>0.65</v>
      </c>
    </row>
    <row r="204" spans="2:3">
      <c r="B204" s="97" t="s">
        <v>344</v>
      </c>
      <c r="C204" s="98">
        <v>0.48</v>
      </c>
    </row>
    <row r="205" spans="2:3">
      <c r="B205" s="97" t="s">
        <v>345</v>
      </c>
      <c r="C205" s="98">
        <v>0.74</v>
      </c>
    </row>
    <row r="206" spans="2:3">
      <c r="B206" s="97" t="s">
        <v>346</v>
      </c>
      <c r="C206" s="98">
        <v>0.78</v>
      </c>
    </row>
    <row r="207" spans="2:3">
      <c r="B207" s="97" t="s">
        <v>347</v>
      </c>
      <c r="C207" s="98">
        <v>0.32</v>
      </c>
    </row>
    <row r="208" spans="2:3">
      <c r="B208" s="97" t="s">
        <v>348</v>
      </c>
      <c r="C208" s="98">
        <v>0.32</v>
      </c>
    </row>
    <row r="209" spans="2:3">
      <c r="B209" s="97" t="s">
        <v>349</v>
      </c>
      <c r="C209" s="98">
        <v>0.78</v>
      </c>
    </row>
    <row r="210" spans="2:3">
      <c r="B210" s="97" t="s">
        <v>350</v>
      </c>
      <c r="C210" s="98">
        <v>0.72</v>
      </c>
    </row>
    <row r="211" spans="2:3">
      <c r="B211" s="97" t="s">
        <v>351</v>
      </c>
      <c r="C211" s="98">
        <v>0.53</v>
      </c>
    </row>
    <row r="212" spans="2:3">
      <c r="B212" s="97" t="s">
        <v>352</v>
      </c>
      <c r="C212" s="98">
        <v>0.7</v>
      </c>
    </row>
    <row r="213" spans="2:3">
      <c r="B213" s="97" t="s">
        <v>353</v>
      </c>
      <c r="C213" s="98">
        <v>0.57999999999999996</v>
      </c>
    </row>
    <row r="214" spans="2:3">
      <c r="B214" s="97" t="s">
        <v>354</v>
      </c>
      <c r="C214" s="98">
        <v>0.57999999999999996</v>
      </c>
    </row>
    <row r="215" spans="2:3">
      <c r="B215" s="97" t="s">
        <v>355</v>
      </c>
      <c r="C215" s="98">
        <v>0.56000000000000005</v>
      </c>
    </row>
    <row r="216" spans="2:3">
      <c r="B216" s="97" t="s">
        <v>356</v>
      </c>
      <c r="C216" s="98">
        <v>0.69</v>
      </c>
    </row>
    <row r="217" spans="2:3">
      <c r="B217" s="97" t="s">
        <v>357</v>
      </c>
      <c r="C217" s="98">
        <v>0.87</v>
      </c>
    </row>
    <row r="218" spans="2:3">
      <c r="B218" s="97" t="s">
        <v>358</v>
      </c>
      <c r="C218" s="98">
        <v>0.78</v>
      </c>
    </row>
    <row r="219" spans="2:3">
      <c r="B219" s="97" t="s">
        <v>359</v>
      </c>
      <c r="C219" s="98">
        <v>0.36</v>
      </c>
    </row>
    <row r="220" spans="2:3">
      <c r="B220" s="97" t="s">
        <v>360</v>
      </c>
      <c r="C220" s="98">
        <v>0.56000000000000005</v>
      </c>
    </row>
    <row r="221" spans="2:3">
      <c r="B221" s="97" t="s">
        <v>361</v>
      </c>
      <c r="C221" s="98">
        <v>0.56000000000000005</v>
      </c>
    </row>
    <row r="222" spans="2:3">
      <c r="B222" s="97" t="s">
        <v>362</v>
      </c>
      <c r="C222" s="98">
        <v>0.63</v>
      </c>
    </row>
    <row r="223" spans="2:3">
      <c r="B223" s="97" t="s">
        <v>363</v>
      </c>
      <c r="C223" s="98">
        <v>0.78</v>
      </c>
    </row>
    <row r="224" spans="2:3">
      <c r="B224" s="97" t="s">
        <v>364</v>
      </c>
      <c r="C224" s="98">
        <v>0.78</v>
      </c>
    </row>
    <row r="225" spans="2:3">
      <c r="B225" s="97" t="s">
        <v>365</v>
      </c>
      <c r="C225" s="98">
        <v>0.76</v>
      </c>
    </row>
    <row r="226" spans="2:3">
      <c r="B226" s="97" t="s">
        <v>366</v>
      </c>
      <c r="C226" s="98">
        <v>0.7</v>
      </c>
    </row>
    <row r="227" spans="2:3">
      <c r="B227" s="97" t="s">
        <v>367</v>
      </c>
      <c r="C227" s="98">
        <v>0.7</v>
      </c>
    </row>
    <row r="228" spans="2:3">
      <c r="B228" s="97" t="s">
        <v>368</v>
      </c>
      <c r="C228" s="98">
        <v>0.56000000000000005</v>
      </c>
    </row>
    <row r="229" spans="2:3">
      <c r="B229" s="97" t="s">
        <v>369</v>
      </c>
      <c r="C229" s="98">
        <v>0.7</v>
      </c>
    </row>
    <row r="230" spans="2:3">
      <c r="B230" s="97" t="s">
        <v>370</v>
      </c>
      <c r="C230" s="98">
        <v>0.36</v>
      </c>
    </row>
    <row r="231" spans="2:3">
      <c r="B231" s="97" t="s">
        <v>371</v>
      </c>
      <c r="C231" s="98">
        <v>0.66</v>
      </c>
    </row>
    <row r="232" spans="2:3">
      <c r="B232" s="97" t="s">
        <v>372</v>
      </c>
      <c r="C232" s="98">
        <v>0.63</v>
      </c>
    </row>
    <row r="233" spans="2:3">
      <c r="B233" s="97" t="s">
        <v>373</v>
      </c>
      <c r="C233" s="98">
        <v>0.63</v>
      </c>
    </row>
    <row r="234" spans="2:3">
      <c r="B234" s="97" t="s">
        <v>374</v>
      </c>
      <c r="C234" s="98">
        <v>0.59</v>
      </c>
    </row>
    <row r="235" spans="2:3">
      <c r="B235" s="97" t="s">
        <v>375</v>
      </c>
      <c r="C235" s="98">
        <v>0.61</v>
      </c>
    </row>
    <row r="236" spans="2:3">
      <c r="B236" s="97" t="s">
        <v>376</v>
      </c>
      <c r="C236" s="98">
        <v>0.56000000000000005</v>
      </c>
    </row>
    <row r="237" spans="2:3">
      <c r="B237" s="97" t="s">
        <v>377</v>
      </c>
      <c r="C237" s="98">
        <v>0.52</v>
      </c>
    </row>
    <row r="238" spans="2:3">
      <c r="B238" s="97" t="s">
        <v>378</v>
      </c>
      <c r="C238" s="98">
        <v>0.4</v>
      </c>
    </row>
    <row r="239" spans="2:3">
      <c r="B239" s="97" t="s">
        <v>379</v>
      </c>
      <c r="C239" s="98">
        <v>0.78</v>
      </c>
    </row>
    <row r="240" spans="2:3">
      <c r="B240" s="97" t="s">
        <v>380</v>
      </c>
      <c r="C240" s="98">
        <v>0.47</v>
      </c>
    </row>
    <row r="241" spans="2:3">
      <c r="B241" s="97" t="s">
        <v>381</v>
      </c>
      <c r="C241" s="98">
        <v>0.2</v>
      </c>
    </row>
    <row r="242" spans="2:3">
      <c r="B242" s="97" t="s">
        <v>382</v>
      </c>
      <c r="C242" s="98">
        <v>0.74</v>
      </c>
    </row>
    <row r="243" spans="2:3">
      <c r="B243" s="97" t="s">
        <v>383</v>
      </c>
      <c r="C243" s="98">
        <v>0.53</v>
      </c>
    </row>
    <row r="244" spans="2:3">
      <c r="B244" s="97" t="s">
        <v>384</v>
      </c>
      <c r="C244" s="98">
        <v>0.5</v>
      </c>
    </row>
    <row r="245" spans="2:3">
      <c r="B245" s="97" t="s">
        <v>385</v>
      </c>
      <c r="C245" s="98">
        <v>0.63</v>
      </c>
    </row>
    <row r="246" spans="2:3">
      <c r="B246" s="97" t="s">
        <v>386</v>
      </c>
      <c r="C246" s="98">
        <v>0.68</v>
      </c>
    </row>
    <row r="247" spans="2:3">
      <c r="B247" s="97" t="s">
        <v>387</v>
      </c>
      <c r="C247" s="98">
        <v>0.5</v>
      </c>
    </row>
    <row r="248" spans="2:3">
      <c r="B248" s="97" t="s">
        <v>388</v>
      </c>
      <c r="C248" s="98">
        <v>0.56000000000000005</v>
      </c>
    </row>
    <row r="249" spans="2:3">
      <c r="B249" s="97" t="s">
        <v>389</v>
      </c>
      <c r="C249" s="98">
        <v>0.48</v>
      </c>
    </row>
    <row r="250" spans="2:3">
      <c r="B250" s="97" t="s">
        <v>390</v>
      </c>
      <c r="C250" s="98">
        <v>0.56000000000000005</v>
      </c>
    </row>
    <row r="251" spans="2:3">
      <c r="B251" s="97" t="s">
        <v>391</v>
      </c>
      <c r="C251" s="98">
        <v>0.56000000000000005</v>
      </c>
    </row>
    <row r="252" spans="2:3">
      <c r="B252" s="97" t="s">
        <v>392</v>
      </c>
      <c r="C252" s="98">
        <v>0.75</v>
      </c>
    </row>
    <row r="253" spans="2:3">
      <c r="B253" s="97" t="s">
        <v>393</v>
      </c>
      <c r="C253" s="98">
        <v>0.56000000000000005</v>
      </c>
    </row>
    <row r="254" spans="2:3">
      <c r="B254" s="97" t="s">
        <v>394</v>
      </c>
      <c r="C254" s="98">
        <v>0.61</v>
      </c>
    </row>
    <row r="255" spans="2:3">
      <c r="B255" s="97" t="s">
        <v>395</v>
      </c>
      <c r="C255" s="98">
        <v>0.64</v>
      </c>
    </row>
    <row r="256" spans="2:3">
      <c r="B256" s="97" t="s">
        <v>396</v>
      </c>
      <c r="C256" s="98">
        <v>0.56000000000000005</v>
      </c>
    </row>
    <row r="257" spans="2:3">
      <c r="B257" s="97" t="s">
        <v>397</v>
      </c>
      <c r="C257" s="98">
        <v>0.8</v>
      </c>
    </row>
    <row r="258" spans="2:3">
      <c r="B258" s="97" t="s">
        <v>398</v>
      </c>
      <c r="C258" s="98">
        <v>0.74</v>
      </c>
    </row>
    <row r="259" spans="2:3">
      <c r="B259" s="97" t="s">
        <v>399</v>
      </c>
      <c r="C259" s="98">
        <v>0.63</v>
      </c>
    </row>
    <row r="260" spans="2:3">
      <c r="B260" s="97" t="s">
        <v>400</v>
      </c>
      <c r="C260" s="98">
        <v>0.82</v>
      </c>
    </row>
    <row r="261" spans="2:3">
      <c r="B261" s="97" t="s">
        <v>401</v>
      </c>
      <c r="C261" s="98">
        <v>0.57999999999999996</v>
      </c>
    </row>
    <row r="262" spans="2:3">
      <c r="B262" s="97" t="s">
        <v>402</v>
      </c>
      <c r="C262" s="98">
        <v>0.59</v>
      </c>
    </row>
    <row r="263" spans="2:3">
      <c r="B263" s="97" t="s">
        <v>403</v>
      </c>
      <c r="C263" s="98">
        <v>0.63</v>
      </c>
    </row>
    <row r="264" spans="2:3">
      <c r="B264" s="97" t="s">
        <v>404</v>
      </c>
      <c r="C264" s="98">
        <v>0.54</v>
      </c>
    </row>
    <row r="265" spans="2:3">
      <c r="B265" s="97" t="s">
        <v>405</v>
      </c>
      <c r="C265" s="98">
        <v>0.45</v>
      </c>
    </row>
    <row r="266" spans="2:3">
      <c r="B266" s="97" t="s">
        <v>406</v>
      </c>
      <c r="C266" s="98">
        <v>0.85</v>
      </c>
    </row>
    <row r="267" spans="2:3">
      <c r="B267" s="97" t="s">
        <v>407</v>
      </c>
      <c r="C267" s="98">
        <v>0.6</v>
      </c>
    </row>
    <row r="268" spans="2:3">
      <c r="B268" s="97" t="s">
        <v>408</v>
      </c>
      <c r="C268" s="98">
        <v>0.54</v>
      </c>
    </row>
    <row r="269" spans="2:3">
      <c r="B269" s="97" t="s">
        <v>409</v>
      </c>
      <c r="C269" s="98">
        <v>0.6</v>
      </c>
    </row>
    <row r="270" spans="2:3">
      <c r="B270" s="97" t="s">
        <v>410</v>
      </c>
      <c r="C270" s="98">
        <v>0.5</v>
      </c>
    </row>
    <row r="271" spans="2:3">
      <c r="B271" s="97" t="s">
        <v>411</v>
      </c>
      <c r="C271" s="98">
        <v>0.55000000000000004</v>
      </c>
    </row>
    <row r="272" spans="2:3">
      <c r="B272" s="97" t="s">
        <v>412</v>
      </c>
      <c r="C272" s="98">
        <v>0.55000000000000004</v>
      </c>
    </row>
    <row r="273" spans="2:3">
      <c r="B273" s="97" t="s">
        <v>413</v>
      </c>
      <c r="C273" s="98">
        <v>0.4</v>
      </c>
    </row>
    <row r="274" spans="2:3">
      <c r="B274" s="97" t="s">
        <v>414</v>
      </c>
      <c r="C274" s="98">
        <v>0.4</v>
      </c>
    </row>
    <row r="275" spans="2:3">
      <c r="B275" s="97" t="s">
        <v>415</v>
      </c>
      <c r="C275" s="98">
        <v>0.5</v>
      </c>
    </row>
    <row r="276" spans="2:3">
      <c r="B276" s="97" t="s">
        <v>416</v>
      </c>
      <c r="C276" s="98">
        <v>0.63</v>
      </c>
    </row>
    <row r="277" spans="2:3">
      <c r="B277" s="97" t="s">
        <v>417</v>
      </c>
      <c r="C277" s="98">
        <v>0.59</v>
      </c>
    </row>
    <row r="278" spans="2:3">
      <c r="B278" s="97" t="s">
        <v>418</v>
      </c>
      <c r="C278" s="98">
        <v>0.32</v>
      </c>
    </row>
    <row r="279" spans="2:3">
      <c r="B279" s="97" t="s">
        <v>419</v>
      </c>
      <c r="C279" s="98">
        <v>0.6</v>
      </c>
    </row>
    <row r="280" spans="2:3">
      <c r="B280" s="97" t="s">
        <v>420</v>
      </c>
      <c r="C280" s="98">
        <v>0.7</v>
      </c>
    </row>
    <row r="281" spans="2:3">
      <c r="B281" s="97" t="s">
        <v>421</v>
      </c>
      <c r="C281" s="98">
        <v>0.4</v>
      </c>
    </row>
    <row r="282" spans="2:3">
      <c r="B282" s="97" t="s">
        <v>422</v>
      </c>
      <c r="C282" s="98">
        <v>0.5</v>
      </c>
    </row>
    <row r="283" spans="2:3">
      <c r="B283" s="97" t="s">
        <v>423</v>
      </c>
      <c r="C283" s="98">
        <v>0.7</v>
      </c>
    </row>
    <row r="284" spans="2:3">
      <c r="B284" s="97" t="s">
        <v>424</v>
      </c>
      <c r="C284" s="98">
        <v>0.63</v>
      </c>
    </row>
    <row r="285" spans="2:3">
      <c r="B285" s="97" t="s">
        <v>425</v>
      </c>
      <c r="C285" s="98">
        <v>0.7</v>
      </c>
    </row>
    <row r="286" spans="2:3">
      <c r="B286" s="97" t="s">
        <v>426</v>
      </c>
      <c r="C286" s="98">
        <v>0.36</v>
      </c>
    </row>
    <row r="287" spans="2:3">
      <c r="B287" s="99" t="s">
        <v>427</v>
      </c>
      <c r="C287" s="2">
        <f>AVERAGE(C5:C286)</f>
        <v>0.58117021276595759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6B79312F6A0049A9A9541C3A05FC68" ma:contentTypeVersion="13" ma:contentTypeDescription="Create a new document." ma:contentTypeScope="" ma:versionID="3fb76faacd1c3566c582ef3c8fdc1b76">
  <xsd:schema xmlns:xsd="http://www.w3.org/2001/XMLSchema" xmlns:xs="http://www.w3.org/2001/XMLSchema" xmlns:p="http://schemas.microsoft.com/office/2006/metadata/properties" xmlns:ns3="b7926aa4-d647-41ac-92b3-095d51305f0a" xmlns:ns4="b01709d1-219e-4058-b406-d55b7fc0358b" targetNamespace="http://schemas.microsoft.com/office/2006/metadata/properties" ma:root="true" ma:fieldsID="fc42d8a2ab8c91eba2f36236a504c153" ns3:_="" ns4:_="">
    <xsd:import namespace="b7926aa4-d647-41ac-92b3-095d51305f0a"/>
    <xsd:import namespace="b01709d1-219e-4058-b406-d55b7fc0358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926aa4-d647-41ac-92b3-095d51305f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1709d1-219e-4058-b406-d55b7fc03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D1421E-8AAF-46E4-84F3-7EBD793794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6B3960-B748-4CD6-8965-702110A3BF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926aa4-d647-41ac-92b3-095d51305f0a"/>
    <ds:schemaRef ds:uri="b01709d1-219e-4058-b406-d55b7fc035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F92F74-289D-406C-A3D7-1A1FC06137F2}">
  <ds:schemaRefs>
    <ds:schemaRef ds:uri="http://schemas.microsoft.com/office/2006/metadata/properties"/>
    <ds:schemaRef ds:uri="b01709d1-219e-4058-b406-d55b7fc0358b"/>
    <ds:schemaRef ds:uri="http://schemas.microsoft.com/office/2006/documentManagement/types"/>
    <ds:schemaRef ds:uri="http://purl.org/dc/elements/1.1/"/>
    <ds:schemaRef ds:uri="http://purl.org/dc/dcmitype/"/>
    <ds:schemaRef ds:uri="b7926aa4-d647-41ac-92b3-095d51305f0a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Baseline Survey</vt:lpstr>
      <vt:lpstr>Baseline KPT</vt:lpstr>
      <vt:lpstr>Baseline Emission</vt:lpstr>
      <vt:lpstr>Project Emission</vt:lpstr>
      <vt:lpstr>Emission Reduction</vt:lpstr>
      <vt:lpstr>Thermal Energy</vt:lpstr>
      <vt:lpstr>fNRB</vt:lpstr>
      <vt:lpstr>wood density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</dc:creator>
  <cp:lastModifiedBy>Author</cp:lastModifiedBy>
  <dcterms:created xsi:type="dcterms:W3CDTF">2019-09-19T19:33:57Z</dcterms:created>
  <dcterms:modified xsi:type="dcterms:W3CDTF">2024-02-15T19:30:43Z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e4b3411-284d-4d31-bd4f-bc13ef7f1fd6_Enabled">
    <vt:lpwstr>True</vt:lpwstr>
  </property>
  <property fmtid="{D5CDD505-2E9C-101B-9397-08002B2CF9AE}" pid="3" name="MSIP_Label_be4b3411-284d-4d31-bd4f-bc13ef7f1fd6_SiteId">
    <vt:lpwstr>63ce7d59-2f3e-42cd-a8cc-be764cff5eb6</vt:lpwstr>
  </property>
  <property fmtid="{D5CDD505-2E9C-101B-9397-08002B2CF9AE}" pid="4" name="MSIP_Label_be4b3411-284d-4d31-bd4f-bc13ef7f1fd6_Owner">
    <vt:lpwstr>Mathsy_Kutty@ad.Infosys.com</vt:lpwstr>
  </property>
  <property fmtid="{D5CDD505-2E9C-101B-9397-08002B2CF9AE}" pid="5" name="MSIP_Label_be4b3411-284d-4d31-bd4f-bc13ef7f1fd6_SetDate">
    <vt:lpwstr>2019-11-12T09:11:31.4293809Z</vt:lpwstr>
  </property>
  <property fmtid="{D5CDD505-2E9C-101B-9397-08002B2CF9AE}" pid="6" name="MSIP_Label_be4b3411-284d-4d31-bd4f-bc13ef7f1fd6_Name">
    <vt:lpwstr>Internal</vt:lpwstr>
  </property>
  <property fmtid="{D5CDD505-2E9C-101B-9397-08002B2CF9AE}" pid="7" name="MSIP_Label_be4b3411-284d-4d31-bd4f-bc13ef7f1fd6_Application">
    <vt:lpwstr>Microsoft Azure Information Protection</vt:lpwstr>
  </property>
  <property fmtid="{D5CDD505-2E9C-101B-9397-08002B2CF9AE}" pid="8" name="MSIP_Label_be4b3411-284d-4d31-bd4f-bc13ef7f1fd6_ActionId">
    <vt:lpwstr>9422baa2-dd96-4094-8de1-658eb78a6863</vt:lpwstr>
  </property>
  <property fmtid="{D5CDD505-2E9C-101B-9397-08002B2CF9AE}" pid="9" name="MSIP_Label_be4b3411-284d-4d31-bd4f-bc13ef7f1fd6_Extended_MSFT_Method">
    <vt:lpwstr>Automatic</vt:lpwstr>
  </property>
  <property fmtid="{D5CDD505-2E9C-101B-9397-08002B2CF9AE}" pid="10" name="MSIP_Label_a0819fa7-4367-4500-ba88-dd630d977609_Enabled">
    <vt:lpwstr>True</vt:lpwstr>
  </property>
  <property fmtid="{D5CDD505-2E9C-101B-9397-08002B2CF9AE}" pid="11" name="MSIP_Label_a0819fa7-4367-4500-ba88-dd630d977609_SiteId">
    <vt:lpwstr>63ce7d59-2f3e-42cd-a8cc-be764cff5eb6</vt:lpwstr>
  </property>
  <property fmtid="{D5CDD505-2E9C-101B-9397-08002B2CF9AE}" pid="12" name="MSIP_Label_a0819fa7-4367-4500-ba88-dd630d977609_Owner">
    <vt:lpwstr>Mathsy_Kutty@ad.Infosys.com</vt:lpwstr>
  </property>
  <property fmtid="{D5CDD505-2E9C-101B-9397-08002B2CF9AE}" pid="13" name="MSIP_Label_a0819fa7-4367-4500-ba88-dd630d977609_SetDate">
    <vt:lpwstr>2019-11-12T09:11:31.4293809Z</vt:lpwstr>
  </property>
  <property fmtid="{D5CDD505-2E9C-101B-9397-08002B2CF9AE}" pid="14" name="MSIP_Label_a0819fa7-4367-4500-ba88-dd630d977609_Name">
    <vt:lpwstr>Companywide usage</vt:lpwstr>
  </property>
  <property fmtid="{D5CDD505-2E9C-101B-9397-08002B2CF9AE}" pid="15" name="MSIP_Label_a0819fa7-4367-4500-ba88-dd630d977609_Application">
    <vt:lpwstr>Microsoft Azure Information Protection</vt:lpwstr>
  </property>
  <property fmtid="{D5CDD505-2E9C-101B-9397-08002B2CF9AE}" pid="16" name="MSIP_Label_a0819fa7-4367-4500-ba88-dd630d977609_ActionId">
    <vt:lpwstr>9422baa2-dd96-4094-8de1-658eb78a6863</vt:lpwstr>
  </property>
  <property fmtid="{D5CDD505-2E9C-101B-9397-08002B2CF9AE}" pid="17" name="MSIP_Label_a0819fa7-4367-4500-ba88-dd630d977609_Parent">
    <vt:lpwstr>be4b3411-284d-4d31-bd4f-bc13ef7f1fd6</vt:lpwstr>
  </property>
  <property fmtid="{D5CDD505-2E9C-101B-9397-08002B2CF9AE}" pid="18" name="MSIP_Label_a0819fa7-4367-4500-ba88-dd630d977609_Extended_MSFT_Method">
    <vt:lpwstr>Automatic</vt:lpwstr>
  </property>
  <property fmtid="{D5CDD505-2E9C-101B-9397-08002B2CF9AE}" pid="19" name="Sensitivity">
    <vt:lpwstr>Internal Companywide usage</vt:lpwstr>
  </property>
  <property fmtid="{D5CDD505-2E9C-101B-9397-08002B2CF9AE}" pid="20" name="ContentTypeId">
    <vt:lpwstr>0x010100316B79312F6A0049A9A9541C3A05FC68</vt:lpwstr>
  </property>
</Properties>
</file>