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665"/>
  </bookViews>
  <sheets>
    <sheet name="Cover" sheetId="29" r:id="rId1"/>
    <sheet name="Monitor data &amp; calculation" sheetId="27" r:id="rId2"/>
    <sheet name="Grid emission factor" sheetId="26" r:id="rId3"/>
    <sheet name="MR Emission Reduction" sheetId="28" r:id="rId4"/>
    <sheet name="Comparison" sheetId="30" r:id="rId5"/>
  </sheets>
  <calcPr calcId="144525"/>
</workbook>
</file>

<file path=xl/sharedStrings.xml><?xml version="1.0" encoding="utf-8"?>
<sst xmlns="http://schemas.openxmlformats.org/spreadsheetml/2006/main" count="123" uniqueCount="102">
  <si>
    <t xml:space="preserve">Huizhou Landfill Gas Power Generation Phase III and IV Project </t>
  </si>
  <si>
    <t>Version No.</t>
  </si>
  <si>
    <t>01</t>
  </si>
  <si>
    <t>Date</t>
  </si>
  <si>
    <t xml:space="preserve">Crediting period </t>
  </si>
  <si>
    <t>to</t>
  </si>
  <si>
    <t xml:space="preserve">Monitoring period </t>
  </si>
  <si>
    <t>Ex ante emission reductions</t>
  </si>
  <si>
    <r>
      <rPr>
        <sz val="11"/>
        <color theme="1"/>
        <rFont val="Times New Roman"/>
        <charset val="134"/>
      </rPr>
      <t>tCO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e</t>
    </r>
  </si>
  <si>
    <t>Achieved emission reductions</t>
  </si>
  <si>
    <t>Year</t>
  </si>
  <si>
    <r>
      <rPr>
        <sz val="12"/>
        <rFont val="Times New Roman"/>
        <charset val="134"/>
      </rPr>
      <t>Amount of Landfill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tons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</si>
  <si>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LFG dry conditions               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Nm</t>
    </r>
    <r>
      <rPr>
        <vertAlign val="superscript"/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</si>
  <si>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V</t>
    </r>
    <r>
      <rPr>
        <sz val="9"/>
        <rFont val="Times New Roman"/>
        <charset val="134"/>
      </rPr>
      <t>i,t,db               (%)</t>
    </r>
  </si>
  <si>
    <r>
      <rPr>
        <sz val="12"/>
        <rFont val="Times New Roman"/>
        <charset val="134"/>
      </rPr>
      <t>Total combusted CH</t>
    </r>
    <r>
      <rPr>
        <vertAlign val="subscript"/>
        <sz val="12"/>
        <rFont val="Times New Roman"/>
        <charset val="134"/>
      </rPr>
      <t>4</t>
    </r>
    <r>
      <rPr>
        <sz val="12"/>
        <rFont val="Times New Roman"/>
        <charset val="134"/>
      </rPr>
      <t xml:space="preserve"> (m</t>
    </r>
    <r>
      <rPr>
        <vertAlign val="superscript"/>
        <sz val="12"/>
        <rFont val="Times New Roman"/>
        <charset val="134"/>
      </rPr>
      <t>3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</si>
  <si>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Monthly electricity report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</si>
  <si>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Monthly electricity sales invoice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</si>
  <si>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Conservative net electricity generated by landfill gas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</si>
  <si>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t>Operation time (hours)</t>
  </si>
  <si>
    <r>
      <rPr>
        <sz val="12"/>
        <rFont val="Times New Roman"/>
        <charset val="134"/>
      </rPr>
      <t>Net combusted F</t>
    </r>
    <r>
      <rPr>
        <sz val="8"/>
        <rFont val="Times New Roman"/>
        <charset val="134"/>
      </rPr>
      <t>CH4,PJ,y</t>
    </r>
    <r>
      <rPr>
        <sz val="7"/>
        <rFont val="Times New Roman"/>
        <charset val="134"/>
      </rPr>
      <t xml:space="preserve">                             </t>
    </r>
    <r>
      <rPr>
        <sz val="12"/>
        <rFont val="Times New Roman"/>
        <charset val="134"/>
      </rPr>
      <t>(t CH</t>
    </r>
    <r>
      <rPr>
        <sz val="7"/>
        <rFont val="Times New Roman"/>
        <charset val="134"/>
      </rPr>
      <t>4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</si>
  <si>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F</t>
    </r>
    <r>
      <rPr>
        <sz val="8"/>
        <rFont val="Times New Roman"/>
        <charset val="134"/>
      </rPr>
      <t>CH4,BL,R,y</t>
    </r>
    <r>
      <rPr>
        <sz val="12"/>
        <rFont val="Times New Roman"/>
        <charset val="134"/>
      </rPr>
      <t xml:space="preserve">      (t CH</t>
    </r>
    <r>
      <rPr>
        <sz val="8"/>
        <rFont val="Times New Roman"/>
        <charset val="134"/>
      </rPr>
      <t>4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</si>
  <si>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BE</t>
    </r>
    <r>
      <rPr>
        <vertAlign val="subscript"/>
        <sz val="12"/>
        <rFont val="Times New Roman"/>
        <charset val="134"/>
      </rPr>
      <t>CH4</t>
    </r>
    <r>
      <rPr>
        <sz val="10"/>
        <rFont val="Times New Roman"/>
        <charset val="134"/>
      </rPr>
      <t xml:space="preserve">                 (t CO</t>
    </r>
    <r>
      <rPr>
        <sz val="8"/>
        <rFont val="Times New Roman"/>
        <charset val="134"/>
      </rPr>
      <t>2</t>
    </r>
    <r>
      <rPr>
        <sz val="10"/>
        <rFont val="Times New Roman"/>
        <charset val="134"/>
      </rPr>
      <t>e)</t>
    </r>
  </si>
  <si>
    <r>
      <rPr>
        <sz val="12"/>
        <rFont val="Times New Roman"/>
        <charset val="134"/>
      </rPr>
      <t>BE</t>
    </r>
    <r>
      <rPr>
        <vertAlign val="subscript"/>
        <sz val="12"/>
        <rFont val="Times New Roman"/>
        <charset val="134"/>
      </rPr>
      <t xml:space="preserve">EC </t>
    </r>
    <r>
      <rPr>
        <sz val="12"/>
        <rFont val="Times New Roman"/>
        <charset val="134"/>
      </rPr>
      <t xml:space="preserve">  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</si>
  <si>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r>
      <rPr>
        <sz val="12"/>
        <rFont val="Times New Roman"/>
        <charset val="134"/>
      </rPr>
      <t>BE    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</si>
  <si>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r>
      <rPr>
        <sz val="12"/>
        <rFont val="Times New Roman"/>
        <charset val="134"/>
      </rPr>
      <t xml:space="preserve">Monthly electricity  import report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</si>
  <si>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Monthly electricity import invoice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</si>
  <si>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Conservative  electricity import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</si>
  <si>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PE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</si>
  <si>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r>
      <rPr>
        <sz val="12"/>
        <rFont val="Times New Roman"/>
        <charset val="134"/>
      </rPr>
      <t>ER    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</si>
  <si>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t>14/12/2020-31/12/2020</t>
  </si>
  <si>
    <t>Subtotal  2020</t>
  </si>
  <si>
    <t>01/01/2021-31/01/2021</t>
  </si>
  <si>
    <t>01/02/2021-28/02/2021</t>
  </si>
  <si>
    <t>01/03/2021-31/03/2021</t>
  </si>
  <si>
    <t>01/04/2021-30/04/2021</t>
  </si>
  <si>
    <t>01/05/2021-31/05/2021</t>
  </si>
  <si>
    <t>01/06/2021-30/06/2021</t>
  </si>
  <si>
    <t>01/07/2021-31/07/2021</t>
  </si>
  <si>
    <t>01/08/2021-31/08/2021</t>
  </si>
  <si>
    <t>01/09/2021-30/09/2021</t>
  </si>
  <si>
    <t>01/10/2021-31/10/2021</t>
  </si>
  <si>
    <t>01/11/2021-30/11/2021</t>
  </si>
  <si>
    <t>01/12/2021-31/12/2021</t>
  </si>
  <si>
    <t>Subtotal   2021</t>
  </si>
  <si>
    <t>01/01/2022-31/01/2022</t>
  </si>
  <si>
    <t>01/02/2022-28/02/2022</t>
  </si>
  <si>
    <t>01/03/2022-31/03/2022</t>
  </si>
  <si>
    <t>01/04/2022-30/04/2022</t>
  </si>
  <si>
    <t>01/05/2022-31/05/2022</t>
  </si>
  <si>
    <t>01/06/2022-30/06/2022</t>
  </si>
  <si>
    <t>01/07/2022-31/07/2022</t>
  </si>
  <si>
    <t>01/08/2022-31/08/2022</t>
  </si>
  <si>
    <t>01/09/2022-30/09/2022</t>
  </si>
  <si>
    <t>01/10/2022-31/10/2022</t>
  </si>
  <si>
    <t>01/11/2022-30/11/2022</t>
  </si>
  <si>
    <t>01/12/2022-31/12/2022</t>
  </si>
  <si>
    <t>Subtotal   2022</t>
  </si>
  <si>
    <t>Total in this monitor period</t>
  </si>
  <si>
    <r>
      <rPr>
        <sz val="12"/>
        <rFont val="Times New Roman"/>
        <charset val="134"/>
      </rPr>
      <t xml:space="preserve">LFG dry conditions average                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Nm</t>
    </r>
    <r>
      <rPr>
        <vertAlign val="superscript"/>
        <sz val="12"/>
        <rFont val="Times New Roman"/>
        <charset val="134"/>
      </rPr>
      <t>3</t>
    </r>
    <r>
      <rPr>
        <sz val="12"/>
        <rFont val="Times New Roman"/>
        <charset val="134"/>
      </rPr>
      <t>/h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</si>
  <si>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V</t>
    </r>
    <r>
      <rPr>
        <sz val="9"/>
        <rFont val="Times New Roman"/>
        <charset val="134"/>
      </rPr>
      <t xml:space="preserve">i,t,db    </t>
    </r>
    <r>
      <rPr>
        <sz val="12"/>
        <rFont val="Times New Roman"/>
        <charset val="134"/>
      </rPr>
      <t xml:space="preserve">           (%)</t>
    </r>
  </si>
  <si>
    <t>Total hours in this monitoring period</t>
  </si>
  <si>
    <t xml:space="preserve"> </t>
  </si>
  <si>
    <t>Calculation of CM emission factor of  China Southern Power Grid Power Grid</t>
  </si>
  <si>
    <r>
      <rPr>
        <sz val="12"/>
        <rFont val="Times New Roman"/>
        <charset val="134"/>
      </rPr>
      <t>EF</t>
    </r>
    <r>
      <rPr>
        <sz val="8"/>
        <rFont val="Times New Roman"/>
        <charset val="134"/>
      </rPr>
      <t xml:space="preserve">grid,CM,y </t>
    </r>
    <r>
      <rPr>
        <sz val="12"/>
        <rFont val="Times New Roman"/>
        <charset val="134"/>
      </rPr>
      <t>= W</t>
    </r>
    <r>
      <rPr>
        <sz val="8"/>
        <rFont val="Times New Roman"/>
        <charset val="134"/>
      </rPr>
      <t>OM</t>
    </r>
    <r>
      <rPr>
        <sz val="12"/>
        <rFont val="Times New Roman"/>
        <charset val="134"/>
      </rPr>
      <t>* EF</t>
    </r>
    <r>
      <rPr>
        <sz val="8"/>
        <rFont val="Times New Roman"/>
        <charset val="134"/>
      </rPr>
      <t>OM,y</t>
    </r>
    <r>
      <rPr>
        <sz val="12"/>
        <rFont val="Times New Roman"/>
        <charset val="134"/>
      </rPr>
      <t xml:space="preserve"> + W</t>
    </r>
    <r>
      <rPr>
        <sz val="8"/>
        <rFont val="Times New Roman"/>
        <charset val="134"/>
      </rPr>
      <t>BM</t>
    </r>
    <r>
      <rPr>
        <sz val="12"/>
        <rFont val="Times New Roman"/>
        <charset val="134"/>
      </rPr>
      <t>*EF</t>
    </r>
    <r>
      <rPr>
        <sz val="8"/>
        <rFont val="Times New Roman"/>
        <charset val="134"/>
      </rPr>
      <t>BM, y</t>
    </r>
    <r>
      <rPr>
        <sz val="12"/>
        <rFont val="Times New Roman"/>
        <charset val="134"/>
      </rPr>
      <t xml:space="preserve"> = W</t>
    </r>
    <r>
      <rPr>
        <sz val="8"/>
        <rFont val="Times New Roman"/>
        <charset val="134"/>
      </rPr>
      <t>OM</t>
    </r>
    <r>
      <rPr>
        <sz val="12"/>
        <rFont val="Times New Roman"/>
        <charset val="134"/>
      </rPr>
      <t>* EF</t>
    </r>
    <r>
      <rPr>
        <sz val="8"/>
        <rFont val="Times New Roman"/>
        <charset val="134"/>
      </rPr>
      <t>grid, OMsimply, y</t>
    </r>
    <r>
      <rPr>
        <sz val="12"/>
        <rFont val="Times New Roman"/>
        <charset val="134"/>
      </rPr>
      <t xml:space="preserve"> + W</t>
    </r>
    <r>
      <rPr>
        <sz val="8"/>
        <rFont val="Times New Roman"/>
        <charset val="134"/>
      </rPr>
      <t>BM</t>
    </r>
    <r>
      <rPr>
        <sz val="12"/>
        <rFont val="Times New Roman"/>
        <charset val="134"/>
      </rPr>
      <t xml:space="preserve"> *EF</t>
    </r>
    <r>
      <rPr>
        <sz val="8"/>
        <rFont val="Times New Roman"/>
        <charset val="134"/>
      </rPr>
      <t>grid,BM, y</t>
    </r>
    <r>
      <rPr>
        <sz val="12"/>
        <rFont val="Times New Roman"/>
        <charset val="134"/>
      </rPr>
      <t xml:space="preserve"> </t>
    </r>
  </si>
  <si>
    <t>OM</t>
  </si>
  <si>
    <t>BM</t>
  </si>
  <si>
    <t>CM</t>
  </si>
  <si>
    <r>
      <rPr>
        <sz val="11"/>
        <rFont val="Arial"/>
        <charset val="134"/>
      </rPr>
      <t>(tCO</t>
    </r>
    <r>
      <rPr>
        <vertAlign val="subscript"/>
        <sz val="11"/>
        <rFont val="Arial"/>
        <charset val="134"/>
      </rPr>
      <t>2</t>
    </r>
    <r>
      <rPr>
        <sz val="11"/>
        <rFont val="Arial"/>
        <charset val="134"/>
      </rPr>
      <t>e/MWh)</t>
    </r>
  </si>
  <si>
    <r>
      <rPr>
        <sz val="12"/>
        <rFont val="Arial"/>
        <charset val="134"/>
      </rPr>
      <t>(tCO</t>
    </r>
    <r>
      <rPr>
        <sz val="8"/>
        <rFont val="Arial"/>
        <charset val="134"/>
      </rPr>
      <t>2</t>
    </r>
    <r>
      <rPr>
        <sz val="12"/>
        <rFont val="Arial"/>
        <charset val="134"/>
      </rPr>
      <t>e/MWh)</t>
    </r>
  </si>
  <si>
    <t>A</t>
  </si>
  <si>
    <t>B</t>
  </si>
  <si>
    <t>C=0.5×A+0.5×B</t>
  </si>
  <si>
    <t>Landfill amount (ton)</t>
  </si>
  <si>
    <t>Sum</t>
  </si>
  <si>
    <r>
      <rPr>
        <sz val="11"/>
        <rFont val="Times New Roman"/>
        <charset val="134"/>
      </rPr>
      <t>BE</t>
    </r>
    <r>
      <rPr>
        <sz val="8"/>
        <rFont val="Times New Roman"/>
        <charset val="134"/>
      </rPr>
      <t>CH4,y</t>
    </r>
  </si>
  <si>
    <r>
      <rPr>
        <sz val="11"/>
        <rFont val="Times New Roman"/>
        <charset val="134"/>
      </rPr>
      <t>BE</t>
    </r>
    <r>
      <rPr>
        <b/>
        <sz val="6"/>
        <rFont val="Times New Roman"/>
        <charset val="134"/>
      </rPr>
      <t>EC,y</t>
    </r>
  </si>
  <si>
    <t>BEy</t>
  </si>
  <si>
    <t>PEy</t>
  </si>
  <si>
    <t>ERy</t>
  </si>
  <si>
    <r>
      <rPr>
        <sz val="11"/>
        <rFont val="Times New Roman"/>
        <charset val="134"/>
      </rPr>
      <t>Project activity emissions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</si>
  <si>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Baseline emissions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</si>
  <si>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Leakage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</si>
  <si>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Overall emission reductions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</si>
  <si>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 xml:space="preserve"> PD        ex ante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</si>
  <si>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t>Differential</t>
  </si>
  <si>
    <t>01/01/2027-13/12/2027</t>
  </si>
  <si>
    <t>Average</t>
  </si>
  <si>
    <t>Net electricity generated by landfill gas (MWh)</t>
  </si>
  <si>
    <r>
      <rPr>
        <sz val="12"/>
        <rFont val="Times New Roman"/>
        <charset val="134"/>
      </rPr>
      <t>Net combusted F</t>
    </r>
    <r>
      <rPr>
        <sz val="8"/>
        <rFont val="Times New Roman"/>
        <charset val="134"/>
      </rPr>
      <t>CH4,PJ,y</t>
    </r>
    <r>
      <rPr>
        <sz val="7"/>
        <rFont val="Times New Roman"/>
        <charset val="134"/>
      </rPr>
      <t xml:space="preserve"> </t>
    </r>
    <r>
      <rPr>
        <sz val="12"/>
        <rFont val="Times New Roman"/>
        <charset val="134"/>
      </rPr>
      <t>(t CH</t>
    </r>
    <r>
      <rPr>
        <sz val="7"/>
        <rFont val="Times New Roman"/>
        <charset val="134"/>
      </rPr>
      <t>4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</si>
  <si>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Total combusted </t>
    </r>
    <r>
      <rPr>
        <sz val="10"/>
        <rFont val="Times New Roman"/>
        <charset val="134"/>
      </rPr>
      <t>LFG  (m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)</t>
    </r>
  </si>
  <si>
    <t>Annual operation hours</t>
  </si>
  <si>
    <r>
      <rPr>
        <sz val="12"/>
        <rFont val="Times New Roman"/>
        <charset val="134"/>
      </rPr>
      <t>Net F</t>
    </r>
    <r>
      <rPr>
        <sz val="8"/>
        <rFont val="Times New Roman"/>
        <charset val="134"/>
      </rPr>
      <t>CH4,BL,y</t>
    </r>
    <r>
      <rPr>
        <sz val="7"/>
        <rFont val="Times New Roman"/>
        <charset val="134"/>
      </rPr>
      <t xml:space="preserve">             </t>
    </r>
    <r>
      <rPr>
        <sz val="12"/>
        <rFont val="Times New Roman"/>
        <charset val="134"/>
      </rPr>
      <t>(t CH</t>
    </r>
    <r>
      <rPr>
        <sz val="7"/>
        <rFont val="Times New Roman"/>
        <charset val="134"/>
      </rPr>
      <t>4</t>
    </r>
    <r>
      <rPr>
        <sz val="12"/>
        <rFont val="Times New Roman"/>
        <charset val="134"/>
      </rPr>
      <t>)</t>
    </r>
  </si>
  <si>
    <t>Monitor period</t>
  </si>
  <si>
    <t xml:space="preserve"> PD ex ante</t>
  </si>
  <si>
    <r>
      <rPr>
        <sz val="12"/>
        <rFont val="Times New Roman"/>
        <charset val="134"/>
      </rPr>
      <t>Total ERy                    14/12/2020-31/12/2022 (tCO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</si>
  <si>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t>Comparison of actual emission reductions with estimates during validation:</t>
  </si>
  <si>
    <r>
      <rPr>
        <b/>
        <sz val="10.5"/>
        <color theme="0"/>
        <rFont val="Franklin Gothic Book"/>
        <charset val="134"/>
      </rPr>
      <t>Ex-ante emissions reductions/removals (tCO</t>
    </r>
    <r>
      <rPr>
        <b/>
        <sz val="8"/>
        <color theme="0"/>
        <rFont val="Franklin Gothic Book"/>
        <charset val="134"/>
      </rPr>
      <t>2</t>
    </r>
    <r>
      <rPr>
        <b/>
        <sz val="10.5"/>
        <color theme="0"/>
        <rFont val="Franklin Gothic Book"/>
        <charset val="134"/>
      </rPr>
      <t>e)</t>
    </r>
  </si>
  <si>
    <r>
      <rPr>
        <b/>
        <sz val="10.5"/>
        <color rgb="FF3F3F3F"/>
        <rFont val="Franklin Gothic Book"/>
        <charset val="134"/>
      </rPr>
      <t>Achieved emissions reductions/removals (tCO</t>
    </r>
    <r>
      <rPr>
        <b/>
        <sz val="8"/>
        <color rgb="FF3F3F3F"/>
        <rFont val="Franklin Gothic Book"/>
        <charset val="134"/>
      </rPr>
      <t>2</t>
    </r>
    <r>
      <rPr>
        <b/>
        <sz val="10.5"/>
        <color rgb="FF3F3F3F"/>
        <rFont val="Franklin Gothic Book"/>
        <charset val="134"/>
      </rPr>
      <t>e)</t>
    </r>
  </si>
  <si>
    <t>Percent difference</t>
  </si>
  <si>
    <t>Justification for the difference</t>
  </si>
  <si>
    <t>The difference is in the normal range of fluctuation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</si>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</sst>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  <numFmt numFmtId="178" formatCode="0_ "/>
    <numFmt numFmtId="179" formatCode="#,##0.0_ "/>
    <numFmt numFmtId="180" formatCode="0.00_ "/>
    <numFmt numFmtId="181" formatCode="#,##0.000_);[Red]\(#,##0.000\)"/>
    <numFmt numFmtId="182" formatCode="0.0000_ "/>
    <numFmt numFmtId="183" formatCode="0.00000_ "/>
    <numFmt numFmtId="184" formatCode="0.0_ "/>
    <numFmt numFmtId="185" formatCode="#,##0.00_ "/>
    <numFmt numFmtId="186" formatCode="[$-809]dd\ mmmm\ yyyy;@"/>
  </numFmts>
  <fonts count="50">
    <font>
      <sz val="12"/>
      <name val="宋体"/>
      <charset val="134"/>
    </font>
    <font>
      <b/>
      <sz val="12"/>
      <name val="宋体"/>
      <charset val="134"/>
    </font>
    <font>
      <sz val="10.5"/>
      <color rgb="FF4F5150"/>
      <name val="Franklin Gothic Book"/>
      <charset val="134"/>
    </font>
    <font>
      <b/>
      <sz val="10.5"/>
      <color theme="0"/>
      <name val="Franklin Gothic Book"/>
      <charset val="134"/>
    </font>
    <font>
      <b/>
      <sz val="10.5"/>
      <color rgb="FF3F3F3F"/>
      <name val="Franklin Gothic Book"/>
      <charset val="134"/>
    </font>
    <font>
      <sz val="10.5"/>
      <color rgb="FF000000"/>
      <name val="Franklin Gothic Boo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b/>
      <sz val="11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theme="0"/>
      <name val="Franklin Gothic Book"/>
      <charset val="134"/>
    </font>
    <font>
      <b/>
      <sz val="8"/>
      <color rgb="FF3F3F3F"/>
      <name val="Franklin Gothic Book"/>
      <charset val="134"/>
    </font>
    <font>
      <sz val="8"/>
      <name val="Times New Roman"/>
      <charset val="134"/>
    </font>
    <font>
      <b/>
      <sz val="6"/>
      <name val="Times New Roman"/>
      <charset val="134"/>
    </font>
    <font>
      <sz val="7"/>
      <name val="Times New Roman"/>
      <charset val="134"/>
    </font>
    <font>
      <sz val="10"/>
      <name val="Times New Roman"/>
      <charset val="134"/>
    </font>
    <font>
      <vertAlign val="superscript"/>
      <sz val="10"/>
      <name val="Times New Roman"/>
      <charset val="134"/>
    </font>
    <font>
      <vertAlign val="subscript"/>
      <sz val="11"/>
      <name val="Arial"/>
      <charset val="134"/>
    </font>
    <font>
      <sz val="8"/>
      <name val="Arial"/>
      <charset val="134"/>
    </font>
    <font>
      <vertAlign val="superscript"/>
      <sz val="12"/>
      <name val="Times New Roman"/>
      <charset val="134"/>
    </font>
    <font>
      <sz val="9"/>
      <name val="Times New Roman"/>
      <charset val="134"/>
    </font>
    <font>
      <vertAlign val="subscript"/>
      <sz val="12"/>
      <name val="Times New Roman"/>
      <charset val="134"/>
    </font>
    <font>
      <vertAlign val="subscript"/>
      <sz val="11"/>
      <color theme="1"/>
      <name val="Times New Roman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2B3957"/>
        <bgColor indexed="64"/>
      </patternFill>
    </fill>
    <fill>
      <patternFill patternType="solid">
        <fgColor rgb="FFCCD4E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28" fillId="12" borderId="20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justify"/>
    </xf>
    <xf numFmtId="0" fontId="3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center" vertical="top" wrapText="1"/>
    </xf>
    <xf numFmtId="176" fontId="5" fillId="4" borderId="2" xfId="0" applyNumberFormat="1" applyFont="1" applyFill="1" applyBorder="1" applyAlignment="1">
      <alignment horizontal="center" vertical="top" wrapText="1"/>
    </xf>
    <xf numFmtId="10" fontId="5" fillId="4" borderId="2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1" fontId="3" fillId="3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5" borderId="3" xfId="50" applyFont="1" applyFill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176" fontId="6" fillId="0" borderId="3" xfId="50" applyNumberFormat="1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/>
    </xf>
    <xf numFmtId="177" fontId="7" fillId="0" borderId="4" xfId="0" applyNumberFormat="1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0" fontId="7" fillId="0" borderId="0" xfId="0" applyFont="1"/>
    <xf numFmtId="0" fontId="7" fillId="0" borderId="3" xfId="0" applyFont="1" applyBorder="1" applyAlignment="1">
      <alignment horizontal="center"/>
    </xf>
    <xf numFmtId="177" fontId="7" fillId="0" borderId="6" xfId="0" applyNumberFormat="1" applyFont="1" applyBorder="1" applyAlignment="1">
      <alignment horizontal="center"/>
    </xf>
    <xf numFmtId="177" fontId="7" fillId="0" borderId="3" xfId="0" applyNumberFormat="1" applyFont="1" applyBorder="1" applyAlignment="1">
      <alignment horizontal="center"/>
    </xf>
    <xf numFmtId="177" fontId="7" fillId="0" borderId="0" xfId="0" applyNumberFormat="1" applyFont="1"/>
    <xf numFmtId="177" fontId="6" fillId="0" borderId="0" xfId="0" applyNumberFormat="1" applyFont="1"/>
    <xf numFmtId="176" fontId="7" fillId="0" borderId="0" xfId="0" applyNumberFormat="1" applyFont="1"/>
    <xf numFmtId="0" fontId="8" fillId="0" borderId="0" xfId="0" applyFont="1"/>
    <xf numFmtId="178" fontId="7" fillId="0" borderId="3" xfId="0" applyNumberFormat="1" applyFont="1" applyBorder="1" applyAlignment="1">
      <alignment horizontal="center"/>
    </xf>
    <xf numFmtId="10" fontId="9" fillId="0" borderId="7" xfId="0" applyNumberFormat="1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177" fontId="7" fillId="6" borderId="7" xfId="0" applyNumberFormat="1" applyFont="1" applyFill="1" applyBorder="1" applyAlignment="1">
      <alignment horizontal="center"/>
    </xf>
    <xf numFmtId="10" fontId="9" fillId="6" borderId="7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8" xfId="0" applyFont="1" applyFill="1" applyBorder="1"/>
    <xf numFmtId="0" fontId="6" fillId="5" borderId="9" xfId="0" applyFont="1" applyFill="1" applyBorder="1"/>
    <xf numFmtId="176" fontId="6" fillId="0" borderId="6" xfId="0" applyNumberFormat="1" applyFont="1" applyBorder="1" applyAlignment="1">
      <alignment horizontal="center"/>
    </xf>
    <xf numFmtId="179" fontId="6" fillId="0" borderId="6" xfId="0" applyNumberFormat="1" applyFont="1" applyBorder="1" applyAlignment="1">
      <alignment horizontal="center"/>
    </xf>
    <xf numFmtId="18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0" fontId="7" fillId="6" borderId="7" xfId="0" applyNumberFormat="1" applyFont="1" applyFill="1" applyBorder="1" applyAlignment="1">
      <alignment horizontal="center"/>
    </xf>
    <xf numFmtId="0" fontId="9" fillId="0" borderId="8" xfId="0" applyFont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81" fontId="7" fillId="0" borderId="0" xfId="0" applyNumberFormat="1" applyFont="1"/>
    <xf numFmtId="176" fontId="6" fillId="0" borderId="0" xfId="0" applyNumberFormat="1" applyFont="1"/>
    <xf numFmtId="176" fontId="10" fillId="0" borderId="0" xfId="0" applyNumberFormat="1" applyFont="1" applyAlignment="1">
      <alignment horizontal="center"/>
    </xf>
    <xf numFmtId="0" fontId="11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0" fillId="7" borderId="0" xfId="0" applyFill="1"/>
    <xf numFmtId="0" fontId="12" fillId="8" borderId="0" xfId="0" applyFont="1" applyFill="1" applyAlignment="1">
      <alignment horizontal="left"/>
    </xf>
    <xf numFmtId="0" fontId="13" fillId="8" borderId="0" xfId="0" applyFont="1" applyFill="1"/>
    <xf numFmtId="0" fontId="14" fillId="8" borderId="10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182" fontId="7" fillId="8" borderId="3" xfId="0" applyNumberFormat="1" applyFont="1" applyFill="1" applyBorder="1" applyAlignment="1">
      <alignment horizontal="center" vertical="center" wrapText="1"/>
    </xf>
    <xf numFmtId="183" fontId="7" fillId="8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184" fontId="0" fillId="0" borderId="0" xfId="0" applyNumberFormat="1"/>
    <xf numFmtId="179" fontId="0" fillId="0" borderId="0" xfId="0" applyNumberFormat="1"/>
    <xf numFmtId="0" fontId="6" fillId="7" borderId="3" xfId="5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85" fontId="9" fillId="0" borderId="3" xfId="0" applyNumberFormat="1" applyFont="1" applyBorder="1" applyAlignment="1">
      <alignment horizontal="center" vertical="center" wrapText="1"/>
    </xf>
    <xf numFmtId="179" fontId="9" fillId="0" borderId="11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84" fontId="6" fillId="7" borderId="3" xfId="50" applyNumberFormat="1" applyFont="1" applyFill="1" applyBorder="1" applyAlignment="1">
      <alignment horizontal="center" vertical="center" wrapText="1"/>
    </xf>
    <xf numFmtId="179" fontId="6" fillId="7" borderId="3" xfId="50" applyNumberFormat="1" applyFont="1" applyFill="1" applyBorder="1" applyAlignment="1">
      <alignment horizontal="center" vertical="center" wrapText="1"/>
    </xf>
    <xf numFmtId="184" fontId="6" fillId="0" borderId="13" xfId="0" applyNumberFormat="1" applyFont="1" applyBorder="1" applyAlignment="1">
      <alignment horizontal="center"/>
    </xf>
    <xf numFmtId="179" fontId="6" fillId="0" borderId="3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4" fontId="9" fillId="0" borderId="3" xfId="0" applyNumberFormat="1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84" fontId="6" fillId="0" borderId="3" xfId="0" applyNumberFormat="1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85" fontId="16" fillId="0" borderId="3" xfId="0" applyNumberFormat="1" applyFont="1" applyBorder="1" applyAlignment="1">
      <alignment horizontal="center" vertical="center" wrapText="1"/>
    </xf>
    <xf numFmtId="176" fontId="6" fillId="9" borderId="14" xfId="49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76" fontId="6" fillId="0" borderId="8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6" fillId="0" borderId="6" xfId="5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9" fontId="6" fillId="0" borderId="7" xfId="0" applyNumberFormat="1" applyFont="1" applyBorder="1" applyAlignment="1">
      <alignment vertical="center"/>
    </xf>
    <xf numFmtId="179" fontId="0" fillId="0" borderId="0" xfId="0" applyNumberForma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0" fontId="17" fillId="7" borderId="0" xfId="0" applyFont="1" applyFill="1" applyAlignment="1">
      <alignment horizontal="center" wrapText="1"/>
    </xf>
    <xf numFmtId="0" fontId="17" fillId="7" borderId="0" xfId="0" applyFont="1" applyFill="1" applyAlignment="1">
      <alignment horizontal="center"/>
    </xf>
    <xf numFmtId="0" fontId="9" fillId="9" borderId="0" xfId="0" applyFont="1" applyFill="1"/>
    <xf numFmtId="0" fontId="9" fillId="9" borderId="0" xfId="0" applyFont="1" applyFill="1" applyAlignment="1">
      <alignment horizontal="center"/>
    </xf>
    <xf numFmtId="186" fontId="9" fillId="9" borderId="0" xfId="0" applyNumberFormat="1" applyFont="1" applyFill="1"/>
    <xf numFmtId="176" fontId="9" fillId="9" borderId="0" xfId="0" applyNumberFormat="1" applyFont="1" applyFill="1"/>
    <xf numFmtId="0" fontId="9" fillId="9" borderId="0" xfId="0" applyFont="1" applyFill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Huizhou Emission Reduction Calculation Spreadsheet(2009.5.8)" xfId="50"/>
  </cellStyles>
  <tableStyles count="0" defaultTableStyle="TableStyleMedium9" defaultPivotStyle="PivotStyleLight16"/>
  <colors>
    <mruColors>
      <color rgb="000000FF"/>
      <color rgb="00C0C0C0"/>
      <color rgb="00000000"/>
      <color rgb="00FFFF0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L5" sqref="L5"/>
    </sheetView>
  </sheetViews>
  <sheetFormatPr defaultColWidth="9" defaultRowHeight="14.25"/>
  <cols>
    <col min="2" max="2" width="6.75" customWidth="1"/>
    <col min="3" max="3" width="11.25" customWidth="1"/>
    <col min="4" max="4" width="11.0666666666667" customWidth="1"/>
    <col min="5" max="5" width="16"/>
    <col min="7" max="7" width="15" customWidth="1"/>
    <col min="11" max="11" width="12.5666666666667"/>
  </cols>
  <sheetData>
    <row r="1" ht="66" customHeight="1" spans="1:12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ht="15" spans="1:1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ht="15" spans="1:1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ht="15" spans="1:12">
      <c r="A4" s="100"/>
      <c r="B4" s="100"/>
      <c r="C4" s="100"/>
      <c r="D4" s="100" t="s">
        <v>1</v>
      </c>
      <c r="E4" s="104" t="s">
        <v>2</v>
      </c>
      <c r="F4" s="100"/>
      <c r="G4" s="100"/>
      <c r="H4" s="100"/>
      <c r="I4" s="100"/>
      <c r="J4" s="100"/>
      <c r="K4" s="100"/>
      <c r="L4" s="100"/>
    </row>
    <row r="5" ht="15" spans="1:12">
      <c r="A5" s="100"/>
      <c r="B5" s="100"/>
      <c r="C5" s="100"/>
      <c r="D5" s="100" t="s">
        <v>3</v>
      </c>
      <c r="E5" s="102">
        <v>45107</v>
      </c>
      <c r="F5" s="100"/>
      <c r="G5" s="100"/>
      <c r="H5" s="100"/>
      <c r="I5" s="100"/>
      <c r="J5" s="100"/>
      <c r="K5" s="100"/>
      <c r="L5" s="100"/>
    </row>
    <row r="6" ht="15" spans="1:12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ht="15" spans="1:12">
      <c r="A7" s="100"/>
      <c r="B7" s="100"/>
      <c r="C7" s="101" t="s">
        <v>4</v>
      </c>
      <c r="D7" s="101"/>
      <c r="E7" s="102">
        <v>44179</v>
      </c>
      <c r="F7" s="101" t="s">
        <v>5</v>
      </c>
      <c r="G7" s="102">
        <v>46734</v>
      </c>
      <c r="H7" s="100"/>
      <c r="I7" s="100"/>
      <c r="J7" s="100"/>
      <c r="K7" s="100"/>
      <c r="L7" s="100"/>
    </row>
    <row r="8" ht="15" spans="1:12">
      <c r="A8" s="100"/>
      <c r="B8" s="100"/>
      <c r="G8" s="100"/>
      <c r="H8" s="100"/>
      <c r="I8" s="100"/>
      <c r="J8" s="100"/>
      <c r="K8" s="100"/>
      <c r="L8" s="100"/>
    </row>
    <row r="9" ht="15" spans="1:12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ht="15" spans="1:12">
      <c r="A10" s="100"/>
      <c r="B10" s="100"/>
      <c r="C10" s="101" t="s">
        <v>6</v>
      </c>
      <c r="D10" s="101"/>
      <c r="E10" s="102">
        <v>44179</v>
      </c>
      <c r="F10" s="101" t="s">
        <v>5</v>
      </c>
      <c r="G10" s="102">
        <v>44926</v>
      </c>
      <c r="H10" s="100"/>
      <c r="I10" s="100"/>
      <c r="J10" s="100"/>
      <c r="K10" s="100"/>
      <c r="L10" s="100"/>
    </row>
    <row r="11" ht="18.75" spans="1:12">
      <c r="A11" s="100"/>
      <c r="B11" s="100"/>
      <c r="C11" s="101" t="s">
        <v>7</v>
      </c>
      <c r="D11" s="101"/>
      <c r="E11" s="103">
        <f>Comparison!B8</f>
        <v>617960</v>
      </c>
      <c r="F11" s="100" t="s">
        <v>8</v>
      </c>
      <c r="G11" s="100"/>
      <c r="H11" s="100"/>
      <c r="I11" s="100"/>
      <c r="J11" s="100"/>
      <c r="K11" s="100"/>
      <c r="L11" s="100"/>
    </row>
    <row r="12" ht="15" spans="1:12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ht="18.75" spans="1:12">
      <c r="A13" s="100"/>
      <c r="B13" s="100"/>
      <c r="C13" s="101" t="s">
        <v>9</v>
      </c>
      <c r="D13" s="101"/>
      <c r="E13" s="103">
        <f>Comparison!C8</f>
        <v>610764</v>
      </c>
      <c r="F13" s="100" t="s">
        <v>8</v>
      </c>
      <c r="G13" s="100"/>
      <c r="H13" s="100"/>
      <c r="I13" s="100"/>
      <c r="J13" s="100"/>
      <c r="K13" s="100"/>
      <c r="L13" s="100"/>
    </row>
    <row r="14" ht="15" spans="1:1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</row>
    <row r="15" ht="15" spans="1:12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</row>
    <row r="16" ht="15" spans="1:12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</sheetData>
  <mergeCells count="5">
    <mergeCell ref="A1:L1"/>
    <mergeCell ref="C7:D7"/>
    <mergeCell ref="C10:D10"/>
    <mergeCell ref="C11:D11"/>
    <mergeCell ref="C13:D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topLeftCell="A26" workbookViewId="0">
      <selection activeCell="S30" sqref="S30"/>
    </sheetView>
  </sheetViews>
  <sheetFormatPr defaultColWidth="9" defaultRowHeight="14.25"/>
  <cols>
    <col min="1" max="1" width="19.5" style="58" customWidth="1"/>
    <col min="2" max="2" width="11.0666666666667" customWidth="1"/>
    <col min="3" max="4" width="12.25" customWidth="1"/>
    <col min="5" max="5" width="11.8166666666667" customWidth="1"/>
    <col min="6" max="6" width="13.8166666666667" customWidth="1"/>
    <col min="7" max="7" width="14.8166666666667" customWidth="1"/>
    <col min="8" max="8" width="15.5666666666667" customWidth="1"/>
    <col min="9" max="9" width="9.5" style="59" customWidth="1"/>
    <col min="10" max="11" width="12.5666666666667"/>
    <col min="12" max="12" width="11.25" style="60" customWidth="1"/>
    <col min="13" max="13" width="11.75" style="60" customWidth="1"/>
    <col min="14" max="14" width="9.31666666666667" customWidth="1"/>
    <col min="15" max="16" width="10.25" customWidth="1"/>
    <col min="17" max="17" width="10.5666666666667" customWidth="1"/>
    <col min="18" max="18" width="9.31666666666667" customWidth="1"/>
    <col min="19" max="19" width="10.75" customWidth="1"/>
    <col min="20" max="20" width="13.75"/>
  </cols>
  <sheetData>
    <row r="1" ht="78.75" spans="1:19">
      <c r="A1" s="61" t="s">
        <v>10</v>
      </c>
      <c r="B1" s="61" t="s">
        <v>11</v>
      </c>
      <c r="C1" s="61" t="s">
        <v>12</v>
      </c>
      <c r="D1" s="61" t="s">
        <v>13</v>
      </c>
      <c r="E1" s="61" t="s">
        <v>14</v>
      </c>
      <c r="F1" s="61" t="s">
        <v>15</v>
      </c>
      <c r="G1" s="61" t="s">
        <v>16</v>
      </c>
      <c r="H1" s="61" t="s">
        <v>17</v>
      </c>
      <c r="I1" s="71" t="s">
        <v>18</v>
      </c>
      <c r="J1" s="61" t="s">
        <v>19</v>
      </c>
      <c r="K1" s="61" t="s">
        <v>20</v>
      </c>
      <c r="L1" s="72" t="s">
        <v>21</v>
      </c>
      <c r="M1" s="72" t="s">
        <v>22</v>
      </c>
      <c r="N1" s="61" t="s">
        <v>23</v>
      </c>
      <c r="O1" s="61" t="s">
        <v>24</v>
      </c>
      <c r="P1" s="61" t="s">
        <v>25</v>
      </c>
      <c r="Q1" s="61" t="s">
        <v>26</v>
      </c>
      <c r="R1" s="61" t="s">
        <v>27</v>
      </c>
      <c r="S1" s="61" t="s">
        <v>28</v>
      </c>
    </row>
    <row r="2" ht="15.75" spans="1:19">
      <c r="A2" s="62" t="s">
        <v>29</v>
      </c>
      <c r="B2" s="63">
        <v>33326.8</v>
      </c>
      <c r="C2" s="63">
        <v>688666.67</v>
      </c>
      <c r="D2" s="64">
        <v>50.07</v>
      </c>
      <c r="E2" s="65">
        <f>C2*D2/100</f>
        <v>344815.401669</v>
      </c>
      <c r="F2" s="63">
        <v>1033000</v>
      </c>
      <c r="G2" s="63">
        <v>1033000</v>
      </c>
      <c r="H2" s="66">
        <f t="shared" ref="H2:H29" si="0">MIN(G2,F2)</f>
        <v>1033000</v>
      </c>
      <c r="I2" s="73">
        <v>1192</v>
      </c>
      <c r="J2" s="74">
        <f>E2*0.0007168</f>
        <v>247.163679916339</v>
      </c>
      <c r="K2" s="74">
        <f t="shared" ref="K2:K30" si="1">J2*0.2</f>
        <v>49.4327359832678</v>
      </c>
      <c r="L2" s="74">
        <f>0.9*J2*0.8*28</f>
        <v>4982.8197871134</v>
      </c>
      <c r="M2" s="74">
        <f>H2/1000*0.50885*1.03</f>
        <v>541.4113115</v>
      </c>
      <c r="N2" s="75">
        <f>L2+M2</f>
        <v>5524.2310986134</v>
      </c>
      <c r="O2" s="76">
        <v>0</v>
      </c>
      <c r="P2" s="76">
        <v>0</v>
      </c>
      <c r="Q2" s="82">
        <f>MAX(P2,O2)</f>
        <v>0</v>
      </c>
      <c r="R2" s="83">
        <f>Q2/1000*0.50885*1.2</f>
        <v>0</v>
      </c>
      <c r="S2" s="75">
        <f>N2-R2</f>
        <v>5524.2310986134</v>
      </c>
    </row>
    <row r="3" ht="15.75" spans="1:19">
      <c r="A3" s="62" t="s">
        <v>30</v>
      </c>
      <c r="B3" s="63">
        <v>33326.8</v>
      </c>
      <c r="C3" s="63">
        <v>688666.67</v>
      </c>
      <c r="D3" s="64">
        <f>E3/C3*100</f>
        <v>50.07</v>
      </c>
      <c r="E3" s="67">
        <f>SUM(E2)</f>
        <v>344815.401669</v>
      </c>
      <c r="F3" s="63">
        <f>F2</f>
        <v>1033000</v>
      </c>
      <c r="G3" s="63">
        <f>G2</f>
        <v>1033000</v>
      </c>
      <c r="H3" s="63">
        <f>H2</f>
        <v>1033000</v>
      </c>
      <c r="I3" s="77">
        <v>1192</v>
      </c>
      <c r="J3" s="78">
        <f>J2</f>
        <v>247.163679916339</v>
      </c>
      <c r="K3" s="74">
        <f t="shared" si="1"/>
        <v>49.4327359832678</v>
      </c>
      <c r="L3" s="63">
        <f>ROUNDDOWN(L2,0)</f>
        <v>4982</v>
      </c>
      <c r="M3" s="74">
        <f>ROUNDDOWN(H3/1000*0.50885*1.03,0)</f>
        <v>541</v>
      </c>
      <c r="N3" s="63">
        <f>L3+M3</f>
        <v>5523</v>
      </c>
      <c r="O3" s="63">
        <f t="shared" ref="O3:R3" si="2">O2</f>
        <v>0</v>
      </c>
      <c r="P3" s="63">
        <f t="shared" si="2"/>
        <v>0</v>
      </c>
      <c r="Q3" s="63">
        <f t="shared" si="2"/>
        <v>0</v>
      </c>
      <c r="R3" s="63">
        <f t="shared" si="2"/>
        <v>0</v>
      </c>
      <c r="S3" s="63">
        <f>N3</f>
        <v>5523</v>
      </c>
    </row>
    <row r="4" ht="15.75" spans="1:19">
      <c r="A4" s="62" t="s">
        <v>31</v>
      </c>
      <c r="B4" s="63">
        <v>54252</v>
      </c>
      <c r="C4" s="63">
        <v>1389986.37</v>
      </c>
      <c r="D4" s="64">
        <v>48.13</v>
      </c>
      <c r="E4" s="68">
        <f>C4*D4/100</f>
        <v>669000.439881</v>
      </c>
      <c r="F4" s="63">
        <v>2006600</v>
      </c>
      <c r="G4" s="63">
        <v>2006600</v>
      </c>
      <c r="H4" s="66">
        <f t="shared" si="0"/>
        <v>2006600</v>
      </c>
      <c r="I4" s="73">
        <v>3039</v>
      </c>
      <c r="J4" s="74">
        <f>E4*0.0007168</f>
        <v>479.539515306701</v>
      </c>
      <c r="K4" s="74">
        <f t="shared" si="1"/>
        <v>95.9079030613402</v>
      </c>
      <c r="L4" s="74">
        <f>0.9*J4*0.8*28</f>
        <v>9667.51662858309</v>
      </c>
      <c r="M4" s="74">
        <f>H4/1000*0.50885*1.03</f>
        <v>1051.6901623</v>
      </c>
      <c r="N4" s="75">
        <f>L4+M4</f>
        <v>10719.2067908831</v>
      </c>
      <c r="O4" s="76">
        <v>0</v>
      </c>
      <c r="P4" s="76">
        <v>0</v>
      </c>
      <c r="Q4" s="82">
        <f>MAX(P4,O4)</f>
        <v>0</v>
      </c>
      <c r="R4" s="83">
        <f>Q4/1000*0.50885*1.2</f>
        <v>0</v>
      </c>
      <c r="S4" s="75">
        <f>N4-R4</f>
        <v>10719.2067908831</v>
      </c>
    </row>
    <row r="5" ht="15.75" spans="1:19">
      <c r="A5" s="62" t="s">
        <v>32</v>
      </c>
      <c r="B5" s="63">
        <v>58812</v>
      </c>
      <c r="C5" s="63">
        <v>1411693.69</v>
      </c>
      <c r="D5" s="64">
        <v>49.95</v>
      </c>
      <c r="E5" s="64">
        <f t="shared" ref="E5:E15" si="3">C5*D5/100</f>
        <v>705140.998155</v>
      </c>
      <c r="F5" s="63">
        <v>2115000</v>
      </c>
      <c r="G5" s="63">
        <v>2115000</v>
      </c>
      <c r="H5" s="66">
        <f t="shared" si="0"/>
        <v>2115000</v>
      </c>
      <c r="I5" s="73">
        <v>3081</v>
      </c>
      <c r="J5" s="74">
        <f>E5*0.0007168</f>
        <v>505.445067477504</v>
      </c>
      <c r="K5" s="74">
        <f t="shared" si="1"/>
        <v>101.089013495501</v>
      </c>
      <c r="L5" s="74">
        <f>0.9*J5*0.8*28</f>
        <v>10189.7725603465</v>
      </c>
      <c r="M5" s="74">
        <f>H5/1000*0.50885*1.03</f>
        <v>1108.5042825</v>
      </c>
      <c r="N5" s="75">
        <f>L5+M5</f>
        <v>11298.2768428465</v>
      </c>
      <c r="O5" s="76">
        <v>0</v>
      </c>
      <c r="P5" s="76">
        <v>0</v>
      </c>
      <c r="Q5" s="82">
        <f>MAX(P5,O5)</f>
        <v>0</v>
      </c>
      <c r="R5" s="83">
        <f t="shared" ref="R5:R29" si="4">Q5/1000*0.50885*1.2</f>
        <v>0</v>
      </c>
      <c r="S5" s="75">
        <f>N5-R5</f>
        <v>11298.2768428465</v>
      </c>
    </row>
    <row r="6" ht="15.75" spans="1:19">
      <c r="A6" s="62" t="s">
        <v>33</v>
      </c>
      <c r="B6" s="63">
        <v>63378</v>
      </c>
      <c r="C6" s="63">
        <v>2762846.45</v>
      </c>
      <c r="D6" s="64">
        <v>50.16</v>
      </c>
      <c r="E6" s="64">
        <f t="shared" si="3"/>
        <v>1385843.77932</v>
      </c>
      <c r="F6" s="63">
        <v>4156700</v>
      </c>
      <c r="G6" s="63">
        <v>4156700</v>
      </c>
      <c r="H6" s="66">
        <f t="shared" si="0"/>
        <v>4156700</v>
      </c>
      <c r="I6" s="79">
        <v>10360</v>
      </c>
      <c r="J6" s="78">
        <f t="shared" ref="J6:J29" si="5">E6*0.0007168</f>
        <v>993.372821016576</v>
      </c>
      <c r="K6" s="74">
        <f t="shared" si="1"/>
        <v>198.674564203315</v>
      </c>
      <c r="L6" s="74">
        <f t="shared" ref="L6:L28" si="6">0.9*J6*0.8*28</f>
        <v>20026.3960716942</v>
      </c>
      <c r="M6" s="74">
        <f>H6/1000*0.50885*1.03</f>
        <v>2178.59089885</v>
      </c>
      <c r="N6" s="75">
        <f t="shared" ref="N6:N15" si="7">L6+M6</f>
        <v>22204.9869705442</v>
      </c>
      <c r="O6" s="76">
        <v>0</v>
      </c>
      <c r="P6" s="76">
        <v>0</v>
      </c>
      <c r="Q6" s="82">
        <f>MAX(P6,O6)</f>
        <v>0</v>
      </c>
      <c r="R6" s="83">
        <f t="shared" si="4"/>
        <v>0</v>
      </c>
      <c r="S6" s="75">
        <f t="shared" ref="S6:S15" si="8">N6-R6</f>
        <v>22204.9869705442</v>
      </c>
    </row>
    <row r="7" ht="15.75" spans="1:19">
      <c r="A7" s="62" t="s">
        <v>34</v>
      </c>
      <c r="B7" s="63">
        <v>70566</v>
      </c>
      <c r="C7" s="63">
        <v>2956727.91</v>
      </c>
      <c r="D7" s="64">
        <v>47.8</v>
      </c>
      <c r="E7" s="64">
        <f t="shared" si="3"/>
        <v>1413315.94098</v>
      </c>
      <c r="F7" s="63">
        <v>4239100</v>
      </c>
      <c r="G7" s="63">
        <v>4239100</v>
      </c>
      <c r="H7" s="66">
        <f t="shared" si="0"/>
        <v>4239100</v>
      </c>
      <c r="I7" s="79">
        <v>10060</v>
      </c>
      <c r="J7" s="78">
        <f t="shared" si="5"/>
        <v>1013.06486649446</v>
      </c>
      <c r="K7" s="74">
        <f t="shared" si="1"/>
        <v>202.612973298893</v>
      </c>
      <c r="L7" s="74">
        <f t="shared" si="6"/>
        <v>20423.3877085284</v>
      </c>
      <c r="M7" s="74">
        <f t="shared" ref="M7:M15" si="9">H7/1000*0.50885*1.03</f>
        <v>2221.77801605</v>
      </c>
      <c r="N7" s="75">
        <f t="shared" si="7"/>
        <v>22645.1657245784</v>
      </c>
      <c r="O7" s="76">
        <v>0</v>
      </c>
      <c r="P7" s="76">
        <v>0</v>
      </c>
      <c r="Q7" s="82">
        <f t="shared" ref="Q7:Q13" si="10">MAX(P7,O7)</f>
        <v>0</v>
      </c>
      <c r="R7" s="83">
        <f t="shared" si="4"/>
        <v>0</v>
      </c>
      <c r="S7" s="75">
        <f t="shared" si="8"/>
        <v>22645.1657245784</v>
      </c>
    </row>
    <row r="8" ht="15.75" spans="1:19">
      <c r="A8" s="62" t="s">
        <v>35</v>
      </c>
      <c r="B8" s="63">
        <v>63126</v>
      </c>
      <c r="C8" s="63">
        <v>3371456.05</v>
      </c>
      <c r="D8" s="64">
        <v>48.6</v>
      </c>
      <c r="E8" s="64">
        <f t="shared" si="3"/>
        <v>1638527.6403</v>
      </c>
      <c r="F8" s="63">
        <v>4914600</v>
      </c>
      <c r="G8" s="63">
        <v>4914600</v>
      </c>
      <c r="H8" s="66">
        <f t="shared" si="0"/>
        <v>4914600</v>
      </c>
      <c r="I8" s="79">
        <v>11314</v>
      </c>
      <c r="J8" s="78">
        <f t="shared" si="5"/>
        <v>1174.49661256704</v>
      </c>
      <c r="K8" s="74">
        <f t="shared" si="1"/>
        <v>234.899322513408</v>
      </c>
      <c r="L8" s="74">
        <f t="shared" si="6"/>
        <v>23677.8517093515</v>
      </c>
      <c r="M8" s="74">
        <f t="shared" si="9"/>
        <v>2575.8180363</v>
      </c>
      <c r="N8" s="75">
        <f t="shared" si="7"/>
        <v>26253.6697456515</v>
      </c>
      <c r="O8" s="76">
        <v>0</v>
      </c>
      <c r="P8" s="76">
        <v>0</v>
      </c>
      <c r="Q8" s="82">
        <f t="shared" si="10"/>
        <v>0</v>
      </c>
      <c r="R8" s="83">
        <f t="shared" si="4"/>
        <v>0</v>
      </c>
      <c r="S8" s="75">
        <f t="shared" si="8"/>
        <v>26253.6697456515</v>
      </c>
    </row>
    <row r="9" ht="15.75" spans="1:19">
      <c r="A9" s="62" t="s">
        <v>36</v>
      </c>
      <c r="B9" s="63">
        <v>67938</v>
      </c>
      <c r="C9" s="63">
        <v>3642313.27</v>
      </c>
      <c r="D9" s="64">
        <v>49.97</v>
      </c>
      <c r="E9" s="64">
        <f t="shared" si="3"/>
        <v>1820063.941019</v>
      </c>
      <c r="F9" s="63">
        <v>5459100</v>
      </c>
      <c r="G9" s="63">
        <v>5459100</v>
      </c>
      <c r="H9" s="66">
        <f t="shared" si="0"/>
        <v>5459100</v>
      </c>
      <c r="I9" s="79">
        <v>12778</v>
      </c>
      <c r="J9" s="78">
        <f t="shared" si="5"/>
        <v>1304.62183292242</v>
      </c>
      <c r="K9" s="74">
        <f t="shared" si="1"/>
        <v>260.924366584484</v>
      </c>
      <c r="L9" s="74">
        <f t="shared" si="6"/>
        <v>26301.176151716</v>
      </c>
      <c r="M9" s="74">
        <f t="shared" si="9"/>
        <v>2861.19892605</v>
      </c>
      <c r="N9" s="75">
        <f t="shared" si="7"/>
        <v>29162.375077766</v>
      </c>
      <c r="O9" s="76">
        <v>0</v>
      </c>
      <c r="P9" s="76">
        <v>0</v>
      </c>
      <c r="Q9" s="82">
        <f t="shared" si="10"/>
        <v>0</v>
      </c>
      <c r="R9" s="83">
        <f t="shared" si="4"/>
        <v>0</v>
      </c>
      <c r="S9" s="75">
        <f t="shared" si="8"/>
        <v>29162.375077766</v>
      </c>
    </row>
    <row r="10" ht="15.75" spans="1:19">
      <c r="A10" s="62" t="s">
        <v>37</v>
      </c>
      <c r="B10" s="63">
        <v>62394</v>
      </c>
      <c r="C10" s="63">
        <v>3621857.08</v>
      </c>
      <c r="D10" s="64">
        <v>51.61</v>
      </c>
      <c r="E10" s="64">
        <f t="shared" si="3"/>
        <v>1869240.438988</v>
      </c>
      <c r="F10" s="63">
        <v>5606600</v>
      </c>
      <c r="G10" s="63">
        <v>5606600</v>
      </c>
      <c r="H10" s="66">
        <f t="shared" si="0"/>
        <v>5606600</v>
      </c>
      <c r="I10" s="79">
        <v>13121</v>
      </c>
      <c r="J10" s="78">
        <f t="shared" si="5"/>
        <v>1339.8715466666</v>
      </c>
      <c r="K10" s="74">
        <f t="shared" si="1"/>
        <v>267.97430933332</v>
      </c>
      <c r="L10" s="74">
        <f t="shared" si="6"/>
        <v>27011.8103807986</v>
      </c>
      <c r="M10" s="74">
        <f t="shared" si="9"/>
        <v>2938.5059623</v>
      </c>
      <c r="N10" s="75">
        <f t="shared" si="7"/>
        <v>29950.3163430986</v>
      </c>
      <c r="O10" s="76">
        <v>0</v>
      </c>
      <c r="P10" s="76">
        <v>0</v>
      </c>
      <c r="Q10" s="82">
        <f t="shared" si="10"/>
        <v>0</v>
      </c>
      <c r="R10" s="83">
        <f t="shared" si="4"/>
        <v>0</v>
      </c>
      <c r="S10" s="75">
        <f t="shared" si="8"/>
        <v>29950.3163430986</v>
      </c>
    </row>
    <row r="11" ht="15.75" spans="1:19">
      <c r="A11" s="62" t="s">
        <v>38</v>
      </c>
      <c r="B11" s="63">
        <v>62196</v>
      </c>
      <c r="C11" s="63">
        <v>3653943.53</v>
      </c>
      <c r="D11" s="64">
        <v>52.03</v>
      </c>
      <c r="E11" s="64">
        <f t="shared" si="3"/>
        <v>1901146.818659</v>
      </c>
      <c r="F11" s="63">
        <v>5702300</v>
      </c>
      <c r="G11" s="63">
        <v>5702300</v>
      </c>
      <c r="H11" s="66">
        <f t="shared" si="0"/>
        <v>5702300</v>
      </c>
      <c r="I11" s="79">
        <v>13002</v>
      </c>
      <c r="J11" s="78">
        <f t="shared" si="5"/>
        <v>1362.74203961477</v>
      </c>
      <c r="K11" s="74">
        <f t="shared" si="1"/>
        <v>272.548407922954</v>
      </c>
      <c r="L11" s="74">
        <f t="shared" si="6"/>
        <v>27472.8795186338</v>
      </c>
      <c r="M11" s="74">
        <f t="shared" si="9"/>
        <v>2988.66381565</v>
      </c>
      <c r="N11" s="75">
        <f t="shared" si="7"/>
        <v>30461.5433342838</v>
      </c>
      <c r="O11" s="76">
        <v>0</v>
      </c>
      <c r="P11" s="76">
        <v>0</v>
      </c>
      <c r="Q11" s="82">
        <f t="shared" si="10"/>
        <v>0</v>
      </c>
      <c r="R11" s="83">
        <f t="shared" si="4"/>
        <v>0</v>
      </c>
      <c r="S11" s="75">
        <f t="shared" si="8"/>
        <v>30461.5433342838</v>
      </c>
    </row>
    <row r="12" ht="15.75" spans="1:19">
      <c r="A12" s="62" t="s">
        <v>39</v>
      </c>
      <c r="B12" s="63">
        <v>62628</v>
      </c>
      <c r="C12" s="63">
        <v>3549922.95</v>
      </c>
      <c r="D12" s="64">
        <v>51.68</v>
      </c>
      <c r="E12" s="64">
        <f t="shared" si="3"/>
        <v>1834600.18056</v>
      </c>
      <c r="F12" s="63">
        <v>5502700</v>
      </c>
      <c r="G12" s="63">
        <v>5502700</v>
      </c>
      <c r="H12" s="66">
        <f t="shared" si="0"/>
        <v>5502700</v>
      </c>
      <c r="I12" s="79">
        <v>11547</v>
      </c>
      <c r="J12" s="78">
        <f t="shared" si="5"/>
        <v>1315.04140942541</v>
      </c>
      <c r="K12" s="74">
        <f t="shared" si="1"/>
        <v>263.008281885082</v>
      </c>
      <c r="L12" s="74">
        <f t="shared" si="6"/>
        <v>26511.2348140162</v>
      </c>
      <c r="M12" s="74">
        <f t="shared" si="9"/>
        <v>2884.05036185</v>
      </c>
      <c r="N12" s="75">
        <f t="shared" si="7"/>
        <v>29395.2851758662</v>
      </c>
      <c r="O12" s="76">
        <v>0</v>
      </c>
      <c r="P12" s="76">
        <v>0</v>
      </c>
      <c r="Q12" s="82">
        <f t="shared" si="10"/>
        <v>0</v>
      </c>
      <c r="R12" s="83">
        <f t="shared" si="4"/>
        <v>0</v>
      </c>
      <c r="S12" s="75">
        <f t="shared" si="8"/>
        <v>29395.2851758662</v>
      </c>
    </row>
    <row r="13" ht="15.75" spans="1:19">
      <c r="A13" s="62" t="s">
        <v>40</v>
      </c>
      <c r="B13" s="63">
        <v>59754</v>
      </c>
      <c r="C13" s="63">
        <v>3079965.77</v>
      </c>
      <c r="D13" s="64">
        <v>52.3</v>
      </c>
      <c r="E13" s="64">
        <f t="shared" si="3"/>
        <v>1610822.09771</v>
      </c>
      <c r="F13" s="63">
        <v>4831500</v>
      </c>
      <c r="G13" s="63">
        <v>4831500</v>
      </c>
      <c r="H13" s="66">
        <f t="shared" si="0"/>
        <v>4831500</v>
      </c>
      <c r="I13" s="79">
        <v>10166</v>
      </c>
      <c r="J13" s="78">
        <f t="shared" si="5"/>
        <v>1154.63727963853</v>
      </c>
      <c r="K13" s="74">
        <f t="shared" si="1"/>
        <v>230.927455927706</v>
      </c>
      <c r="L13" s="74">
        <f t="shared" si="6"/>
        <v>23277.4875575127</v>
      </c>
      <c r="M13" s="74">
        <f t="shared" si="9"/>
        <v>2532.26403825</v>
      </c>
      <c r="N13" s="75">
        <f t="shared" si="7"/>
        <v>25809.7515957627</v>
      </c>
      <c r="O13" s="76">
        <v>0</v>
      </c>
      <c r="P13" s="76">
        <v>0</v>
      </c>
      <c r="Q13" s="82">
        <f t="shared" si="10"/>
        <v>0</v>
      </c>
      <c r="R13" s="83">
        <f t="shared" si="4"/>
        <v>0</v>
      </c>
      <c r="S13" s="75">
        <f t="shared" si="8"/>
        <v>25809.7515957627</v>
      </c>
    </row>
    <row r="14" ht="15.75" spans="1:19">
      <c r="A14" s="62" t="s">
        <v>41</v>
      </c>
      <c r="B14" s="63">
        <v>58500</v>
      </c>
      <c r="C14" s="63">
        <v>2910600</v>
      </c>
      <c r="D14" s="64">
        <v>50.01</v>
      </c>
      <c r="E14" s="64">
        <f t="shared" si="3"/>
        <v>1455591.06</v>
      </c>
      <c r="F14" s="63">
        <v>4365900</v>
      </c>
      <c r="G14" s="63">
        <v>4365900</v>
      </c>
      <c r="H14" s="66">
        <f t="shared" si="0"/>
        <v>4365900</v>
      </c>
      <c r="I14" s="79">
        <v>10005</v>
      </c>
      <c r="J14" s="78">
        <f t="shared" si="5"/>
        <v>1043.367671808</v>
      </c>
      <c r="K14" s="74">
        <f t="shared" si="1"/>
        <v>208.6735343616</v>
      </c>
      <c r="L14" s="74">
        <f t="shared" si="6"/>
        <v>21034.2922636493</v>
      </c>
      <c r="M14" s="74">
        <f t="shared" si="9"/>
        <v>2288.23586145</v>
      </c>
      <c r="N14" s="75">
        <f t="shared" si="7"/>
        <v>23322.5281250993</v>
      </c>
      <c r="O14" s="76">
        <v>0</v>
      </c>
      <c r="P14" s="76">
        <v>0</v>
      </c>
      <c r="Q14" s="84">
        <v>0</v>
      </c>
      <c r="R14" s="85">
        <f t="shared" si="4"/>
        <v>0</v>
      </c>
      <c r="S14" s="75">
        <f t="shared" si="8"/>
        <v>23322.5281250993</v>
      </c>
    </row>
    <row r="15" ht="15.75" spans="1:19">
      <c r="A15" s="62" t="s">
        <v>42</v>
      </c>
      <c r="B15" s="63">
        <v>63960</v>
      </c>
      <c r="C15" s="63">
        <v>2808403.13</v>
      </c>
      <c r="D15" s="64">
        <v>49.82</v>
      </c>
      <c r="E15" s="64">
        <f t="shared" si="3"/>
        <v>1399146.439366</v>
      </c>
      <c r="F15" s="63">
        <v>4196600</v>
      </c>
      <c r="G15" s="63">
        <v>4196600</v>
      </c>
      <c r="H15" s="66">
        <f t="shared" si="0"/>
        <v>4196600</v>
      </c>
      <c r="I15" s="79">
        <v>10405</v>
      </c>
      <c r="J15" s="78">
        <f t="shared" si="5"/>
        <v>1002.90816773755</v>
      </c>
      <c r="K15" s="74">
        <f t="shared" si="1"/>
        <v>200.58163354751</v>
      </c>
      <c r="L15" s="74">
        <f t="shared" si="6"/>
        <v>20218.628661589</v>
      </c>
      <c r="M15" s="74">
        <f t="shared" si="9"/>
        <v>2199.5031073</v>
      </c>
      <c r="N15" s="75">
        <f t="shared" si="7"/>
        <v>22418.131768889</v>
      </c>
      <c r="O15" s="76">
        <v>0</v>
      </c>
      <c r="P15" s="76">
        <v>0</v>
      </c>
      <c r="Q15" s="84">
        <v>0</v>
      </c>
      <c r="R15" s="85">
        <f t="shared" si="4"/>
        <v>0</v>
      </c>
      <c r="S15" s="75">
        <f t="shared" si="8"/>
        <v>22418.131768889</v>
      </c>
    </row>
    <row r="16" ht="15.75" spans="1:19">
      <c r="A16" s="62" t="s">
        <v>43</v>
      </c>
      <c r="B16" s="63">
        <v>747504</v>
      </c>
      <c r="C16" s="63">
        <v>35159716.2</v>
      </c>
      <c r="D16" s="64">
        <f>E16/C16*100</f>
        <v>50.3486423901738</v>
      </c>
      <c r="E16" s="64">
        <f>SUM(E4:E15)</f>
        <v>17702439.774938</v>
      </c>
      <c r="F16" s="63">
        <f>SUM(F4:F15)</f>
        <v>53096700</v>
      </c>
      <c r="G16" s="63">
        <f>SUM(G4:G15)</f>
        <v>53096700</v>
      </c>
      <c r="H16" s="66">
        <f t="shared" si="0"/>
        <v>53096700</v>
      </c>
      <c r="I16" s="73">
        <v>118878</v>
      </c>
      <c r="J16" s="78">
        <f t="shared" si="5"/>
        <v>12689.1088306756</v>
      </c>
      <c r="K16" s="74">
        <f t="shared" si="1"/>
        <v>2537.82176613511</v>
      </c>
      <c r="L16" s="74">
        <f>ROUNDDOWN(0.9*J16*0.8*28,0)</f>
        <v>255812</v>
      </c>
      <c r="M16" s="74">
        <f>ROUNDDOWN(H16/1000*0.50885*1.03,0)</f>
        <v>27828</v>
      </c>
      <c r="N16" s="75">
        <f>ROUNDDOWN(L16+M16,0)</f>
        <v>283640</v>
      </c>
      <c r="O16" s="76">
        <v>0</v>
      </c>
      <c r="P16" s="76">
        <v>0</v>
      </c>
      <c r="Q16" s="86">
        <f>SUM(Q2:Q15)</f>
        <v>0</v>
      </c>
      <c r="R16" s="85">
        <f t="shared" si="4"/>
        <v>0</v>
      </c>
      <c r="S16" s="75">
        <f>ROUNDDOWN(N16-R16,0)</f>
        <v>283640</v>
      </c>
    </row>
    <row r="17" ht="15.75" spans="1:19">
      <c r="A17" s="62" t="s">
        <v>44</v>
      </c>
      <c r="B17" s="63">
        <v>54252</v>
      </c>
      <c r="C17" s="63">
        <v>3311948.12</v>
      </c>
      <c r="D17" s="64">
        <v>47.5</v>
      </c>
      <c r="E17" s="64">
        <f>C17*D17/100</f>
        <v>1573175.357</v>
      </c>
      <c r="F17" s="63">
        <v>4803100</v>
      </c>
      <c r="G17" s="63">
        <v>4803100</v>
      </c>
      <c r="H17" s="66">
        <f t="shared" si="0"/>
        <v>4803100</v>
      </c>
      <c r="I17" s="79">
        <v>13236</v>
      </c>
      <c r="J17" s="74">
        <f t="shared" si="5"/>
        <v>1127.6520958976</v>
      </c>
      <c r="K17" s="74">
        <f t="shared" si="1"/>
        <v>225.53041917952</v>
      </c>
      <c r="L17" s="74">
        <f t="shared" si="6"/>
        <v>22733.4662532956</v>
      </c>
      <c r="M17" s="74">
        <f t="shared" ref="M17:M28" si="11">H17/1000*0.50885*1.03</f>
        <v>2517.37915805</v>
      </c>
      <c r="N17" s="75">
        <f t="shared" ref="N17:N28" si="12">L17+M17</f>
        <v>25250.8454113456</v>
      </c>
      <c r="O17" s="76">
        <v>0</v>
      </c>
      <c r="P17" s="76">
        <v>0</v>
      </c>
      <c r="Q17" s="82">
        <f t="shared" ref="Q17:Q26" si="13">MAX(P17,O17)</f>
        <v>0</v>
      </c>
      <c r="R17" s="83">
        <f t="shared" si="4"/>
        <v>0</v>
      </c>
      <c r="S17" s="75">
        <f t="shared" ref="S17:S28" si="14">N17-R17</f>
        <v>25250.8454113456</v>
      </c>
    </row>
    <row r="18" ht="15.75" spans="1:19">
      <c r="A18" s="62" t="s">
        <v>45</v>
      </c>
      <c r="B18" s="63">
        <v>58812</v>
      </c>
      <c r="C18" s="63">
        <v>3193053.47</v>
      </c>
      <c r="D18" s="64">
        <v>49.56</v>
      </c>
      <c r="E18" s="64">
        <f t="shared" ref="E18:E29" si="15">C18*D18/100</f>
        <v>1582477.299732</v>
      </c>
      <c r="F18" s="63">
        <v>4831500</v>
      </c>
      <c r="G18" s="63">
        <v>4831500</v>
      </c>
      <c r="H18" s="66">
        <f t="shared" si="0"/>
        <v>4831500</v>
      </c>
      <c r="I18" s="79">
        <v>12663</v>
      </c>
      <c r="J18" s="74">
        <f t="shared" si="5"/>
        <v>1134.3197284479</v>
      </c>
      <c r="K18" s="74">
        <f t="shared" si="1"/>
        <v>226.86394568958</v>
      </c>
      <c r="L18" s="74">
        <f t="shared" si="6"/>
        <v>22867.8857255096</v>
      </c>
      <c r="M18" s="74">
        <f t="shared" si="11"/>
        <v>2532.26403825</v>
      </c>
      <c r="N18" s="75">
        <f t="shared" si="12"/>
        <v>25400.1497637596</v>
      </c>
      <c r="O18" s="76">
        <v>0</v>
      </c>
      <c r="P18" s="76">
        <v>0</v>
      </c>
      <c r="Q18" s="82">
        <f t="shared" si="13"/>
        <v>0</v>
      </c>
      <c r="R18" s="83">
        <f t="shared" si="4"/>
        <v>0</v>
      </c>
      <c r="S18" s="75">
        <f t="shared" si="14"/>
        <v>25400.1497637596</v>
      </c>
    </row>
    <row r="19" ht="15.75" spans="1:19">
      <c r="A19" s="62" t="s">
        <v>46</v>
      </c>
      <c r="B19" s="63">
        <v>63378</v>
      </c>
      <c r="C19" s="63">
        <v>3378671.64</v>
      </c>
      <c r="D19" s="64">
        <v>48.05</v>
      </c>
      <c r="E19" s="64">
        <f t="shared" si="15"/>
        <v>1623451.72302</v>
      </c>
      <c r="F19" s="63">
        <v>4956600</v>
      </c>
      <c r="G19" s="63">
        <v>4956600</v>
      </c>
      <c r="H19" s="66">
        <f t="shared" si="0"/>
        <v>4956600</v>
      </c>
      <c r="I19" s="79">
        <v>11589</v>
      </c>
      <c r="J19" s="78">
        <f t="shared" si="5"/>
        <v>1163.69019506074</v>
      </c>
      <c r="K19" s="74">
        <f t="shared" si="1"/>
        <v>232.738039012147</v>
      </c>
      <c r="L19" s="74">
        <f t="shared" si="6"/>
        <v>23459.9943324244</v>
      </c>
      <c r="M19" s="74">
        <f t="shared" si="11"/>
        <v>2597.8308873</v>
      </c>
      <c r="N19" s="75">
        <f t="shared" si="12"/>
        <v>26057.8252197244</v>
      </c>
      <c r="O19" s="76">
        <v>0</v>
      </c>
      <c r="P19" s="76">
        <v>0</v>
      </c>
      <c r="Q19" s="82">
        <f t="shared" si="13"/>
        <v>0</v>
      </c>
      <c r="R19" s="83">
        <f t="shared" si="4"/>
        <v>0</v>
      </c>
      <c r="S19" s="75">
        <f t="shared" si="14"/>
        <v>26057.8252197244</v>
      </c>
    </row>
    <row r="20" ht="15.75" spans="1:19">
      <c r="A20" s="62" t="s">
        <v>47</v>
      </c>
      <c r="B20" s="63">
        <v>70566</v>
      </c>
      <c r="C20" s="63">
        <v>3358307.57</v>
      </c>
      <c r="D20" s="64">
        <v>50.29</v>
      </c>
      <c r="E20" s="64">
        <f t="shared" si="15"/>
        <v>1688892.876953</v>
      </c>
      <c r="F20" s="63">
        <v>5156400</v>
      </c>
      <c r="G20" s="63">
        <v>5156400</v>
      </c>
      <c r="H20" s="66">
        <f t="shared" si="0"/>
        <v>5156400</v>
      </c>
      <c r="I20" s="79">
        <v>10100</v>
      </c>
      <c r="J20" s="78">
        <f t="shared" si="5"/>
        <v>1210.59841419991</v>
      </c>
      <c r="K20" s="74">
        <f t="shared" si="1"/>
        <v>242.119682839982</v>
      </c>
      <c r="L20" s="74">
        <f t="shared" si="6"/>
        <v>24405.6640302702</v>
      </c>
      <c r="M20" s="74">
        <f t="shared" si="11"/>
        <v>2702.5491642</v>
      </c>
      <c r="N20" s="75">
        <f t="shared" si="12"/>
        <v>27108.2131944702</v>
      </c>
      <c r="O20" s="76">
        <v>0</v>
      </c>
      <c r="P20" s="76">
        <v>0</v>
      </c>
      <c r="Q20" s="82">
        <f t="shared" si="13"/>
        <v>0</v>
      </c>
      <c r="R20" s="83">
        <f t="shared" si="4"/>
        <v>0</v>
      </c>
      <c r="S20" s="75">
        <f t="shared" si="14"/>
        <v>27108.2131944702</v>
      </c>
    </row>
    <row r="21" ht="15.75" spans="1:19">
      <c r="A21" s="62" t="s">
        <v>48</v>
      </c>
      <c r="B21" s="63">
        <v>63126</v>
      </c>
      <c r="C21" s="63">
        <v>3306985.98</v>
      </c>
      <c r="D21" s="64">
        <v>52.67</v>
      </c>
      <c r="E21" s="64">
        <f t="shared" si="15"/>
        <v>1741789.515666</v>
      </c>
      <c r="F21" s="63">
        <v>5317900</v>
      </c>
      <c r="G21" s="63">
        <v>5317900</v>
      </c>
      <c r="H21" s="66">
        <f t="shared" si="0"/>
        <v>5317900</v>
      </c>
      <c r="I21" s="79">
        <v>11314</v>
      </c>
      <c r="J21" s="78">
        <f t="shared" si="5"/>
        <v>1248.51472482939</v>
      </c>
      <c r="K21" s="74">
        <f t="shared" si="1"/>
        <v>249.702944965878</v>
      </c>
      <c r="L21" s="74">
        <f t="shared" si="6"/>
        <v>25170.0568525605</v>
      </c>
      <c r="M21" s="74">
        <f t="shared" si="11"/>
        <v>2787.19381745</v>
      </c>
      <c r="N21" s="75">
        <f t="shared" si="12"/>
        <v>27957.2506700105</v>
      </c>
      <c r="O21" s="76">
        <v>0</v>
      </c>
      <c r="P21" s="76">
        <v>0</v>
      </c>
      <c r="Q21" s="82">
        <f t="shared" si="13"/>
        <v>0</v>
      </c>
      <c r="R21" s="83">
        <f t="shared" si="4"/>
        <v>0</v>
      </c>
      <c r="S21" s="75">
        <f t="shared" si="14"/>
        <v>27957.2506700105</v>
      </c>
    </row>
    <row r="22" ht="15.75" spans="1:19">
      <c r="A22" s="62" t="s">
        <v>49</v>
      </c>
      <c r="B22" s="63">
        <v>67938</v>
      </c>
      <c r="C22" s="63">
        <v>3567272.31</v>
      </c>
      <c r="D22" s="64">
        <v>50.15</v>
      </c>
      <c r="E22" s="64">
        <f t="shared" si="15"/>
        <v>1788987.063465</v>
      </c>
      <c r="F22" s="63">
        <v>5462000</v>
      </c>
      <c r="G22" s="63">
        <v>5462000</v>
      </c>
      <c r="H22" s="66">
        <f t="shared" si="0"/>
        <v>5462000</v>
      </c>
      <c r="I22" s="79">
        <v>12778</v>
      </c>
      <c r="J22" s="78">
        <f t="shared" si="5"/>
        <v>1282.34592709171</v>
      </c>
      <c r="K22" s="74">
        <f t="shared" si="1"/>
        <v>256.469185418342</v>
      </c>
      <c r="L22" s="74">
        <f t="shared" si="6"/>
        <v>25852.0938901689</v>
      </c>
      <c r="M22" s="74">
        <f t="shared" si="11"/>
        <v>2862.718861</v>
      </c>
      <c r="N22" s="75">
        <f t="shared" si="12"/>
        <v>28714.8127511689</v>
      </c>
      <c r="O22" s="76">
        <v>0</v>
      </c>
      <c r="P22" s="76">
        <v>0</v>
      </c>
      <c r="Q22" s="82">
        <f t="shared" si="13"/>
        <v>0</v>
      </c>
      <c r="R22" s="83">
        <f t="shared" si="4"/>
        <v>0</v>
      </c>
      <c r="S22" s="75">
        <f t="shared" si="14"/>
        <v>28714.8127511689</v>
      </c>
    </row>
    <row r="23" ht="15.75" spans="1:19">
      <c r="A23" s="62" t="s">
        <v>50</v>
      </c>
      <c r="B23" s="63">
        <v>62190</v>
      </c>
      <c r="C23" s="63">
        <v>3506047.39</v>
      </c>
      <c r="D23" s="64">
        <v>49.56</v>
      </c>
      <c r="E23" s="64">
        <f t="shared" si="15"/>
        <v>1737597.086484</v>
      </c>
      <c r="F23" s="63">
        <v>5305100</v>
      </c>
      <c r="G23" s="63">
        <v>5305100</v>
      </c>
      <c r="H23" s="66">
        <f t="shared" si="0"/>
        <v>5305100</v>
      </c>
      <c r="I23" s="79">
        <v>11660</v>
      </c>
      <c r="J23" s="78">
        <f t="shared" si="5"/>
        <v>1245.50959159173</v>
      </c>
      <c r="K23" s="74">
        <f t="shared" si="1"/>
        <v>249.101918318346</v>
      </c>
      <c r="L23" s="74">
        <f t="shared" si="6"/>
        <v>25109.4733664893</v>
      </c>
      <c r="M23" s="74">
        <f t="shared" si="11"/>
        <v>2780.48513905</v>
      </c>
      <c r="N23" s="75">
        <f t="shared" si="12"/>
        <v>27889.9585055393</v>
      </c>
      <c r="O23" s="76">
        <v>0</v>
      </c>
      <c r="P23" s="76">
        <v>0</v>
      </c>
      <c r="Q23" s="82">
        <f t="shared" si="13"/>
        <v>0</v>
      </c>
      <c r="R23" s="83">
        <f t="shared" si="4"/>
        <v>0</v>
      </c>
      <c r="S23" s="75">
        <f t="shared" si="14"/>
        <v>27889.9585055393</v>
      </c>
    </row>
    <row r="24" ht="15.75" spans="1:19">
      <c r="A24" s="62" t="s">
        <v>51</v>
      </c>
      <c r="B24" s="63">
        <v>63540</v>
      </c>
      <c r="C24" s="63">
        <v>3399738.65763629</v>
      </c>
      <c r="D24" s="64">
        <v>50.26</v>
      </c>
      <c r="E24" s="69">
        <f t="shared" si="15"/>
        <v>1708708.649328</v>
      </c>
      <c r="F24" s="63">
        <v>5216900</v>
      </c>
      <c r="G24" s="63">
        <v>5216900</v>
      </c>
      <c r="H24" s="66">
        <f t="shared" si="0"/>
        <v>5216900</v>
      </c>
      <c r="I24" s="79">
        <v>12822</v>
      </c>
      <c r="J24" s="78">
        <f t="shared" si="5"/>
        <v>1224.80235983831</v>
      </c>
      <c r="K24" s="74">
        <f t="shared" si="1"/>
        <v>244.960471967662</v>
      </c>
      <c r="L24" s="74">
        <f t="shared" si="6"/>
        <v>24692.0155743403</v>
      </c>
      <c r="M24" s="74">
        <f t="shared" si="11"/>
        <v>2734.25815195</v>
      </c>
      <c r="N24" s="75">
        <f t="shared" si="12"/>
        <v>27426.2737262903</v>
      </c>
      <c r="O24" s="76">
        <v>0</v>
      </c>
      <c r="P24" s="76">
        <v>0</v>
      </c>
      <c r="Q24" s="82">
        <f t="shared" si="13"/>
        <v>0</v>
      </c>
      <c r="R24" s="83">
        <f t="shared" si="4"/>
        <v>0</v>
      </c>
      <c r="S24" s="75">
        <f t="shared" si="14"/>
        <v>27426.2737262903</v>
      </c>
    </row>
    <row r="25" ht="15.75" spans="1:19">
      <c r="A25" s="62" t="s">
        <v>52</v>
      </c>
      <c r="B25" s="63">
        <v>62628</v>
      </c>
      <c r="C25" s="63">
        <v>3229154.03</v>
      </c>
      <c r="D25" s="64">
        <v>52.06</v>
      </c>
      <c r="E25" s="69">
        <f t="shared" si="15"/>
        <v>1681097.588018</v>
      </c>
      <c r="F25" s="63">
        <v>5132600</v>
      </c>
      <c r="G25" s="63">
        <v>5132600</v>
      </c>
      <c r="H25" s="66">
        <f t="shared" si="0"/>
        <v>5132600</v>
      </c>
      <c r="I25" s="79">
        <v>11547</v>
      </c>
      <c r="J25" s="78">
        <f t="shared" si="5"/>
        <v>1205.0107510913</v>
      </c>
      <c r="K25" s="74">
        <f t="shared" si="1"/>
        <v>241.00215021826</v>
      </c>
      <c r="L25" s="74">
        <f t="shared" si="6"/>
        <v>24293.0167420007</v>
      </c>
      <c r="M25" s="74">
        <f t="shared" si="11"/>
        <v>2690.0752153</v>
      </c>
      <c r="N25" s="75">
        <f t="shared" si="12"/>
        <v>26983.0919573007</v>
      </c>
      <c r="O25" s="76">
        <v>0</v>
      </c>
      <c r="P25" s="76">
        <v>0</v>
      </c>
      <c r="Q25" s="82">
        <f t="shared" si="13"/>
        <v>0</v>
      </c>
      <c r="R25" s="83">
        <f t="shared" si="4"/>
        <v>0</v>
      </c>
      <c r="S25" s="75">
        <f t="shared" si="14"/>
        <v>26983.0919573007</v>
      </c>
    </row>
    <row r="26" ht="15.75" spans="1:19">
      <c r="A26" s="62" t="s">
        <v>53</v>
      </c>
      <c r="B26" s="63">
        <v>59754</v>
      </c>
      <c r="C26" s="63">
        <v>3234640.77</v>
      </c>
      <c r="D26" s="64">
        <v>50.95</v>
      </c>
      <c r="E26" s="69">
        <f t="shared" si="15"/>
        <v>1648049.472315</v>
      </c>
      <c r="F26" s="63">
        <v>5031700</v>
      </c>
      <c r="G26" s="63">
        <v>5031700</v>
      </c>
      <c r="H26" s="66">
        <f t="shared" si="0"/>
        <v>5031700</v>
      </c>
      <c r="I26" s="79">
        <v>12939</v>
      </c>
      <c r="J26" s="78">
        <f t="shared" si="5"/>
        <v>1181.32186175539</v>
      </c>
      <c r="K26" s="74">
        <f t="shared" si="1"/>
        <v>236.264372351078</v>
      </c>
      <c r="L26" s="74">
        <f t="shared" si="6"/>
        <v>23815.4487329887</v>
      </c>
      <c r="M26" s="74">
        <f t="shared" si="11"/>
        <v>2637.19196135</v>
      </c>
      <c r="N26" s="75">
        <f t="shared" si="12"/>
        <v>26452.6406943387</v>
      </c>
      <c r="O26" s="76">
        <v>0</v>
      </c>
      <c r="P26" s="76">
        <v>0</v>
      </c>
      <c r="Q26" s="82">
        <f t="shared" si="13"/>
        <v>0</v>
      </c>
      <c r="R26" s="83">
        <f t="shared" si="4"/>
        <v>0</v>
      </c>
      <c r="S26" s="75">
        <f t="shared" si="14"/>
        <v>26452.6406943387</v>
      </c>
    </row>
    <row r="27" ht="15.75" spans="1:19">
      <c r="A27" s="62" t="s">
        <v>54</v>
      </c>
      <c r="B27" s="63">
        <v>59475</v>
      </c>
      <c r="C27" s="63">
        <v>3028020.95910599</v>
      </c>
      <c r="D27" s="64">
        <v>53.69</v>
      </c>
      <c r="E27" s="69">
        <f t="shared" si="15"/>
        <v>1625744.45294401</v>
      </c>
      <c r="F27" s="63">
        <v>4963600</v>
      </c>
      <c r="G27" s="63">
        <v>4963600</v>
      </c>
      <c r="H27" s="66">
        <f t="shared" si="0"/>
        <v>4963600</v>
      </c>
      <c r="I27" s="79">
        <v>12097</v>
      </c>
      <c r="J27" s="78">
        <f t="shared" si="5"/>
        <v>1165.33362387026</v>
      </c>
      <c r="K27" s="74">
        <f t="shared" si="1"/>
        <v>233.066724774053</v>
      </c>
      <c r="L27" s="74">
        <f t="shared" si="6"/>
        <v>23493.1258572245</v>
      </c>
      <c r="M27" s="74">
        <f t="shared" si="11"/>
        <v>2601.4996958</v>
      </c>
      <c r="N27" s="75">
        <f t="shared" si="12"/>
        <v>26094.6255530245</v>
      </c>
      <c r="O27" s="76">
        <v>0</v>
      </c>
      <c r="P27" s="76">
        <v>0</v>
      </c>
      <c r="Q27" s="84">
        <v>0</v>
      </c>
      <c r="R27" s="85">
        <f t="shared" si="4"/>
        <v>0</v>
      </c>
      <c r="S27" s="75">
        <f t="shared" si="14"/>
        <v>26094.6255530245</v>
      </c>
    </row>
    <row r="28" ht="15.75" spans="1:19">
      <c r="A28" s="62" t="s">
        <v>55</v>
      </c>
      <c r="B28" s="63">
        <v>65026</v>
      </c>
      <c r="C28" s="63">
        <v>3136710.83</v>
      </c>
      <c r="D28" s="64">
        <v>52.17</v>
      </c>
      <c r="E28" s="69">
        <f t="shared" si="15"/>
        <v>1636422.040011</v>
      </c>
      <c r="F28" s="63">
        <v>4996200</v>
      </c>
      <c r="G28" s="63">
        <v>4996200</v>
      </c>
      <c r="H28" s="66">
        <f t="shared" si="0"/>
        <v>4996200</v>
      </c>
      <c r="I28" s="79">
        <v>11510</v>
      </c>
      <c r="J28" s="78">
        <f t="shared" si="5"/>
        <v>1172.98731827988</v>
      </c>
      <c r="K28" s="74">
        <f t="shared" si="1"/>
        <v>234.597463655977</v>
      </c>
      <c r="L28" s="74">
        <f t="shared" si="6"/>
        <v>23647.4243365225</v>
      </c>
      <c r="M28" s="74">
        <f t="shared" si="11"/>
        <v>2618.5858611</v>
      </c>
      <c r="N28" s="75">
        <f t="shared" si="12"/>
        <v>26266.0101976225</v>
      </c>
      <c r="O28" s="76">
        <v>0</v>
      </c>
      <c r="P28" s="76">
        <v>0</v>
      </c>
      <c r="Q28" s="84">
        <v>0</v>
      </c>
      <c r="R28" s="85">
        <f t="shared" si="4"/>
        <v>0</v>
      </c>
      <c r="S28" s="75">
        <f t="shared" si="14"/>
        <v>26266.0101976225</v>
      </c>
    </row>
    <row r="29" ht="15.75" spans="1:19">
      <c r="A29" s="62" t="s">
        <v>56</v>
      </c>
      <c r="B29" s="63">
        <f>SUM(B17:B28)</f>
        <v>750685</v>
      </c>
      <c r="C29" s="63">
        <v>39650551.7267423</v>
      </c>
      <c r="D29" s="64">
        <v>50.5324447009459</v>
      </c>
      <c r="E29" s="69">
        <f t="shared" si="15"/>
        <v>20036393.124936</v>
      </c>
      <c r="F29" s="63">
        <f>SUM(F17:F28)</f>
        <v>61173600</v>
      </c>
      <c r="G29" s="63">
        <f>SUM(G17:G28)</f>
        <v>61173600</v>
      </c>
      <c r="H29" s="66">
        <f t="shared" si="0"/>
        <v>61173600</v>
      </c>
      <c r="I29" s="73">
        <v>144255</v>
      </c>
      <c r="J29" s="78">
        <f t="shared" si="5"/>
        <v>14362.0865919541</v>
      </c>
      <c r="K29" s="74">
        <f t="shared" si="1"/>
        <v>2872.41731839082</v>
      </c>
      <c r="L29" s="74">
        <f>ROUNDDOWN(0.9*J29*0.8*28,0)</f>
        <v>289539</v>
      </c>
      <c r="M29" s="74">
        <f>ROUNDDOWN(H29/1000*0.50885*1.03,0)</f>
        <v>32062</v>
      </c>
      <c r="N29" s="75">
        <f>ROUNDDOWN(L29+M29,0)</f>
        <v>321601</v>
      </c>
      <c r="O29" s="80">
        <f t="shared" ref="O29:P29" si="16">SUM(O15:O28)</f>
        <v>0</v>
      </c>
      <c r="P29" s="80">
        <f t="shared" si="16"/>
        <v>0</v>
      </c>
      <c r="Q29" s="86">
        <v>0</v>
      </c>
      <c r="R29" s="85">
        <f t="shared" si="4"/>
        <v>0</v>
      </c>
      <c r="S29" s="75">
        <f>ROUNDDOWN(N29-R29,0)</f>
        <v>321601</v>
      </c>
    </row>
    <row r="30" ht="30" spans="1:19">
      <c r="A30" s="62" t="s">
        <v>57</v>
      </c>
      <c r="B30" s="63">
        <f>B3+B16+B29</f>
        <v>1531515.8</v>
      </c>
      <c r="C30" s="63">
        <f>C3+C16+C29</f>
        <v>75498934.5967423</v>
      </c>
      <c r="D30" s="64">
        <f>E30/C30*100</f>
        <v>50.4426300913474</v>
      </c>
      <c r="E30" s="63">
        <f t="shared" ref="E30:J30" si="17">E3+E16+E29</f>
        <v>38083648.301543</v>
      </c>
      <c r="F30" s="63">
        <f t="shared" si="17"/>
        <v>115303300</v>
      </c>
      <c r="G30" s="63">
        <f t="shared" si="17"/>
        <v>115303300</v>
      </c>
      <c r="H30" s="63">
        <f t="shared" si="17"/>
        <v>115303300</v>
      </c>
      <c r="I30" s="63">
        <f t="shared" si="17"/>
        <v>264325</v>
      </c>
      <c r="J30" s="63">
        <f t="shared" si="17"/>
        <v>27298.359102546</v>
      </c>
      <c r="K30" s="81">
        <f t="shared" si="1"/>
        <v>5459.6718205092</v>
      </c>
      <c r="L30" s="63">
        <f>ROUNDDOWN(L3+L16+L29,0)</f>
        <v>550333</v>
      </c>
      <c r="M30" s="63">
        <f>ROUNDDOWN(M3+M16+M29,0)</f>
        <v>60431</v>
      </c>
      <c r="N30" s="63">
        <f>ROUNDDOWN(N3+N16+N29,0)</f>
        <v>610764</v>
      </c>
      <c r="O30" s="63">
        <f t="shared" ref="O30:R30" si="18">O3+O16+O29</f>
        <v>0</v>
      </c>
      <c r="P30" s="63">
        <f t="shared" si="18"/>
        <v>0</v>
      </c>
      <c r="Q30" s="63">
        <f t="shared" si="18"/>
        <v>0</v>
      </c>
      <c r="R30" s="63">
        <f t="shared" si="18"/>
        <v>0</v>
      </c>
      <c r="S30" s="63">
        <f>ROUNDDOWN(S3+S16+S29,0)</f>
        <v>610764</v>
      </c>
    </row>
    <row r="31" ht="65.25" spans="1:19">
      <c r="A31" s="62"/>
      <c r="B31" s="63"/>
      <c r="C31" s="61" t="s">
        <v>58</v>
      </c>
      <c r="D31" s="61" t="s">
        <v>59</v>
      </c>
      <c r="F31" s="63"/>
      <c r="G31" s="63"/>
      <c r="H31" s="62"/>
      <c r="I31" s="61" t="s">
        <v>60</v>
      </c>
      <c r="J31" s="63"/>
      <c r="K31" s="81"/>
      <c r="L31" s="62"/>
      <c r="M31" s="63"/>
      <c r="N31" s="63"/>
      <c r="O31" s="76"/>
      <c r="P31" s="76"/>
      <c r="Q31" s="76"/>
      <c r="R31" s="76"/>
      <c r="S31" s="75"/>
    </row>
    <row r="32" ht="15.75" spans="1:19">
      <c r="A32" s="62"/>
      <c r="B32" s="63"/>
      <c r="C32" s="64">
        <f>C30/I32</f>
        <v>4205.60018921247</v>
      </c>
      <c r="D32" s="64">
        <f>E30/C30*100</f>
        <v>50.4426300913474</v>
      </c>
      <c r="F32" s="63"/>
      <c r="G32" s="70"/>
      <c r="H32" s="62"/>
      <c r="I32" s="63">
        <f>8760*2+18*24</f>
        <v>17952</v>
      </c>
      <c r="J32" s="63"/>
      <c r="K32" s="81"/>
      <c r="L32" s="62"/>
      <c r="M32" s="63"/>
      <c r="N32" s="63"/>
      <c r="O32" s="76"/>
      <c r="P32" s="76"/>
      <c r="Q32" s="76"/>
      <c r="R32" s="76"/>
      <c r="S32" s="75"/>
    </row>
    <row r="33" ht="15.75" spans="1:19">
      <c r="A33" s="62"/>
      <c r="B33" s="63"/>
      <c r="C33" s="63"/>
      <c r="D33" s="63"/>
      <c r="E33" s="63"/>
      <c r="F33" s="63"/>
      <c r="G33" s="63"/>
      <c r="H33" s="62"/>
      <c r="I33" s="63"/>
      <c r="J33" s="63"/>
      <c r="K33" s="63"/>
      <c r="L33" s="63"/>
      <c r="M33" s="63"/>
      <c r="N33" s="63"/>
      <c r="O33" s="76"/>
      <c r="P33" s="76"/>
      <c r="Q33" s="76"/>
      <c r="R33" s="76"/>
      <c r="S33" s="75"/>
    </row>
    <row r="34" ht="15.75" spans="1:19">
      <c r="A34" s="62"/>
      <c r="B34" s="63"/>
      <c r="C34" s="63"/>
      <c r="D34" s="63"/>
      <c r="E34" s="63"/>
      <c r="F34" s="63"/>
      <c r="G34" s="63"/>
      <c r="H34" s="62"/>
      <c r="I34" s="63"/>
      <c r="J34" s="63"/>
      <c r="K34" s="63"/>
      <c r="L34" s="63"/>
      <c r="M34" s="63"/>
      <c r="N34" s="63"/>
      <c r="O34" s="76"/>
      <c r="P34" s="76"/>
      <c r="Q34" s="76"/>
      <c r="R34" s="76"/>
      <c r="S34" s="75"/>
    </row>
    <row r="35" ht="15.75" spans="1:19">
      <c r="A35" s="62"/>
      <c r="B35" s="63"/>
      <c r="C35" s="63"/>
      <c r="D35" s="63"/>
      <c r="E35" s="63"/>
      <c r="F35" s="63"/>
      <c r="G35" s="63"/>
      <c r="H35" s="62"/>
      <c r="I35" s="63"/>
      <c r="J35" s="63"/>
      <c r="K35" s="63"/>
      <c r="L35" s="63"/>
      <c r="M35" s="63"/>
      <c r="N35" s="63"/>
      <c r="O35" s="76"/>
      <c r="P35" s="76"/>
      <c r="Q35" s="76"/>
      <c r="R35" s="76"/>
      <c r="S35" s="75"/>
    </row>
    <row r="36" ht="15.75" spans="1:19">
      <c r="A36" s="62"/>
      <c r="B36" s="63"/>
      <c r="C36" s="63"/>
      <c r="D36" s="63"/>
      <c r="E36" s="63"/>
      <c r="F36" s="63"/>
      <c r="G36" s="63"/>
      <c r="H36" s="58"/>
      <c r="I36" s="63"/>
      <c r="L36"/>
      <c r="M36" s="63"/>
      <c r="O36" s="76"/>
      <c r="P36" s="76"/>
      <c r="Q36" s="76"/>
      <c r="R36" s="76"/>
      <c r="S36" s="75"/>
    </row>
    <row r="37" ht="15.75" spans="1:19">
      <c r="A37" s="62"/>
      <c r="B37" s="63"/>
      <c r="C37" s="63"/>
      <c r="D37" s="63"/>
      <c r="E37" s="63"/>
      <c r="F37" s="63"/>
      <c r="G37" s="63"/>
      <c r="H37" s="62"/>
      <c r="I37" s="63"/>
      <c r="J37" s="63"/>
      <c r="K37" s="63"/>
      <c r="L37" s="63"/>
      <c r="M37" s="63"/>
      <c r="N37" s="63"/>
      <c r="O37" s="76"/>
      <c r="P37" s="76"/>
      <c r="Q37" s="76"/>
      <c r="R37" s="76"/>
      <c r="S37" s="75"/>
    </row>
    <row r="38" ht="15" spans="2:14">
      <c r="B38" s="63"/>
      <c r="H38" s="62"/>
      <c r="I38" s="63"/>
      <c r="J38" s="63"/>
      <c r="K38" s="63"/>
      <c r="L38" s="63"/>
      <c r="M38" s="63"/>
      <c r="N38" s="63"/>
    </row>
    <row r="39" ht="15.75" spans="1:19">
      <c r="A39" s="62"/>
      <c r="B39" s="63"/>
      <c r="C39" s="63"/>
      <c r="D39" s="63"/>
      <c r="E39" s="63"/>
      <c r="F39" s="63"/>
      <c r="G39" s="63"/>
      <c r="H39" s="62"/>
      <c r="I39" s="63"/>
      <c r="J39" s="63"/>
      <c r="K39" s="63"/>
      <c r="L39" s="63"/>
      <c r="M39" s="63"/>
      <c r="N39" s="63"/>
      <c r="O39" s="76"/>
      <c r="P39" s="76"/>
      <c r="Q39" s="76"/>
      <c r="R39" s="76"/>
      <c r="S39" s="75"/>
    </row>
    <row r="40" ht="15.75" spans="1:19">
      <c r="A40" s="62"/>
      <c r="B40" s="63"/>
      <c r="C40" s="63"/>
      <c r="D40" s="63"/>
      <c r="E40" s="63"/>
      <c r="F40" s="63"/>
      <c r="G40" s="63"/>
      <c r="H40" s="62"/>
      <c r="I40" s="63"/>
      <c r="J40" s="63"/>
      <c r="K40" s="63"/>
      <c r="L40" s="63"/>
      <c r="M40" s="63"/>
      <c r="N40" s="63"/>
      <c r="O40" s="76"/>
      <c r="P40" s="76"/>
      <c r="Q40" s="76"/>
      <c r="R40" s="76"/>
      <c r="S40" s="75"/>
    </row>
    <row r="41" ht="15.75" spans="1:19">
      <c r="A41" s="62"/>
      <c r="B41" s="63"/>
      <c r="C41" s="63"/>
      <c r="D41" s="63"/>
      <c r="E41" s="63"/>
      <c r="F41" s="63"/>
      <c r="G41" s="63"/>
      <c r="H41" s="62"/>
      <c r="I41" s="63"/>
      <c r="J41" s="63"/>
      <c r="K41" s="63"/>
      <c r="L41" s="63"/>
      <c r="M41" s="63"/>
      <c r="N41" s="63"/>
      <c r="O41" s="76"/>
      <c r="P41" s="76"/>
      <c r="Q41" s="76"/>
      <c r="R41" s="76"/>
      <c r="S41" s="75"/>
    </row>
    <row r="42" ht="15.75" spans="1:19">
      <c r="A42" s="62"/>
      <c r="B42" s="63"/>
      <c r="C42" s="63"/>
      <c r="D42" s="63"/>
      <c r="E42" s="63"/>
      <c r="F42" s="63"/>
      <c r="G42" s="63"/>
      <c r="H42" s="62"/>
      <c r="I42" s="63"/>
      <c r="J42" s="63"/>
      <c r="K42" s="63"/>
      <c r="L42" s="63"/>
      <c r="M42" s="63"/>
      <c r="N42" s="63"/>
      <c r="O42" s="76"/>
      <c r="P42" s="76"/>
      <c r="Q42" s="76"/>
      <c r="R42" s="76"/>
      <c r="S42" s="75"/>
    </row>
    <row r="43" ht="15.75" spans="1:19">
      <c r="A43" s="62"/>
      <c r="B43" s="63"/>
      <c r="C43" s="63"/>
      <c r="D43" s="63"/>
      <c r="E43" s="63"/>
      <c r="F43" s="63"/>
      <c r="G43" s="63"/>
      <c r="H43" s="58"/>
      <c r="I43" s="63"/>
      <c r="J43" s="63"/>
      <c r="K43" s="63"/>
      <c r="L43" s="63"/>
      <c r="M43" s="63"/>
      <c r="O43" s="76"/>
      <c r="P43" s="76"/>
      <c r="Q43" s="76"/>
      <c r="R43" s="76"/>
      <c r="S43" s="75"/>
    </row>
    <row r="44" ht="15.75" spans="1:19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76"/>
      <c r="P44" s="76"/>
      <c r="Q44" s="76"/>
      <c r="R44" s="76"/>
      <c r="S44" s="75"/>
    </row>
    <row r="45" ht="15.75" spans="1:19">
      <c r="A45" s="62"/>
      <c r="B45" s="63"/>
      <c r="C45" s="63"/>
      <c r="D45" s="63"/>
      <c r="E45" s="63"/>
      <c r="F45" s="63"/>
      <c r="G45" s="63"/>
      <c r="H45" s="63"/>
      <c r="I45" s="63"/>
      <c r="L45"/>
      <c r="M45" s="63"/>
      <c r="N45" s="63"/>
      <c r="O45" s="76"/>
      <c r="P45" s="76"/>
      <c r="Q45" s="76"/>
      <c r="R45" s="76"/>
      <c r="S45" s="75"/>
    </row>
    <row r="46" ht="15.75" spans="1:19">
      <c r="A46" s="62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76"/>
      <c r="P46" s="76"/>
      <c r="Q46" s="76"/>
      <c r="R46" s="76"/>
      <c r="S46" s="75"/>
    </row>
    <row r="47" ht="15.75" spans="1:19">
      <c r="A47" s="62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74"/>
      <c r="N47" s="75"/>
      <c r="O47" s="76"/>
      <c r="P47" s="76"/>
      <c r="Q47" s="76"/>
      <c r="R47" s="76"/>
      <c r="S47" s="75"/>
    </row>
    <row r="48" ht="15.75" spans="1:19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74"/>
      <c r="N48" s="75"/>
      <c r="O48" s="76"/>
      <c r="P48" s="76"/>
      <c r="Q48" s="76"/>
      <c r="R48" s="76"/>
      <c r="S48" s="75"/>
    </row>
    <row r="49" ht="15.75" spans="1:19">
      <c r="A49" s="62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74"/>
      <c r="N49" s="75"/>
      <c r="O49" s="76"/>
      <c r="P49" s="76"/>
      <c r="Q49" s="76"/>
      <c r="R49" s="76"/>
      <c r="S49" s="75"/>
    </row>
    <row r="50" ht="15.75" spans="1:19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74"/>
      <c r="N50" s="75"/>
      <c r="O50" s="76"/>
      <c r="P50" s="76"/>
      <c r="Q50" s="76"/>
      <c r="R50" s="76"/>
      <c r="S50" s="75"/>
    </row>
    <row r="51" ht="15.75" spans="1:19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74"/>
      <c r="N51" s="75"/>
      <c r="O51" s="76"/>
      <c r="P51" s="76"/>
      <c r="Q51" s="76"/>
      <c r="R51" s="76"/>
      <c r="S51" s="75"/>
    </row>
    <row r="52" ht="15.75" spans="1:19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74"/>
      <c r="N52" s="75"/>
      <c r="O52" s="76"/>
      <c r="P52" s="76"/>
      <c r="Q52" s="76"/>
      <c r="R52" s="76"/>
      <c r="S52" s="75"/>
    </row>
    <row r="53" ht="15.75" spans="1:19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74"/>
      <c r="N53" s="75"/>
      <c r="O53" s="76"/>
      <c r="P53" s="76"/>
      <c r="Q53" s="76"/>
      <c r="R53" s="76"/>
      <c r="S53" s="75"/>
    </row>
    <row r="54" ht="15.75" spans="1:19">
      <c r="A54" s="62"/>
      <c r="B54" s="63"/>
      <c r="C54" s="63"/>
      <c r="D54" s="63"/>
      <c r="E54" s="63"/>
      <c r="F54" s="63"/>
      <c r="G54" s="63"/>
      <c r="H54" s="63"/>
      <c r="I54" s="63"/>
      <c r="L54"/>
      <c r="M54" s="74"/>
      <c r="N54" s="75"/>
      <c r="O54" s="76"/>
      <c r="P54" s="76"/>
      <c r="Q54" s="76"/>
      <c r="R54" s="76"/>
      <c r="S54" s="75"/>
    </row>
    <row r="55" ht="15.75" spans="1:19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74"/>
      <c r="N55" s="75"/>
      <c r="O55" s="76"/>
      <c r="P55" s="76"/>
      <c r="Q55" s="76"/>
      <c r="R55" s="76"/>
      <c r="S55" s="75"/>
    </row>
    <row r="56" ht="15.75" spans="1:19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74"/>
      <c r="N56" s="75"/>
      <c r="O56" s="76"/>
      <c r="P56" s="76"/>
      <c r="Q56" s="76"/>
      <c r="R56" s="76"/>
      <c r="S56" s="75"/>
    </row>
    <row r="57" ht="15.75" spans="1:19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74"/>
      <c r="N57" s="75"/>
      <c r="O57" s="76"/>
      <c r="P57" s="76"/>
      <c r="Q57" s="76"/>
      <c r="R57" s="76"/>
      <c r="S57" s="75"/>
    </row>
    <row r="58" ht="15.75" spans="1:19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74"/>
      <c r="N58" s="75"/>
      <c r="O58" s="76"/>
      <c r="P58" s="76"/>
      <c r="Q58" s="76"/>
      <c r="R58" s="76"/>
      <c r="S58" s="75"/>
    </row>
    <row r="59" ht="15.75" spans="1:19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74"/>
      <c r="N59" s="75"/>
      <c r="O59" s="76"/>
      <c r="P59" s="76"/>
      <c r="Q59" s="76"/>
      <c r="R59" s="76"/>
      <c r="S59" s="75"/>
    </row>
    <row r="60" ht="15.75" spans="1:19">
      <c r="A60" s="6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74"/>
      <c r="N60" s="75"/>
      <c r="O60" s="76"/>
      <c r="P60" s="76"/>
      <c r="Q60" s="76"/>
      <c r="R60" s="76"/>
      <c r="S60" s="75"/>
    </row>
    <row r="61" ht="15.75" spans="1:19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74"/>
      <c r="N61" s="75"/>
      <c r="O61" s="76"/>
      <c r="P61" s="76"/>
      <c r="Q61" s="76"/>
      <c r="R61" s="76"/>
      <c r="S61" s="75"/>
    </row>
    <row r="62" ht="15.75" spans="1:19">
      <c r="A62" s="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74"/>
      <c r="N62" s="75"/>
      <c r="O62" s="76"/>
      <c r="P62" s="76"/>
      <c r="Q62" s="76"/>
      <c r="R62" s="76"/>
      <c r="S62" s="75"/>
    </row>
    <row r="63" ht="15.75" spans="1:19">
      <c r="A63" s="62"/>
      <c r="B63" s="63"/>
      <c r="C63" s="63"/>
      <c r="D63" s="63"/>
      <c r="E63" s="63"/>
      <c r="F63" s="63"/>
      <c r="G63" s="63"/>
      <c r="H63" s="63"/>
      <c r="I63" s="63"/>
      <c r="L63"/>
      <c r="M63" s="74"/>
      <c r="N63" s="75"/>
      <c r="O63" s="76"/>
      <c r="P63" s="76"/>
      <c r="Q63" s="76"/>
      <c r="R63" s="76"/>
      <c r="S63" s="75"/>
    </row>
    <row r="64" ht="15.75" spans="1:19">
      <c r="A64" s="62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74"/>
      <c r="N64" s="75"/>
      <c r="O64" s="76"/>
      <c r="P64" s="76"/>
      <c r="Q64" s="76"/>
      <c r="R64" s="76"/>
      <c r="S64" s="75"/>
    </row>
    <row r="65" ht="15.75" spans="1:19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74"/>
      <c r="N65" s="75"/>
      <c r="O65" s="76"/>
      <c r="P65" s="76"/>
      <c r="Q65" s="76"/>
      <c r="R65" s="76"/>
      <c r="S65" s="75"/>
    </row>
    <row r="66" ht="15.75" spans="1:19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74"/>
      <c r="N66" s="75"/>
      <c r="O66" s="76"/>
      <c r="P66" s="76"/>
      <c r="Q66" s="76"/>
      <c r="R66" s="76"/>
      <c r="S66" s="75"/>
    </row>
    <row r="67" ht="15.75" spans="1:19">
      <c r="A67" s="6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74"/>
      <c r="N67" s="75"/>
      <c r="O67" s="76"/>
      <c r="P67" s="76"/>
      <c r="Q67" s="76"/>
      <c r="R67" s="76"/>
      <c r="S67" s="75"/>
    </row>
    <row r="68" ht="15.75" spans="1:19">
      <c r="A68" s="62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74"/>
      <c r="N68" s="75"/>
      <c r="O68" s="76"/>
      <c r="P68" s="76"/>
      <c r="Q68" s="76"/>
      <c r="R68" s="76"/>
      <c r="S68" s="75"/>
    </row>
    <row r="69" ht="15.75" spans="1:19">
      <c r="A69" s="62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74"/>
      <c r="N69" s="75"/>
      <c r="O69" s="76"/>
      <c r="P69" s="76"/>
      <c r="Q69" s="76"/>
      <c r="R69" s="76"/>
      <c r="S69" s="75"/>
    </row>
    <row r="70" ht="15.75" spans="2:19"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74"/>
      <c r="N70" s="75"/>
      <c r="O70" s="76"/>
      <c r="P70" s="76"/>
      <c r="Q70" s="76"/>
      <c r="R70" s="76"/>
      <c r="S70" s="75"/>
    </row>
    <row r="71" ht="15.75" spans="1:19">
      <c r="A71" s="62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74"/>
      <c r="N71" s="75"/>
      <c r="O71" s="76"/>
      <c r="P71" s="76"/>
      <c r="Q71" s="76"/>
      <c r="R71" s="76"/>
      <c r="S71" s="75"/>
    </row>
    <row r="72" ht="15.75" spans="1:19">
      <c r="A72" s="62"/>
      <c r="B72" s="63"/>
      <c r="C72" s="63"/>
      <c r="D72" s="63"/>
      <c r="E72" s="63"/>
      <c r="F72" s="63"/>
      <c r="G72" s="63"/>
      <c r="H72" s="63"/>
      <c r="I72" s="63"/>
      <c r="L72"/>
      <c r="M72" s="74"/>
      <c r="N72" s="75"/>
      <c r="O72" s="76"/>
      <c r="P72" s="76"/>
      <c r="Q72" s="76"/>
      <c r="R72" s="76"/>
      <c r="S72" s="75"/>
    </row>
    <row r="73" ht="15.75" spans="1:19">
      <c r="A73" s="6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74"/>
      <c r="N73" s="75"/>
      <c r="O73" s="76"/>
      <c r="P73" s="76"/>
      <c r="Q73" s="76"/>
      <c r="R73" s="76"/>
      <c r="S73" s="75"/>
    </row>
    <row r="74" ht="15.75" spans="1:19">
      <c r="A74" s="6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74"/>
      <c r="N74" s="75"/>
      <c r="O74" s="76"/>
      <c r="P74" s="76"/>
      <c r="Q74" s="76"/>
      <c r="R74" s="76"/>
      <c r="S74" s="75"/>
    </row>
    <row r="75" ht="15.75" spans="1:19">
      <c r="A75" s="62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74"/>
      <c r="N75" s="75"/>
      <c r="O75" s="76"/>
      <c r="P75" s="76"/>
      <c r="Q75" s="76"/>
      <c r="R75" s="76"/>
      <c r="S75" s="75"/>
    </row>
    <row r="76" ht="15.75" spans="1:19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74"/>
      <c r="N76" s="75"/>
      <c r="O76" s="76"/>
      <c r="P76" s="76"/>
      <c r="Q76" s="76"/>
      <c r="R76" s="76"/>
      <c r="S76" s="75"/>
    </row>
    <row r="77" ht="15.75" spans="1:19">
      <c r="A77" s="62"/>
      <c r="B77" s="63"/>
      <c r="C77" s="62"/>
      <c r="D77" s="62"/>
      <c r="E77" s="63"/>
      <c r="F77" s="63"/>
      <c r="G77" s="63"/>
      <c r="H77" s="63"/>
      <c r="I77" s="63"/>
      <c r="J77" s="63"/>
      <c r="K77" s="63"/>
      <c r="L77" s="63"/>
      <c r="M77" s="74"/>
      <c r="N77" s="75"/>
      <c r="O77" s="76"/>
      <c r="P77" s="76"/>
      <c r="Q77" s="76"/>
      <c r="R77" s="76"/>
      <c r="S77" s="75"/>
    </row>
    <row r="78" ht="15.75" spans="1:19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74"/>
      <c r="N78" s="75"/>
      <c r="O78" s="76"/>
      <c r="P78" s="76"/>
      <c r="Q78" s="76"/>
      <c r="R78" s="76"/>
      <c r="S78" s="75"/>
    </row>
    <row r="79" ht="15.75" spans="1:19">
      <c r="A79" s="62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74"/>
      <c r="N79" s="75"/>
      <c r="O79" s="76"/>
      <c r="P79" s="76"/>
      <c r="Q79" s="76"/>
      <c r="R79" s="76"/>
      <c r="S79" s="75"/>
    </row>
    <row r="80" ht="15.75" spans="1:19">
      <c r="A80" s="62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74"/>
      <c r="N80" s="75"/>
      <c r="O80" s="76"/>
      <c r="P80" s="76"/>
      <c r="Q80" s="76"/>
      <c r="R80" s="76"/>
      <c r="S80" s="75"/>
    </row>
    <row r="81" ht="15.75" spans="1:19">
      <c r="A81" s="62"/>
      <c r="B81" s="63"/>
      <c r="C81" s="63"/>
      <c r="D81" s="63"/>
      <c r="E81" s="63"/>
      <c r="F81" s="63"/>
      <c r="G81" s="63"/>
      <c r="H81" s="63"/>
      <c r="I81" s="63"/>
      <c r="L81"/>
      <c r="M81" s="74"/>
      <c r="N81" s="75"/>
      <c r="O81" s="76"/>
      <c r="P81" s="76"/>
      <c r="Q81" s="76"/>
      <c r="R81" s="76"/>
      <c r="S81" s="75"/>
    </row>
    <row r="82" ht="15.75" spans="1:19">
      <c r="A82" s="62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74"/>
      <c r="N82" s="75"/>
      <c r="O82" s="76"/>
      <c r="P82" s="76"/>
      <c r="Q82" s="76"/>
      <c r="R82" s="76"/>
      <c r="S82" s="75"/>
    </row>
    <row r="83" ht="15.75" spans="1:19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74"/>
      <c r="N83" s="75"/>
      <c r="O83" s="76"/>
      <c r="P83" s="76"/>
      <c r="Q83" s="76"/>
      <c r="R83" s="76"/>
      <c r="S83" s="75"/>
    </row>
    <row r="84" ht="15.75" spans="1:19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74"/>
      <c r="N84" s="75"/>
      <c r="O84" s="76"/>
      <c r="P84" s="76"/>
      <c r="Q84" s="76"/>
      <c r="R84" s="76"/>
      <c r="S84" s="75"/>
    </row>
    <row r="85" ht="15.75" spans="1:19">
      <c r="A85" s="62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74"/>
      <c r="N85" s="75"/>
      <c r="O85" s="76"/>
      <c r="P85" s="76"/>
      <c r="Q85" s="76"/>
      <c r="R85" s="76"/>
      <c r="S85" s="75"/>
    </row>
    <row r="86" ht="15.75" spans="1:19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74"/>
      <c r="N86" s="75"/>
      <c r="O86" s="76"/>
      <c r="P86" s="76"/>
      <c r="Q86" s="76"/>
      <c r="R86" s="76"/>
      <c r="S86" s="75"/>
    </row>
    <row r="87" ht="15.75" spans="1:19">
      <c r="A87" s="62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74"/>
      <c r="N87" s="75"/>
      <c r="O87" s="76"/>
      <c r="P87" s="76"/>
      <c r="Q87" s="76"/>
      <c r="R87" s="76"/>
      <c r="S87" s="75"/>
    </row>
    <row r="88" ht="15.75" spans="1:19">
      <c r="A88" s="62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74"/>
      <c r="N88" s="75"/>
      <c r="O88" s="76"/>
      <c r="P88" s="76"/>
      <c r="Q88" s="76"/>
      <c r="R88" s="76"/>
      <c r="S88" s="75"/>
    </row>
    <row r="89" ht="15.75" spans="1:19">
      <c r="A89" s="62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74"/>
      <c r="N89" s="75"/>
      <c r="O89" s="76"/>
      <c r="P89" s="76"/>
      <c r="Q89" s="76"/>
      <c r="R89" s="76"/>
      <c r="S89" s="75"/>
    </row>
    <row r="90" ht="15.75" spans="1:19">
      <c r="A90" s="62"/>
      <c r="B90" s="63"/>
      <c r="C90" s="63"/>
      <c r="D90" s="63"/>
      <c r="E90" s="63"/>
      <c r="F90" s="63"/>
      <c r="G90" s="63"/>
      <c r="H90" s="63"/>
      <c r="I90" s="63"/>
      <c r="L90"/>
      <c r="M90" s="74"/>
      <c r="N90" s="75"/>
      <c r="O90" s="76"/>
      <c r="P90" s="76"/>
      <c r="Q90" s="76"/>
      <c r="R90" s="76"/>
      <c r="S90" s="75"/>
    </row>
    <row r="91" ht="15.75" spans="1:19">
      <c r="A91" s="62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74"/>
      <c r="N91" s="75"/>
      <c r="O91" s="76"/>
      <c r="P91" s="76"/>
      <c r="Q91" s="76"/>
      <c r="R91" s="76"/>
      <c r="S91" s="75"/>
    </row>
    <row r="92" ht="15.75" spans="1:19">
      <c r="A92" s="62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74"/>
      <c r="N92" s="75"/>
      <c r="O92" s="76"/>
      <c r="P92" s="76"/>
      <c r="Q92" s="76"/>
      <c r="R92" s="76"/>
      <c r="S92" s="75"/>
    </row>
    <row r="93" ht="15.75" spans="1:19">
      <c r="A93" s="62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74"/>
      <c r="N93" s="75"/>
      <c r="O93" s="76"/>
      <c r="P93" s="76"/>
      <c r="Q93" s="76"/>
      <c r="R93" s="76"/>
      <c r="S93" s="75"/>
    </row>
    <row r="94" ht="15.75" spans="1:21">
      <c r="A94" s="62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74"/>
      <c r="N94" s="75"/>
      <c r="O94" s="76"/>
      <c r="P94" s="76"/>
      <c r="Q94" s="76"/>
      <c r="R94" s="76"/>
      <c r="S94" s="75"/>
      <c r="U94" t="s">
        <v>61</v>
      </c>
    </row>
    <row r="95" ht="15.75" spans="1:19">
      <c r="A95" s="62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74"/>
      <c r="N95" s="75"/>
      <c r="O95" s="76"/>
      <c r="P95" s="76"/>
      <c r="Q95" s="76"/>
      <c r="R95" s="76"/>
      <c r="S95" s="75"/>
    </row>
    <row r="96" ht="15.75" spans="1:19">
      <c r="A96" s="62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74"/>
      <c r="N96" s="75"/>
      <c r="O96" s="76"/>
      <c r="P96" s="76"/>
      <c r="Q96" s="76"/>
      <c r="R96" s="76"/>
      <c r="S96" s="75"/>
    </row>
    <row r="97" ht="15.75" spans="1:19">
      <c r="A97" s="62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74"/>
      <c r="N97" s="75"/>
      <c r="O97" s="76"/>
      <c r="P97" s="76"/>
      <c r="Q97" s="76"/>
      <c r="R97" s="76"/>
      <c r="S97" s="75"/>
    </row>
    <row r="98" ht="15.75" spans="1:19">
      <c r="A98" s="62"/>
      <c r="B98" s="63"/>
      <c r="C98" s="63"/>
      <c r="D98" s="63"/>
      <c r="E98" s="63"/>
      <c r="F98" s="63"/>
      <c r="G98" s="63"/>
      <c r="H98" s="63"/>
      <c r="I98" s="63"/>
      <c r="J98" s="62"/>
      <c r="K98" s="58"/>
      <c r="L98" s="74"/>
      <c r="M98" s="74"/>
      <c r="N98" s="75"/>
      <c r="O98" s="76"/>
      <c r="P98" s="76"/>
      <c r="Q98" s="76"/>
      <c r="R98" s="76"/>
      <c r="S98" s="75"/>
    </row>
    <row r="99" ht="15.75" spans="1:19">
      <c r="A99" s="62"/>
      <c r="B99" s="63"/>
      <c r="C99" s="63"/>
      <c r="D99" s="63"/>
      <c r="E99" s="63"/>
      <c r="F99" s="63"/>
      <c r="G99" s="63"/>
      <c r="H99" s="63"/>
      <c r="I99" s="63"/>
      <c r="J99" s="62"/>
      <c r="K99" s="58"/>
      <c r="L99" s="74"/>
      <c r="M99" s="74"/>
      <c r="N99" s="75"/>
      <c r="O99" s="76"/>
      <c r="P99" s="76"/>
      <c r="Q99" s="76"/>
      <c r="R99" s="76"/>
      <c r="S99" s="75"/>
    </row>
    <row r="100" ht="15.75" spans="1:19">
      <c r="A100" s="62"/>
      <c r="B100" s="63"/>
      <c r="C100" s="63"/>
      <c r="D100" s="63"/>
      <c r="E100" s="63"/>
      <c r="F100" s="63"/>
      <c r="G100" s="63"/>
      <c r="H100" s="63"/>
      <c r="I100" s="63"/>
      <c r="J100" s="62"/>
      <c r="K100" s="58"/>
      <c r="L100" s="74"/>
      <c r="M100" s="74"/>
      <c r="N100" s="75"/>
      <c r="O100" s="76"/>
      <c r="P100" s="76"/>
      <c r="Q100" s="76"/>
      <c r="R100" s="76"/>
      <c r="S100" s="75"/>
    </row>
    <row r="101" ht="15.75" spans="1:19">
      <c r="A101" s="62"/>
      <c r="B101" s="63"/>
      <c r="C101" s="63"/>
      <c r="D101" s="63"/>
      <c r="E101" s="63"/>
      <c r="F101" s="63"/>
      <c r="G101" s="63"/>
      <c r="H101" s="63"/>
      <c r="I101" s="63"/>
      <c r="J101" s="62"/>
      <c r="K101" s="58"/>
      <c r="L101" s="74"/>
      <c r="M101" s="74"/>
      <c r="N101" s="75"/>
      <c r="O101" s="76"/>
      <c r="P101" s="76"/>
      <c r="Q101" s="76"/>
      <c r="R101" s="76"/>
      <c r="S101" s="75"/>
    </row>
    <row r="102" ht="15.75" spans="1:20">
      <c r="A102" s="62"/>
      <c r="B102" s="63"/>
      <c r="C102" s="63"/>
      <c r="D102" s="63"/>
      <c r="E102" s="63"/>
      <c r="F102" s="63"/>
      <c r="G102" s="63"/>
      <c r="H102" s="63"/>
      <c r="I102" s="63"/>
      <c r="J102" s="62"/>
      <c r="K102" s="58"/>
      <c r="L102" s="74"/>
      <c r="M102" s="74"/>
      <c r="N102" s="75"/>
      <c r="O102" s="76"/>
      <c r="P102" s="76"/>
      <c r="Q102" s="76"/>
      <c r="R102" s="76"/>
      <c r="S102" s="75"/>
      <c r="T102" s="60"/>
    </row>
    <row r="103" ht="15.75" spans="1:20">
      <c r="A103" s="62"/>
      <c r="B103" s="63"/>
      <c r="C103" s="63"/>
      <c r="D103" s="63"/>
      <c r="E103" s="63"/>
      <c r="F103" s="63"/>
      <c r="G103" s="63"/>
      <c r="H103" s="63"/>
      <c r="I103" s="63"/>
      <c r="J103" s="58"/>
      <c r="K103" s="58"/>
      <c r="L103" s="74"/>
      <c r="M103" s="74"/>
      <c r="N103" s="75"/>
      <c r="O103" s="76"/>
      <c r="P103" s="76"/>
      <c r="Q103" s="76"/>
      <c r="R103" s="76"/>
      <c r="S103" s="75"/>
      <c r="T103" s="60"/>
    </row>
    <row r="104" ht="15.75" spans="1:20">
      <c r="A104" s="62"/>
      <c r="B104" s="63"/>
      <c r="C104" s="63"/>
      <c r="D104" s="63"/>
      <c r="E104" s="63"/>
      <c r="F104" s="63"/>
      <c r="G104" s="63"/>
      <c r="H104" s="63"/>
      <c r="I104" s="63"/>
      <c r="J104" s="62"/>
      <c r="K104" s="58"/>
      <c r="L104" s="74"/>
      <c r="M104" s="74"/>
      <c r="N104" s="75"/>
      <c r="O104" s="76"/>
      <c r="P104" s="76"/>
      <c r="Q104" s="76"/>
      <c r="R104" s="76"/>
      <c r="S104" s="75"/>
      <c r="T104" s="60"/>
    </row>
    <row r="105" ht="15.75" spans="1:20">
      <c r="A105" s="62"/>
      <c r="B105" s="63"/>
      <c r="C105" s="63"/>
      <c r="D105" s="63"/>
      <c r="E105" s="63"/>
      <c r="F105" s="63"/>
      <c r="G105" s="63"/>
      <c r="H105" s="63"/>
      <c r="I105" s="63"/>
      <c r="J105" s="62"/>
      <c r="K105" s="58"/>
      <c r="L105" s="74"/>
      <c r="M105" s="74"/>
      <c r="N105" s="75"/>
      <c r="O105" s="76"/>
      <c r="P105" s="76"/>
      <c r="Q105" s="76"/>
      <c r="R105" s="76"/>
      <c r="S105" s="75"/>
      <c r="T105" s="60"/>
    </row>
    <row r="106" ht="15.75" spans="1:20">
      <c r="A106" s="62"/>
      <c r="B106" s="63"/>
      <c r="C106" s="63"/>
      <c r="D106" s="63"/>
      <c r="E106" s="63"/>
      <c r="F106" s="63"/>
      <c r="G106" s="63"/>
      <c r="H106" s="63"/>
      <c r="I106" s="63"/>
      <c r="J106" s="62"/>
      <c r="K106" s="58"/>
      <c r="L106" s="74"/>
      <c r="M106" s="74"/>
      <c r="N106" s="75"/>
      <c r="O106" s="76"/>
      <c r="P106" s="76"/>
      <c r="Q106" s="76"/>
      <c r="R106" s="76"/>
      <c r="S106" s="75"/>
      <c r="T106" s="60"/>
    </row>
    <row r="107" s="57" customFormat="1" ht="33" customHeight="1" spans="1:20">
      <c r="A107" s="13"/>
      <c r="B107" s="87"/>
      <c r="C107" s="87"/>
      <c r="D107" s="87"/>
      <c r="E107" s="87"/>
      <c r="F107" s="87"/>
      <c r="G107" s="87"/>
      <c r="H107" s="63"/>
      <c r="I107" s="63"/>
      <c r="J107" s="62"/>
      <c r="K107" s="58"/>
      <c r="L107" s="87"/>
      <c r="M107" s="87"/>
      <c r="N107" s="90"/>
      <c r="O107" s="91"/>
      <c r="P107" s="91"/>
      <c r="Q107" s="95"/>
      <c r="R107" s="95"/>
      <c r="S107" s="90"/>
      <c r="T107" s="96"/>
    </row>
    <row r="108" s="57" customFormat="1" ht="15.75" spans="1:20">
      <c r="A108" s="88"/>
      <c r="B108" s="87"/>
      <c r="C108" s="87"/>
      <c r="D108" s="87"/>
      <c r="E108" s="87"/>
      <c r="F108" s="87"/>
      <c r="G108" s="87"/>
      <c r="H108" s="63"/>
      <c r="I108" s="63"/>
      <c r="J108" s="62"/>
      <c r="K108" s="58"/>
      <c r="L108" s="92"/>
      <c r="M108" s="93"/>
      <c r="N108" s="94"/>
      <c r="O108" s="94"/>
      <c r="P108" s="94"/>
      <c r="Q108" s="94"/>
      <c r="R108" s="94"/>
      <c r="S108" s="94"/>
      <c r="T108" s="97"/>
    </row>
    <row r="109" ht="15.75" spans="1:20">
      <c r="A109" s="89"/>
      <c r="B109" s="57"/>
      <c r="C109" s="57"/>
      <c r="D109" s="57"/>
      <c r="E109" s="57"/>
      <c r="F109" s="57"/>
      <c r="G109" s="57"/>
      <c r="H109" s="63"/>
      <c r="I109" s="63"/>
      <c r="J109" s="62"/>
      <c r="K109" s="58"/>
      <c r="L109" s="57"/>
      <c r="M109" s="93"/>
      <c r="N109" s="94"/>
      <c r="O109" s="94"/>
      <c r="P109" s="94"/>
      <c r="Q109" s="94"/>
      <c r="R109" s="94"/>
      <c r="S109" s="94"/>
      <c r="T109" s="97"/>
    </row>
    <row r="110" spans="11:13">
      <c r="K110" s="58"/>
      <c r="L110"/>
      <c r="M110"/>
    </row>
    <row r="111" spans="11:13">
      <c r="K111" s="58"/>
      <c r="L111"/>
      <c r="M111"/>
    </row>
    <row r="112" spans="11:13">
      <c r="K112" s="58"/>
      <c r="L112"/>
      <c r="M112"/>
    </row>
    <row r="113" spans="11:13">
      <c r="K113" s="58"/>
      <c r="L113"/>
      <c r="M113"/>
    </row>
    <row r="114" spans="12:13">
      <c r="L114"/>
      <c r="M114"/>
    </row>
    <row r="115" spans="12:13">
      <c r="L115"/>
      <c r="M115"/>
    </row>
    <row r="116" spans="12:13">
      <c r="L116"/>
      <c r="M116"/>
    </row>
    <row r="117" spans="12:13">
      <c r="L117"/>
      <c r="M117"/>
    </row>
    <row r="118" spans="12:13">
      <c r="L118"/>
      <c r="M118"/>
    </row>
    <row r="119" spans="12:13">
      <c r="L119"/>
      <c r="M119"/>
    </row>
    <row r="120" spans="12:13">
      <c r="L120"/>
      <c r="M120"/>
    </row>
    <row r="121" spans="12:13">
      <c r="L121"/>
      <c r="M121"/>
    </row>
    <row r="122" spans="12:13">
      <c r="L122"/>
      <c r="M122"/>
    </row>
    <row r="123" spans="12:13">
      <c r="L123"/>
      <c r="M123"/>
    </row>
    <row r="124" spans="12:13">
      <c r="L124"/>
      <c r="M124"/>
    </row>
    <row r="125" spans="12:13">
      <c r="L125"/>
      <c r="M125"/>
    </row>
    <row r="126" spans="12:13">
      <c r="L126"/>
      <c r="M126"/>
    </row>
    <row r="127" spans="12:13">
      <c r="L127"/>
      <c r="M127"/>
    </row>
    <row r="128" spans="12:13">
      <c r="L128"/>
      <c r="M128"/>
    </row>
    <row r="129" spans="12:13">
      <c r="L129"/>
      <c r="M129"/>
    </row>
    <row r="130" spans="12:13">
      <c r="L130"/>
      <c r="M130"/>
    </row>
    <row r="131" spans="12:13">
      <c r="L131"/>
      <c r="M131"/>
    </row>
    <row r="132" spans="12:13">
      <c r="L132"/>
      <c r="M132"/>
    </row>
    <row r="133" spans="12:13">
      <c r="L133"/>
      <c r="M133"/>
    </row>
    <row r="134" spans="12:13">
      <c r="L134"/>
      <c r="M134"/>
    </row>
    <row r="135" spans="12:13">
      <c r="L135"/>
      <c r="M135"/>
    </row>
    <row r="136" spans="12:13">
      <c r="L136"/>
      <c r="M136"/>
    </row>
    <row r="137" spans="12:13">
      <c r="L137"/>
      <c r="M137"/>
    </row>
    <row r="138" spans="12:13">
      <c r="L138"/>
      <c r="M13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17" sqref="D17"/>
    </sheetView>
  </sheetViews>
  <sheetFormatPr defaultColWidth="9" defaultRowHeight="14.25" outlineLevelCol="4"/>
  <cols>
    <col min="1" max="1" width="21.5666666666667" customWidth="1"/>
    <col min="2" max="2" width="13.5" customWidth="1"/>
    <col min="3" max="3" width="23.5666666666667" customWidth="1"/>
  </cols>
  <sheetData>
    <row r="1" ht="53" customHeight="1" spans="1:5">
      <c r="A1" s="46" t="s">
        <v>62</v>
      </c>
      <c r="B1" s="47"/>
      <c r="C1" s="47"/>
      <c r="D1" s="48"/>
      <c r="E1" s="48"/>
    </row>
    <row r="2" ht="15.75" spans="1:3">
      <c r="A2" s="11" t="s">
        <v>63</v>
      </c>
      <c r="B2" s="11"/>
      <c r="C2" s="11"/>
    </row>
    <row r="4" ht="9" customHeight="1" spans="1:5">
      <c r="A4" s="49"/>
      <c r="B4" s="50"/>
      <c r="C4" s="50"/>
      <c r="D4" s="49"/>
      <c r="E4" s="49"/>
    </row>
    <row r="5" spans="1:3">
      <c r="A5" s="51" t="s">
        <v>64</v>
      </c>
      <c r="B5" s="51" t="s">
        <v>65</v>
      </c>
      <c r="C5" s="51" t="s">
        <v>66</v>
      </c>
    </row>
    <row r="6" ht="18.75" spans="1:5">
      <c r="A6" s="52" t="s">
        <v>67</v>
      </c>
      <c r="B6" s="52" t="s">
        <v>67</v>
      </c>
      <c r="C6" s="53" t="s">
        <v>68</v>
      </c>
      <c r="D6" s="49"/>
      <c r="E6" s="49"/>
    </row>
    <row r="7" ht="24" customHeight="1" spans="1:3">
      <c r="A7" s="54" t="s">
        <v>69</v>
      </c>
      <c r="B7" s="54" t="s">
        <v>70</v>
      </c>
      <c r="C7" s="54" t="s">
        <v>71</v>
      </c>
    </row>
    <row r="8" ht="26" customHeight="1" spans="1:5">
      <c r="A8" s="55">
        <v>0.8042</v>
      </c>
      <c r="B8" s="55">
        <v>0.2135</v>
      </c>
      <c r="C8" s="56">
        <f>0.5*A8+0.5*B8</f>
        <v>0.50885</v>
      </c>
      <c r="D8" s="49"/>
      <c r="E8" s="49"/>
    </row>
    <row r="9" ht="30" customHeigh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opLeftCell="A12" workbookViewId="0">
      <selection activeCell="N25" sqref="N25"/>
    </sheetView>
  </sheetViews>
  <sheetFormatPr defaultColWidth="9" defaultRowHeight="15.75"/>
  <cols>
    <col min="1" max="1" width="16.8166666666667" style="11" customWidth="1"/>
    <col min="2" max="2" width="12.5666666666667" style="11"/>
    <col min="3" max="3" width="11.0666666666667" style="11"/>
    <col min="4" max="4" width="12.0666666666667" style="11" customWidth="1"/>
    <col min="5" max="5" width="11.0666666666667" style="11" customWidth="1"/>
    <col min="6" max="6" width="9" style="11"/>
    <col min="7" max="7" width="12" style="11" customWidth="1"/>
    <col min="8" max="8" width="18" style="11" customWidth="1"/>
    <col min="9" max="9" width="11.75" style="11" customWidth="1"/>
    <col min="10" max="10" width="10.5" style="11" customWidth="1"/>
    <col min="11" max="11" width="14" style="11" customWidth="1"/>
    <col min="12" max="12" width="9.81666666666667" style="11"/>
    <col min="13" max="16" width="9" style="11"/>
    <col min="17" max="17" width="11.5" style="11"/>
    <col min="18" max="18" width="9.31666666666667" style="11"/>
    <col min="19" max="16384" width="9" style="11"/>
  </cols>
  <sheetData>
    <row r="1" ht="31.5" spans="1:2">
      <c r="A1" s="12" t="s">
        <v>10</v>
      </c>
      <c r="B1" s="12" t="s">
        <v>72</v>
      </c>
    </row>
    <row r="2" spans="1:2">
      <c r="A2" s="13">
        <v>2020</v>
      </c>
      <c r="B2" s="14">
        <f>'Monitor data &amp; calculation'!B3</f>
        <v>33326.8</v>
      </c>
    </row>
    <row r="3" spans="1:2">
      <c r="A3" s="13">
        <f>A2+1</f>
        <v>2021</v>
      </c>
      <c r="B3" s="14">
        <f>'Monitor data &amp; calculation'!B16</f>
        <v>747504</v>
      </c>
    </row>
    <row r="4" spans="1:2">
      <c r="A4" s="13">
        <f t="shared" ref="A4:A9" si="0">A3+1</f>
        <v>2022</v>
      </c>
      <c r="B4" s="14">
        <f>'Monitor data &amp; calculation'!B29</f>
        <v>750685</v>
      </c>
    </row>
    <row r="5" spans="1:2">
      <c r="A5" s="13">
        <f t="shared" si="0"/>
        <v>2023</v>
      </c>
      <c r="B5" s="14"/>
    </row>
    <row r="6" spans="1:2">
      <c r="A6" s="13">
        <f t="shared" si="0"/>
        <v>2024</v>
      </c>
      <c r="B6" s="14"/>
    </row>
    <row r="7" spans="1:2">
      <c r="A7" s="13">
        <f t="shared" si="0"/>
        <v>2025</v>
      </c>
      <c r="B7" s="14"/>
    </row>
    <row r="8" spans="1:2">
      <c r="A8" s="13">
        <f t="shared" si="0"/>
        <v>2026</v>
      </c>
      <c r="B8" s="14"/>
    </row>
    <row r="9" spans="1:2">
      <c r="A9" s="13">
        <f t="shared" si="0"/>
        <v>2027</v>
      </c>
      <c r="B9" s="14"/>
    </row>
    <row r="10" ht="15" spans="1:2">
      <c r="A10" s="15" t="s">
        <v>73</v>
      </c>
      <c r="B10" s="16">
        <f>SUM(B2:B4)</f>
        <v>1531515.8</v>
      </c>
    </row>
    <row r="14" ht="15" spans="1:5">
      <c r="A14" s="17" t="s">
        <v>10</v>
      </c>
      <c r="B14" s="18" t="s">
        <v>74</v>
      </c>
      <c r="C14" s="18" t="s">
        <v>75</v>
      </c>
      <c r="D14" s="19" t="s">
        <v>76</v>
      </c>
      <c r="E14" s="20"/>
    </row>
    <row r="15" ht="15" spans="1:12">
      <c r="A15" s="21">
        <v>2020</v>
      </c>
      <c r="B15" s="16">
        <f>ROUNDDOWN('Monitor data &amp; calculation'!L3,0)</f>
        <v>4982</v>
      </c>
      <c r="C15" s="22">
        <f>ROUNDDOWN('Monitor data &amp; calculation'!M3,0)</f>
        <v>541</v>
      </c>
      <c r="D15" s="23">
        <f>ROUNDDOWN(B15+C15,0)</f>
        <v>5523</v>
      </c>
      <c r="E15" s="24"/>
      <c r="F15" s="24"/>
      <c r="G15" s="24"/>
      <c r="H15" s="24"/>
      <c r="I15" s="24"/>
      <c r="J15" s="24"/>
      <c r="K15" s="24"/>
      <c r="L15" s="24"/>
    </row>
    <row r="16" ht="15" spans="1:12">
      <c r="A16" s="21">
        <f t="shared" ref="A16:A22" si="1">A15+1</f>
        <v>2021</v>
      </c>
      <c r="B16" s="16">
        <f>ROUNDDOWN('Monitor data &amp; calculation'!L16,0)</f>
        <v>255812</v>
      </c>
      <c r="C16" s="22">
        <f>ROUNDDOWN('Monitor data &amp; calculation'!M16,0)</f>
        <v>27828</v>
      </c>
      <c r="D16" s="23">
        <f>ROUNDDOWN(B16+C16,0)</f>
        <v>283640</v>
      </c>
      <c r="E16" s="24"/>
      <c r="F16" s="24"/>
      <c r="G16" s="24"/>
      <c r="H16" s="24"/>
      <c r="I16" s="24"/>
      <c r="J16" s="24"/>
      <c r="K16" s="24"/>
      <c r="L16" s="24"/>
    </row>
    <row r="17" ht="15" spans="1:12">
      <c r="A17" s="21">
        <f t="shared" si="1"/>
        <v>2022</v>
      </c>
      <c r="B17" s="16">
        <f>ROUNDDOWN('Monitor data &amp; calculation'!L29,0)</f>
        <v>289539</v>
      </c>
      <c r="C17" s="22">
        <f>ROUNDDOWN('Monitor data &amp; calculation'!M29,0)</f>
        <v>32062</v>
      </c>
      <c r="D17" s="23">
        <f>ROUNDDOWN(B17+C17,0)</f>
        <v>321601</v>
      </c>
      <c r="E17" s="24"/>
      <c r="F17" s="24"/>
      <c r="G17" s="24"/>
      <c r="H17" s="24"/>
      <c r="I17" s="24"/>
      <c r="J17" s="24"/>
      <c r="K17" s="24"/>
      <c r="L17" s="24"/>
    </row>
    <row r="18" ht="15" spans="1:12">
      <c r="A18" s="21">
        <f t="shared" si="1"/>
        <v>2023</v>
      </c>
      <c r="B18" s="16">
        <f>ROUNDDOWN('Monitor data &amp; calculation'!L54,0)</f>
        <v>0</v>
      </c>
      <c r="C18" s="22">
        <f>ROUNDDOWN('Monitor data &amp; calculation'!M54,0)</f>
        <v>0</v>
      </c>
      <c r="D18" s="23">
        <f t="shared" ref="D18:D22" si="2">D6+E6</f>
        <v>0</v>
      </c>
      <c r="E18" s="24"/>
      <c r="F18" s="24"/>
      <c r="G18" s="24"/>
      <c r="H18" s="24"/>
      <c r="I18" s="24"/>
      <c r="J18" s="24"/>
      <c r="K18" s="24"/>
      <c r="L18" s="24"/>
    </row>
    <row r="19" ht="15" spans="1:12">
      <c r="A19" s="21">
        <f t="shared" si="1"/>
        <v>2024</v>
      </c>
      <c r="B19" s="16">
        <f>ROUNDDOWN('Monitor data &amp; calculation'!L67,0)</f>
        <v>0</v>
      </c>
      <c r="C19" s="22">
        <f>ROUNDDOWN('Monitor data &amp; calculation'!M67,0)</f>
        <v>0</v>
      </c>
      <c r="D19" s="23">
        <f t="shared" si="2"/>
        <v>0</v>
      </c>
      <c r="E19" s="24"/>
      <c r="F19" s="24"/>
      <c r="G19" s="24"/>
      <c r="H19" s="24"/>
      <c r="I19" s="24"/>
      <c r="J19" s="24"/>
      <c r="K19" s="24"/>
      <c r="L19" s="24"/>
    </row>
    <row r="20" ht="15" spans="1:12">
      <c r="A20" s="21">
        <f t="shared" si="1"/>
        <v>2025</v>
      </c>
      <c r="B20" s="16">
        <f>ROUNDDOWN('Monitor data &amp; calculation'!L80,0)</f>
        <v>0</v>
      </c>
      <c r="C20" s="22">
        <f>ROUNDDOWN('Monitor data &amp; calculation'!M80,0)</f>
        <v>0</v>
      </c>
      <c r="D20" s="23">
        <f t="shared" si="2"/>
        <v>0</v>
      </c>
      <c r="E20" s="24"/>
      <c r="F20" s="24"/>
      <c r="G20" s="24"/>
      <c r="H20" s="24"/>
      <c r="I20" s="24"/>
      <c r="J20" s="24"/>
      <c r="K20" s="24"/>
      <c r="L20" s="24"/>
    </row>
    <row r="21" ht="15" spans="1:12">
      <c r="A21" s="21">
        <f t="shared" si="1"/>
        <v>2026</v>
      </c>
      <c r="B21" s="16">
        <f>ROUNDDOWN('Monitor data &amp; calculation'!L93,0)</f>
        <v>0</v>
      </c>
      <c r="C21" s="22">
        <f>ROUNDDOWN('Monitor data &amp; calculation'!M93,0)</f>
        <v>0</v>
      </c>
      <c r="D21" s="23">
        <f t="shared" si="2"/>
        <v>0</v>
      </c>
      <c r="E21" s="24"/>
      <c r="F21" s="24"/>
      <c r="G21" s="24"/>
      <c r="H21" s="24"/>
      <c r="I21" s="24"/>
      <c r="J21" s="24"/>
      <c r="K21" s="24"/>
      <c r="L21" s="24"/>
    </row>
    <row r="22" spans="1:12">
      <c r="A22" s="21">
        <f t="shared" si="1"/>
        <v>2027</v>
      </c>
      <c r="B22" s="16">
        <f>ROUNDDOWN('Monitor data &amp; calculation'!L106,0)</f>
        <v>0</v>
      </c>
      <c r="C22" s="22">
        <f>ROUNDDOWN('Monitor data &amp; calculation'!M106,0)</f>
        <v>0</v>
      </c>
      <c r="D22" s="23">
        <f t="shared" si="2"/>
        <v>0</v>
      </c>
      <c r="E22" s="25"/>
      <c r="F22" s="24"/>
      <c r="G22" s="24"/>
      <c r="H22" s="24"/>
      <c r="I22" s="24"/>
      <c r="J22" s="24"/>
      <c r="K22" s="24"/>
      <c r="L22" s="24"/>
    </row>
    <row r="23" spans="1:12">
      <c r="A23" s="15" t="s">
        <v>73</v>
      </c>
      <c r="B23" s="16">
        <f>SUM(B15:B17)</f>
        <v>550333</v>
      </c>
      <c r="C23" s="16">
        <f>SUM(C15:C17)</f>
        <v>60431</v>
      </c>
      <c r="D23" s="16">
        <f>SUM(D15:D17)</f>
        <v>610764</v>
      </c>
      <c r="E23" s="24"/>
      <c r="G23" s="25"/>
      <c r="H23" s="25"/>
      <c r="I23" s="25"/>
      <c r="J23" s="24"/>
      <c r="K23" s="43"/>
      <c r="L23" s="24"/>
    </row>
    <row r="24" spans="5:5">
      <c r="E24" s="25"/>
    </row>
    <row r="25" ht="15" spans="1:5">
      <c r="A25" s="20"/>
      <c r="B25" s="20"/>
      <c r="C25" s="20"/>
      <c r="D25" s="20"/>
      <c r="E25" s="24"/>
    </row>
    <row r="26" ht="15" spans="1:5">
      <c r="A26" s="17" t="s">
        <v>10</v>
      </c>
      <c r="B26" s="19" t="s">
        <v>76</v>
      </c>
      <c r="C26" s="19" t="s">
        <v>77</v>
      </c>
      <c r="D26" s="19" t="s">
        <v>78</v>
      </c>
      <c r="E26" s="20"/>
    </row>
    <row r="27" ht="15" spans="1:5">
      <c r="A27" s="21">
        <v>2021</v>
      </c>
      <c r="B27" s="23">
        <f t="shared" ref="B27:B34" si="3">B15+C15</f>
        <v>5523</v>
      </c>
      <c r="C27" s="21">
        <f>'Monitor data &amp; calculation'!R16</f>
        <v>0</v>
      </c>
      <c r="D27" s="23">
        <f>ROUNDDOWN(B27-C27,0)</f>
        <v>5523</v>
      </c>
      <c r="E27" s="26"/>
    </row>
    <row r="28" ht="15" spans="1:5">
      <c r="A28" s="21">
        <f t="shared" ref="A28:A34" si="4">A27+1</f>
        <v>2022</v>
      </c>
      <c r="B28" s="23">
        <f t="shared" si="3"/>
        <v>283640</v>
      </c>
      <c r="C28" s="21">
        <v>0</v>
      </c>
      <c r="D28" s="23">
        <f t="shared" ref="D28:D34" si="5">B28-C28</f>
        <v>283640</v>
      </c>
      <c r="E28" s="26"/>
    </row>
    <row r="29" ht="15" spans="1:5">
      <c r="A29" s="21">
        <f t="shared" si="4"/>
        <v>2023</v>
      </c>
      <c r="B29" s="23">
        <f t="shared" si="3"/>
        <v>321601</v>
      </c>
      <c r="C29" s="21">
        <v>0</v>
      </c>
      <c r="D29" s="23">
        <f t="shared" si="5"/>
        <v>321601</v>
      </c>
      <c r="E29" s="26"/>
    </row>
    <row r="30" ht="15" spans="1:5">
      <c r="A30" s="21">
        <f t="shared" si="4"/>
        <v>2024</v>
      </c>
      <c r="B30" s="23">
        <f t="shared" si="3"/>
        <v>0</v>
      </c>
      <c r="C30" s="21">
        <v>0</v>
      </c>
      <c r="D30" s="23">
        <f t="shared" si="5"/>
        <v>0</v>
      </c>
      <c r="E30" s="26"/>
    </row>
    <row r="31" ht="15" spans="1:5">
      <c r="A31" s="21">
        <f t="shared" si="4"/>
        <v>2025</v>
      </c>
      <c r="B31" s="23">
        <f t="shared" si="3"/>
        <v>0</v>
      </c>
      <c r="C31" s="21">
        <v>0</v>
      </c>
      <c r="D31" s="23">
        <f t="shared" si="5"/>
        <v>0</v>
      </c>
      <c r="E31" s="26"/>
    </row>
    <row r="32" ht="15" spans="1:7">
      <c r="A32" s="21">
        <f t="shared" si="4"/>
        <v>2026</v>
      </c>
      <c r="B32" s="23">
        <f t="shared" si="3"/>
        <v>0</v>
      </c>
      <c r="C32" s="21">
        <v>0</v>
      </c>
      <c r="D32" s="23">
        <f t="shared" si="5"/>
        <v>0</v>
      </c>
      <c r="E32" s="26"/>
      <c r="G32" s="27"/>
    </row>
    <row r="33" ht="15" spans="1:5">
      <c r="A33" s="21">
        <f t="shared" si="4"/>
        <v>2027</v>
      </c>
      <c r="B33" s="23">
        <f t="shared" si="3"/>
        <v>0</v>
      </c>
      <c r="C33" s="21">
        <v>0</v>
      </c>
      <c r="D33" s="23">
        <f t="shared" si="5"/>
        <v>0</v>
      </c>
      <c r="E33" s="26"/>
    </row>
    <row r="34" ht="15" spans="1:5">
      <c r="A34" s="21">
        <f t="shared" si="4"/>
        <v>2028</v>
      </c>
      <c r="B34" s="23">
        <f t="shared" si="3"/>
        <v>0</v>
      </c>
      <c r="C34" s="21">
        <v>0</v>
      </c>
      <c r="D34" s="23">
        <f t="shared" si="5"/>
        <v>0</v>
      </c>
      <c r="E34" s="26"/>
    </row>
    <row r="35" spans="5:5">
      <c r="E35" s="26"/>
    </row>
    <row r="36" ht="15" spans="1:5">
      <c r="A36" s="20"/>
      <c r="B36" s="20"/>
      <c r="C36" s="20"/>
      <c r="D36" s="20"/>
      <c r="E36" s="20"/>
    </row>
    <row r="37" ht="60" spans="1:12">
      <c r="A37" s="17" t="s">
        <v>10</v>
      </c>
      <c r="B37" s="17" t="s">
        <v>79</v>
      </c>
      <c r="C37" s="17" t="s">
        <v>80</v>
      </c>
      <c r="D37" s="17" t="s">
        <v>81</v>
      </c>
      <c r="E37" s="17" t="s">
        <v>82</v>
      </c>
      <c r="F37" s="17" t="s">
        <v>83</v>
      </c>
      <c r="G37" s="17" t="s">
        <v>84</v>
      </c>
      <c r="H37"/>
      <c r="I37"/>
      <c r="J37"/>
      <c r="K37"/>
      <c r="L37"/>
    </row>
    <row r="38" ht="15" spans="1:12">
      <c r="A38" s="21" t="s">
        <v>29</v>
      </c>
      <c r="B38" s="28">
        <f>C27</f>
        <v>0</v>
      </c>
      <c r="C38" s="23">
        <f>ROUNDDOWN((B15+C15),0)</f>
        <v>5523</v>
      </c>
      <c r="D38" s="21">
        <v>0</v>
      </c>
      <c r="E38" s="23">
        <f>ROUNDDOWN((C38-B38-D38),0)</f>
        <v>5523</v>
      </c>
      <c r="F38" s="21">
        <v>5460</v>
      </c>
      <c r="G38" s="29">
        <f>E38/F38-1</f>
        <v>0.0115384615384615</v>
      </c>
      <c r="H38"/>
      <c r="I38"/>
      <c r="J38"/>
      <c r="K38"/>
      <c r="L38"/>
    </row>
    <row r="39" ht="15" spans="1:12">
      <c r="A39" s="21">
        <f>2020+1</f>
        <v>2021</v>
      </c>
      <c r="B39" s="21">
        <v>0</v>
      </c>
      <c r="C39" s="23">
        <f t="shared" ref="C39:C44" si="6">ROUNDDOWN(B16+C16,0)</f>
        <v>283640</v>
      </c>
      <c r="D39" s="21">
        <v>0</v>
      </c>
      <c r="E39" s="23">
        <f t="shared" ref="E39:E44" si="7">C39-B39-D39</f>
        <v>283640</v>
      </c>
      <c r="F39" s="21">
        <v>284942</v>
      </c>
      <c r="G39" s="29">
        <f>E39/F39-1</f>
        <v>-0.00456935095563304</v>
      </c>
      <c r="H39"/>
      <c r="I39"/>
      <c r="J39"/>
      <c r="K39"/>
      <c r="L39"/>
    </row>
    <row r="40" ht="15" spans="1:12">
      <c r="A40" s="21">
        <f t="shared" ref="A40:A44" si="8">A39+1</f>
        <v>2022</v>
      </c>
      <c r="B40" s="21">
        <v>0</v>
      </c>
      <c r="C40" s="23">
        <f t="shared" si="6"/>
        <v>321601</v>
      </c>
      <c r="D40" s="21">
        <v>0</v>
      </c>
      <c r="E40" s="23">
        <f t="shared" si="7"/>
        <v>321601</v>
      </c>
      <c r="F40" s="21">
        <v>327558</v>
      </c>
      <c r="G40" s="29">
        <f>E40/F40-1</f>
        <v>-0.0181860922340471</v>
      </c>
      <c r="H40"/>
      <c r="I40"/>
      <c r="J40"/>
      <c r="K40"/>
      <c r="L40"/>
    </row>
    <row r="41" spans="1:10">
      <c r="A41" s="21">
        <f t="shared" si="8"/>
        <v>2023</v>
      </c>
      <c r="B41" s="21">
        <v>0</v>
      </c>
      <c r="C41" s="23">
        <f t="shared" si="6"/>
        <v>0</v>
      </c>
      <c r="D41" s="21">
        <v>0</v>
      </c>
      <c r="E41" s="23">
        <f t="shared" si="7"/>
        <v>0</v>
      </c>
      <c r="F41" s="23"/>
      <c r="G41" s="23"/>
      <c r="I41" s="44"/>
      <c r="J41" s="45"/>
    </row>
    <row r="42" spans="1:10">
      <c r="A42" s="21">
        <f t="shared" si="8"/>
        <v>2024</v>
      </c>
      <c r="B42" s="21">
        <v>0</v>
      </c>
      <c r="C42" s="23">
        <f t="shared" si="6"/>
        <v>0</v>
      </c>
      <c r="D42" s="21">
        <v>0</v>
      </c>
      <c r="E42" s="23">
        <f t="shared" si="7"/>
        <v>0</v>
      </c>
      <c r="F42" s="23"/>
      <c r="G42" s="23"/>
      <c r="I42" s="44"/>
      <c r="J42" s="45"/>
    </row>
    <row r="43" ht="15" spans="1:7">
      <c r="A43" s="21">
        <f t="shared" si="8"/>
        <v>2025</v>
      </c>
      <c r="B43" s="21">
        <v>0</v>
      </c>
      <c r="C43" s="23">
        <f t="shared" si="6"/>
        <v>0</v>
      </c>
      <c r="D43" s="21">
        <v>0</v>
      </c>
      <c r="E43" s="23">
        <f t="shared" si="7"/>
        <v>0</v>
      </c>
      <c r="F43" s="23"/>
      <c r="G43" s="23"/>
    </row>
    <row r="44" ht="15" spans="1:7">
      <c r="A44" s="21">
        <f t="shared" si="8"/>
        <v>2026</v>
      </c>
      <c r="B44" s="21">
        <v>0</v>
      </c>
      <c r="C44" s="23">
        <f t="shared" si="6"/>
        <v>0</v>
      </c>
      <c r="D44" s="21">
        <v>0</v>
      </c>
      <c r="E44" s="23">
        <f t="shared" si="7"/>
        <v>0</v>
      </c>
      <c r="F44" s="23"/>
      <c r="G44" s="23"/>
    </row>
    <row r="45" ht="15" spans="1:7">
      <c r="A45" s="21" t="s">
        <v>85</v>
      </c>
      <c r="B45" s="21">
        <v>0</v>
      </c>
      <c r="C45" s="23">
        <f>ROUNDDOWN((B22+C22),0)</f>
        <v>0</v>
      </c>
      <c r="D45" s="21">
        <v>0</v>
      </c>
      <c r="E45" s="23">
        <f>(C45-B45-D45)</f>
        <v>0</v>
      </c>
      <c r="F45" s="23"/>
      <c r="G45" s="23"/>
    </row>
    <row r="46" ht="15" spans="1:7">
      <c r="A46" s="30" t="s">
        <v>73</v>
      </c>
      <c r="B46" s="31">
        <f>SUM(B38:B45)</f>
        <v>0</v>
      </c>
      <c r="C46" s="31">
        <f>SUM(C38:C45)</f>
        <v>610764</v>
      </c>
      <c r="D46" s="31">
        <f>SUM(D38:D45)</f>
        <v>0</v>
      </c>
      <c r="E46" s="31">
        <f>SUM(E38:E45)</f>
        <v>610764</v>
      </c>
      <c r="F46" s="31">
        <f>SUM(F38:F45)</f>
        <v>617960</v>
      </c>
      <c r="G46" s="32">
        <f>E46/F46-1</f>
        <v>-0.0116447666515632</v>
      </c>
    </row>
    <row r="47" spans="1:7">
      <c r="A47" s="33" t="s">
        <v>86</v>
      </c>
      <c r="B47" s="34"/>
      <c r="C47" s="34"/>
      <c r="D47" s="34"/>
      <c r="E47" s="31"/>
      <c r="F47" s="31"/>
      <c r="G47" s="31"/>
    </row>
    <row r="51" ht="63" spans="1:6">
      <c r="A51" s="35" t="s">
        <v>10</v>
      </c>
      <c r="B51" s="12" t="s">
        <v>87</v>
      </c>
      <c r="C51" s="12" t="s">
        <v>88</v>
      </c>
      <c r="D51" s="12" t="s">
        <v>89</v>
      </c>
      <c r="E51" s="12" t="s">
        <v>90</v>
      </c>
      <c r="F51" s="12" t="s">
        <v>91</v>
      </c>
    </row>
    <row r="52" spans="1:6">
      <c r="A52" s="21" t="s">
        <v>29</v>
      </c>
      <c r="B52" s="36">
        <f>'Monitor data &amp; calculation'!G3/1000</f>
        <v>1033</v>
      </c>
      <c r="C52" s="36">
        <f>'Monitor data &amp; calculation'!J3</f>
        <v>247.163679916339</v>
      </c>
      <c r="D52" s="36">
        <f>'Monitor data &amp; calculation'!E3</f>
        <v>344815.401669</v>
      </c>
      <c r="E52" s="37">
        <f>'Monitor data &amp; calculation'!I3</f>
        <v>1192</v>
      </c>
      <c r="F52" s="38">
        <f>C52*0.2</f>
        <v>49.4327359832678</v>
      </c>
    </row>
    <row r="53" spans="1:6">
      <c r="A53" s="21">
        <f>2020+1</f>
        <v>2021</v>
      </c>
      <c r="B53" s="36">
        <f>'Monitor data &amp; calculation'!G16/1000</f>
        <v>53096.7</v>
      </c>
      <c r="C53" s="36">
        <f>'Monitor data &amp; calculation'!J16</f>
        <v>12689.1088306756</v>
      </c>
      <c r="D53" s="36">
        <f>'Monitor data &amp; calculation'!E15</f>
        <v>1399146.439366</v>
      </c>
      <c r="E53" s="36">
        <f>'Monitor data &amp; calculation'!I16</f>
        <v>118878</v>
      </c>
      <c r="F53" s="38">
        <f t="shared" ref="F53:F55" si="9">C53*0.2</f>
        <v>2537.82176613511</v>
      </c>
    </row>
    <row r="54" spans="1:6">
      <c r="A54" s="21">
        <f t="shared" ref="A54:A58" si="10">A53+1</f>
        <v>2022</v>
      </c>
      <c r="B54" s="36">
        <f>'Monitor data &amp; calculation'!H29/1000</f>
        <v>61173.6</v>
      </c>
      <c r="C54" s="36">
        <f>'Monitor data &amp; calculation'!J29</f>
        <v>14362.0865919541</v>
      </c>
      <c r="D54" s="36">
        <f>'Monitor data &amp; calculation'!E29</f>
        <v>20036393.124936</v>
      </c>
      <c r="E54" s="36">
        <f>'Monitor data &amp; calculation'!I29</f>
        <v>144255</v>
      </c>
      <c r="F54" s="38">
        <f t="shared" si="9"/>
        <v>2872.41731839082</v>
      </c>
    </row>
    <row r="55" spans="1:6">
      <c r="A55" s="21">
        <f t="shared" si="10"/>
        <v>2023</v>
      </c>
      <c r="B55" s="36">
        <f>'Monitor data &amp; calculation'!H54/1000</f>
        <v>0</v>
      </c>
      <c r="C55" s="36">
        <f>'Monitor data &amp; calculation'!J54</f>
        <v>0</v>
      </c>
      <c r="D55" s="36">
        <f>'Monitor data &amp; calculation'!E54</f>
        <v>0</v>
      </c>
      <c r="E55" s="36">
        <f>'Monitor data &amp; calculation'!I54</f>
        <v>0</v>
      </c>
      <c r="F55" s="39">
        <f t="shared" si="9"/>
        <v>0</v>
      </c>
    </row>
    <row r="56" spans="1:6">
      <c r="A56" s="21">
        <f t="shared" si="10"/>
        <v>2024</v>
      </c>
      <c r="B56" s="36">
        <f>'Monitor data &amp; calculation'!H67/1000</f>
        <v>0</v>
      </c>
      <c r="C56" s="36">
        <f>'Monitor data &amp; calculation'!J67</f>
        <v>0</v>
      </c>
      <c r="D56" s="36">
        <f>'Monitor data &amp; calculation'!E67</f>
        <v>0</v>
      </c>
      <c r="E56" s="36">
        <f>'Monitor data &amp; calculation'!I67</f>
        <v>0</v>
      </c>
      <c r="F56" s="39">
        <f t="shared" ref="F56:F59" si="11">C56*0.2</f>
        <v>0</v>
      </c>
    </row>
    <row r="57" spans="1:6">
      <c r="A57" s="21">
        <f t="shared" si="10"/>
        <v>2025</v>
      </c>
      <c r="B57" s="36">
        <f>'Monitor data &amp; calculation'!H80/1000</f>
        <v>0</v>
      </c>
      <c r="C57" s="36">
        <f>'Monitor data &amp; calculation'!J80</f>
        <v>0</v>
      </c>
      <c r="D57" s="36">
        <f>'Monitor data &amp; calculation'!E80</f>
        <v>0</v>
      </c>
      <c r="E57" s="36">
        <f>'Monitor data &amp; calculation'!I80</f>
        <v>0</v>
      </c>
      <c r="F57" s="39">
        <f t="shared" si="11"/>
        <v>0</v>
      </c>
    </row>
    <row r="58" spans="1:6">
      <c r="A58" s="21">
        <f t="shared" si="10"/>
        <v>2026</v>
      </c>
      <c r="B58" s="36">
        <f>'Monitor data &amp; calculation'!H93/1000</f>
        <v>0</v>
      </c>
      <c r="C58" s="36">
        <f>'Monitor data &amp; calculation'!J80</f>
        <v>0</v>
      </c>
      <c r="D58" s="36">
        <f>'Monitor data &amp; calculation'!E93</f>
        <v>0</v>
      </c>
      <c r="E58" s="36">
        <f>'Monitor data &amp; calculation'!I93</f>
        <v>0</v>
      </c>
      <c r="F58" s="39">
        <f t="shared" si="11"/>
        <v>0</v>
      </c>
    </row>
    <row r="59" spans="1:6">
      <c r="A59" s="21" t="s">
        <v>85</v>
      </c>
      <c r="B59" s="36">
        <f>'Monitor data &amp; calculation'!H106/1000</f>
        <v>0</v>
      </c>
      <c r="C59" s="36">
        <v>0</v>
      </c>
      <c r="D59" s="36">
        <f>'Monitor data &amp; calculation'!E106</f>
        <v>0</v>
      </c>
      <c r="E59" s="36">
        <f>'Monitor data &amp; calculation'!I106</f>
        <v>0</v>
      </c>
      <c r="F59" s="39">
        <f t="shared" si="11"/>
        <v>0</v>
      </c>
    </row>
    <row r="60" ht="15" spans="1:6">
      <c r="A60" s="30"/>
      <c r="B60" s="31">
        <f t="shared" ref="B60:F60" si="12">SUM(B52:B59)</f>
        <v>115303.3</v>
      </c>
      <c r="C60" s="31">
        <f t="shared" si="12"/>
        <v>27298.359102546</v>
      </c>
      <c r="D60" s="31">
        <f t="shared" si="12"/>
        <v>21780354.965971</v>
      </c>
      <c r="E60" s="31">
        <f t="shared" si="12"/>
        <v>264325</v>
      </c>
      <c r="F60" s="40">
        <f t="shared" si="12"/>
        <v>5459.6718205092</v>
      </c>
    </row>
    <row r="61" spans="1:6">
      <c r="A61" s="33" t="s">
        <v>86</v>
      </c>
      <c r="B61" s="31"/>
      <c r="C61" s="34"/>
      <c r="D61" s="34"/>
      <c r="E61" s="31"/>
      <c r="F61" s="31"/>
    </row>
    <row r="62" spans="4:6">
      <c r="D62" s="11" t="s">
        <v>92</v>
      </c>
      <c r="E62" s="11" t="s">
        <v>93</v>
      </c>
      <c r="F62" s="11" t="s">
        <v>84</v>
      </c>
    </row>
    <row r="63" ht="47.25" spans="1:6">
      <c r="A63" s="13" t="s">
        <v>94</v>
      </c>
      <c r="B63" s="41"/>
      <c r="C63" s="41"/>
      <c r="D63" s="42">
        <f>ROUNDDOWN(E46,0)</f>
        <v>610764</v>
      </c>
      <c r="E63" s="42">
        <v>617960</v>
      </c>
      <c r="F63" s="29">
        <f>D63/E63-1</f>
        <v>-0.0116447666515632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opLeftCell="A4" workbookViewId="0">
      <selection activeCell="B19" sqref="B19"/>
    </sheetView>
  </sheetViews>
  <sheetFormatPr defaultColWidth="9" defaultRowHeight="14.25" outlineLevelRow="7" outlineLevelCol="4"/>
  <cols>
    <col min="1" max="1" width="14.875" customWidth="1"/>
    <col min="2" max="2" width="25.875" customWidth="1"/>
    <col min="3" max="3" width="20.625" customWidth="1"/>
    <col min="4" max="4" width="15" customWidth="1"/>
    <col min="5" max="5" width="26.375" customWidth="1"/>
    <col min="10" max="10" width="10.5" customWidth="1"/>
    <col min="11" max="11" width="11" customWidth="1"/>
    <col min="12" max="12" width="14.5" customWidth="1"/>
  </cols>
  <sheetData>
    <row r="1" spans="1:5">
      <c r="A1" s="1" t="s">
        <v>95</v>
      </c>
      <c r="B1" s="1"/>
      <c r="C1" s="1"/>
      <c r="D1" s="1"/>
      <c r="E1" s="2"/>
    </row>
    <row r="2" spans="1:5">
      <c r="A2" s="2"/>
      <c r="B2" s="2"/>
      <c r="C2" s="2"/>
      <c r="D2" s="2"/>
      <c r="E2" s="2"/>
    </row>
    <row r="3" ht="15" spans="2:2">
      <c r="B3" s="3"/>
    </row>
    <row r="4" ht="43.5" spans="1:5">
      <c r="A4" s="4" t="s">
        <v>10</v>
      </c>
      <c r="B4" s="4" t="s">
        <v>96</v>
      </c>
      <c r="C4" s="5" t="s">
        <v>97</v>
      </c>
      <c r="D4" s="5" t="s">
        <v>98</v>
      </c>
      <c r="E4" s="5" t="s">
        <v>99</v>
      </c>
    </row>
    <row r="5" ht="29.25" spans="1:5">
      <c r="A5" s="6" t="s">
        <v>29</v>
      </c>
      <c r="B5" s="6">
        <v>5460</v>
      </c>
      <c r="C5" s="7">
        <v>5523</v>
      </c>
      <c r="D5" s="8">
        <f>(C5/B5-1)*100%</f>
        <v>0.0115384615384615</v>
      </c>
      <c r="E5" s="9" t="s">
        <v>100</v>
      </c>
    </row>
    <row r="6" ht="43.05" customHeight="1" spans="1:5">
      <c r="A6" s="10">
        <f>2020+1</f>
        <v>2021</v>
      </c>
      <c r="B6" s="6">
        <v>284942</v>
      </c>
      <c r="C6" s="7">
        <v>283640</v>
      </c>
      <c r="D6" s="8">
        <f>(C6/B6-1)*100%</f>
        <v>-0.00456935095563304</v>
      </c>
      <c r="E6" s="9" t="s">
        <v>100</v>
      </c>
    </row>
    <row r="7" ht="29.25" spans="1:5">
      <c r="A7" s="10">
        <f>A6+1</f>
        <v>2022</v>
      </c>
      <c r="B7" s="6">
        <v>327558</v>
      </c>
      <c r="C7" s="7">
        <v>321601</v>
      </c>
      <c r="D7" s="8">
        <f>(C7/B7-1)*100%</f>
        <v>-0.0181860922340471</v>
      </c>
      <c r="E7" s="9" t="s">
        <v>100</v>
      </c>
    </row>
    <row r="8" ht="29.25" spans="1:5">
      <c r="A8" s="6" t="s">
        <v>101</v>
      </c>
      <c r="B8" s="6">
        <f>SUM(B5:B7)</f>
        <v>617960</v>
      </c>
      <c r="C8" s="7">
        <f>SUM(C5:C7)</f>
        <v>610764</v>
      </c>
      <c r="D8" s="8">
        <f>(C8/B8-1)*100%</f>
        <v>-0.0116447666515632</v>
      </c>
      <c r="E8" s="9" t="s">
        <v>100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Cover</vt:lpstr>
      <vt:lpstr>Monitor data &amp; calculation</vt:lpstr>
      <vt:lpstr>Grid emission factor</vt:lpstr>
      <vt:lpstr>MR Emission Reduction</vt:lpstr>
      <vt:lpstr>Comparison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郑照宁 Zheng Zhaoning</cp:lastModifiedBy>
  <dcterms:created xsi:type="dcterms:W3CDTF">1996-12-17T01:32:00Z</dcterms:created>
  <cp:lastPrinted>2009-08-25T07:42:00Z</cp:lastPrinted>
  <dcterms:modified xsi:type="dcterms:W3CDTF">2023-08-18T08:30:00Z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62BA84FD63004A35AA454C51A7BE2CB0_13</vt:lpwstr>
  </property>
  <property fmtid="{D5CDD505-2E9C-101B-9397-08002B2CF9AE}" pid="3" name="KSOProductBuildVer">
    <vt:lpwstr>2052-12.1.0.15120</vt:lpwstr>
  </property>
</Properties>
</file>