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g.wenjun\Documents\GS835-Hydro_Guanbaodu\13.Verification 11th\VVB 2nd Findings\"/>
    </mc:Choice>
  </mc:AlternateContent>
  <xr:revisionPtr revIDLastSave="0" documentId="13_ncr:1_{177D75D5-D688-4C53-BD70-1F2CEE83F9E3}" xr6:coauthVersionLast="47" xr6:coauthVersionMax="47" xr10:uidLastSave="{00000000-0000-0000-0000-000000000000}"/>
  <bookViews>
    <workbookView xWindow="-110" yWindow="-110" windowWidth="19420" windowHeight="11620" tabRatio="857" activeTab="5" xr2:uid="{00000000-000D-0000-FFFF-FFFF00000000}"/>
  </bookViews>
  <sheets>
    <sheet name="Cover" sheetId="11" r:id="rId1"/>
    <sheet name="SD contributions achieved" sheetId="9" r:id="rId2"/>
    <sheet name="Calculation of net benefits" sheetId="10" r:id="rId3"/>
    <sheet name="Comparison with PDD estimation" sheetId="2" r:id="rId4"/>
    <sheet name="ER calculation (2022)" sheetId="4" r:id="rId5"/>
    <sheet name="Electricity data" sheetId="5" r:id="rId6"/>
    <sheet name="Sheet1" sheetId="8" state="hidden" r:id="rId7"/>
    <sheet name="Liangjiangkou" sheetId="6" state="hidden" r:id="rId8"/>
    <sheet name="Guanbaodu" sheetId="7" state="hidden" r:id="rId9"/>
  </sheets>
  <definedNames>
    <definedName name="_Hlk74842238" localSheetId="2">'Calculation of net benefits'!$C$7</definedName>
    <definedName name="Check4" localSheetId="0">Cover!$C$15</definedName>
    <definedName name="Check8" localSheetId="0">Cover!$C$13</definedName>
  </definedNames>
  <calcPr calcId="191029"/>
</workbook>
</file>

<file path=xl/calcChain.xml><?xml version="1.0" encoding="utf-8"?>
<calcChain xmlns="http://schemas.openxmlformats.org/spreadsheetml/2006/main">
  <c r="I11" i="5" l="1"/>
  <c r="Q14" i="4"/>
  <c r="F3" i="10"/>
  <c r="E3" i="10"/>
  <c r="H3" i="4" l="1"/>
  <c r="F3" i="4"/>
  <c r="C8" i="4"/>
  <c r="B8" i="4"/>
  <c r="E10" i="9"/>
  <c r="E11" i="9" s="1"/>
  <c r="D20" i="9"/>
  <c r="D21" i="9"/>
  <c r="D22" i="9"/>
  <c r="D23" i="9"/>
  <c r="D24" i="9"/>
  <c r="D25" i="9"/>
  <c r="D26" i="9"/>
  <c r="D27" i="9"/>
  <c r="D28" i="9"/>
  <c r="D29" i="9"/>
  <c r="D30" i="9"/>
  <c r="D19" i="9"/>
  <c r="F31" i="9"/>
  <c r="G28" i="9"/>
  <c r="G21" i="9"/>
  <c r="G20" i="9"/>
  <c r="G19" i="9"/>
  <c r="G31" i="9" s="1"/>
  <c r="C31" i="9"/>
  <c r="G30" i="9"/>
  <c r="G29" i="9"/>
  <c r="G27" i="9"/>
  <c r="G26" i="9"/>
  <c r="G25" i="9"/>
  <c r="G24" i="9"/>
  <c r="G23" i="9"/>
  <c r="G22" i="9"/>
  <c r="D31" i="9" l="1"/>
  <c r="I15" i="5"/>
  <c r="F15" i="5"/>
  <c r="J15" i="5" s="1"/>
  <c r="N22" i="5"/>
  <c r="K22" i="5"/>
  <c r="P15" i="5"/>
  <c r="M15" i="5"/>
  <c r="Q15" i="5" l="1"/>
  <c r="H3" i="5"/>
  <c r="F3" i="5"/>
  <c r="D3" i="2"/>
  <c r="C3" i="2"/>
  <c r="O22" i="5" l="1"/>
  <c r="L22" i="5" l="1"/>
  <c r="P10" i="5"/>
  <c r="P11" i="5"/>
  <c r="P12" i="5"/>
  <c r="P13" i="5"/>
  <c r="P14" i="5"/>
  <c r="P16" i="5"/>
  <c r="P17" i="5"/>
  <c r="P18" i="5"/>
  <c r="P19" i="5"/>
  <c r="P20" i="5"/>
  <c r="P21" i="5"/>
  <c r="P9" i="5"/>
  <c r="E30" i="5"/>
  <c r="E29" i="5"/>
  <c r="G17" i="10"/>
  <c r="G18" i="10"/>
  <c r="G12" i="10"/>
  <c r="G11" i="10"/>
  <c r="G10" i="10" s="1"/>
  <c r="M9" i="5"/>
  <c r="E8" i="9"/>
  <c r="M21" i="5"/>
  <c r="M10" i="5"/>
  <c r="M11" i="5"/>
  <c r="M12" i="5"/>
  <c r="M13" i="5"/>
  <c r="M14" i="5"/>
  <c r="M16" i="5"/>
  <c r="M17" i="5"/>
  <c r="M18" i="5"/>
  <c r="M19" i="5"/>
  <c r="Q19" i="5" s="1"/>
  <c r="M20" i="5"/>
  <c r="H22" i="5"/>
  <c r="E22" i="5"/>
  <c r="G3" i="10"/>
  <c r="G3" i="9"/>
  <c r="Q21" i="5" l="1"/>
  <c r="G16" i="10"/>
  <c r="H16" i="10" s="1"/>
  <c r="Q18" i="5"/>
  <c r="Q16" i="5"/>
  <c r="Q13" i="5"/>
  <c r="M22" i="5"/>
  <c r="Q20" i="5"/>
  <c r="Q12" i="5"/>
  <c r="Q17" i="5"/>
  <c r="Q11" i="5"/>
  <c r="Q14" i="5"/>
  <c r="P22" i="5"/>
  <c r="L8" i="4" s="1"/>
  <c r="Q10" i="5"/>
  <c r="Q9" i="5"/>
  <c r="G19" i="10"/>
  <c r="H10" i="10"/>
  <c r="H11" i="10"/>
  <c r="H12" i="10"/>
  <c r="H17" i="10"/>
  <c r="H18" i="10"/>
  <c r="G20" i="10"/>
  <c r="H20" i="10" s="1"/>
  <c r="Q22" i="5" l="1"/>
  <c r="G21" i="10"/>
  <c r="H21" i="10" s="1"/>
  <c r="H19" i="10"/>
  <c r="E10" i="2" s="1"/>
  <c r="E9" i="2"/>
  <c r="E7" i="2"/>
  <c r="G22" i="5"/>
  <c r="D22" i="5"/>
  <c r="A4" i="8" l="1"/>
  <c r="A3" i="8"/>
  <c r="B1" i="8"/>
  <c r="E40" i="6" l="1"/>
  <c r="G37" i="6"/>
  <c r="G38" i="6"/>
  <c r="G39" i="6"/>
  <c r="D34" i="6"/>
  <c r="F34" i="6" s="1"/>
  <c r="G34" i="6" s="1"/>
  <c r="D35" i="6"/>
  <c r="F35" i="6" s="1"/>
  <c r="G35" i="6" s="1"/>
  <c r="D36" i="6"/>
  <c r="F36" i="6" s="1"/>
  <c r="G36" i="6" s="1"/>
  <c r="D33" i="6"/>
  <c r="F33" i="6" s="1"/>
  <c r="G33" i="6" s="1"/>
  <c r="F32" i="6"/>
  <c r="G32" i="6" s="1"/>
  <c r="F40" i="6" l="1"/>
  <c r="G40" i="6" s="1"/>
  <c r="C41" i="6"/>
  <c r="L4" i="6" l="1"/>
  <c r="L5" i="6"/>
  <c r="L6" i="6"/>
  <c r="L7" i="6"/>
  <c r="L8" i="6"/>
  <c r="L9" i="6"/>
  <c r="L10" i="6"/>
  <c r="L11" i="6"/>
  <c r="L12" i="6"/>
  <c r="L13" i="6"/>
  <c r="L14" i="6"/>
  <c r="K4" i="6"/>
  <c r="K5" i="6"/>
  <c r="K6" i="6"/>
  <c r="K7" i="6"/>
  <c r="K8" i="6"/>
  <c r="K9" i="6"/>
  <c r="K10" i="6"/>
  <c r="K11" i="6"/>
  <c r="K12" i="6"/>
  <c r="K13" i="6"/>
  <c r="K14" i="6"/>
  <c r="J4" i="6"/>
  <c r="J5" i="6"/>
  <c r="J6" i="6"/>
  <c r="J7" i="6"/>
  <c r="J8" i="6"/>
  <c r="J9" i="6"/>
  <c r="J10" i="6"/>
  <c r="J11" i="6"/>
  <c r="J12" i="6"/>
  <c r="J13" i="6"/>
  <c r="J14" i="6"/>
  <c r="J3" i="6"/>
  <c r="K3" i="6"/>
  <c r="L3" i="6"/>
  <c r="I4" i="6"/>
  <c r="I5" i="6"/>
  <c r="I6" i="6"/>
  <c r="I7" i="6"/>
  <c r="I8" i="6"/>
  <c r="I9" i="6"/>
  <c r="I10" i="6"/>
  <c r="I11" i="6"/>
  <c r="I12" i="6"/>
  <c r="I13" i="6"/>
  <c r="I14" i="6"/>
  <c r="I3" i="6"/>
  <c r="F35" i="7"/>
  <c r="F36" i="7"/>
  <c r="F37" i="7"/>
  <c r="F38" i="7"/>
  <c r="F39" i="7"/>
  <c r="F40" i="7"/>
  <c r="F41" i="7"/>
  <c r="F42" i="7"/>
  <c r="F43" i="7"/>
  <c r="F44" i="7"/>
  <c r="F45" i="7"/>
  <c r="F34" i="7"/>
  <c r="E35" i="7"/>
  <c r="E36" i="7"/>
  <c r="E37" i="7"/>
  <c r="E38" i="7"/>
  <c r="E39" i="7"/>
  <c r="E40" i="7"/>
  <c r="E41" i="7"/>
  <c r="E42" i="7"/>
  <c r="E43" i="7"/>
  <c r="E44" i="7"/>
  <c r="E45" i="7"/>
  <c r="E34" i="7"/>
  <c r="C45" i="7"/>
  <c r="C44" i="7"/>
  <c r="C43" i="7"/>
  <c r="C42" i="7"/>
  <c r="C41" i="7"/>
  <c r="C40" i="7"/>
  <c r="C39" i="7"/>
  <c r="C38" i="7"/>
  <c r="C37" i="7"/>
  <c r="C36" i="7"/>
  <c r="C35" i="7"/>
  <c r="C34" i="7"/>
  <c r="B33" i="7"/>
  <c r="C15" i="7"/>
  <c r="D15" i="7"/>
  <c r="E15" i="7"/>
  <c r="B15" i="7"/>
  <c r="C29" i="6" l="1"/>
  <c r="D15" i="6"/>
  <c r="E15" i="6"/>
  <c r="F15" i="6"/>
  <c r="C15" i="6"/>
  <c r="D29" i="6" l="1"/>
  <c r="F10" i="5" l="1"/>
  <c r="F11" i="5"/>
  <c r="F12" i="5"/>
  <c r="F13" i="5"/>
  <c r="F14" i="5"/>
  <c r="F16" i="5"/>
  <c r="F17" i="5"/>
  <c r="F18" i="5"/>
  <c r="F19" i="5"/>
  <c r="F20" i="5"/>
  <c r="F21" i="5"/>
  <c r="F9" i="5"/>
  <c r="F22" i="5" l="1"/>
  <c r="D8" i="4" s="1"/>
  <c r="I21" i="5"/>
  <c r="J21" i="5" s="1"/>
  <c r="I20" i="5"/>
  <c r="J20" i="5" s="1"/>
  <c r="I19" i="5"/>
  <c r="J19" i="5" s="1"/>
  <c r="I18" i="5"/>
  <c r="J18" i="5" s="1"/>
  <c r="I17" i="5"/>
  <c r="J17" i="5" s="1"/>
  <c r="I16" i="5"/>
  <c r="J16" i="5" s="1"/>
  <c r="I14" i="5"/>
  <c r="J14" i="5" s="1"/>
  <c r="I13" i="5"/>
  <c r="J13" i="5" s="1"/>
  <c r="I12" i="5"/>
  <c r="J12" i="5" s="1"/>
  <c r="J11" i="5"/>
  <c r="I10" i="5"/>
  <c r="J10" i="5" s="1"/>
  <c r="I9" i="5"/>
  <c r="J9" i="5" s="1"/>
  <c r="K3" i="5"/>
  <c r="E3" i="2"/>
  <c r="J3" i="4"/>
  <c r="J22" i="5" l="1"/>
  <c r="I22" i="5"/>
  <c r="E8" i="4" s="1"/>
  <c r="F8" i="4" s="1"/>
  <c r="K8" i="4"/>
  <c r="M8" i="4" l="1"/>
  <c r="G9" i="9" s="1"/>
  <c r="G15" i="10" s="1"/>
  <c r="G8" i="4"/>
  <c r="J8" i="4" s="1"/>
  <c r="J14" i="4" s="1"/>
  <c r="R8" i="4"/>
  <c r="E9" i="9"/>
  <c r="N8" i="4"/>
  <c r="Q8" i="4" s="1"/>
  <c r="S8" i="4" l="1"/>
  <c r="H15" i="10"/>
  <c r="E7" i="9"/>
  <c r="F9" i="9"/>
  <c r="F7" i="9"/>
  <c r="G8" i="10" s="1"/>
  <c r="H8" i="10" l="1"/>
  <c r="G14" i="10"/>
  <c r="G13" i="10" l="1"/>
  <c r="H14" i="10"/>
  <c r="H13" i="10" l="1"/>
  <c r="E8" i="2" s="1"/>
  <c r="G7" i="9"/>
  <c r="G9" i="10" s="1"/>
  <c r="G7" i="10" s="1"/>
  <c r="H7" i="10" s="1"/>
  <c r="H9" i="10" l="1"/>
  <c r="E11" i="2"/>
  <c r="E12" i="2" s="1"/>
</calcChain>
</file>

<file path=xl/sharedStrings.xml><?xml version="1.0" encoding="utf-8"?>
<sst xmlns="http://schemas.openxmlformats.org/spreadsheetml/2006/main" count="279" uniqueCount="166">
  <si>
    <t>From</t>
  </si>
  <si>
    <t>To</t>
  </si>
  <si>
    <t>Monitoring period:</t>
  </si>
  <si>
    <t>days</t>
  </si>
  <si>
    <t>Period</t>
  </si>
  <si>
    <t>Guanbaodu</t>
  </si>
  <si>
    <t>Liangjiangkou</t>
  </si>
  <si>
    <r>
      <rPr>
        <b/>
        <sz val="10"/>
        <color indexed="8"/>
        <rFont val="Calibri"/>
        <family val="2"/>
      </rPr>
      <t>EG</t>
    </r>
    <r>
      <rPr>
        <b/>
        <vertAlign val="subscript"/>
        <sz val="10"/>
        <color indexed="8"/>
        <rFont val="Calibri"/>
        <family val="2"/>
      </rPr>
      <t>Exported</t>
    </r>
    <r>
      <rPr>
        <b/>
        <sz val="10"/>
        <color indexed="8"/>
        <rFont val="Calibri"/>
        <family val="2"/>
      </rPr>
      <t xml:space="preserve">
</t>
    </r>
    <r>
      <rPr>
        <b/>
        <sz val="8"/>
        <color indexed="8"/>
        <rFont val="Calibri"/>
        <family val="2"/>
      </rPr>
      <t>(Mwh)</t>
    </r>
  </si>
  <si>
    <r>
      <rPr>
        <b/>
        <sz val="10"/>
        <color indexed="8"/>
        <rFont val="Calibri"/>
        <family val="2"/>
      </rPr>
      <t>EG</t>
    </r>
    <r>
      <rPr>
        <b/>
        <vertAlign val="subscript"/>
        <sz val="10"/>
        <color indexed="8"/>
        <rFont val="Calibri"/>
        <family val="2"/>
      </rPr>
      <t>Imported</t>
    </r>
    <r>
      <rPr>
        <b/>
        <sz val="10"/>
        <color indexed="8"/>
        <rFont val="Calibri"/>
        <family val="2"/>
      </rPr>
      <t xml:space="preserve">
</t>
    </r>
    <r>
      <rPr>
        <b/>
        <sz val="8"/>
        <color indexed="8"/>
        <rFont val="Calibri"/>
        <family val="2"/>
      </rPr>
      <t>(Mwh)</t>
    </r>
  </si>
  <si>
    <r>
      <rPr>
        <b/>
        <sz val="10"/>
        <color indexed="8"/>
        <rFont val="Calibri"/>
        <family val="2"/>
      </rPr>
      <t>EG</t>
    </r>
    <r>
      <rPr>
        <b/>
        <vertAlign val="subscript"/>
        <sz val="10"/>
        <color indexed="8"/>
        <rFont val="Calibri"/>
        <family val="2"/>
      </rPr>
      <t xml:space="preserve">PJ,y </t>
    </r>
    <r>
      <rPr>
        <b/>
        <sz val="10"/>
        <color indexed="8"/>
        <rFont val="Calibri"/>
        <family val="2"/>
      </rPr>
      <t xml:space="preserve">
</t>
    </r>
    <r>
      <rPr>
        <b/>
        <sz val="8"/>
        <color indexed="8"/>
        <rFont val="Calibri"/>
        <family val="2"/>
      </rPr>
      <t>(Mwh)</t>
    </r>
  </si>
  <si>
    <r>
      <rPr>
        <b/>
        <sz val="10"/>
        <color indexed="8"/>
        <rFont val="Calibri"/>
        <family val="2"/>
      </rPr>
      <t>BE</t>
    </r>
    <r>
      <rPr>
        <b/>
        <vertAlign val="subscript"/>
        <sz val="10"/>
        <color indexed="8"/>
        <rFont val="Calibri"/>
        <family val="2"/>
      </rPr>
      <t xml:space="preserve">y 
</t>
    </r>
    <r>
      <rPr>
        <b/>
        <sz val="8"/>
        <color indexed="8"/>
        <rFont val="Calibri"/>
        <family val="2"/>
      </rPr>
      <t>(tCO</t>
    </r>
    <r>
      <rPr>
        <b/>
        <vertAlign val="subscript"/>
        <sz val="8"/>
        <color indexed="8"/>
        <rFont val="Calibri"/>
        <family val="2"/>
      </rPr>
      <t>2</t>
    </r>
    <r>
      <rPr>
        <b/>
        <sz val="8"/>
        <color indexed="8"/>
        <rFont val="Calibri"/>
        <family val="2"/>
      </rPr>
      <t>e)</t>
    </r>
  </si>
  <si>
    <r>
      <rPr>
        <b/>
        <sz val="10"/>
        <color indexed="8"/>
        <rFont val="Calibri"/>
        <family val="2"/>
      </rPr>
      <t>PE</t>
    </r>
    <r>
      <rPr>
        <b/>
        <vertAlign val="subscript"/>
        <sz val="10"/>
        <color indexed="8"/>
        <rFont val="Calibri"/>
        <family val="2"/>
      </rPr>
      <t xml:space="preserve">y 
</t>
    </r>
    <r>
      <rPr>
        <b/>
        <sz val="8"/>
        <color indexed="8"/>
        <rFont val="Calibri"/>
        <family val="2"/>
      </rPr>
      <t>(tCO</t>
    </r>
    <r>
      <rPr>
        <b/>
        <vertAlign val="subscript"/>
        <sz val="8"/>
        <color indexed="8"/>
        <rFont val="Calibri"/>
        <family val="2"/>
      </rPr>
      <t>2</t>
    </r>
    <r>
      <rPr>
        <b/>
        <sz val="8"/>
        <color indexed="8"/>
        <rFont val="Calibri"/>
        <family val="2"/>
      </rPr>
      <t>e)</t>
    </r>
  </si>
  <si>
    <r>
      <rPr>
        <b/>
        <sz val="10"/>
        <color indexed="8"/>
        <rFont val="Calibri"/>
        <family val="2"/>
      </rPr>
      <t>LE</t>
    </r>
    <r>
      <rPr>
        <b/>
        <vertAlign val="subscript"/>
        <sz val="10"/>
        <color indexed="8"/>
        <rFont val="Calibri"/>
        <family val="2"/>
      </rPr>
      <t xml:space="preserve">y 
</t>
    </r>
    <r>
      <rPr>
        <b/>
        <sz val="8"/>
        <color indexed="8"/>
        <rFont val="Calibri"/>
        <family val="2"/>
      </rPr>
      <t>(tCO</t>
    </r>
    <r>
      <rPr>
        <b/>
        <vertAlign val="subscript"/>
        <sz val="8"/>
        <color indexed="8"/>
        <rFont val="Calibri"/>
        <family val="2"/>
      </rPr>
      <t>3</t>
    </r>
    <r>
      <rPr>
        <b/>
        <sz val="8"/>
        <color indexed="8"/>
        <rFont val="Calibri"/>
        <family val="2"/>
      </rPr>
      <t>e)</t>
    </r>
  </si>
  <si>
    <r>
      <rPr>
        <b/>
        <sz val="10"/>
        <color indexed="8"/>
        <rFont val="Calibri"/>
        <family val="2"/>
      </rPr>
      <t>ER</t>
    </r>
    <r>
      <rPr>
        <b/>
        <vertAlign val="subscript"/>
        <sz val="10"/>
        <color indexed="8"/>
        <rFont val="Calibri"/>
        <family val="2"/>
      </rPr>
      <t xml:space="preserve">y 
</t>
    </r>
    <r>
      <rPr>
        <b/>
        <sz val="8"/>
        <color indexed="8"/>
        <rFont val="Calibri"/>
        <family val="2"/>
      </rPr>
      <t>(tCO</t>
    </r>
    <r>
      <rPr>
        <b/>
        <vertAlign val="subscript"/>
        <sz val="8"/>
        <color indexed="8"/>
        <rFont val="Calibri"/>
        <family val="2"/>
      </rPr>
      <t>2</t>
    </r>
    <r>
      <rPr>
        <b/>
        <sz val="8"/>
        <color indexed="8"/>
        <rFont val="Calibri"/>
        <family val="2"/>
      </rPr>
      <t>e)</t>
    </r>
  </si>
  <si>
    <t>A</t>
  </si>
  <si>
    <t>B</t>
  </si>
  <si>
    <t>C=A-B</t>
  </si>
  <si>
    <r>
      <rPr>
        <sz val="8"/>
        <color indexed="23"/>
        <rFont val="Calibri"/>
        <family val="2"/>
      </rPr>
      <t>D= C</t>
    </r>
    <r>
      <rPr>
        <vertAlign val="subscript"/>
        <sz val="8"/>
        <color indexed="23"/>
        <rFont val="Calibri"/>
        <family val="2"/>
      </rPr>
      <t xml:space="preserve"> </t>
    </r>
    <r>
      <rPr>
        <sz val="8"/>
        <color indexed="23"/>
        <rFont val="Calibri"/>
        <family val="2"/>
      </rPr>
      <t>× EF</t>
    </r>
    <r>
      <rPr>
        <vertAlign val="subscript"/>
        <sz val="8"/>
        <color indexed="23"/>
        <rFont val="Calibri"/>
        <family val="2"/>
      </rPr>
      <t>grid,CM,y</t>
    </r>
  </si>
  <si>
    <t>E</t>
  </si>
  <si>
    <t>F</t>
  </si>
  <si>
    <t>G=D-E-F</t>
  </si>
  <si>
    <t>Comparison with PDD estimation</t>
  </si>
  <si>
    <t>Reading records</t>
  </si>
  <si>
    <r>
      <rPr>
        <b/>
        <sz val="10"/>
        <color indexed="8"/>
        <rFont val="Calibri"/>
        <family val="2"/>
      </rPr>
      <t>EG</t>
    </r>
    <r>
      <rPr>
        <b/>
        <vertAlign val="subscript"/>
        <sz val="10"/>
        <color indexed="8"/>
        <rFont val="Calibri"/>
        <family val="2"/>
      </rPr>
      <t>Exported</t>
    </r>
  </si>
  <si>
    <r>
      <rPr>
        <b/>
        <sz val="10"/>
        <color indexed="8"/>
        <rFont val="Calibri"/>
        <family val="2"/>
      </rPr>
      <t>EG</t>
    </r>
    <r>
      <rPr>
        <b/>
        <vertAlign val="subscript"/>
        <sz val="10"/>
        <color indexed="8"/>
        <rFont val="Calibri"/>
        <family val="2"/>
      </rPr>
      <t>Imported</t>
    </r>
  </si>
  <si>
    <t>MWh</t>
  </si>
  <si>
    <t>C=min(A,B)</t>
  </si>
  <si>
    <t>D</t>
  </si>
  <si>
    <t>Annual</t>
    <phoneticPr fontId="24" type="noConversion"/>
  </si>
  <si>
    <t>Electricity Generation and ER Calculatoin of Each Project</t>
    <phoneticPr fontId="24" type="noConversion"/>
  </si>
  <si>
    <r>
      <t xml:space="preserve">Emission factor </t>
    </r>
    <r>
      <rPr>
        <i/>
        <sz val="11"/>
        <color indexed="8"/>
        <rFont val="Calibri"/>
        <family val="2"/>
      </rPr>
      <t>EF</t>
    </r>
    <r>
      <rPr>
        <i/>
        <vertAlign val="subscript"/>
        <sz val="11"/>
        <color indexed="8"/>
        <rFont val="Calibri"/>
        <family val="2"/>
      </rPr>
      <t xml:space="preserve">grid,CM,y </t>
    </r>
    <r>
      <rPr>
        <b/>
        <sz val="11"/>
        <color indexed="8"/>
        <rFont val="Calibri"/>
        <family val="2"/>
      </rPr>
      <t>:</t>
    </r>
    <phoneticPr fontId="24" type="noConversion"/>
  </si>
  <si>
    <r>
      <t>EG</t>
    </r>
    <r>
      <rPr>
        <b/>
        <vertAlign val="subscript"/>
        <sz val="10"/>
        <color indexed="8"/>
        <rFont val="Calibri"/>
        <family val="2"/>
      </rPr>
      <t>Imported</t>
    </r>
    <r>
      <rPr>
        <b/>
        <sz val="10"/>
        <color indexed="8"/>
        <rFont val="Calibri"/>
        <family val="2"/>
      </rPr>
      <t xml:space="preserve">
</t>
    </r>
    <r>
      <rPr>
        <b/>
        <sz val="8"/>
        <color indexed="8"/>
        <rFont val="Calibri"/>
        <family val="2"/>
      </rPr>
      <t>(Mwh)</t>
    </r>
    <phoneticPr fontId="24" type="noConversion"/>
  </si>
  <si>
    <r>
      <t>tCO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e/MWh</t>
    </r>
    <phoneticPr fontId="24" type="noConversion"/>
  </si>
  <si>
    <r>
      <t xml:space="preserve">Emission factor </t>
    </r>
    <r>
      <rPr>
        <i/>
        <sz val="11"/>
        <color indexed="8"/>
        <rFont val="Calibri"/>
        <family val="2"/>
      </rPr>
      <t>EF</t>
    </r>
    <r>
      <rPr>
        <i/>
        <vertAlign val="subscript"/>
        <sz val="11"/>
        <color indexed="8"/>
        <rFont val="Calibri"/>
        <family val="2"/>
      </rPr>
      <t xml:space="preserve">grid,CM,y </t>
    </r>
    <r>
      <rPr>
        <b/>
        <sz val="11"/>
        <color indexed="8"/>
        <rFont val="Calibri"/>
        <family val="2"/>
      </rPr>
      <t>:0.5983 tCO2e/MWh</t>
    </r>
    <phoneticPr fontId="24" type="noConversion"/>
  </si>
  <si>
    <t>Liangjiangkou</t>
    <phoneticPr fontId="24" type="noConversion"/>
  </si>
  <si>
    <t>输出电网有功</t>
    <phoneticPr fontId="24" type="noConversion"/>
  </si>
  <si>
    <t>输入电网有功</t>
    <phoneticPr fontId="24" type="noConversion"/>
  </si>
  <si>
    <t>结算</t>
    <phoneticPr fontId="24" type="noConversion"/>
  </si>
  <si>
    <t>抄表</t>
    <phoneticPr fontId="24" type="noConversion"/>
  </si>
  <si>
    <t>售电发票电量</t>
    <phoneticPr fontId="24" type="noConversion"/>
  </si>
  <si>
    <t>2019/11/27不清晰 金额除以单价</t>
    <phoneticPr fontId="24" type="noConversion"/>
  </si>
  <si>
    <t>总计</t>
    <phoneticPr fontId="24" type="noConversion"/>
  </si>
  <si>
    <t>结算电量</t>
    <phoneticPr fontId="24" type="noConversion"/>
  </si>
  <si>
    <t>抄表电量</t>
    <phoneticPr fontId="24" type="noConversion"/>
  </si>
  <si>
    <t>售电发票</t>
    <phoneticPr fontId="24" type="noConversion"/>
  </si>
  <si>
    <t>上网电量</t>
    <phoneticPr fontId="24" type="noConversion"/>
  </si>
  <si>
    <t>下网电量</t>
    <phoneticPr fontId="24" type="noConversion"/>
  </si>
  <si>
    <t>2016-2017</t>
    <phoneticPr fontId="24" type="noConversion"/>
  </si>
  <si>
    <t>2009-2010</t>
    <phoneticPr fontId="24" type="noConversion"/>
  </si>
  <si>
    <t>历年上网电量</t>
    <phoneticPr fontId="24" type="noConversion"/>
  </si>
  <si>
    <t>净上网电量</t>
    <phoneticPr fontId="24" type="noConversion"/>
  </si>
  <si>
    <t>累计电量</t>
    <phoneticPr fontId="24" type="noConversion"/>
  </si>
  <si>
    <t>预估净上网电量</t>
    <phoneticPr fontId="24" type="noConversion"/>
  </si>
  <si>
    <t>F=max(D,E)</t>
    <phoneticPr fontId="24" type="noConversion"/>
  </si>
  <si>
    <t>2020/01/20</t>
    <phoneticPr fontId="24" type="noConversion"/>
  </si>
  <si>
    <t>SDG</t>
  </si>
  <si>
    <t>SDG Impact</t>
  </si>
  <si>
    <t>Emissions Reductions (The bundled project)</t>
  </si>
  <si>
    <t>Emissions Reductions (Guanbaodu)</t>
  </si>
  <si>
    <t>Emissions Reductions (Liangjiangkou)</t>
  </si>
  <si>
    <t>Number of women employees (The bundled project)</t>
  </si>
  <si>
    <t>Number of women employees (Guanbaodu)</t>
  </si>
  <si>
    <t>Number of women employees (Liangjiangkou)</t>
  </si>
  <si>
    <t>MWh of renewable energy generated (The bundled project)</t>
  </si>
  <si>
    <t>MWh of renewable energy generated (Guanbaodu)</t>
  </si>
  <si>
    <t>MWh of renewable energy generated (Liangjiangkou)</t>
  </si>
  <si>
    <t>Number of job positions and training opportunities (The bundled project)</t>
  </si>
  <si>
    <t>Number of job positions and training opportunities (Guanbaodu)</t>
  </si>
  <si>
    <t>Number of job positions and training opportunities (Liangjiangkou)</t>
  </si>
  <si>
    <t>Salary level (The bundled project)</t>
  </si>
  <si>
    <t>Salary level (Guanbaodu)</t>
  </si>
  <si>
    <t>Salary level (Liangjiangkou)</t>
  </si>
  <si>
    <t>MWh/year</t>
    <phoneticPr fontId="24" type="noConversion"/>
  </si>
  <si>
    <t>Baseline estimate</t>
    <phoneticPr fontId="24" type="noConversion"/>
  </si>
  <si>
    <t>Project estimate</t>
    <phoneticPr fontId="24" type="noConversion"/>
  </si>
  <si>
    <t>Net benefit</t>
    <phoneticPr fontId="24" type="noConversion"/>
  </si>
  <si>
    <t>Unit</t>
    <phoneticPr fontId="24" type="noConversion"/>
  </si>
  <si>
    <t>/</t>
    <phoneticPr fontId="24" type="noConversion"/>
  </si>
  <si>
    <t>Women employees</t>
    <phoneticPr fontId="24" type="noConversion"/>
  </si>
  <si>
    <t>Value</t>
    <phoneticPr fontId="24" type="noConversion"/>
  </si>
  <si>
    <t>The bundled project</t>
    <phoneticPr fontId="24" type="noConversion"/>
  </si>
  <si>
    <t>Guanbaodu</t>
    <phoneticPr fontId="24" type="noConversion"/>
  </si>
  <si>
    <t>Liangjiangkou</t>
    <phoneticPr fontId="24" type="noConversion"/>
  </si>
  <si>
    <t>SD contributions achieved</t>
    <phoneticPr fontId="24" type="noConversion"/>
  </si>
  <si>
    <t>Emissions Reductions</t>
    <phoneticPr fontId="24" type="noConversion"/>
  </si>
  <si>
    <t>MWh of renewable energy generated</t>
    <phoneticPr fontId="24" type="noConversion"/>
  </si>
  <si>
    <t>Number of job positions and training opportunities</t>
    <phoneticPr fontId="24" type="noConversion"/>
  </si>
  <si>
    <t>Salary level</t>
    <phoneticPr fontId="24" type="noConversion"/>
  </si>
  <si>
    <t>Source</t>
    <phoneticPr fontId="24" type="noConversion"/>
  </si>
  <si>
    <r>
      <t>tCO</t>
    </r>
    <r>
      <rPr>
        <vertAlign val="subscript"/>
        <sz val="10"/>
        <color rgb="FF000000"/>
        <rFont val="Calibri"/>
        <family val="2"/>
      </rPr>
      <t>2</t>
    </r>
    <r>
      <rPr>
        <sz val="10"/>
        <color indexed="8"/>
        <rFont val="Calibri"/>
        <family val="2"/>
      </rPr>
      <t>e/year</t>
    </r>
    <phoneticPr fontId="24" type="noConversion"/>
  </si>
  <si>
    <t>Guanbaodu_payroll.pdf
Lianjiangkou_payroll.pdf</t>
    <phoneticPr fontId="24" type="noConversion"/>
  </si>
  <si>
    <t>Guanbaodu training records.pdf
Lianjiangkou training record.pdf</t>
    <phoneticPr fontId="24" type="noConversion"/>
  </si>
  <si>
    <t>Calculated</t>
    <phoneticPr fontId="24" type="noConversion"/>
  </si>
  <si>
    <t>SDG Indicator 13.3.2</t>
    <phoneticPr fontId="24" type="noConversion"/>
  </si>
  <si>
    <t>SDG Indicator 5.1.1</t>
    <phoneticPr fontId="24" type="noConversion"/>
  </si>
  <si>
    <t>SDG Indicator 7.2.1</t>
    <phoneticPr fontId="24" type="noConversion"/>
  </si>
  <si>
    <t>SDG Indicator 8.3.1</t>
    <phoneticPr fontId="24" type="noConversion"/>
  </si>
  <si>
    <t>SDG Indicator 8.5.1</t>
    <phoneticPr fontId="24" type="noConversion"/>
  </si>
  <si>
    <t>1,100~3,773</t>
    <phoneticPr fontId="24" type="noConversion"/>
  </si>
  <si>
    <t>MWh/year</t>
    <phoneticPr fontId="24" type="noConversion"/>
  </si>
  <si>
    <t>/</t>
    <phoneticPr fontId="24" type="noConversion"/>
  </si>
  <si>
    <t>SDG</t>
    <phoneticPr fontId="24" type="noConversion"/>
  </si>
  <si>
    <t>GS ID (s) of Project (s)</t>
  </si>
  <si>
    <t>Title of the project (s) covered by monitoring report</t>
  </si>
  <si>
    <t>Hunan Guanbaodu-Liangjiangkou Small-scale Hydropower Bundle Project</t>
  </si>
  <si>
    <t>Version number of the PDD/VPA-DD (s) applicable to this monitoring report</t>
  </si>
  <si>
    <t>Version number of the monitoring report</t>
  </si>
  <si>
    <t xml:space="preserve">Completion date of the monitoring report </t>
  </si>
  <si>
    <t>Date of project design certification</t>
  </si>
  <si>
    <t>31/12/2010</t>
  </si>
  <si>
    <t>Date of Last Annual Report</t>
  </si>
  <si>
    <t xml:space="preserve">Monitoring period number </t>
  </si>
  <si>
    <t xml:space="preserve">Duration of this monitoring period </t>
  </si>
  <si>
    <t xml:space="preserve">Project Representative </t>
  </si>
  <si>
    <t>Climate Bridge (Shanghai) Ltd.</t>
  </si>
  <si>
    <t>Host Country</t>
  </si>
  <si>
    <t>P. R. China</t>
  </si>
  <si>
    <t>Activity Requirements applied</t>
  </si>
  <si>
    <t xml:space="preserve"> Renewable Energy Activities </t>
  </si>
  <si>
    <t>Methodology (ies) applied and version number</t>
  </si>
  <si>
    <t>CDM Methodology ACM0002 “Grid-connected electricity generation from renewable sources” (Version 16.0)</t>
  </si>
  <si>
    <t>Product Requirements applied</t>
  </si>
  <si>
    <t xml:space="preserve"> GHG Emissions Reduction &amp; Sequestration </t>
  </si>
  <si>
    <t>This MP</t>
    <phoneticPr fontId="24" type="noConversion"/>
  </si>
  <si>
    <t>MWh</t>
    <phoneticPr fontId="24" type="noConversion"/>
  </si>
  <si>
    <r>
      <t>tCO</t>
    </r>
    <r>
      <rPr>
        <vertAlign val="subscript"/>
        <sz val="10"/>
        <color rgb="FF000000"/>
        <rFont val="Calibri"/>
        <family val="2"/>
      </rPr>
      <t>2</t>
    </r>
    <r>
      <rPr>
        <sz val="10"/>
        <color indexed="8"/>
        <rFont val="Calibri"/>
        <family val="2"/>
      </rPr>
      <t>e</t>
    </r>
    <phoneticPr fontId="24" type="noConversion"/>
  </si>
  <si>
    <t>SD contributions achieved</t>
    <phoneticPr fontId="24" type="noConversion"/>
  </si>
  <si>
    <t>Calculation of net benefits</t>
    <phoneticPr fontId="24" type="noConversion"/>
  </si>
  <si>
    <t>I=G+G</t>
    <phoneticPr fontId="24" type="noConversion"/>
  </si>
  <si>
    <t>H=C+C</t>
    <phoneticPr fontId="24" type="noConversion"/>
  </si>
  <si>
    <t>Installed capacity</t>
    <phoneticPr fontId="24" type="noConversion"/>
  </si>
  <si>
    <t>Area of the reservoir</t>
    <phoneticPr fontId="24" type="noConversion"/>
  </si>
  <si>
    <t>m2</t>
    <phoneticPr fontId="24" type="noConversion"/>
  </si>
  <si>
    <t>MW</t>
    <phoneticPr fontId="24" type="noConversion"/>
  </si>
  <si>
    <t>Power density</t>
    <phoneticPr fontId="24" type="noConversion"/>
  </si>
  <si>
    <t>W/m2</t>
    <phoneticPr fontId="24" type="noConversion"/>
  </si>
  <si>
    <r>
      <t>EG</t>
    </r>
    <r>
      <rPr>
        <b/>
        <vertAlign val="subscript"/>
        <sz val="10"/>
        <color rgb="FF000000"/>
        <rFont val="Calibri"/>
        <family val="2"/>
      </rPr>
      <t>PJ,y</t>
    </r>
    <phoneticPr fontId="24" type="noConversion"/>
  </si>
  <si>
    <t>G=C-F</t>
    <phoneticPr fontId="24" type="noConversion"/>
  </si>
  <si>
    <t>Terms</t>
    <phoneticPr fontId="24" type="noConversion"/>
  </si>
  <si>
    <r>
      <t xml:space="preserve">Emission factor </t>
    </r>
    <r>
      <rPr>
        <i/>
        <sz val="10"/>
        <color indexed="8"/>
        <rFont val="Calibri"/>
        <family val="2"/>
      </rPr>
      <t>EF</t>
    </r>
    <r>
      <rPr>
        <i/>
        <vertAlign val="subscript"/>
        <sz val="10"/>
        <color indexed="8"/>
        <rFont val="Calibri"/>
        <family val="2"/>
      </rPr>
      <t xml:space="preserve">grid,CM,y </t>
    </r>
    <r>
      <rPr>
        <b/>
        <sz val="10"/>
        <color indexed="8"/>
        <rFont val="Calibri"/>
        <family val="2"/>
      </rPr>
      <t>:</t>
    </r>
  </si>
  <si>
    <r>
      <t>tCO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e/MWh</t>
    </r>
  </si>
  <si>
    <r>
      <t>Values estimated in ex-ante calculation of registered PDD (tCO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>e)</t>
    </r>
    <phoneticPr fontId="24" type="noConversion"/>
  </si>
  <si>
    <r>
      <t>Actual values achieved during this monitoring period (tCO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>e)</t>
    </r>
    <phoneticPr fontId="24" type="noConversion"/>
  </si>
  <si>
    <r>
      <t>tCO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e/year</t>
    </r>
    <phoneticPr fontId="24" type="noConversion"/>
  </si>
  <si>
    <t>CNY/month</t>
  </si>
  <si>
    <t>CNY/month</t>
    <phoneticPr fontId="24" type="noConversion"/>
  </si>
  <si>
    <t>ETN&amp;Invoice</t>
    <phoneticPr fontId="24" type="noConversion"/>
  </si>
  <si>
    <t>Meter readings&amp; Electricity Transaction Notes (ETN)&amp;Invoice</t>
    <phoneticPr fontId="24" type="noConversion"/>
  </si>
  <si>
    <t>GSF Registry (goldstandard.org)</t>
  </si>
  <si>
    <t>2022 Subtotal</t>
    <phoneticPr fontId="24" type="noConversion"/>
  </si>
  <si>
    <t>NA</t>
    <phoneticPr fontId="24" type="noConversion"/>
  </si>
  <si>
    <t>Salary Statistics</t>
    <phoneticPr fontId="42" type="noConversion"/>
  </si>
  <si>
    <t>guanbaodu</t>
    <phoneticPr fontId="42" type="noConversion"/>
  </si>
  <si>
    <t>liangjiangkou</t>
    <phoneticPr fontId="42" type="noConversion"/>
  </si>
  <si>
    <t>month</t>
    <phoneticPr fontId="42" type="noConversion"/>
  </si>
  <si>
    <t>net payment in total</t>
    <phoneticPr fontId="42" type="noConversion"/>
  </si>
  <si>
    <t>net payment per person</t>
    <phoneticPr fontId="42" type="noConversion"/>
  </si>
  <si>
    <t xml:space="preserve">net payment </t>
    <phoneticPr fontId="42" type="noConversion"/>
  </si>
  <si>
    <t>average</t>
    <phoneticPr fontId="42" type="noConversion"/>
  </si>
  <si>
    <t>Note: 
The general recording date is 20th of each month from 01-Jan-2022 to 20-Jun-2022 and is the last day of each month from 01-Jul-2022 to 31-Dec-2022. There is an extra recording on 30-Jun-2022 because of the change of the recording day. the electricity during 21/12/2021 to 31/12/2021 has been deducted from the data on 20-Jan-2022. the relevant data came from PO's reading records which have been confirmed by the grid company.</t>
    <phoneticPr fontId="24" type="noConversion"/>
  </si>
  <si>
    <t>11th</t>
    <phoneticPr fontId="24" type="noConversion"/>
  </si>
  <si>
    <t>02</t>
    <phoneticPr fontId="24" type="noConversion"/>
  </si>
  <si>
    <t>07/09/2023</t>
    <phoneticPr fontId="24" type="noConversion"/>
  </si>
  <si>
    <r>
      <t xml:space="preserve">01/01/2022 to 31/12/2022 </t>
    </r>
    <r>
      <rPr>
        <sz val="10"/>
        <rFont val="Calibri"/>
        <family val="2"/>
      </rPr>
      <t>(First and last days included)</t>
    </r>
    <phoneticPr fontId="24" type="noConversion"/>
  </si>
  <si>
    <t>comparison with the estimated emission reduction during this monitoring period</t>
    <phoneticPr fontId="24" type="noConversion"/>
  </si>
  <si>
    <t>Note: 
The general recording date is the 20th of each month from 01-Jan-2022 to 20-Jun-2022 and is the last day of each month from 21-Jun-2022 to 31-Dec-2022.  The electricity generated from 21/12/2021 to 31/12/2021 has been counted and calculated in the last monitoring period from 01/01/2021 to 31/12/2021 and has been deducted from the ETN on 20/01/2022, which has been confirmed by the local power grid company. the relevant data came from PO's reading records which have been confirmed by the grid company.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</si>
</sst>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76" formatCode="#,##0.00_);[Red]\(#,##0.00\)"/>
    <numFmt numFmtId="177" formatCode="0.00000"/>
    <numFmt numFmtId="178" formatCode="0.00_ "/>
    <numFmt numFmtId="179" formatCode="dd/mm/yyyy;@"/>
    <numFmt numFmtId="180" formatCode="0_);[Red]\(0\)"/>
    <numFmt numFmtId="181" formatCode="#,##0.000_);[Red]\(#,##0.000\)"/>
    <numFmt numFmtId="182" formatCode="#,##0_);[Red]\(#,##0\)"/>
    <numFmt numFmtId="183" formatCode="#,##0_ "/>
    <numFmt numFmtId="184" formatCode="0.0000"/>
    <numFmt numFmtId="185" formatCode="#,##0.000_ "/>
    <numFmt numFmtId="186" formatCode="#,##0.000000_);[Red]\(#,##0.000000\)"/>
    <numFmt numFmtId="187" formatCode="yyyy/m/d;@"/>
    <numFmt numFmtId="188" formatCode="#,##0.00_ "/>
    <numFmt numFmtId="189" formatCode="_ * #,##0_ ;_ * \-#,##0_ ;_ * &quot;-&quot;??_ ;_ @_ "/>
  </numFmts>
  <fonts count="43" x14ac:knownFonts="1">
    <font>
      <sz val="11"/>
      <color theme="1"/>
      <name val="宋体"/>
      <charset val="134"/>
      <scheme val="minor"/>
    </font>
    <font>
      <sz val="10"/>
      <color indexed="8"/>
      <name val="Calibri"/>
      <family val="2"/>
    </font>
    <font>
      <sz val="8"/>
      <color indexed="23"/>
      <name val="Calibri"/>
      <family val="2"/>
    </font>
    <font>
      <b/>
      <i/>
      <sz val="10"/>
      <color indexed="3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23"/>
      <name val="Calibri"/>
      <family val="2"/>
    </font>
    <font>
      <sz val="10"/>
      <name val="Calibri"/>
      <family val="2"/>
    </font>
    <font>
      <sz val="10"/>
      <color theme="4"/>
      <name val="Calibri"/>
      <family val="2"/>
    </font>
    <font>
      <b/>
      <i/>
      <sz val="10"/>
      <color theme="4"/>
      <name val="Calibri"/>
      <family val="2"/>
    </font>
    <font>
      <i/>
      <sz val="10"/>
      <color theme="4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vertAlign val="subscript"/>
      <sz val="10"/>
      <color indexed="8"/>
      <name val="Calibri"/>
      <family val="2"/>
    </font>
    <font>
      <vertAlign val="subscript"/>
      <sz val="11"/>
      <color indexed="8"/>
      <name val="Calibri"/>
      <family val="2"/>
    </font>
    <font>
      <b/>
      <sz val="8"/>
      <color indexed="8"/>
      <name val="Calibri"/>
      <family val="2"/>
    </font>
    <font>
      <b/>
      <vertAlign val="subscript"/>
      <sz val="8"/>
      <color indexed="8"/>
      <name val="Calibri"/>
      <family val="2"/>
    </font>
    <font>
      <vertAlign val="subscript"/>
      <sz val="8"/>
      <color indexed="23"/>
      <name val="Calibri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vertAlign val="subscript"/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vertAlign val="subscript"/>
      <sz val="10"/>
      <color rgb="FF000000"/>
      <name val="Calibri"/>
      <family val="2"/>
    </font>
    <font>
      <i/>
      <sz val="10"/>
      <color indexed="8"/>
      <name val="Calibri"/>
      <family val="2"/>
    </font>
    <font>
      <i/>
      <vertAlign val="subscript"/>
      <sz val="10"/>
      <color indexed="8"/>
      <name val="Calibri"/>
      <family val="2"/>
    </font>
    <font>
      <vertAlign val="subscript"/>
      <sz val="10"/>
      <color indexed="8"/>
      <name val="Calibri"/>
      <family val="2"/>
    </font>
    <font>
      <b/>
      <vertAlign val="subscript"/>
      <sz val="10"/>
      <color theme="1"/>
      <name val="Calibri"/>
      <family val="2"/>
    </font>
    <font>
      <sz val="10"/>
      <color theme="1"/>
      <name val="宋体"/>
      <family val="3"/>
      <charset val="134"/>
      <scheme val="minor"/>
    </font>
    <font>
      <vertAlign val="subscript"/>
      <sz val="10"/>
      <color theme="1"/>
      <name val="Calibri"/>
      <family val="2"/>
    </font>
    <font>
      <u/>
      <sz val="11"/>
      <color theme="10"/>
      <name val="宋体"/>
      <family val="3"/>
      <charset val="134"/>
      <scheme val="minor"/>
    </font>
    <font>
      <sz val="10"/>
      <color theme="0" tint="-0.499984740745262"/>
      <name val="Calibri"/>
      <family val="2"/>
    </font>
    <font>
      <sz val="12"/>
      <color theme="1"/>
      <name val="Calibri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vertical="center" wrapText="1"/>
    </xf>
    <xf numFmtId="178" fontId="8" fillId="0" borderId="4" xfId="0" applyNumberFormat="1" applyFont="1" applyBorder="1" applyAlignment="1">
      <alignment horizontal="center" vertical="center" wrapText="1"/>
    </xf>
    <xf numFmtId="178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9" fontId="10" fillId="0" borderId="4" xfId="0" applyNumberFormat="1" applyFont="1" applyBorder="1" applyAlignment="1">
      <alignment horizontal="center" vertical="center"/>
    </xf>
    <xf numFmtId="179" fontId="10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  <xf numFmtId="180" fontId="6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180" fontId="15" fillId="0" borderId="0" xfId="0" applyNumberFormat="1" applyFont="1" applyAlignment="1">
      <alignment horizontal="right" vertical="center"/>
    </xf>
    <xf numFmtId="179" fontId="6" fillId="0" borderId="0" xfId="0" applyNumberFormat="1" applyFont="1">
      <alignment vertical="center"/>
    </xf>
    <xf numFmtId="49" fontId="7" fillId="0" borderId="0" xfId="0" applyNumberFormat="1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81" fontId="9" fillId="0" borderId="6" xfId="0" applyNumberFormat="1" applyFont="1" applyBorder="1" applyAlignment="1">
      <alignment horizontal="right" vertical="center"/>
    </xf>
    <xf numFmtId="43" fontId="1" fillId="0" borderId="0" xfId="1" applyFont="1" applyFill="1">
      <alignment vertical="center"/>
    </xf>
    <xf numFmtId="49" fontId="5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83" fontId="7" fillId="0" borderId="0" xfId="0" applyNumberFormat="1" applyFont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81" fontId="9" fillId="0" borderId="4" xfId="0" applyNumberFormat="1" applyFont="1" applyBorder="1" applyAlignment="1">
      <alignment horizontal="right" vertical="center"/>
    </xf>
    <xf numFmtId="181" fontId="1" fillId="0" borderId="6" xfId="0" applyNumberFormat="1" applyFont="1" applyBorder="1" applyAlignment="1">
      <alignment horizontal="right" vertical="center"/>
    </xf>
    <xf numFmtId="0" fontId="23" fillId="0" borderId="0" xfId="0" applyFont="1">
      <alignment vertical="center"/>
    </xf>
    <xf numFmtId="14" fontId="0" fillId="0" borderId="0" xfId="0" applyNumberForma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14" fontId="25" fillId="0" borderId="0" xfId="0" applyNumberFormat="1" applyFont="1">
      <alignment vertical="center"/>
    </xf>
    <xf numFmtId="185" fontId="0" fillId="0" borderId="0" xfId="0" applyNumberFormat="1">
      <alignment vertical="center"/>
    </xf>
    <xf numFmtId="0" fontId="27" fillId="0" borderId="0" xfId="0" applyFont="1">
      <alignment vertical="center"/>
    </xf>
    <xf numFmtId="14" fontId="0" fillId="2" borderId="0" xfId="0" applyNumberFormat="1" applyFill="1">
      <alignment vertical="center"/>
    </xf>
    <xf numFmtId="14" fontId="0" fillId="3" borderId="0" xfId="0" applyNumberFormat="1" applyFill="1">
      <alignment vertical="center"/>
    </xf>
    <xf numFmtId="14" fontId="0" fillId="4" borderId="0" xfId="0" applyNumberFormat="1" applyFill="1">
      <alignment vertical="center"/>
    </xf>
    <xf numFmtId="0" fontId="23" fillId="0" borderId="0" xfId="0" applyFont="1" applyAlignment="1">
      <alignment horizontal="center" vertical="center"/>
    </xf>
    <xf numFmtId="186" fontId="1" fillId="0" borderId="0" xfId="0" applyNumberFormat="1" applyFont="1">
      <alignment vertical="center"/>
    </xf>
    <xf numFmtId="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10" fontId="0" fillId="0" borderId="0" xfId="0" applyNumberFormat="1">
      <alignment vertical="center"/>
    </xf>
    <xf numFmtId="14" fontId="23" fillId="0" borderId="0" xfId="0" applyNumberFormat="1" applyFont="1">
      <alignment vertical="center"/>
    </xf>
    <xf numFmtId="14" fontId="1" fillId="0" borderId="0" xfId="0" applyNumberFormat="1" applyFont="1" applyAlignment="1">
      <alignment horizontal="left" vertical="center"/>
    </xf>
    <xf numFmtId="187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6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82" fontId="1" fillId="0" borderId="6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left" vertical="center"/>
    </xf>
    <xf numFmtId="176" fontId="1" fillId="0" borderId="6" xfId="0" applyNumberFormat="1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30" fillId="0" borderId="5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181" fontId="1" fillId="0" borderId="5" xfId="0" applyNumberFormat="1" applyFont="1" applyBorder="1" applyAlignment="1">
      <alignment horizontal="right" vertical="center"/>
    </xf>
    <xf numFmtId="181" fontId="12" fillId="0" borderId="8" xfId="0" applyNumberFormat="1" applyFont="1" applyBorder="1" applyAlignment="1">
      <alignment horizontal="right" vertical="center"/>
    </xf>
    <xf numFmtId="181" fontId="13" fillId="0" borderId="9" xfId="0" applyNumberFormat="1" applyFont="1" applyBorder="1" applyAlignment="1">
      <alignment horizontal="right" vertical="center"/>
    </xf>
    <xf numFmtId="181" fontId="13" fillId="0" borderId="10" xfId="0" applyNumberFormat="1" applyFont="1" applyBorder="1" applyAlignment="1">
      <alignment horizontal="right" vertical="center"/>
    </xf>
    <xf numFmtId="181" fontId="12" fillId="0" borderId="9" xfId="0" applyNumberFormat="1" applyFont="1" applyBorder="1" applyAlignment="1">
      <alignment horizontal="right" vertical="center"/>
    </xf>
    <xf numFmtId="181" fontId="13" fillId="0" borderId="8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79" fontId="10" fillId="0" borderId="8" xfId="0" applyNumberFormat="1" applyFont="1" applyBorder="1" applyAlignment="1">
      <alignment horizontal="center" vertical="center"/>
    </xf>
    <xf numFmtId="179" fontId="10" fillId="0" borderId="1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1" fontId="12" fillId="0" borderId="8" xfId="0" applyNumberFormat="1" applyFont="1" applyBorder="1" applyAlignment="1">
      <alignment horizontal="center" vertical="center"/>
    </xf>
    <xf numFmtId="181" fontId="12" fillId="0" borderId="9" xfId="0" applyNumberFormat="1" applyFont="1" applyBorder="1" applyAlignment="1">
      <alignment horizontal="center" vertical="center"/>
    </xf>
    <xf numFmtId="182" fontId="1" fillId="0" borderId="9" xfId="0" applyNumberFormat="1" applyFont="1" applyBorder="1" applyAlignment="1">
      <alignment horizontal="center" vertical="center"/>
    </xf>
    <xf numFmtId="182" fontId="12" fillId="0" borderId="10" xfId="0" applyNumberFormat="1" applyFont="1" applyBorder="1" applyAlignment="1">
      <alignment horizontal="center" vertical="center"/>
    </xf>
    <xf numFmtId="181" fontId="12" fillId="0" borderId="19" xfId="0" applyNumberFormat="1" applyFont="1" applyBorder="1" applyAlignment="1">
      <alignment horizontal="center" vertical="center"/>
    </xf>
    <xf numFmtId="182" fontId="1" fillId="0" borderId="10" xfId="0" applyNumberFormat="1" applyFont="1" applyBorder="1" applyAlignment="1">
      <alignment horizontal="center" vertical="center"/>
    </xf>
    <xf numFmtId="181" fontId="1" fillId="0" borderId="6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178" fontId="8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81" fontId="13" fillId="0" borderId="18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181" fontId="1" fillId="0" borderId="7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/>
    </xf>
    <xf numFmtId="3" fontId="30" fillId="0" borderId="6" xfId="0" applyNumberFormat="1" applyFont="1" applyBorder="1" applyAlignment="1">
      <alignment horizontal="center" vertical="center"/>
    </xf>
    <xf numFmtId="178" fontId="30" fillId="0" borderId="6" xfId="0" applyNumberFormat="1" applyFont="1" applyBorder="1" applyAlignment="1">
      <alignment horizontal="center" vertical="center"/>
    </xf>
    <xf numFmtId="0" fontId="30" fillId="0" borderId="0" xfId="0" applyFont="1">
      <alignment vertical="center"/>
    </xf>
    <xf numFmtId="10" fontId="1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179" fontId="30" fillId="0" borderId="0" xfId="0" applyNumberFormat="1" applyFont="1" applyAlignment="1">
      <alignment horizontal="right" vertical="center"/>
    </xf>
    <xf numFmtId="183" fontId="1" fillId="0" borderId="0" xfId="0" applyNumberFormat="1" applyFont="1" applyAlignment="1">
      <alignment horizontal="right" vertical="center"/>
    </xf>
    <xf numFmtId="184" fontId="1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7" fillId="0" borderId="0" xfId="0" applyFont="1">
      <alignment vertical="center"/>
    </xf>
    <xf numFmtId="0" fontId="30" fillId="0" borderId="4" xfId="0" applyFont="1" applyBorder="1">
      <alignment vertical="center"/>
    </xf>
    <xf numFmtId="0" fontId="30" fillId="0" borderId="5" xfId="0" applyFont="1" applyBorder="1" applyAlignment="1">
      <alignment horizontal="center" vertical="center" wrapText="1"/>
    </xf>
    <xf numFmtId="185" fontId="30" fillId="0" borderId="5" xfId="0" applyNumberFormat="1" applyFont="1" applyBorder="1" applyAlignment="1">
      <alignment horizontal="center" vertical="center" wrapText="1"/>
    </xf>
    <xf numFmtId="183" fontId="30" fillId="0" borderId="5" xfId="0" applyNumberFormat="1" applyFont="1" applyBorder="1" applyAlignment="1">
      <alignment horizontal="center" vertical="center" wrapText="1"/>
    </xf>
    <xf numFmtId="0" fontId="30" fillId="0" borderId="8" xfId="0" applyFont="1" applyBorder="1">
      <alignment vertical="center"/>
    </xf>
    <xf numFmtId="0" fontId="30" fillId="0" borderId="9" xfId="0" applyFont="1" applyBorder="1" applyAlignment="1">
      <alignment horizontal="center" vertical="center"/>
    </xf>
    <xf numFmtId="183" fontId="31" fillId="0" borderId="9" xfId="0" applyNumberFormat="1" applyFont="1" applyBorder="1" applyAlignment="1">
      <alignment horizontal="center" vertical="center" wrapText="1"/>
    </xf>
    <xf numFmtId="183" fontId="31" fillId="0" borderId="10" xfId="0" applyNumberFormat="1" applyFont="1" applyBorder="1" applyAlignment="1">
      <alignment horizontal="center" vertical="center" wrapText="1"/>
    </xf>
    <xf numFmtId="0" fontId="39" fillId="0" borderId="0" xfId="6">
      <alignment vertical="center"/>
    </xf>
    <xf numFmtId="181" fontId="40" fillId="0" borderId="6" xfId="0" applyNumberFormat="1" applyFont="1" applyBorder="1" applyAlignment="1">
      <alignment horizontal="right" vertical="center"/>
    </xf>
    <xf numFmtId="181" fontId="40" fillId="0" borderId="6" xfId="0" applyNumberFormat="1" applyFont="1" applyBorder="1">
      <alignment vertical="center"/>
    </xf>
    <xf numFmtId="181" fontId="0" fillId="0" borderId="0" xfId="0" applyNumberFormat="1">
      <alignment vertical="center"/>
    </xf>
    <xf numFmtId="0" fontId="41" fillId="0" borderId="0" xfId="0" applyFont="1">
      <alignment vertical="center"/>
    </xf>
    <xf numFmtId="0" fontId="41" fillId="0" borderId="6" xfId="0" applyFont="1" applyBorder="1">
      <alignment vertical="center"/>
    </xf>
    <xf numFmtId="49" fontId="41" fillId="0" borderId="6" xfId="0" applyNumberFormat="1" applyFont="1" applyBorder="1">
      <alignment vertical="center"/>
    </xf>
    <xf numFmtId="188" fontId="41" fillId="0" borderId="6" xfId="0" applyNumberFormat="1" applyFont="1" applyBorder="1">
      <alignment vertical="center"/>
    </xf>
    <xf numFmtId="0" fontId="41" fillId="0" borderId="6" xfId="0" applyFont="1" applyBorder="1" applyAlignment="1">
      <alignment vertical="center" wrapText="1"/>
    </xf>
    <xf numFmtId="181" fontId="9" fillId="0" borderId="0" xfId="0" applyNumberFormat="1" applyFont="1" applyAlignment="1">
      <alignment horizontal="right" vertical="center"/>
    </xf>
    <xf numFmtId="10" fontId="1" fillId="0" borderId="0" xfId="0" applyNumberFormat="1" applyFont="1">
      <alignment vertical="center"/>
    </xf>
    <xf numFmtId="189" fontId="1" fillId="0" borderId="0" xfId="1" applyNumberFormat="1" applyFont="1" applyFill="1">
      <alignment vertical="center"/>
    </xf>
    <xf numFmtId="189" fontId="1" fillId="0" borderId="0" xfId="0" applyNumberFormat="1" applyFont="1">
      <alignment vertical="center"/>
    </xf>
    <xf numFmtId="49" fontId="30" fillId="0" borderId="5" xfId="0" quotePrefix="1" applyNumberFormat="1" applyFont="1" applyBorder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0" fontId="4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82" fontId="1" fillId="0" borderId="6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184" fontId="7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7">
    <cellStyle name="常规" xfId="0" builtinId="0"/>
    <cellStyle name="常规 2" xfId="2" xr:uid="{8159439F-FC01-4FE2-A79E-3EB45090CD86}"/>
    <cellStyle name="超链接" xfId="6" builtinId="8"/>
    <cellStyle name="千位分隔" xfId="1" builtinId="3"/>
    <cellStyle name="千位分隔 2" xfId="3" xr:uid="{49C4D257-EB1D-469D-A8AC-CEDFE6EC4286}"/>
    <cellStyle name="千位分隔 2 2" xfId="5" xr:uid="{3EF450B4-DB05-4C24-81EB-EDA9629F1AEA}"/>
    <cellStyle name="千位分隔 3" xfId="4" xr:uid="{175F5629-EEC4-477E-BD8D-3B155C8929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叶 宗沛" id="{E9D2ABB2-0678-442C-9722-9F80DAF810FD}" userId="S::ye.zongpei@climatebridge.partner.onmschina.cn::80e8378e-5cda-4654-8212-c1d3241e429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3-05-12T09:03:19.38" personId="{E9D2ABB2-0678-442C-9722-9F80DAF810FD}" id="{07911AF9-CDEF-4E34-92DE-A3C8628A1A6B}">
    <text>格式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istry.goldstandard.org/projects/details/1216" TargetMode="External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9ED7-35CD-494F-B9C7-284AD2B62A46}">
  <dimension ref="B1:C21"/>
  <sheetViews>
    <sheetView zoomScale="85" zoomScaleNormal="85" workbookViewId="0">
      <selection activeCell="K32" sqref="K32"/>
    </sheetView>
  </sheetViews>
  <sheetFormatPr defaultRowHeight="14" x14ac:dyDescent="0.25"/>
  <cols>
    <col min="2" max="2" width="30.6328125" customWidth="1"/>
    <col min="3" max="3" width="46.36328125" customWidth="1"/>
  </cols>
  <sheetData>
    <row r="1" spans="2:3" ht="14.5" thickBot="1" x14ac:dyDescent="0.3"/>
    <row r="2" spans="2:3" x14ac:dyDescent="0.25">
      <c r="B2" s="64" t="s">
        <v>102</v>
      </c>
      <c r="C2" s="68">
        <v>835</v>
      </c>
    </row>
    <row r="3" spans="2:3" ht="26" x14ac:dyDescent="0.25">
      <c r="B3" s="65" t="s">
        <v>103</v>
      </c>
      <c r="C3" s="67" t="s">
        <v>104</v>
      </c>
    </row>
    <row r="4" spans="2:3" ht="26" x14ac:dyDescent="0.25">
      <c r="B4" s="65" t="s">
        <v>105</v>
      </c>
      <c r="C4" s="66">
        <v>9</v>
      </c>
    </row>
    <row r="5" spans="2:3" ht="26" x14ac:dyDescent="0.25">
      <c r="B5" s="65" t="s">
        <v>106</v>
      </c>
      <c r="C5" s="138" t="s">
        <v>161</v>
      </c>
    </row>
    <row r="6" spans="2:3" ht="26" x14ac:dyDescent="0.25">
      <c r="B6" s="65" t="s">
        <v>107</v>
      </c>
      <c r="C6" s="66" t="s">
        <v>162</v>
      </c>
    </row>
    <row r="7" spans="2:3" x14ac:dyDescent="0.25">
      <c r="B7" s="65" t="s">
        <v>108</v>
      </c>
      <c r="C7" s="66" t="s">
        <v>109</v>
      </c>
    </row>
    <row r="8" spans="2:3" x14ac:dyDescent="0.25">
      <c r="B8" s="65" t="s">
        <v>110</v>
      </c>
      <c r="C8" s="66" t="s">
        <v>150</v>
      </c>
    </row>
    <row r="9" spans="2:3" x14ac:dyDescent="0.25">
      <c r="B9" s="65" t="s">
        <v>111</v>
      </c>
      <c r="C9" s="66" t="s">
        <v>160</v>
      </c>
    </row>
    <row r="10" spans="2:3" x14ac:dyDescent="0.25">
      <c r="B10" s="65" t="s">
        <v>112</v>
      </c>
      <c r="C10" s="66" t="s">
        <v>163</v>
      </c>
    </row>
    <row r="11" spans="2:3" x14ac:dyDescent="0.25">
      <c r="B11" s="65" t="s">
        <v>113</v>
      </c>
      <c r="C11" s="66" t="s">
        <v>114</v>
      </c>
    </row>
    <row r="12" spans="2:3" x14ac:dyDescent="0.25">
      <c r="B12" s="65" t="s">
        <v>115</v>
      </c>
      <c r="C12" s="66" t="s">
        <v>116</v>
      </c>
    </row>
    <row r="13" spans="2:3" x14ac:dyDescent="0.25">
      <c r="B13" s="65" t="s">
        <v>117</v>
      </c>
      <c r="C13" s="66" t="s">
        <v>118</v>
      </c>
    </row>
    <row r="14" spans="2:3" ht="26" x14ac:dyDescent="0.25">
      <c r="B14" s="65" t="s">
        <v>119</v>
      </c>
      <c r="C14" s="66" t="s">
        <v>120</v>
      </c>
    </row>
    <row r="15" spans="2:3" x14ac:dyDescent="0.25">
      <c r="B15" s="65" t="s">
        <v>121</v>
      </c>
      <c r="C15" s="66" t="s">
        <v>122</v>
      </c>
    </row>
    <row r="21" spans="2:2" x14ac:dyDescent="0.25">
      <c r="B21" s="125" t="s">
        <v>148</v>
      </c>
    </row>
  </sheetData>
  <phoneticPr fontId="24" type="noConversion"/>
  <hyperlinks>
    <hyperlink ref="B21" r:id="rId1" display="https://registry.goldstandard.org/projects/details/1216" xr:uid="{9DEA58BB-3496-4BE2-8A16-2BF18182879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8DBD-A081-4EB3-A915-11C256757B94}">
  <dimension ref="B1:H31"/>
  <sheetViews>
    <sheetView zoomScale="55" zoomScaleNormal="55" workbookViewId="0">
      <selection activeCell="C24" sqref="C24"/>
    </sheetView>
  </sheetViews>
  <sheetFormatPr defaultRowHeight="14" x14ac:dyDescent="0.25"/>
  <cols>
    <col min="1" max="1" width="3.36328125" customWidth="1"/>
    <col min="2" max="2" width="22.36328125" customWidth="1"/>
    <col min="3" max="3" width="45.1796875" customWidth="1"/>
    <col min="4" max="4" width="25.90625" customWidth="1"/>
    <col min="5" max="5" width="19.1796875" customWidth="1"/>
    <col min="6" max="6" width="21" customWidth="1"/>
    <col min="7" max="7" width="19.1796875" customWidth="1"/>
    <col min="8" max="8" width="24.81640625" customWidth="1"/>
  </cols>
  <sheetData>
    <row r="1" spans="2:8" ht="14.5" x14ac:dyDescent="0.25">
      <c r="B1" s="7" t="s">
        <v>126</v>
      </c>
    </row>
    <row r="2" spans="2:8" ht="15.5" x14ac:dyDescent="0.25">
      <c r="B2" s="6"/>
      <c r="C2" s="69" t="s">
        <v>0</v>
      </c>
      <c r="D2" s="69"/>
      <c r="E2" s="69" t="s">
        <v>1</v>
      </c>
      <c r="F2" s="69"/>
      <c r="G2" s="6"/>
      <c r="H2" s="6"/>
    </row>
    <row r="3" spans="2:8" ht="15.5" x14ac:dyDescent="0.25">
      <c r="B3" s="7" t="s">
        <v>2</v>
      </c>
      <c r="C3" s="70">
        <v>44562</v>
      </c>
      <c r="D3" s="70"/>
      <c r="E3" s="70">
        <v>44926</v>
      </c>
      <c r="F3" s="70"/>
      <c r="G3" s="23">
        <f>E3-C3+1</f>
        <v>365</v>
      </c>
      <c r="H3" s="24" t="s">
        <v>3</v>
      </c>
    </row>
    <row r="4" spans="2:8" x14ac:dyDescent="0.25">
      <c r="B4" s="40"/>
    </row>
    <row r="5" spans="2:8" x14ac:dyDescent="0.25">
      <c r="B5" s="142" t="s">
        <v>55</v>
      </c>
      <c r="C5" s="142" t="s">
        <v>83</v>
      </c>
      <c r="D5" s="142" t="s">
        <v>76</v>
      </c>
      <c r="E5" s="145" t="s">
        <v>79</v>
      </c>
      <c r="F5" s="145"/>
      <c r="G5" s="145"/>
      <c r="H5" s="142" t="s">
        <v>88</v>
      </c>
    </row>
    <row r="6" spans="2:8" x14ac:dyDescent="0.25">
      <c r="B6" s="143"/>
      <c r="C6" s="143"/>
      <c r="D6" s="143"/>
      <c r="E6" s="60" t="s">
        <v>80</v>
      </c>
      <c r="F6" s="60" t="s">
        <v>81</v>
      </c>
      <c r="G6" s="60" t="s">
        <v>82</v>
      </c>
      <c r="H6" s="143"/>
    </row>
    <row r="7" spans="2:8" ht="15" x14ac:dyDescent="0.25">
      <c r="B7" s="61">
        <v>13</v>
      </c>
      <c r="C7" s="62" t="s">
        <v>84</v>
      </c>
      <c r="D7" s="59" t="s">
        <v>89</v>
      </c>
      <c r="E7" s="61">
        <f>'ER calculation (2022)'!S8</f>
        <v>13466</v>
      </c>
      <c r="F7" s="61">
        <f>'ER calculation (2022)'!J8</f>
        <v>9268</v>
      </c>
      <c r="G7" s="61">
        <f>'ER calculation (2022)'!Q8</f>
        <v>4198</v>
      </c>
      <c r="H7" s="62" t="s">
        <v>92</v>
      </c>
    </row>
    <row r="8" spans="2:8" ht="26" x14ac:dyDescent="0.25">
      <c r="B8" s="61">
        <v>5</v>
      </c>
      <c r="C8" s="62" t="s">
        <v>78</v>
      </c>
      <c r="D8" s="59" t="s">
        <v>77</v>
      </c>
      <c r="E8" s="61">
        <f>F8+G8</f>
        <v>5</v>
      </c>
      <c r="F8" s="61">
        <v>3</v>
      </c>
      <c r="G8" s="61">
        <v>2</v>
      </c>
      <c r="H8" s="63" t="s">
        <v>90</v>
      </c>
    </row>
    <row r="9" spans="2:8" ht="39" x14ac:dyDescent="0.25">
      <c r="B9" s="61">
        <v>7</v>
      </c>
      <c r="C9" s="62" t="s">
        <v>85</v>
      </c>
      <c r="D9" s="59" t="s">
        <v>72</v>
      </c>
      <c r="E9" s="59">
        <f>'ER calculation (2022)'!R8</f>
        <v>22508.696</v>
      </c>
      <c r="F9" s="59">
        <f>'ER calculation (2022)'!F8</f>
        <v>15491.699999999999</v>
      </c>
      <c r="G9" s="59">
        <f>'ER calculation (2022)'!M8</f>
        <v>7016.9960000000001</v>
      </c>
      <c r="H9" s="63" t="s">
        <v>147</v>
      </c>
    </row>
    <row r="10" spans="2:8" ht="52" x14ac:dyDescent="0.25">
      <c r="B10" s="144">
        <v>8</v>
      </c>
      <c r="C10" s="62" t="s">
        <v>86</v>
      </c>
      <c r="D10" s="59" t="s">
        <v>77</v>
      </c>
      <c r="E10" s="61">
        <f>F10+G10</f>
        <v>17</v>
      </c>
      <c r="F10" s="61">
        <v>12</v>
      </c>
      <c r="G10" s="100">
        <v>5</v>
      </c>
      <c r="H10" s="63" t="s">
        <v>91</v>
      </c>
    </row>
    <row r="11" spans="2:8" ht="26" x14ac:dyDescent="0.25">
      <c r="B11" s="144"/>
      <c r="C11" s="62" t="s">
        <v>87</v>
      </c>
      <c r="D11" s="59" t="s">
        <v>145</v>
      </c>
      <c r="E11" s="61">
        <f>(F11*F10+G11*G10)/E10</f>
        <v>4204.5294117647063</v>
      </c>
      <c r="F11" s="61">
        <v>4966</v>
      </c>
      <c r="G11" s="61">
        <v>2377</v>
      </c>
      <c r="H11" s="63" t="s">
        <v>90</v>
      </c>
    </row>
    <row r="15" spans="2:8" ht="15.5" x14ac:dyDescent="0.25">
      <c r="B15" s="129" t="s">
        <v>151</v>
      </c>
      <c r="C15" s="129"/>
      <c r="D15" s="129"/>
      <c r="E15" s="129"/>
      <c r="F15" s="129"/>
      <c r="G15" s="129"/>
    </row>
    <row r="16" spans="2:8" ht="15.5" x14ac:dyDescent="0.25">
      <c r="B16" s="140">
        <v>2022</v>
      </c>
      <c r="C16" s="141"/>
      <c r="D16" s="141"/>
      <c r="E16" s="141"/>
      <c r="F16" s="141"/>
      <c r="G16" s="141"/>
    </row>
    <row r="17" spans="2:7" ht="15.5" x14ac:dyDescent="0.25">
      <c r="B17" s="140" t="s">
        <v>152</v>
      </c>
      <c r="C17" s="141"/>
      <c r="D17" s="141"/>
      <c r="E17" s="140" t="s">
        <v>153</v>
      </c>
      <c r="F17" s="141"/>
      <c r="G17" s="141"/>
    </row>
    <row r="18" spans="2:7" ht="31" x14ac:dyDescent="0.25">
      <c r="B18" s="130" t="s">
        <v>154</v>
      </c>
      <c r="C18" s="130" t="s">
        <v>155</v>
      </c>
      <c r="D18" s="130" t="s">
        <v>156</v>
      </c>
      <c r="E18" s="130" t="s">
        <v>154</v>
      </c>
      <c r="F18" s="130" t="s">
        <v>157</v>
      </c>
      <c r="G18" s="133" t="s">
        <v>156</v>
      </c>
    </row>
    <row r="19" spans="2:7" ht="15.5" x14ac:dyDescent="0.25">
      <c r="B19" s="130">
        <v>1</v>
      </c>
      <c r="C19" s="132">
        <v>58016</v>
      </c>
      <c r="D19" s="132">
        <f>C19/12</f>
        <v>4834.666666666667</v>
      </c>
      <c r="E19" s="130">
        <v>1</v>
      </c>
      <c r="F19" s="132">
        <v>11800</v>
      </c>
      <c r="G19" s="132">
        <f>F19/5</f>
        <v>2360</v>
      </c>
    </row>
    <row r="20" spans="2:7" ht="15.5" x14ac:dyDescent="0.25">
      <c r="B20" s="130">
        <v>2</v>
      </c>
      <c r="C20" s="132">
        <v>71286</v>
      </c>
      <c r="D20" s="132">
        <f t="shared" ref="D20:D30" si="0">C20/12</f>
        <v>5940.5</v>
      </c>
      <c r="E20" s="130">
        <v>2</v>
      </c>
      <c r="F20" s="132">
        <v>11800</v>
      </c>
      <c r="G20" s="132">
        <f>F20/5</f>
        <v>2360</v>
      </c>
    </row>
    <row r="21" spans="2:7" ht="15.5" x14ac:dyDescent="0.25">
      <c r="B21" s="130">
        <v>3</v>
      </c>
      <c r="C21" s="132">
        <v>60900</v>
      </c>
      <c r="D21" s="132">
        <f t="shared" si="0"/>
        <v>5075</v>
      </c>
      <c r="E21" s="130">
        <v>3</v>
      </c>
      <c r="F21" s="132">
        <v>11800</v>
      </c>
      <c r="G21" s="132">
        <f>F21/5</f>
        <v>2360</v>
      </c>
    </row>
    <row r="22" spans="2:7" ht="15.5" x14ac:dyDescent="0.25">
      <c r="B22" s="130">
        <v>4</v>
      </c>
      <c r="C22" s="132">
        <v>58482</v>
      </c>
      <c r="D22" s="132">
        <f t="shared" si="0"/>
        <v>4873.5</v>
      </c>
      <c r="E22" s="130">
        <v>4</v>
      </c>
      <c r="F22" s="132">
        <v>11800</v>
      </c>
      <c r="G22" s="132">
        <f>F22/5</f>
        <v>2360</v>
      </c>
    </row>
    <row r="23" spans="2:7" ht="15.5" x14ac:dyDescent="0.25">
      <c r="B23" s="130">
        <v>5</v>
      </c>
      <c r="C23" s="132">
        <v>69460</v>
      </c>
      <c r="D23" s="132">
        <f t="shared" si="0"/>
        <v>5788.333333333333</v>
      </c>
      <c r="E23" s="130">
        <v>5</v>
      </c>
      <c r="F23" s="132">
        <v>11800</v>
      </c>
      <c r="G23" s="132">
        <f t="shared" ref="G23:G27" si="1">F23/5</f>
        <v>2360</v>
      </c>
    </row>
    <row r="24" spans="2:7" ht="15.5" x14ac:dyDescent="0.25">
      <c r="B24" s="130">
        <v>6</v>
      </c>
      <c r="C24" s="132">
        <v>71493</v>
      </c>
      <c r="D24" s="132">
        <f t="shared" si="0"/>
        <v>5957.75</v>
      </c>
      <c r="E24" s="130">
        <v>6</v>
      </c>
      <c r="F24" s="132">
        <v>11800</v>
      </c>
      <c r="G24" s="132">
        <f t="shared" si="1"/>
        <v>2360</v>
      </c>
    </row>
    <row r="25" spans="2:7" ht="15.5" x14ac:dyDescent="0.25">
      <c r="B25" s="130">
        <v>7</v>
      </c>
      <c r="C25" s="132">
        <v>71226</v>
      </c>
      <c r="D25" s="132">
        <f t="shared" si="0"/>
        <v>5935.5</v>
      </c>
      <c r="E25" s="130">
        <v>7</v>
      </c>
      <c r="F25" s="132">
        <v>11800</v>
      </c>
      <c r="G25" s="132">
        <f t="shared" si="1"/>
        <v>2360</v>
      </c>
    </row>
    <row r="26" spans="2:7" ht="15.5" x14ac:dyDescent="0.25">
      <c r="B26" s="130">
        <v>8</v>
      </c>
      <c r="C26" s="132">
        <v>50669</v>
      </c>
      <c r="D26" s="132">
        <f t="shared" si="0"/>
        <v>4222.416666666667</v>
      </c>
      <c r="E26" s="130">
        <v>8</v>
      </c>
      <c r="F26" s="132">
        <v>12800</v>
      </c>
      <c r="G26" s="132">
        <f t="shared" si="1"/>
        <v>2560</v>
      </c>
    </row>
    <row r="27" spans="2:7" ht="15.5" x14ac:dyDescent="0.25">
      <c r="B27" s="130">
        <v>9</v>
      </c>
      <c r="C27" s="132">
        <v>55796</v>
      </c>
      <c r="D27" s="132">
        <f t="shared" si="0"/>
        <v>4649.666666666667</v>
      </c>
      <c r="E27" s="130">
        <v>9</v>
      </c>
      <c r="F27" s="132">
        <v>11800</v>
      </c>
      <c r="G27" s="132">
        <f t="shared" si="1"/>
        <v>2360</v>
      </c>
    </row>
    <row r="28" spans="2:7" ht="15.5" x14ac:dyDescent="0.25">
      <c r="B28" s="130">
        <v>10</v>
      </c>
      <c r="C28" s="132">
        <v>56779</v>
      </c>
      <c r="D28" s="132">
        <f t="shared" si="0"/>
        <v>4731.583333333333</v>
      </c>
      <c r="E28" s="130">
        <v>10</v>
      </c>
      <c r="F28" s="132">
        <v>11800</v>
      </c>
      <c r="G28" s="132">
        <f>F28/5</f>
        <v>2360</v>
      </c>
    </row>
    <row r="29" spans="2:7" ht="15.5" x14ac:dyDescent="0.25">
      <c r="B29" s="130">
        <v>11</v>
      </c>
      <c r="C29" s="132">
        <v>45611</v>
      </c>
      <c r="D29" s="132">
        <f t="shared" si="0"/>
        <v>3800.9166666666665</v>
      </c>
      <c r="E29" s="130">
        <v>11</v>
      </c>
      <c r="F29" s="132">
        <v>11800</v>
      </c>
      <c r="G29" s="132">
        <f>F29/5</f>
        <v>2360</v>
      </c>
    </row>
    <row r="30" spans="2:7" ht="15.5" x14ac:dyDescent="0.25">
      <c r="B30" s="130">
        <v>12</v>
      </c>
      <c r="C30" s="132">
        <v>45278.6</v>
      </c>
      <c r="D30" s="132">
        <f t="shared" si="0"/>
        <v>3773.2166666666667</v>
      </c>
      <c r="E30" s="130">
        <v>12</v>
      </c>
      <c r="F30" s="132">
        <v>11800</v>
      </c>
      <c r="G30" s="132">
        <f>F30/5</f>
        <v>2360</v>
      </c>
    </row>
    <row r="31" spans="2:7" ht="15.5" x14ac:dyDescent="0.25">
      <c r="B31" s="130" t="s">
        <v>158</v>
      </c>
      <c r="C31" s="132">
        <f>AVERAGE(C19:C30)</f>
        <v>59583.049999999996</v>
      </c>
      <c r="D31" s="132">
        <f>AVERAGE(D19:D30)</f>
        <v>4965.2541666666666</v>
      </c>
      <c r="E31" s="131" t="s">
        <v>158</v>
      </c>
      <c r="F31" s="132">
        <f>AVERAGE(F19:F30)</f>
        <v>11883.333333333334</v>
      </c>
      <c r="G31" s="132">
        <f>AVERAGE(G19:G30)</f>
        <v>2376.6666666666665</v>
      </c>
    </row>
  </sheetData>
  <mergeCells count="9">
    <mergeCell ref="B16:G16"/>
    <mergeCell ref="B17:D17"/>
    <mergeCell ref="E17:G17"/>
    <mergeCell ref="H5:H6"/>
    <mergeCell ref="B10:B11"/>
    <mergeCell ref="E5:G5"/>
    <mergeCell ref="D5:D6"/>
    <mergeCell ref="C5:C6"/>
    <mergeCell ref="B5:B6"/>
  </mergeCells>
  <phoneticPr fontId="2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3236-76D8-4482-8C1E-6CF6383C3CC8}">
  <dimension ref="C1:H21"/>
  <sheetViews>
    <sheetView zoomScale="70" zoomScaleNormal="70" workbookViewId="0">
      <selection activeCell="E46" sqref="E46"/>
    </sheetView>
  </sheetViews>
  <sheetFormatPr defaultRowHeight="14" x14ac:dyDescent="0.25"/>
  <cols>
    <col min="1" max="2" width="2.36328125" customWidth="1"/>
    <col min="3" max="3" width="7.1796875" customWidth="1"/>
    <col min="4" max="4" width="59.90625" customWidth="1"/>
    <col min="5" max="5" width="11.08984375" customWidth="1"/>
    <col min="6" max="6" width="19.1796875" customWidth="1"/>
    <col min="7" max="7" width="14.1796875" customWidth="1"/>
    <col min="8" max="8" width="12.90625" customWidth="1"/>
  </cols>
  <sheetData>
    <row r="1" spans="3:8" ht="14.5" x14ac:dyDescent="0.25">
      <c r="D1" s="7" t="s">
        <v>127</v>
      </c>
    </row>
    <row r="2" spans="3:8" ht="14.5" x14ac:dyDescent="0.25">
      <c r="E2" s="33" t="s">
        <v>0</v>
      </c>
      <c r="F2" s="33" t="s">
        <v>1</v>
      </c>
      <c r="G2" s="69"/>
      <c r="H2" s="69"/>
    </row>
    <row r="3" spans="3:8" ht="14.5" x14ac:dyDescent="0.25">
      <c r="D3" s="7" t="s">
        <v>2</v>
      </c>
      <c r="E3" s="34">
        <f>'SD contributions achieved'!C3</f>
        <v>44562</v>
      </c>
      <c r="F3" s="34">
        <f>'SD contributions achieved'!E3</f>
        <v>44926</v>
      </c>
      <c r="G3" s="35">
        <f>F3-E3+1</f>
        <v>365</v>
      </c>
      <c r="H3" s="27" t="s">
        <v>3</v>
      </c>
    </row>
    <row r="4" spans="3:8" ht="14.5" x14ac:dyDescent="0.25">
      <c r="D4" s="7"/>
      <c r="E4" s="34"/>
      <c r="F4" s="34"/>
      <c r="G4" s="35"/>
      <c r="H4" s="27"/>
    </row>
    <row r="5" spans="3:8" x14ac:dyDescent="0.25">
      <c r="C5" s="142" t="s">
        <v>55</v>
      </c>
      <c r="D5" s="142" t="s">
        <v>56</v>
      </c>
      <c r="E5" s="142" t="s">
        <v>76</v>
      </c>
      <c r="F5" s="146" t="s">
        <v>123</v>
      </c>
      <c r="G5" s="147"/>
      <c r="H5" s="148"/>
    </row>
    <row r="6" spans="3:8" x14ac:dyDescent="0.25">
      <c r="C6" s="143"/>
      <c r="D6" s="143"/>
      <c r="E6" s="143"/>
      <c r="F6" s="60" t="s">
        <v>73</v>
      </c>
      <c r="G6" s="60" t="s">
        <v>74</v>
      </c>
      <c r="H6" s="60" t="s">
        <v>75</v>
      </c>
    </row>
    <row r="7" spans="3:8" ht="15" x14ac:dyDescent="0.25">
      <c r="C7" s="144">
        <v>13</v>
      </c>
      <c r="D7" s="62" t="s">
        <v>57</v>
      </c>
      <c r="E7" s="59" t="s">
        <v>125</v>
      </c>
      <c r="F7" s="61">
        <v>0</v>
      </c>
      <c r="G7" s="61">
        <f>G9+G8</f>
        <v>13466</v>
      </c>
      <c r="H7" s="61">
        <f>G7-F7</f>
        <v>13466</v>
      </c>
    </row>
    <row r="8" spans="3:8" ht="15" x14ac:dyDescent="0.25">
      <c r="C8" s="144"/>
      <c r="D8" s="62" t="s">
        <v>58</v>
      </c>
      <c r="E8" s="59" t="s">
        <v>125</v>
      </c>
      <c r="F8" s="61">
        <v>0</v>
      </c>
      <c r="G8" s="61">
        <f>'SD contributions achieved'!F7</f>
        <v>9268</v>
      </c>
      <c r="H8" s="61">
        <f t="shared" ref="H8:H21" si="0">G8-F8</f>
        <v>9268</v>
      </c>
    </row>
    <row r="9" spans="3:8" ht="15" x14ac:dyDescent="0.25">
      <c r="C9" s="144"/>
      <c r="D9" s="62" t="s">
        <v>59</v>
      </c>
      <c r="E9" s="59" t="s">
        <v>125</v>
      </c>
      <c r="F9" s="61">
        <v>0</v>
      </c>
      <c r="G9" s="61">
        <f>'SD contributions achieved'!G7</f>
        <v>4198</v>
      </c>
      <c r="H9" s="61">
        <f t="shared" si="0"/>
        <v>4198</v>
      </c>
    </row>
    <row r="10" spans="3:8" x14ac:dyDescent="0.25">
      <c r="C10" s="144">
        <v>5</v>
      </c>
      <c r="D10" s="62" t="s">
        <v>60</v>
      </c>
      <c r="E10" s="59" t="s">
        <v>77</v>
      </c>
      <c r="F10" s="61">
        <v>0</v>
      </c>
      <c r="G10" s="61">
        <f>G11+G12</f>
        <v>5</v>
      </c>
      <c r="H10" s="61">
        <f t="shared" si="0"/>
        <v>5</v>
      </c>
    </row>
    <row r="11" spans="3:8" x14ac:dyDescent="0.25">
      <c r="C11" s="144"/>
      <c r="D11" s="62" t="s">
        <v>61</v>
      </c>
      <c r="E11" s="59" t="s">
        <v>77</v>
      </c>
      <c r="F11" s="61">
        <v>0</v>
      </c>
      <c r="G11" s="61">
        <f>'SD contributions achieved'!F8</f>
        <v>3</v>
      </c>
      <c r="H11" s="61">
        <f t="shared" si="0"/>
        <v>3</v>
      </c>
    </row>
    <row r="12" spans="3:8" x14ac:dyDescent="0.25">
      <c r="C12" s="144"/>
      <c r="D12" s="62" t="s">
        <v>62</v>
      </c>
      <c r="E12" s="59" t="s">
        <v>77</v>
      </c>
      <c r="F12" s="61">
        <v>0</v>
      </c>
      <c r="G12" s="61">
        <f>'SD contributions achieved'!G8</f>
        <v>2</v>
      </c>
      <c r="H12" s="61">
        <f t="shared" si="0"/>
        <v>2</v>
      </c>
    </row>
    <row r="13" spans="3:8" x14ac:dyDescent="0.25">
      <c r="C13" s="144">
        <v>7</v>
      </c>
      <c r="D13" s="62" t="s">
        <v>63</v>
      </c>
      <c r="E13" s="59" t="s">
        <v>124</v>
      </c>
      <c r="F13" s="61">
        <v>0</v>
      </c>
      <c r="G13" s="93">
        <f>G14+G15</f>
        <v>22508.696</v>
      </c>
      <c r="H13" s="93">
        <f>G13-F13</f>
        <v>22508.696</v>
      </c>
    </row>
    <row r="14" spans="3:8" x14ac:dyDescent="0.25">
      <c r="C14" s="144"/>
      <c r="D14" s="62" t="s">
        <v>64</v>
      </c>
      <c r="E14" s="59" t="s">
        <v>124</v>
      </c>
      <c r="F14" s="61">
        <v>0</v>
      </c>
      <c r="G14" s="93">
        <f>'SD contributions achieved'!F9</f>
        <v>15491.699999999999</v>
      </c>
      <c r="H14" s="93">
        <f t="shared" si="0"/>
        <v>15491.699999999999</v>
      </c>
    </row>
    <row r="15" spans="3:8" x14ac:dyDescent="0.25">
      <c r="C15" s="144"/>
      <c r="D15" s="62" t="s">
        <v>65</v>
      </c>
      <c r="E15" s="59" t="s">
        <v>124</v>
      </c>
      <c r="F15" s="61">
        <v>0</v>
      </c>
      <c r="G15" s="93">
        <f>'SD contributions achieved'!G9</f>
        <v>7016.9960000000001</v>
      </c>
      <c r="H15" s="93">
        <f t="shared" si="0"/>
        <v>7016.9960000000001</v>
      </c>
    </row>
    <row r="16" spans="3:8" x14ac:dyDescent="0.25">
      <c r="C16" s="144">
        <v>8</v>
      </c>
      <c r="D16" s="62" t="s">
        <v>66</v>
      </c>
      <c r="E16" s="59" t="s">
        <v>77</v>
      </c>
      <c r="F16" s="61">
        <v>0</v>
      </c>
      <c r="G16" s="61">
        <f>G17+G18</f>
        <v>17</v>
      </c>
      <c r="H16" s="61">
        <f t="shared" si="0"/>
        <v>17</v>
      </c>
    </row>
    <row r="17" spans="3:8" x14ac:dyDescent="0.25">
      <c r="C17" s="144"/>
      <c r="D17" s="62" t="s">
        <v>67</v>
      </c>
      <c r="E17" s="59" t="s">
        <v>77</v>
      </c>
      <c r="F17" s="61">
        <v>0</v>
      </c>
      <c r="G17" s="61">
        <f>'SD contributions achieved'!F10</f>
        <v>12</v>
      </c>
      <c r="H17" s="61">
        <f t="shared" si="0"/>
        <v>12</v>
      </c>
    </row>
    <row r="18" spans="3:8" x14ac:dyDescent="0.25">
      <c r="C18" s="144"/>
      <c r="D18" s="62" t="s">
        <v>68</v>
      </c>
      <c r="E18" s="59" t="s">
        <v>77</v>
      </c>
      <c r="F18" s="61">
        <v>0</v>
      </c>
      <c r="G18" s="61">
        <f>'SD contributions achieved'!G10</f>
        <v>5</v>
      </c>
      <c r="H18" s="61">
        <f t="shared" si="0"/>
        <v>5</v>
      </c>
    </row>
    <row r="19" spans="3:8" x14ac:dyDescent="0.25">
      <c r="C19" s="144"/>
      <c r="D19" s="62" t="s">
        <v>69</v>
      </c>
      <c r="E19" s="59" t="s">
        <v>145</v>
      </c>
      <c r="F19" s="61">
        <v>0</v>
      </c>
      <c r="G19" s="61">
        <f>'SD contributions achieved'!E11</f>
        <v>4204.5294117647063</v>
      </c>
      <c r="H19" s="61">
        <f t="shared" si="0"/>
        <v>4204.5294117647063</v>
      </c>
    </row>
    <row r="20" spans="3:8" x14ac:dyDescent="0.25">
      <c r="C20" s="144"/>
      <c r="D20" s="62" t="s">
        <v>70</v>
      </c>
      <c r="E20" s="59" t="s">
        <v>145</v>
      </c>
      <c r="F20" s="61">
        <v>0</v>
      </c>
      <c r="G20" s="61">
        <f>'SD contributions achieved'!F11</f>
        <v>4966</v>
      </c>
      <c r="H20" s="61">
        <f t="shared" si="0"/>
        <v>4966</v>
      </c>
    </row>
    <row r="21" spans="3:8" x14ac:dyDescent="0.25">
      <c r="C21" s="144"/>
      <c r="D21" s="62" t="s">
        <v>71</v>
      </c>
      <c r="E21" s="59" t="s">
        <v>145</v>
      </c>
      <c r="F21" s="61">
        <v>0</v>
      </c>
      <c r="G21" s="61">
        <f>'SD contributions achieved'!G11</f>
        <v>2377</v>
      </c>
      <c r="H21" s="61">
        <f t="shared" si="0"/>
        <v>2377</v>
      </c>
    </row>
  </sheetData>
  <mergeCells count="8">
    <mergeCell ref="F5:H5"/>
    <mergeCell ref="E5:E6"/>
    <mergeCell ref="D5:D6"/>
    <mergeCell ref="C5:C6"/>
    <mergeCell ref="C16:C21"/>
    <mergeCell ref="C13:C15"/>
    <mergeCell ref="C10:C12"/>
    <mergeCell ref="C7:C9"/>
  </mergeCells>
  <phoneticPr fontId="2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2"/>
  <sheetViews>
    <sheetView zoomScale="70" zoomScaleNormal="70" workbookViewId="0">
      <selection activeCell="E39" sqref="E39"/>
    </sheetView>
  </sheetViews>
  <sheetFormatPr defaultColWidth="9" defaultRowHeight="13" x14ac:dyDescent="0.25"/>
  <cols>
    <col min="1" max="1" width="1.6328125" style="105" customWidth="1"/>
    <col min="2" max="2" width="18.08984375" style="105" customWidth="1"/>
    <col min="3" max="3" width="20.90625" style="105" customWidth="1"/>
    <col min="4" max="4" width="28.36328125" style="105" customWidth="1"/>
    <col min="5" max="5" width="27.36328125" style="105" customWidth="1"/>
    <col min="6" max="6" width="13.36328125" style="105" customWidth="1"/>
    <col min="7" max="16384" width="9" style="105"/>
  </cols>
  <sheetData>
    <row r="1" spans="1:24" x14ac:dyDescent="0.25">
      <c r="A1" s="107"/>
      <c r="B1" s="107" t="s">
        <v>21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4" x14ac:dyDescent="0.25">
      <c r="A2" s="107"/>
      <c r="B2" s="108"/>
      <c r="C2" s="109" t="s">
        <v>0</v>
      </c>
      <c r="D2" s="109" t="s">
        <v>1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4" x14ac:dyDescent="0.25">
      <c r="B3" s="107" t="s">
        <v>2</v>
      </c>
      <c r="C3" s="110">
        <f>'SD contributions achieved'!C3</f>
        <v>44562</v>
      </c>
      <c r="D3" s="110">
        <f>'SD contributions achieved'!E3</f>
        <v>44926</v>
      </c>
      <c r="E3" s="111">
        <f>D3-C3+1</f>
        <v>365</v>
      </c>
      <c r="F3" s="5" t="s">
        <v>3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"/>
    </row>
    <row r="4" spans="1:24" ht="15.5" thickBot="1" x14ac:dyDescent="0.3">
      <c r="B4" s="107" t="s">
        <v>139</v>
      </c>
      <c r="C4" s="107"/>
      <c r="E4" s="112">
        <v>0.59830000000000005</v>
      </c>
      <c r="F4" s="5" t="s">
        <v>140</v>
      </c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2"/>
    </row>
    <row r="5" spans="1:24" ht="42.75" customHeight="1" x14ac:dyDescent="0.25">
      <c r="B5" s="149" t="s">
        <v>101</v>
      </c>
      <c r="C5" s="151" t="s">
        <v>76</v>
      </c>
      <c r="D5" s="114" t="s">
        <v>141</v>
      </c>
      <c r="E5" s="115" t="s">
        <v>142</v>
      </c>
    </row>
    <row r="6" spans="1:24" x14ac:dyDescent="0.25">
      <c r="B6" s="150"/>
      <c r="C6" s="152"/>
      <c r="D6" s="153" t="s">
        <v>28</v>
      </c>
      <c r="E6" s="154"/>
      <c r="F6" s="116"/>
    </row>
    <row r="7" spans="1:24" x14ac:dyDescent="0.25">
      <c r="B7" s="117" t="s">
        <v>94</v>
      </c>
      <c r="C7" s="102" t="s">
        <v>100</v>
      </c>
      <c r="D7" s="102">
        <v>4</v>
      </c>
      <c r="E7" s="118">
        <f>'Calculation of net benefits'!H10</f>
        <v>5</v>
      </c>
      <c r="F7" s="116"/>
    </row>
    <row r="8" spans="1:24" x14ac:dyDescent="0.25">
      <c r="B8" s="117" t="s">
        <v>95</v>
      </c>
      <c r="C8" s="102" t="s">
        <v>99</v>
      </c>
      <c r="D8" s="103">
        <v>21612</v>
      </c>
      <c r="E8" s="119">
        <f>'Calculation of net benefits'!H13</f>
        <v>22508.696</v>
      </c>
      <c r="F8" s="116"/>
    </row>
    <row r="9" spans="1:24" x14ac:dyDescent="0.25">
      <c r="B9" s="117" t="s">
        <v>96</v>
      </c>
      <c r="C9" s="102" t="s">
        <v>100</v>
      </c>
      <c r="D9" s="102">
        <v>23</v>
      </c>
      <c r="E9" s="118">
        <f>'Calculation of net benefits'!H16</f>
        <v>17</v>
      </c>
      <c r="F9" s="116"/>
    </row>
    <row r="10" spans="1:24" x14ac:dyDescent="0.25">
      <c r="B10" s="117" t="s">
        <v>97</v>
      </c>
      <c r="C10" s="102" t="s">
        <v>144</v>
      </c>
      <c r="D10" s="102" t="s">
        <v>98</v>
      </c>
      <c r="E10" s="120">
        <f>'Calculation of net benefits'!H19</f>
        <v>4204.5294117647063</v>
      </c>
      <c r="F10" s="116"/>
    </row>
    <row r="11" spans="1:24" ht="15.5" thickBot="1" x14ac:dyDescent="0.3">
      <c r="B11" s="121" t="s">
        <v>93</v>
      </c>
      <c r="C11" s="122" t="s">
        <v>143</v>
      </c>
      <c r="D11" s="123">
        <v>12930</v>
      </c>
      <c r="E11" s="124">
        <f>'Calculation of net benefits'!H7</f>
        <v>13466</v>
      </c>
      <c r="F11" s="116"/>
    </row>
    <row r="12" spans="1:24" ht="49.5" customHeight="1" x14ac:dyDescent="0.25">
      <c r="B12" s="116"/>
      <c r="C12" s="116"/>
      <c r="D12" s="139" t="s">
        <v>164</v>
      </c>
      <c r="E12" s="106">
        <f>E11/D11-1</f>
        <v>4.145398298530556E-2</v>
      </c>
      <c r="F12" s="116"/>
    </row>
  </sheetData>
  <mergeCells count="3">
    <mergeCell ref="B5:B6"/>
    <mergeCell ref="C5:C6"/>
    <mergeCell ref="D6:E6"/>
  </mergeCells>
  <phoneticPr fontId="2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4"/>
  <sheetViews>
    <sheetView topLeftCell="C1" zoomScale="70" zoomScaleNormal="70" workbookViewId="0">
      <selection activeCell="H14" sqref="H14"/>
    </sheetView>
  </sheetViews>
  <sheetFormatPr defaultColWidth="9" defaultRowHeight="13" x14ac:dyDescent="0.25"/>
  <cols>
    <col min="1" max="1" width="1" style="2" customWidth="1"/>
    <col min="2" max="2" width="11.81640625" style="5" customWidth="1"/>
    <col min="3" max="3" width="13.08984375" style="5" customWidth="1"/>
    <col min="4" max="4" width="11.81640625" style="2" customWidth="1"/>
    <col min="5" max="5" width="7.6328125" style="2" customWidth="1"/>
    <col min="6" max="6" width="11.6328125" style="2" customWidth="1"/>
    <col min="7" max="7" width="12" style="2" customWidth="1"/>
    <col min="8" max="8" width="7.08984375" style="2" customWidth="1"/>
    <col min="9" max="9" width="7" style="2" customWidth="1"/>
    <col min="10" max="11" width="9.90625" style="2" customWidth="1"/>
    <col min="12" max="12" width="11.81640625" style="2" customWidth="1"/>
    <col min="13" max="13" width="13.1796875" style="2" customWidth="1"/>
    <col min="14" max="14" width="10.81640625" style="2" customWidth="1"/>
    <col min="15" max="15" width="7.90625" style="2" customWidth="1"/>
    <col min="16" max="16" width="7.6328125" style="2" customWidth="1"/>
    <col min="17" max="18" width="11.90625" style="2" customWidth="1"/>
    <col min="19" max="19" width="18.453125" style="2" customWidth="1"/>
    <col min="20" max="21" width="7.36328125" style="2" customWidth="1"/>
    <col min="22" max="22" width="4.90625" style="2" customWidth="1"/>
    <col min="23" max="23" width="4.81640625" style="2" customWidth="1"/>
    <col min="24" max="24" width="7.36328125" style="2" customWidth="1"/>
    <col min="25" max="25" width="7.1796875" style="2" customWidth="1"/>
    <col min="26" max="16384" width="9" style="2"/>
  </cols>
  <sheetData>
    <row r="1" spans="2:25" ht="24.75" customHeight="1" x14ac:dyDescent="0.25">
      <c r="B1" s="166" t="s">
        <v>29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6"/>
      <c r="S1" s="20"/>
      <c r="T1" s="20"/>
      <c r="U1" s="20"/>
      <c r="V1" s="20"/>
      <c r="W1" s="20"/>
      <c r="X1" s="20"/>
      <c r="Y1"/>
    </row>
    <row r="2" spans="2:25" ht="16.5" customHeight="1" x14ac:dyDescent="0.25">
      <c r="B2" s="6"/>
      <c r="C2" s="6"/>
      <c r="D2" s="6"/>
      <c r="E2" s="6"/>
      <c r="F2" s="167" t="s">
        <v>0</v>
      </c>
      <c r="G2" s="167"/>
      <c r="H2" s="167" t="s">
        <v>1</v>
      </c>
      <c r="I2" s="167"/>
      <c r="J2" s="6"/>
      <c r="K2" s="6"/>
      <c r="L2" s="6"/>
      <c r="M2" s="6"/>
      <c r="N2" s="6"/>
      <c r="O2" s="6"/>
      <c r="P2" s="6"/>
      <c r="Q2" s="21"/>
      <c r="R2" s="21"/>
      <c r="S2" s="6"/>
      <c r="T2" s="6"/>
      <c r="U2" s="6"/>
      <c r="V2" s="6"/>
      <c r="W2" s="6"/>
      <c r="X2" s="6"/>
      <c r="Y2"/>
    </row>
    <row r="3" spans="2:25" s="1" customFormat="1" ht="16.5" customHeight="1" x14ac:dyDescent="0.25">
      <c r="B3" s="7" t="s">
        <v>2</v>
      </c>
      <c r="C3" s="7"/>
      <c r="E3" s="8"/>
      <c r="F3" s="168">
        <f>'SD contributions achieved'!C3</f>
        <v>44562</v>
      </c>
      <c r="G3" s="168"/>
      <c r="H3" s="168">
        <f>'SD contributions achieved'!E3</f>
        <v>44926</v>
      </c>
      <c r="I3" s="168"/>
      <c r="J3" s="23">
        <f>H3-F3+1</f>
        <v>365</v>
      </c>
      <c r="K3" s="24" t="s">
        <v>3</v>
      </c>
      <c r="L3" s="8"/>
      <c r="M3" s="6"/>
      <c r="N3" s="6"/>
      <c r="O3" s="6"/>
      <c r="P3" s="6"/>
      <c r="Q3" s="25"/>
      <c r="R3" s="25"/>
      <c r="S3" s="26"/>
      <c r="T3" s="8"/>
      <c r="U3" s="8"/>
      <c r="V3" s="8"/>
      <c r="W3" s="8"/>
      <c r="X3" s="8"/>
    </row>
    <row r="4" spans="2:25" ht="17.25" customHeight="1" thickBot="1" x14ac:dyDescent="0.3">
      <c r="B4" s="7" t="s">
        <v>30</v>
      </c>
      <c r="C4" s="7"/>
      <c r="E4" s="9"/>
      <c r="F4" s="160">
        <v>0.59830000000000005</v>
      </c>
      <c r="G4" s="160"/>
      <c r="H4" s="160"/>
      <c r="I4" s="160"/>
      <c r="J4" s="160"/>
      <c r="K4" s="27" t="s">
        <v>32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2:25" ht="18.75" customHeight="1" x14ac:dyDescent="0.25">
      <c r="B5" s="156" t="s">
        <v>4</v>
      </c>
      <c r="C5" s="157"/>
      <c r="D5" s="161" t="s">
        <v>5</v>
      </c>
      <c r="E5" s="162"/>
      <c r="F5" s="162"/>
      <c r="G5" s="162"/>
      <c r="H5" s="162"/>
      <c r="I5" s="162"/>
      <c r="J5" s="163"/>
      <c r="K5" s="161" t="s">
        <v>6</v>
      </c>
      <c r="L5" s="162"/>
      <c r="M5" s="162"/>
      <c r="N5" s="162"/>
      <c r="O5" s="162"/>
      <c r="P5" s="162"/>
      <c r="Q5" s="163"/>
      <c r="R5" s="164" t="s">
        <v>80</v>
      </c>
      <c r="S5" s="165"/>
    </row>
    <row r="6" spans="2:25" ht="35.25" customHeight="1" x14ac:dyDescent="0.25">
      <c r="B6" s="158"/>
      <c r="C6" s="159"/>
      <c r="D6" s="36" t="s">
        <v>7</v>
      </c>
      <c r="E6" s="37" t="s">
        <v>8</v>
      </c>
      <c r="F6" s="37" t="s">
        <v>9</v>
      </c>
      <c r="G6" s="37" t="s">
        <v>10</v>
      </c>
      <c r="H6" s="37" t="s">
        <v>11</v>
      </c>
      <c r="I6" s="37" t="s">
        <v>12</v>
      </c>
      <c r="J6" s="28" t="s">
        <v>13</v>
      </c>
      <c r="K6" s="36" t="s">
        <v>7</v>
      </c>
      <c r="L6" s="37" t="s">
        <v>31</v>
      </c>
      <c r="M6" s="37" t="s">
        <v>9</v>
      </c>
      <c r="N6" s="37" t="s">
        <v>10</v>
      </c>
      <c r="O6" s="37" t="s">
        <v>11</v>
      </c>
      <c r="P6" s="37" t="s">
        <v>12</v>
      </c>
      <c r="Q6" s="28" t="s">
        <v>13</v>
      </c>
      <c r="R6" s="82" t="s">
        <v>9</v>
      </c>
      <c r="S6" s="28" t="s">
        <v>13</v>
      </c>
    </row>
    <row r="7" spans="2:25" s="3" customFormat="1" ht="23.75" customHeight="1" x14ac:dyDescent="0.25">
      <c r="B7" s="14" t="s">
        <v>0</v>
      </c>
      <c r="C7" s="15" t="s">
        <v>1</v>
      </c>
      <c r="D7" s="84" t="s">
        <v>14</v>
      </c>
      <c r="E7" s="79" t="s">
        <v>15</v>
      </c>
      <c r="F7" s="79" t="s">
        <v>16</v>
      </c>
      <c r="G7" s="79" t="s">
        <v>17</v>
      </c>
      <c r="H7" s="79" t="s">
        <v>18</v>
      </c>
      <c r="I7" s="79" t="s">
        <v>19</v>
      </c>
      <c r="J7" s="85" t="s">
        <v>20</v>
      </c>
      <c r="K7" s="84" t="s">
        <v>14</v>
      </c>
      <c r="L7" s="79" t="s">
        <v>15</v>
      </c>
      <c r="M7" s="79" t="s">
        <v>16</v>
      </c>
      <c r="N7" s="79" t="s">
        <v>17</v>
      </c>
      <c r="O7" s="79" t="s">
        <v>18</v>
      </c>
      <c r="P7" s="79" t="s">
        <v>19</v>
      </c>
      <c r="Q7" s="85" t="s">
        <v>20</v>
      </c>
      <c r="R7" s="83" t="s">
        <v>129</v>
      </c>
      <c r="S7" s="86" t="s">
        <v>128</v>
      </c>
    </row>
    <row r="8" spans="2:25" s="4" customFormat="1" ht="18" customHeight="1" thickBot="1" x14ac:dyDescent="0.3">
      <c r="B8" s="80">
        <f>'SD contributions achieved'!C3</f>
        <v>44562</v>
      </c>
      <c r="C8" s="81">
        <f>'SD contributions achieved'!E3</f>
        <v>44926</v>
      </c>
      <c r="D8" s="87">
        <f>'Electricity data'!F22</f>
        <v>15541.679999999998</v>
      </c>
      <c r="E8" s="88">
        <f>'Electricity data'!I22</f>
        <v>49.980000000000004</v>
      </c>
      <c r="F8" s="88">
        <f>D8-E8</f>
        <v>15491.699999999999</v>
      </c>
      <c r="G8" s="89">
        <f>ROUNDDOWN(F8*$F$4,0)</f>
        <v>9268</v>
      </c>
      <c r="H8" s="89">
        <v>0</v>
      </c>
      <c r="I8" s="89">
        <v>0</v>
      </c>
      <c r="J8" s="90">
        <f>G8-H8-I8</f>
        <v>9268</v>
      </c>
      <c r="K8" s="87">
        <f>'Electricity data'!M22</f>
        <v>7032.3959999999997</v>
      </c>
      <c r="L8" s="88">
        <f>'Electricity data'!P22</f>
        <v>15.4</v>
      </c>
      <c r="M8" s="88">
        <f>K8-L8</f>
        <v>7016.9960000000001</v>
      </c>
      <c r="N8" s="89">
        <f>ROUNDDOWN(M8*$F$4,0)</f>
        <v>4198</v>
      </c>
      <c r="O8" s="89">
        <v>0</v>
      </c>
      <c r="P8" s="89">
        <v>0</v>
      </c>
      <c r="Q8" s="90">
        <f>N8-O8-P8</f>
        <v>4198</v>
      </c>
      <c r="R8" s="91">
        <f>F8+M8</f>
        <v>22508.696</v>
      </c>
      <c r="S8" s="92">
        <f>J8+Q8</f>
        <v>13466</v>
      </c>
    </row>
    <row r="9" spans="2:25" ht="54" customHeight="1" x14ac:dyDescent="0.25">
      <c r="B9" s="155" t="s">
        <v>159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</row>
    <row r="10" spans="2:25" x14ac:dyDescent="0.25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2:25" x14ac:dyDescent="0.25">
      <c r="B11" s="78"/>
      <c r="C11" s="78"/>
      <c r="D11" s="78"/>
      <c r="E11" s="78"/>
      <c r="F11" s="78"/>
      <c r="G11" s="78"/>
      <c r="H11" s="78"/>
      <c r="I11" s="78"/>
      <c r="J11" s="78">
        <v>9281</v>
      </c>
      <c r="K11" s="78"/>
      <c r="L11" s="78"/>
      <c r="M11" s="78"/>
      <c r="N11" s="78"/>
      <c r="O11" s="78"/>
      <c r="P11" s="78"/>
      <c r="Q11" s="78">
        <v>3649</v>
      </c>
      <c r="R11" s="78"/>
    </row>
    <row r="13" spans="2:25" x14ac:dyDescent="0.25">
      <c r="M13" s="51"/>
    </row>
    <row r="14" spans="2:25" x14ac:dyDescent="0.25">
      <c r="J14" s="135">
        <f>J8/J11-1</f>
        <v>-1.4007111302661857E-3</v>
      </c>
      <c r="Q14" s="135">
        <f>Q8/Q11-1</f>
        <v>0.15045217867909022</v>
      </c>
    </row>
  </sheetData>
  <mergeCells count="11">
    <mergeCell ref="B1:Q1"/>
    <mergeCell ref="F2:G2"/>
    <mergeCell ref="H2:I2"/>
    <mergeCell ref="F3:G3"/>
    <mergeCell ref="H3:I3"/>
    <mergeCell ref="B9:S9"/>
    <mergeCell ref="B5:C6"/>
    <mergeCell ref="F4:J4"/>
    <mergeCell ref="D5:J5"/>
    <mergeCell ref="K5:Q5"/>
    <mergeCell ref="R5:S5"/>
  </mergeCells>
  <phoneticPr fontId="2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82"/>
  <sheetViews>
    <sheetView tabSelected="1" zoomScale="70" zoomScaleNormal="70" workbookViewId="0">
      <selection activeCell="L29" sqref="L29"/>
    </sheetView>
  </sheetViews>
  <sheetFormatPr defaultColWidth="9" defaultRowHeight="13" x14ac:dyDescent="0.25"/>
  <cols>
    <col min="1" max="1" width="1" style="2" customWidth="1"/>
    <col min="2" max="2" width="13.453125" style="5" customWidth="1"/>
    <col min="3" max="3" width="16.1796875" style="5" customWidth="1"/>
    <col min="4" max="4" width="18.1796875" style="2" customWidth="1"/>
    <col min="5" max="5" width="16.08984375" style="2" customWidth="1"/>
    <col min="6" max="6" width="14.81640625" style="2" customWidth="1"/>
    <col min="7" max="7" width="11" style="2" customWidth="1"/>
    <col min="8" max="8" width="10.1796875" style="2" customWidth="1"/>
    <col min="9" max="9" width="11" style="2" customWidth="1"/>
    <col min="10" max="10" width="11.54296875" style="2" customWidth="1"/>
    <col min="11" max="11" width="11" style="2" customWidth="1"/>
    <col min="12" max="12" width="12.54296875" style="2" customWidth="1"/>
    <col min="13" max="13" width="12.1796875" style="2" customWidth="1"/>
    <col min="14" max="14" width="10" style="2" customWidth="1"/>
    <col min="15" max="15" width="13" style="2" customWidth="1"/>
    <col min="16" max="17" width="10.1796875" style="2" customWidth="1"/>
    <col min="18" max="18" width="9.81640625" style="2" customWidth="1"/>
    <col min="19" max="19" width="8.81640625" style="2" customWidth="1"/>
    <col min="20" max="20" width="13.90625" style="2" customWidth="1"/>
    <col min="21" max="21" width="7.36328125" style="2" bestFit="1" customWidth="1"/>
    <col min="22" max="22" width="4.81640625" style="2" customWidth="1"/>
    <col min="23" max="23" width="7.36328125" style="2" customWidth="1"/>
    <col min="24" max="24" width="7.1796875" style="2" customWidth="1"/>
    <col min="25" max="16384" width="9" style="2"/>
  </cols>
  <sheetData>
    <row r="1" spans="2:24" ht="24.75" customHeight="1" x14ac:dyDescent="0.25">
      <c r="B1" s="166" t="s">
        <v>29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20"/>
      <c r="S1" s="20"/>
      <c r="T1" s="20"/>
      <c r="U1" s="20"/>
      <c r="V1" s="20"/>
      <c r="W1" s="20"/>
      <c r="X1"/>
    </row>
    <row r="2" spans="2:24" ht="16.5" customHeight="1" x14ac:dyDescent="0.25">
      <c r="B2" s="6"/>
      <c r="C2" s="6"/>
      <c r="D2" s="6"/>
      <c r="E2" s="6"/>
      <c r="F2" s="167" t="s">
        <v>0</v>
      </c>
      <c r="G2" s="167"/>
      <c r="H2" s="167" t="s">
        <v>1</v>
      </c>
      <c r="I2" s="167"/>
      <c r="J2" s="69"/>
      <c r="K2" s="6"/>
      <c r="L2" s="6"/>
      <c r="M2" s="6"/>
      <c r="O2" s="21"/>
      <c r="P2" s="21"/>
      <c r="Q2" s="22"/>
      <c r="R2" s="6"/>
      <c r="S2" s="6"/>
      <c r="T2" s="6"/>
      <c r="U2" s="6"/>
      <c r="V2" s="6"/>
      <c r="W2" s="6"/>
      <c r="X2"/>
    </row>
    <row r="3" spans="2:24" s="1" customFormat="1" ht="16.5" customHeight="1" x14ac:dyDescent="0.25">
      <c r="B3" s="7" t="s">
        <v>2</v>
      </c>
      <c r="C3" s="7"/>
      <c r="E3" s="8"/>
      <c r="F3" s="168">
        <f>'SD contributions achieved'!C3</f>
        <v>44562</v>
      </c>
      <c r="G3" s="168"/>
      <c r="H3" s="168">
        <f>'SD contributions achieved'!E3</f>
        <v>44926</v>
      </c>
      <c r="I3" s="168"/>
      <c r="J3" s="70"/>
      <c r="K3" s="23">
        <f>H3-F3+1</f>
        <v>365</v>
      </c>
      <c r="L3" s="24" t="s">
        <v>3</v>
      </c>
      <c r="M3" s="8"/>
      <c r="O3" s="25"/>
      <c r="P3" s="25"/>
      <c r="Q3" s="26"/>
      <c r="R3" s="8"/>
      <c r="S3" s="8"/>
      <c r="T3" s="8"/>
      <c r="U3" s="8"/>
      <c r="V3" s="8"/>
      <c r="W3" s="8"/>
    </row>
    <row r="4" spans="2:24" ht="17.25" customHeight="1" thickBot="1" x14ac:dyDescent="0.3">
      <c r="B4" s="7" t="s">
        <v>33</v>
      </c>
      <c r="C4" s="7"/>
      <c r="E4" s="9"/>
      <c r="F4" s="10"/>
      <c r="G4" s="10"/>
      <c r="H4" s="10"/>
      <c r="I4" s="10"/>
      <c r="J4" s="10"/>
      <c r="K4" s="10"/>
      <c r="L4" s="27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2:24" ht="18.75" customHeight="1" x14ac:dyDescent="0.25">
      <c r="B5" s="156" t="s">
        <v>4</v>
      </c>
      <c r="C5" s="157"/>
      <c r="D5" s="161" t="s">
        <v>81</v>
      </c>
      <c r="E5" s="162"/>
      <c r="F5" s="162"/>
      <c r="G5" s="162"/>
      <c r="H5" s="162"/>
      <c r="I5" s="162"/>
      <c r="J5" s="171"/>
      <c r="K5" s="161" t="s">
        <v>34</v>
      </c>
      <c r="L5" s="162"/>
      <c r="M5" s="162"/>
      <c r="N5" s="162"/>
      <c r="O5" s="162"/>
      <c r="P5" s="162"/>
      <c r="Q5" s="163"/>
    </row>
    <row r="6" spans="2:24" ht="27" customHeight="1" x14ac:dyDescent="0.25">
      <c r="B6" s="158"/>
      <c r="C6" s="159"/>
      <c r="D6" s="11" t="s">
        <v>22</v>
      </c>
      <c r="E6" s="12" t="s">
        <v>146</v>
      </c>
      <c r="F6" s="12" t="s">
        <v>23</v>
      </c>
      <c r="G6" s="12" t="s">
        <v>22</v>
      </c>
      <c r="H6" s="12" t="s">
        <v>146</v>
      </c>
      <c r="I6" s="37" t="s">
        <v>24</v>
      </c>
      <c r="J6" s="98" t="s">
        <v>136</v>
      </c>
      <c r="K6" s="11" t="s">
        <v>22</v>
      </c>
      <c r="L6" s="12" t="s">
        <v>146</v>
      </c>
      <c r="M6" s="12" t="s">
        <v>23</v>
      </c>
      <c r="N6" s="12" t="s">
        <v>22</v>
      </c>
      <c r="O6" s="12" t="s">
        <v>146</v>
      </c>
      <c r="P6" s="37" t="s">
        <v>24</v>
      </c>
      <c r="Q6" s="28" t="s">
        <v>136</v>
      </c>
    </row>
    <row r="7" spans="2:24" ht="18" customHeight="1" x14ac:dyDescent="0.25">
      <c r="B7" s="71"/>
      <c r="C7" s="13"/>
      <c r="D7" s="11" t="s">
        <v>25</v>
      </c>
      <c r="E7" s="12" t="s">
        <v>25</v>
      </c>
      <c r="F7" s="12" t="s">
        <v>25</v>
      </c>
      <c r="G7" s="12" t="s">
        <v>25</v>
      </c>
      <c r="H7" s="12" t="s">
        <v>25</v>
      </c>
      <c r="I7" s="12" t="s">
        <v>25</v>
      </c>
      <c r="J7" s="95" t="s">
        <v>25</v>
      </c>
      <c r="K7" s="11" t="s">
        <v>25</v>
      </c>
      <c r="L7" s="12" t="s">
        <v>25</v>
      </c>
      <c r="M7" s="12" t="s">
        <v>25</v>
      </c>
      <c r="N7" s="12" t="s">
        <v>25</v>
      </c>
      <c r="O7" s="12" t="s">
        <v>25</v>
      </c>
      <c r="P7" s="12" t="s">
        <v>25</v>
      </c>
      <c r="Q7" s="29" t="s">
        <v>25</v>
      </c>
    </row>
    <row r="8" spans="2:24" s="3" customFormat="1" ht="18" customHeight="1" x14ac:dyDescent="0.25">
      <c r="B8" s="14" t="s">
        <v>0</v>
      </c>
      <c r="C8" s="15" t="s">
        <v>1</v>
      </c>
      <c r="D8" s="16" t="s">
        <v>14</v>
      </c>
      <c r="E8" s="17" t="s">
        <v>15</v>
      </c>
      <c r="F8" s="17" t="s">
        <v>26</v>
      </c>
      <c r="G8" s="17" t="s">
        <v>27</v>
      </c>
      <c r="H8" s="17" t="s">
        <v>18</v>
      </c>
      <c r="I8" s="17" t="s">
        <v>53</v>
      </c>
      <c r="J8" s="96" t="s">
        <v>137</v>
      </c>
      <c r="K8" s="16" t="s">
        <v>14</v>
      </c>
      <c r="L8" s="17" t="s">
        <v>15</v>
      </c>
      <c r="M8" s="17" t="s">
        <v>26</v>
      </c>
      <c r="N8" s="17" t="s">
        <v>27</v>
      </c>
      <c r="O8" s="17" t="s">
        <v>18</v>
      </c>
      <c r="P8" s="17" t="s">
        <v>53</v>
      </c>
      <c r="Q8" s="30" t="s">
        <v>137</v>
      </c>
    </row>
    <row r="9" spans="2:24" x14ac:dyDescent="0.25">
      <c r="B9" s="18">
        <v>44562</v>
      </c>
      <c r="C9" s="19">
        <v>44581</v>
      </c>
      <c r="D9" s="38">
        <v>543.9</v>
      </c>
      <c r="E9" s="31">
        <v>543.9</v>
      </c>
      <c r="F9" s="39">
        <f>MIN(D9,E9)</f>
        <v>543.9</v>
      </c>
      <c r="G9" s="31">
        <v>6.72</v>
      </c>
      <c r="H9" s="31">
        <v>6.72</v>
      </c>
      <c r="I9" s="39">
        <f>MAX(G9,H9)</f>
        <v>6.72</v>
      </c>
      <c r="J9" s="99">
        <f>F9-I9</f>
        <v>537.17999999999995</v>
      </c>
      <c r="K9" s="38">
        <v>322.05599999999998</v>
      </c>
      <c r="L9" s="127">
        <v>322.05599999999998</v>
      </c>
      <c r="M9" s="39">
        <f t="shared" ref="M9:M20" si="0">MIN(K9,L9)</f>
        <v>322.05599999999998</v>
      </c>
      <c r="N9" s="31">
        <v>1.764</v>
      </c>
      <c r="O9" s="31">
        <v>1.764</v>
      </c>
      <c r="P9" s="39">
        <f>MAX(N9,O9)</f>
        <v>1.764</v>
      </c>
      <c r="Q9" s="72">
        <f>M9-P9</f>
        <v>320.29199999999997</v>
      </c>
      <c r="R9" s="32"/>
      <c r="S9" s="136"/>
      <c r="T9" s="136"/>
      <c r="U9" s="137"/>
    </row>
    <row r="10" spans="2:24" x14ac:dyDescent="0.25">
      <c r="B10" s="18">
        <v>44582</v>
      </c>
      <c r="C10" s="19">
        <v>44612</v>
      </c>
      <c r="D10" s="38">
        <v>2449.86</v>
      </c>
      <c r="E10" s="31">
        <v>2449.86</v>
      </c>
      <c r="F10" s="39">
        <f t="shared" ref="F10:F21" si="1">MIN(D10,E10)</f>
        <v>2449.86</v>
      </c>
      <c r="G10" s="31">
        <v>0</v>
      </c>
      <c r="H10" s="31">
        <v>0</v>
      </c>
      <c r="I10" s="39">
        <f t="shared" ref="I10:I21" si="2">MAX(G10,H10)</f>
        <v>0</v>
      </c>
      <c r="J10" s="99">
        <f t="shared" ref="J10:J21" si="3">F10-I10</f>
        <v>2449.86</v>
      </c>
      <c r="K10" s="38">
        <v>1078.644</v>
      </c>
      <c r="L10" s="31">
        <v>1078.644</v>
      </c>
      <c r="M10" s="39">
        <f t="shared" si="0"/>
        <v>1078.644</v>
      </c>
      <c r="N10" s="31">
        <v>2.8000000000000001E-2</v>
      </c>
      <c r="O10" s="31">
        <v>0.28000000000000003</v>
      </c>
      <c r="P10" s="39">
        <f t="shared" ref="P10:P21" si="4">MAX(N10,O10)</f>
        <v>0.28000000000000003</v>
      </c>
      <c r="Q10" s="72">
        <f t="shared" ref="Q10:Q20" si="5">M10-P10</f>
        <v>1078.364</v>
      </c>
      <c r="R10" s="32"/>
      <c r="S10" s="136"/>
      <c r="T10" s="136"/>
      <c r="U10" s="137"/>
    </row>
    <row r="11" spans="2:24" x14ac:dyDescent="0.25">
      <c r="B11" s="18">
        <v>44613</v>
      </c>
      <c r="C11" s="19">
        <v>44640</v>
      </c>
      <c r="D11" s="38">
        <v>1899.24</v>
      </c>
      <c r="E11" s="31">
        <v>1899.24</v>
      </c>
      <c r="F11" s="39">
        <f t="shared" si="1"/>
        <v>1899.24</v>
      </c>
      <c r="G11" s="31">
        <v>10.5</v>
      </c>
      <c r="H11" s="31">
        <v>10.5</v>
      </c>
      <c r="I11" s="39">
        <f>MAX(G11,H11)</f>
        <v>10.5</v>
      </c>
      <c r="J11" s="99">
        <f t="shared" si="3"/>
        <v>1888.74</v>
      </c>
      <c r="K11" s="38">
        <v>779.57600000000002</v>
      </c>
      <c r="L11" s="126">
        <v>779.57600000000002</v>
      </c>
      <c r="M11" s="39">
        <f t="shared" si="0"/>
        <v>779.57600000000002</v>
      </c>
      <c r="N11" s="31">
        <v>8.4000000000000005E-2</v>
      </c>
      <c r="O11" s="31">
        <v>8.4000000000000005E-2</v>
      </c>
      <c r="P11" s="39">
        <f t="shared" si="4"/>
        <v>8.4000000000000005E-2</v>
      </c>
      <c r="Q11" s="72">
        <f t="shared" si="5"/>
        <v>779.49200000000008</v>
      </c>
      <c r="R11" s="32"/>
      <c r="S11" s="136"/>
      <c r="T11" s="136"/>
      <c r="U11" s="137"/>
    </row>
    <row r="12" spans="2:24" x14ac:dyDescent="0.25">
      <c r="B12" s="18">
        <v>44641</v>
      </c>
      <c r="C12" s="19">
        <v>44671</v>
      </c>
      <c r="D12" s="38">
        <v>1148.28</v>
      </c>
      <c r="E12" s="31">
        <v>1148.28</v>
      </c>
      <c r="F12" s="39">
        <f t="shared" si="1"/>
        <v>1148.28</v>
      </c>
      <c r="G12" s="31">
        <v>0.84</v>
      </c>
      <c r="H12" s="31">
        <v>0.84</v>
      </c>
      <c r="I12" s="39">
        <f t="shared" si="2"/>
        <v>0.84</v>
      </c>
      <c r="J12" s="99">
        <f t="shared" si="3"/>
        <v>1147.44</v>
      </c>
      <c r="K12" s="38">
        <v>578.36800000000005</v>
      </c>
      <c r="L12" s="31">
        <v>578.36800000000005</v>
      </c>
      <c r="M12" s="39">
        <f t="shared" si="0"/>
        <v>578.36800000000005</v>
      </c>
      <c r="N12" s="31">
        <v>0.36399999999999999</v>
      </c>
      <c r="O12" s="31">
        <v>0.36399999999999999</v>
      </c>
      <c r="P12" s="39">
        <f t="shared" si="4"/>
        <v>0.36399999999999999</v>
      </c>
      <c r="Q12" s="72">
        <f t="shared" si="5"/>
        <v>578.00400000000002</v>
      </c>
      <c r="R12" s="32"/>
      <c r="S12" s="136"/>
      <c r="T12" s="136"/>
      <c r="U12" s="137"/>
    </row>
    <row r="13" spans="2:24" x14ac:dyDescent="0.25">
      <c r="B13" s="18">
        <v>44672</v>
      </c>
      <c r="C13" s="19">
        <v>44701</v>
      </c>
      <c r="D13" s="38">
        <v>2377.62</v>
      </c>
      <c r="E13" s="31">
        <v>2377.62</v>
      </c>
      <c r="F13" s="39">
        <f t="shared" si="1"/>
        <v>2377.62</v>
      </c>
      <c r="G13" s="31">
        <v>0.42</v>
      </c>
      <c r="H13" s="31">
        <v>0.42</v>
      </c>
      <c r="I13" s="39">
        <f t="shared" si="2"/>
        <v>0.42</v>
      </c>
      <c r="J13" s="99">
        <f t="shared" si="3"/>
        <v>2377.1999999999998</v>
      </c>
      <c r="K13" s="38">
        <v>1086.876</v>
      </c>
      <c r="L13" s="31">
        <v>1086.876</v>
      </c>
      <c r="M13" s="39">
        <f t="shared" si="0"/>
        <v>1086.876</v>
      </c>
      <c r="N13" s="31">
        <v>5.6000000000000001E-2</v>
      </c>
      <c r="O13" s="31">
        <v>5.6000000000000001E-2</v>
      </c>
      <c r="P13" s="39">
        <f t="shared" si="4"/>
        <v>5.6000000000000001E-2</v>
      </c>
      <c r="Q13" s="72">
        <f t="shared" si="5"/>
        <v>1086.82</v>
      </c>
      <c r="R13" s="32"/>
      <c r="S13" s="136"/>
      <c r="T13" s="136"/>
      <c r="U13" s="137"/>
    </row>
    <row r="14" spans="2:24" x14ac:dyDescent="0.25">
      <c r="B14" s="18">
        <v>44702</v>
      </c>
      <c r="C14" s="19">
        <v>44732</v>
      </c>
      <c r="D14" s="38">
        <v>2700.6</v>
      </c>
      <c r="E14" s="31">
        <v>2700.6</v>
      </c>
      <c r="F14" s="39">
        <f t="shared" si="1"/>
        <v>2700.6</v>
      </c>
      <c r="G14" s="31">
        <v>0</v>
      </c>
      <c r="H14" s="31">
        <v>0</v>
      </c>
      <c r="I14" s="39">
        <f t="shared" si="2"/>
        <v>0</v>
      </c>
      <c r="J14" s="99">
        <f t="shared" si="3"/>
        <v>2700.6</v>
      </c>
      <c r="K14" s="38">
        <v>991.928</v>
      </c>
      <c r="L14" s="31">
        <v>991.928</v>
      </c>
      <c r="M14" s="39">
        <f t="shared" si="0"/>
        <v>991.928</v>
      </c>
      <c r="N14" s="31">
        <v>2.66</v>
      </c>
      <c r="O14" s="31">
        <v>2.66</v>
      </c>
      <c r="P14" s="39">
        <f t="shared" si="4"/>
        <v>2.66</v>
      </c>
      <c r="Q14" s="72">
        <f t="shared" si="5"/>
        <v>989.26800000000003</v>
      </c>
      <c r="R14" s="32"/>
      <c r="S14" s="136"/>
      <c r="T14" s="136"/>
      <c r="U14" s="137"/>
    </row>
    <row r="15" spans="2:24" x14ac:dyDescent="0.25">
      <c r="B15" s="18">
        <v>44733</v>
      </c>
      <c r="C15" s="19">
        <v>44742</v>
      </c>
      <c r="D15" s="38">
        <v>1014.3</v>
      </c>
      <c r="E15" s="31">
        <v>1014.3</v>
      </c>
      <c r="F15" s="39">
        <f t="shared" si="1"/>
        <v>1014.3</v>
      </c>
      <c r="G15" s="31">
        <v>0</v>
      </c>
      <c r="H15" s="31">
        <v>0</v>
      </c>
      <c r="I15" s="39">
        <f t="shared" si="2"/>
        <v>0</v>
      </c>
      <c r="J15" s="99">
        <f t="shared" si="3"/>
        <v>1014.3</v>
      </c>
      <c r="K15" s="38">
        <v>405.63600000000002</v>
      </c>
      <c r="L15" s="31">
        <v>405.63600000000002</v>
      </c>
      <c r="M15" s="39">
        <f>MIN(K15,L15)</f>
        <v>405.63600000000002</v>
      </c>
      <c r="N15" s="31">
        <v>0.19600000000000001</v>
      </c>
      <c r="O15" s="31">
        <v>0.19600000000000001</v>
      </c>
      <c r="P15" s="39">
        <f t="shared" si="4"/>
        <v>0.19600000000000001</v>
      </c>
      <c r="Q15" s="72">
        <f>M15-P15</f>
        <v>405.44</v>
      </c>
      <c r="R15" s="32"/>
      <c r="S15" s="136"/>
      <c r="T15" s="136"/>
      <c r="U15" s="137"/>
    </row>
    <row r="16" spans="2:24" x14ac:dyDescent="0.25">
      <c r="B16" s="18">
        <v>44743</v>
      </c>
      <c r="C16" s="19">
        <v>44773</v>
      </c>
      <c r="D16" s="38">
        <v>2008.02</v>
      </c>
      <c r="E16" s="31">
        <v>2008.02</v>
      </c>
      <c r="F16" s="39">
        <f t="shared" si="1"/>
        <v>2008.02</v>
      </c>
      <c r="G16" s="31">
        <v>0.42</v>
      </c>
      <c r="H16" s="31">
        <v>0.42</v>
      </c>
      <c r="I16" s="39">
        <f t="shared" si="2"/>
        <v>0.42</v>
      </c>
      <c r="J16" s="99">
        <f t="shared" si="3"/>
        <v>2007.6</v>
      </c>
      <c r="K16" s="38">
        <v>978.26400000000001</v>
      </c>
      <c r="L16" s="31">
        <v>978.26400000000001</v>
      </c>
      <c r="M16" s="39">
        <f t="shared" si="0"/>
        <v>978.26400000000001</v>
      </c>
      <c r="N16" s="31">
        <v>8.4000000000000005E-2</v>
      </c>
      <c r="O16" s="31">
        <v>8.4000000000000005E-2</v>
      </c>
      <c r="P16" s="39">
        <f t="shared" si="4"/>
        <v>8.4000000000000005E-2</v>
      </c>
      <c r="Q16" s="72">
        <f t="shared" si="5"/>
        <v>978.18000000000006</v>
      </c>
      <c r="R16" s="32"/>
      <c r="S16" s="136"/>
      <c r="T16" s="136"/>
      <c r="U16" s="137"/>
    </row>
    <row r="17" spans="2:21" x14ac:dyDescent="0.25">
      <c r="B17" s="18">
        <v>44774</v>
      </c>
      <c r="C17" s="19">
        <v>44804</v>
      </c>
      <c r="D17" s="38">
        <v>616.98</v>
      </c>
      <c r="E17" s="31">
        <v>616.98</v>
      </c>
      <c r="F17" s="39">
        <f t="shared" si="1"/>
        <v>616.98</v>
      </c>
      <c r="G17" s="31">
        <v>2.1</v>
      </c>
      <c r="H17" s="31">
        <v>2.1</v>
      </c>
      <c r="I17" s="39">
        <f t="shared" si="2"/>
        <v>2.1</v>
      </c>
      <c r="J17" s="99">
        <f t="shared" si="3"/>
        <v>614.88</v>
      </c>
      <c r="K17" s="38">
        <v>342.44</v>
      </c>
      <c r="L17" s="31">
        <v>342.44</v>
      </c>
      <c r="M17" s="39">
        <f t="shared" si="0"/>
        <v>342.44</v>
      </c>
      <c r="N17" s="31">
        <v>1.0640000000000001</v>
      </c>
      <c r="O17" s="31">
        <v>1.0640000000000001</v>
      </c>
      <c r="P17" s="39">
        <f t="shared" si="4"/>
        <v>1.0640000000000001</v>
      </c>
      <c r="Q17" s="72">
        <f t="shared" si="5"/>
        <v>341.37599999999998</v>
      </c>
      <c r="R17" s="32"/>
      <c r="S17" s="136"/>
      <c r="T17" s="136"/>
      <c r="U17" s="137"/>
    </row>
    <row r="18" spans="2:21" x14ac:dyDescent="0.25">
      <c r="B18" s="18">
        <v>44805</v>
      </c>
      <c r="C18" s="19">
        <v>44834</v>
      </c>
      <c r="D18" s="38">
        <v>322.56</v>
      </c>
      <c r="E18" s="31">
        <v>322.56</v>
      </c>
      <c r="F18" s="39">
        <f t="shared" si="1"/>
        <v>322.56</v>
      </c>
      <c r="G18" s="31">
        <v>4.62</v>
      </c>
      <c r="H18" s="31">
        <v>4.62</v>
      </c>
      <c r="I18" s="39">
        <f t="shared" si="2"/>
        <v>4.62</v>
      </c>
      <c r="J18" s="99">
        <f t="shared" si="3"/>
        <v>317.94</v>
      </c>
      <c r="K18" s="38">
        <v>158.9</v>
      </c>
      <c r="L18" s="31">
        <v>158.9</v>
      </c>
      <c r="M18" s="39">
        <f t="shared" si="0"/>
        <v>158.9</v>
      </c>
      <c r="N18" s="31">
        <v>2.1</v>
      </c>
      <c r="O18" s="31">
        <v>2.1</v>
      </c>
      <c r="P18" s="39">
        <f t="shared" si="4"/>
        <v>2.1</v>
      </c>
      <c r="Q18" s="72">
        <f t="shared" si="5"/>
        <v>156.80000000000001</v>
      </c>
      <c r="R18" s="32"/>
      <c r="S18" s="136"/>
      <c r="T18" s="136"/>
      <c r="U18" s="137"/>
    </row>
    <row r="19" spans="2:21" x14ac:dyDescent="0.25">
      <c r="B19" s="18">
        <v>44835</v>
      </c>
      <c r="C19" s="19">
        <v>44865</v>
      </c>
      <c r="D19" s="38">
        <v>144.06</v>
      </c>
      <c r="E19" s="31">
        <v>144.06</v>
      </c>
      <c r="F19" s="39">
        <f t="shared" si="1"/>
        <v>144.06</v>
      </c>
      <c r="G19" s="31">
        <v>9.66</v>
      </c>
      <c r="H19" s="31">
        <v>9.66</v>
      </c>
      <c r="I19" s="39">
        <f t="shared" si="2"/>
        <v>9.66</v>
      </c>
      <c r="J19" s="99">
        <f t="shared" si="3"/>
        <v>134.4</v>
      </c>
      <c r="K19" s="38">
        <v>104.41200000000001</v>
      </c>
      <c r="L19" s="31">
        <v>104.41200000000001</v>
      </c>
      <c r="M19" s="39">
        <f t="shared" si="0"/>
        <v>104.41200000000001</v>
      </c>
      <c r="N19" s="31">
        <v>2.464</v>
      </c>
      <c r="O19" s="31">
        <v>2.464</v>
      </c>
      <c r="P19" s="39">
        <f t="shared" si="4"/>
        <v>2.464</v>
      </c>
      <c r="Q19" s="72">
        <f>M19-P19</f>
        <v>101.94800000000001</v>
      </c>
      <c r="R19" s="32"/>
      <c r="S19" s="136"/>
      <c r="T19" s="136"/>
      <c r="U19" s="137"/>
    </row>
    <row r="20" spans="2:21" x14ac:dyDescent="0.25">
      <c r="B20" s="18">
        <v>44866</v>
      </c>
      <c r="C20" s="19">
        <v>44895</v>
      </c>
      <c r="D20" s="38">
        <v>90.72</v>
      </c>
      <c r="E20" s="31">
        <v>90.72</v>
      </c>
      <c r="F20" s="39">
        <f t="shared" si="1"/>
        <v>90.72</v>
      </c>
      <c r="G20" s="31">
        <v>7.56</v>
      </c>
      <c r="H20" s="31">
        <v>7.56</v>
      </c>
      <c r="I20" s="39">
        <f t="shared" si="2"/>
        <v>7.56</v>
      </c>
      <c r="J20" s="99">
        <f t="shared" si="3"/>
        <v>83.16</v>
      </c>
      <c r="K20" s="38">
        <v>97.524000000000001</v>
      </c>
      <c r="L20" s="31">
        <v>97.524000000000001</v>
      </c>
      <c r="M20" s="39">
        <f t="shared" si="0"/>
        <v>97.524000000000001</v>
      </c>
      <c r="N20" s="31">
        <v>2.1280000000000001</v>
      </c>
      <c r="O20" s="31">
        <v>2.1280000000000001</v>
      </c>
      <c r="P20" s="39">
        <f t="shared" si="4"/>
        <v>2.1280000000000001</v>
      </c>
      <c r="Q20" s="72">
        <f t="shared" si="5"/>
        <v>95.396000000000001</v>
      </c>
      <c r="R20" s="32"/>
      <c r="S20" s="136"/>
      <c r="T20" s="136"/>
      <c r="U20" s="137"/>
    </row>
    <row r="21" spans="2:21" x14ac:dyDescent="0.25">
      <c r="B21" s="18">
        <v>44896</v>
      </c>
      <c r="C21" s="19">
        <v>44926</v>
      </c>
      <c r="D21" s="38">
        <v>225.54</v>
      </c>
      <c r="E21" s="31">
        <v>225.54</v>
      </c>
      <c r="F21" s="39">
        <f t="shared" si="1"/>
        <v>225.54</v>
      </c>
      <c r="G21" s="31">
        <v>7.14</v>
      </c>
      <c r="H21" s="31">
        <v>7.14</v>
      </c>
      <c r="I21" s="39">
        <f t="shared" si="2"/>
        <v>7.14</v>
      </c>
      <c r="J21" s="99">
        <f t="shared" si="3"/>
        <v>218.4</v>
      </c>
      <c r="K21" s="38">
        <v>107.77200000000001</v>
      </c>
      <c r="L21" s="31">
        <v>107.77200000000001</v>
      </c>
      <c r="M21" s="39">
        <f>MIN(K21,L21)</f>
        <v>107.77200000000001</v>
      </c>
      <c r="N21" s="31">
        <v>2.1560000000000001</v>
      </c>
      <c r="O21" s="31">
        <v>2.1560000000000001</v>
      </c>
      <c r="P21" s="39">
        <f t="shared" si="4"/>
        <v>2.1560000000000001</v>
      </c>
      <c r="Q21" s="72">
        <f>M21-P21</f>
        <v>105.616</v>
      </c>
      <c r="R21" s="32"/>
      <c r="S21" s="136"/>
      <c r="T21" s="136"/>
      <c r="U21" s="137"/>
    </row>
    <row r="22" spans="2:21" s="4" customFormat="1" ht="18" customHeight="1" thickBot="1" x14ac:dyDescent="0.3">
      <c r="B22" s="169" t="s">
        <v>149</v>
      </c>
      <c r="C22" s="170"/>
      <c r="D22" s="73">
        <f t="shared" ref="D22:J22" si="6">SUM(D9:D21)</f>
        <v>15541.679999999998</v>
      </c>
      <c r="E22" s="76">
        <f>SUM(E9:E21)</f>
        <v>15541.679999999998</v>
      </c>
      <c r="F22" s="74">
        <f t="shared" si="6"/>
        <v>15541.679999999998</v>
      </c>
      <c r="G22" s="74">
        <f t="shared" si="6"/>
        <v>49.980000000000004</v>
      </c>
      <c r="H22" s="74">
        <f>SUM(H9:H21)</f>
        <v>49.980000000000004</v>
      </c>
      <c r="I22" s="74">
        <f t="shared" si="6"/>
        <v>49.980000000000004</v>
      </c>
      <c r="J22" s="97">
        <f t="shared" si="6"/>
        <v>15491.699999999997</v>
      </c>
      <c r="K22" s="77">
        <f t="shared" ref="K22:Q22" si="7">SUM(K9:K21)</f>
        <v>7032.3959999999997</v>
      </c>
      <c r="L22" s="74">
        <f t="shared" si="7"/>
        <v>7032.3959999999997</v>
      </c>
      <c r="M22" s="74">
        <f t="shared" si="7"/>
        <v>7032.3959999999997</v>
      </c>
      <c r="N22" s="74">
        <f t="shared" si="7"/>
        <v>15.148000000000001</v>
      </c>
      <c r="O22" s="74">
        <f t="shared" si="7"/>
        <v>15.4</v>
      </c>
      <c r="P22" s="74">
        <f t="shared" si="7"/>
        <v>15.4</v>
      </c>
      <c r="Q22" s="75">
        <f t="shared" si="7"/>
        <v>7016.9960000000001</v>
      </c>
      <c r="R22" s="32"/>
      <c r="S22" s="136"/>
      <c r="T22" s="136"/>
      <c r="U22" s="137"/>
    </row>
    <row r="23" spans="2:21" ht="40.5" customHeight="1" x14ac:dyDescent="0.25">
      <c r="B23" s="155" t="s">
        <v>165</v>
      </c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</row>
    <row r="24" spans="2:21" x14ac:dyDescent="0.25"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</row>
    <row r="25" spans="2:21" x14ac:dyDescent="0.25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</row>
    <row r="26" spans="2:21" ht="14" x14ac:dyDescent="0.25">
      <c r="B26" s="58"/>
      <c r="C26"/>
      <c r="D26"/>
      <c r="E26"/>
      <c r="F26"/>
      <c r="G26"/>
      <c r="H26"/>
      <c r="I26"/>
      <c r="J26" s="40"/>
      <c r="K26"/>
      <c r="L26" s="134"/>
      <c r="M26"/>
      <c r="N26"/>
      <c r="O26"/>
      <c r="P26"/>
      <c r="Q26"/>
      <c r="R26"/>
      <c r="S26"/>
    </row>
    <row r="27" spans="2:21" ht="14" x14ac:dyDescent="0.25">
      <c r="B27" s="101" t="s">
        <v>138</v>
      </c>
      <c r="C27" s="102" t="s">
        <v>130</v>
      </c>
      <c r="D27" s="102" t="s">
        <v>131</v>
      </c>
      <c r="E27" s="102" t="s">
        <v>134</v>
      </c>
      <c r="F27"/>
      <c r="G27"/>
      <c r="H27"/>
      <c r="I27"/>
      <c r="J27"/>
      <c r="K27"/>
      <c r="L27"/>
      <c r="M27" s="128"/>
      <c r="N27"/>
      <c r="O27"/>
      <c r="P27"/>
      <c r="Q27"/>
      <c r="R27"/>
      <c r="S27"/>
    </row>
    <row r="28" spans="2:21" ht="14" x14ac:dyDescent="0.25">
      <c r="B28" s="101" t="s">
        <v>76</v>
      </c>
      <c r="C28" s="102" t="s">
        <v>133</v>
      </c>
      <c r="D28" s="102" t="s">
        <v>132</v>
      </c>
      <c r="E28" s="102" t="s">
        <v>135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2:21" ht="14" x14ac:dyDescent="0.25">
      <c r="B29" s="101" t="s">
        <v>81</v>
      </c>
      <c r="C29" s="102">
        <v>4</v>
      </c>
      <c r="D29" s="103">
        <v>328000</v>
      </c>
      <c r="E29" s="104">
        <f>C29*1000000/D29</f>
        <v>12.195121951219512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2:21" ht="14" x14ac:dyDescent="0.25">
      <c r="B30" s="101" t="s">
        <v>34</v>
      </c>
      <c r="C30" s="102">
        <v>1.89</v>
      </c>
      <c r="D30" s="103">
        <v>176800</v>
      </c>
      <c r="E30" s="104">
        <f>C30*1000000/D30</f>
        <v>10.690045248868778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2:21" ht="14" x14ac:dyDescent="0.25">
      <c r="B31" s="58"/>
      <c r="C31"/>
      <c r="D31"/>
      <c r="E31" s="94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2:21" ht="14" x14ac:dyDescent="0.25">
      <c r="B32" s="58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2:19" ht="14" x14ac:dyDescent="0.25">
      <c r="B33" s="58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2:19" ht="14" x14ac:dyDescent="0.25">
      <c r="B34" s="58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2:19" ht="14" x14ac:dyDescent="0.25">
      <c r="B35" s="58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2:19" ht="14" x14ac:dyDescent="0.25">
      <c r="B36" s="58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2:19" ht="14" x14ac:dyDescent="0.25">
      <c r="B37" s="58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2:19" ht="14" x14ac:dyDescent="0.25">
      <c r="B38" s="5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2:19" ht="14" x14ac:dyDescent="0.25">
      <c r="B39" s="58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2:19" ht="14" hidden="1" x14ac:dyDescent="0.25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2:19" ht="14" hidden="1" x14ac:dyDescent="0.25">
      <c r="B41" s="56" t="s">
        <v>54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2:19" ht="14" hidden="1" x14ac:dyDescent="0.25">
      <c r="B42" s="56">
        <v>43881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2:19" ht="14" hidden="1" x14ac:dyDescent="0.25">
      <c r="B43" s="56" t="s">
        <v>54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2:19" ht="14" hidden="1" x14ac:dyDescent="0.25">
      <c r="B44" s="56" t="s">
        <v>54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2:19" ht="14" hidden="1" x14ac:dyDescent="0.25">
      <c r="B45" s="56" t="s">
        <v>54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2:19" ht="14" hidden="1" x14ac:dyDescent="0.25">
      <c r="B46" s="56" t="s">
        <v>54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2:19" ht="14" hidden="1" x14ac:dyDescent="0.25">
      <c r="B47" s="56" t="s">
        <v>54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2:19" ht="14" hidden="1" x14ac:dyDescent="0.25">
      <c r="B48" s="56" t="s">
        <v>54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2:19" ht="14" hidden="1" x14ac:dyDescent="0.25">
      <c r="B49" s="56" t="s">
        <v>54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2:19" ht="14" hidden="1" x14ac:dyDescent="0.25">
      <c r="B50" s="56" t="s">
        <v>54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2:19" ht="14" hidden="1" x14ac:dyDescent="0.25">
      <c r="B51" s="56" t="s">
        <v>54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2:19" ht="14" hidden="1" x14ac:dyDescent="0.25">
      <c r="B52" s="56" t="s">
        <v>54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2:19" ht="14" hidden="1" x14ac:dyDescent="0.25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2:19" ht="14" hidden="1" x14ac:dyDescent="0.25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2:19" ht="14" hidden="1" x14ac:dyDescent="0.25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2:19" ht="14" hidden="1" x14ac:dyDescent="0.25">
      <c r="B56" s="57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2:19" ht="14" hidden="1" x14ac:dyDescent="0.25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2:19" ht="14" hidden="1" x14ac:dyDescent="0.25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2:19" ht="14" hidden="1" x14ac:dyDescent="0.25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2:19" ht="14" hidden="1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2:19" ht="14" hidden="1" x14ac:dyDescent="0.25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2:19" ht="14" hidden="1" x14ac:dyDescent="0.25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2:19" ht="14" hidden="1" x14ac:dyDescent="0.25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2:19" ht="14" hidden="1" x14ac:dyDescent="0.25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3:19" ht="14" hidden="1" x14ac:dyDescent="0.25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3:19" ht="14" hidden="1" x14ac:dyDescent="0.25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3:19" ht="14" hidden="1" x14ac:dyDescent="0.25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3:19" ht="14" hidden="1" x14ac:dyDescent="0.25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3:19" ht="14" hidden="1" x14ac:dyDescent="0.25"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3:19" ht="14" hidden="1" x14ac:dyDescent="0.25"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3:19" ht="14" hidden="1" x14ac:dyDescent="0.25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3:19" ht="14" hidden="1" x14ac:dyDescent="0.25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3:19" ht="14" hidden="1" x14ac:dyDescent="0.25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3:19" ht="14" hidden="1" x14ac:dyDescent="0.25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3:19" ht="14" hidden="1" x14ac:dyDescent="0.25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3:19" ht="14" hidden="1" x14ac:dyDescent="0.25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3:19" ht="14" hidden="1" x14ac:dyDescent="0.25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3:19" ht="14" hidden="1" x14ac:dyDescent="0.25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3:19" ht="14" x14ac:dyDescent="0.25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3:19" ht="14" x14ac:dyDescent="0.25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3:19" ht="14" x14ac:dyDescent="0.25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3:19" ht="14" x14ac:dyDescent="0.25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</sheetData>
  <mergeCells count="10">
    <mergeCell ref="B1:Q1"/>
    <mergeCell ref="F2:G2"/>
    <mergeCell ref="H2:I2"/>
    <mergeCell ref="F3:G3"/>
    <mergeCell ref="H3:I3"/>
    <mergeCell ref="B5:C6"/>
    <mergeCell ref="K5:Q5"/>
    <mergeCell ref="B22:C22"/>
    <mergeCell ref="D5:J5"/>
    <mergeCell ref="B23:Q23"/>
  </mergeCells>
  <phoneticPr fontId="2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AE28-D4C7-4791-8006-4FBDDB9476C5}">
  <dimension ref="A1:D6"/>
  <sheetViews>
    <sheetView workbookViewId="0">
      <selection activeCell="A5" sqref="A5"/>
    </sheetView>
  </sheetViews>
  <sheetFormatPr defaultRowHeight="14" x14ac:dyDescent="0.25"/>
  <sheetData>
    <row r="1" spans="1:4" x14ac:dyDescent="0.25">
      <c r="A1">
        <v>3658</v>
      </c>
      <c r="B1">
        <f>A1*14*12</f>
        <v>614544</v>
      </c>
      <c r="D1">
        <v>3015</v>
      </c>
    </row>
    <row r="2" spans="1:4" x14ac:dyDescent="0.25">
      <c r="A2">
        <v>1729</v>
      </c>
    </row>
    <row r="3" spans="1:4" x14ac:dyDescent="0.25">
      <c r="A3">
        <f>AVERAGE(A1:A2)</f>
        <v>2693.5</v>
      </c>
    </row>
    <row r="4" spans="1:4" x14ac:dyDescent="0.25">
      <c r="A4">
        <f>(A1*14+A2*7)/21</f>
        <v>3015</v>
      </c>
    </row>
    <row r="6" spans="1:4" x14ac:dyDescent="0.25">
      <c r="B6">
        <v>51212</v>
      </c>
    </row>
  </sheetData>
  <phoneticPr fontId="2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E772-011D-4D5D-BC02-6E108F3E01A6}">
  <dimension ref="A1:L41"/>
  <sheetViews>
    <sheetView topLeftCell="A19" workbookViewId="0">
      <selection activeCell="C29" sqref="C29"/>
    </sheetView>
  </sheetViews>
  <sheetFormatPr defaultRowHeight="14" x14ac:dyDescent="0.25"/>
  <cols>
    <col min="1" max="1" width="9.1796875" bestFit="1" customWidth="1"/>
    <col min="2" max="2" width="29.453125" customWidth="1"/>
    <col min="3" max="3" width="13.1796875" customWidth="1"/>
    <col min="4" max="4" width="14.1796875" customWidth="1"/>
    <col min="5" max="5" width="14.453125" customWidth="1"/>
    <col min="6" max="7" width="13.1796875" customWidth="1"/>
  </cols>
  <sheetData>
    <row r="1" spans="2:12" x14ac:dyDescent="0.25">
      <c r="B1" s="40" t="s">
        <v>34</v>
      </c>
      <c r="C1" s="172" t="s">
        <v>37</v>
      </c>
      <c r="D1" s="172"/>
      <c r="E1" s="172" t="s">
        <v>38</v>
      </c>
      <c r="F1" s="172"/>
      <c r="G1" s="50"/>
    </row>
    <row r="2" spans="2:12" x14ac:dyDescent="0.25">
      <c r="C2" s="40" t="s">
        <v>35</v>
      </c>
      <c r="D2" s="40" t="s">
        <v>36</v>
      </c>
      <c r="E2" s="40" t="s">
        <v>35</v>
      </c>
      <c r="F2" s="40" t="s">
        <v>36</v>
      </c>
      <c r="G2" s="40"/>
    </row>
    <row r="3" spans="2:12" x14ac:dyDescent="0.25">
      <c r="B3" s="41">
        <v>43490</v>
      </c>
      <c r="C3">
        <v>616</v>
      </c>
      <c r="D3">
        <v>857584</v>
      </c>
      <c r="E3">
        <v>616</v>
      </c>
      <c r="F3">
        <v>857584</v>
      </c>
      <c r="I3">
        <f>C3/1000</f>
        <v>0.61599999999999999</v>
      </c>
      <c r="J3">
        <f t="shared" ref="J3:L14" si="0">D3/1000</f>
        <v>857.58399999999995</v>
      </c>
      <c r="K3">
        <f t="shared" si="0"/>
        <v>0.61599999999999999</v>
      </c>
      <c r="L3">
        <f t="shared" si="0"/>
        <v>857.58399999999995</v>
      </c>
    </row>
    <row r="4" spans="2:12" x14ac:dyDescent="0.25">
      <c r="B4">
        <v>2</v>
      </c>
      <c r="C4">
        <v>84</v>
      </c>
      <c r="D4">
        <v>688044</v>
      </c>
      <c r="E4">
        <v>84</v>
      </c>
      <c r="F4">
        <v>688044</v>
      </c>
      <c r="I4">
        <f t="shared" ref="I4:I14" si="1">C4/1000</f>
        <v>8.4000000000000005E-2</v>
      </c>
      <c r="J4">
        <f t="shared" si="0"/>
        <v>688.04399999999998</v>
      </c>
      <c r="K4">
        <f t="shared" si="0"/>
        <v>8.4000000000000005E-2</v>
      </c>
      <c r="L4">
        <f t="shared" si="0"/>
        <v>688.04399999999998</v>
      </c>
    </row>
    <row r="5" spans="2:12" x14ac:dyDescent="0.25">
      <c r="B5">
        <v>3</v>
      </c>
      <c r="C5">
        <v>140</v>
      </c>
      <c r="D5">
        <v>838068</v>
      </c>
      <c r="E5">
        <v>140</v>
      </c>
      <c r="F5">
        <v>838068</v>
      </c>
      <c r="I5">
        <f t="shared" si="1"/>
        <v>0.14000000000000001</v>
      </c>
      <c r="J5">
        <f t="shared" si="0"/>
        <v>838.06799999999998</v>
      </c>
      <c r="K5">
        <f t="shared" si="0"/>
        <v>0.14000000000000001</v>
      </c>
      <c r="L5">
        <f t="shared" si="0"/>
        <v>838.06799999999998</v>
      </c>
    </row>
    <row r="6" spans="2:12" x14ac:dyDescent="0.25">
      <c r="B6">
        <v>4</v>
      </c>
      <c r="C6">
        <v>364</v>
      </c>
      <c r="D6" s="42">
        <v>809984</v>
      </c>
      <c r="E6">
        <v>364</v>
      </c>
      <c r="F6">
        <v>809956</v>
      </c>
      <c r="I6">
        <f t="shared" si="1"/>
        <v>0.36399999999999999</v>
      </c>
      <c r="J6">
        <f t="shared" si="0"/>
        <v>809.98400000000004</v>
      </c>
      <c r="K6">
        <f t="shared" si="0"/>
        <v>0.36399999999999999</v>
      </c>
      <c r="L6">
        <f t="shared" si="0"/>
        <v>809.95600000000002</v>
      </c>
    </row>
    <row r="7" spans="2:12" x14ac:dyDescent="0.25">
      <c r="B7">
        <v>5</v>
      </c>
      <c r="C7">
        <v>56</v>
      </c>
      <c r="D7">
        <v>1140636</v>
      </c>
      <c r="E7">
        <v>56</v>
      </c>
      <c r="F7">
        <v>1140636</v>
      </c>
      <c r="I7">
        <f t="shared" si="1"/>
        <v>5.6000000000000001E-2</v>
      </c>
      <c r="J7">
        <f t="shared" si="0"/>
        <v>1140.636</v>
      </c>
      <c r="K7">
        <f t="shared" si="0"/>
        <v>5.6000000000000001E-2</v>
      </c>
      <c r="L7">
        <f t="shared" si="0"/>
        <v>1140.636</v>
      </c>
    </row>
    <row r="8" spans="2:12" x14ac:dyDescent="0.25">
      <c r="B8">
        <v>6</v>
      </c>
      <c r="C8">
        <v>168</v>
      </c>
      <c r="D8" s="42">
        <v>1092840</v>
      </c>
      <c r="E8">
        <v>168</v>
      </c>
      <c r="F8">
        <v>1092868</v>
      </c>
      <c r="I8">
        <f t="shared" si="1"/>
        <v>0.16800000000000001</v>
      </c>
      <c r="J8">
        <f t="shared" si="0"/>
        <v>1092.8399999999999</v>
      </c>
      <c r="K8">
        <f t="shared" si="0"/>
        <v>0.16800000000000001</v>
      </c>
      <c r="L8">
        <f t="shared" si="0"/>
        <v>1092.8679999999999</v>
      </c>
    </row>
    <row r="9" spans="2:12" x14ac:dyDescent="0.25">
      <c r="B9">
        <v>7</v>
      </c>
      <c r="C9" s="42">
        <v>84</v>
      </c>
      <c r="D9" s="42">
        <v>1041208</v>
      </c>
      <c r="E9" s="40">
        <v>56</v>
      </c>
      <c r="F9" s="40">
        <v>1041180</v>
      </c>
      <c r="G9" s="40"/>
      <c r="I9">
        <f t="shared" si="1"/>
        <v>8.4000000000000005E-2</v>
      </c>
      <c r="J9">
        <f t="shared" si="0"/>
        <v>1041.2080000000001</v>
      </c>
      <c r="K9">
        <f t="shared" si="0"/>
        <v>5.6000000000000001E-2</v>
      </c>
      <c r="L9">
        <f t="shared" si="0"/>
        <v>1041.18</v>
      </c>
    </row>
    <row r="10" spans="2:12" x14ac:dyDescent="0.25">
      <c r="B10">
        <v>8</v>
      </c>
      <c r="C10" s="42">
        <v>644</v>
      </c>
      <c r="D10" s="43">
        <v>677236</v>
      </c>
      <c r="E10">
        <v>672</v>
      </c>
      <c r="F10" s="43">
        <v>677236</v>
      </c>
      <c r="G10" s="43"/>
      <c r="I10">
        <f t="shared" si="1"/>
        <v>0.64400000000000002</v>
      </c>
      <c r="J10">
        <f t="shared" si="0"/>
        <v>677.23599999999999</v>
      </c>
      <c r="K10">
        <f t="shared" si="0"/>
        <v>0.67200000000000004</v>
      </c>
      <c r="L10">
        <f t="shared" si="0"/>
        <v>677.23599999999999</v>
      </c>
    </row>
    <row r="11" spans="2:12" x14ac:dyDescent="0.25">
      <c r="B11">
        <v>9</v>
      </c>
      <c r="C11">
        <v>1092</v>
      </c>
      <c r="D11" s="43">
        <v>317212</v>
      </c>
      <c r="E11">
        <v>1092</v>
      </c>
      <c r="F11" s="43">
        <v>317212</v>
      </c>
      <c r="G11" s="43"/>
      <c r="I11">
        <f t="shared" si="1"/>
        <v>1.0920000000000001</v>
      </c>
      <c r="J11">
        <f t="shared" si="0"/>
        <v>317.21199999999999</v>
      </c>
      <c r="K11">
        <f t="shared" si="0"/>
        <v>1.0920000000000001</v>
      </c>
      <c r="L11">
        <f t="shared" si="0"/>
        <v>317.21199999999999</v>
      </c>
    </row>
    <row r="12" spans="2:12" x14ac:dyDescent="0.25">
      <c r="B12">
        <v>10</v>
      </c>
      <c r="C12">
        <v>1428</v>
      </c>
      <c r="D12" s="43">
        <v>213052</v>
      </c>
      <c r="E12">
        <v>1428</v>
      </c>
      <c r="F12" s="43">
        <v>213052</v>
      </c>
      <c r="G12" s="43"/>
      <c r="I12">
        <f t="shared" si="1"/>
        <v>1.4279999999999999</v>
      </c>
      <c r="J12">
        <f t="shared" si="0"/>
        <v>213.05199999999999</v>
      </c>
      <c r="K12">
        <f t="shared" si="0"/>
        <v>1.4279999999999999</v>
      </c>
      <c r="L12">
        <f t="shared" si="0"/>
        <v>213.05199999999999</v>
      </c>
    </row>
    <row r="13" spans="2:12" x14ac:dyDescent="0.25">
      <c r="B13">
        <v>11</v>
      </c>
      <c r="C13">
        <v>1540</v>
      </c>
      <c r="D13" s="43">
        <v>259952</v>
      </c>
      <c r="E13">
        <v>1540</v>
      </c>
      <c r="F13" s="43">
        <v>259952</v>
      </c>
      <c r="G13" s="43"/>
      <c r="I13">
        <f t="shared" si="1"/>
        <v>1.54</v>
      </c>
      <c r="J13">
        <f t="shared" si="0"/>
        <v>259.952</v>
      </c>
      <c r="K13">
        <f t="shared" si="0"/>
        <v>1.54</v>
      </c>
      <c r="L13">
        <f t="shared" si="0"/>
        <v>259.952</v>
      </c>
    </row>
    <row r="14" spans="2:12" x14ac:dyDescent="0.25">
      <c r="B14" s="41">
        <v>43824</v>
      </c>
      <c r="C14" s="42">
        <v>1932</v>
      </c>
      <c r="D14" s="43">
        <v>193312</v>
      </c>
      <c r="E14">
        <v>1960</v>
      </c>
      <c r="F14" s="43">
        <v>193312</v>
      </c>
      <c r="G14" s="43"/>
      <c r="I14">
        <f t="shared" si="1"/>
        <v>1.9319999999999999</v>
      </c>
      <c r="J14">
        <f t="shared" si="0"/>
        <v>193.31200000000001</v>
      </c>
      <c r="K14">
        <f t="shared" si="0"/>
        <v>1.96</v>
      </c>
      <c r="L14">
        <f t="shared" si="0"/>
        <v>193.31200000000001</v>
      </c>
    </row>
    <row r="15" spans="2:12" x14ac:dyDescent="0.25">
      <c r="C15" s="45">
        <f>ROUND(SUM(C3:C14)/1000,3)</f>
        <v>8.1479999999999997</v>
      </c>
      <c r="D15" s="45">
        <f t="shared" ref="D15:F15" si="2">ROUND(SUM(D3:D14)/1000,3)</f>
        <v>8129.1279999999997</v>
      </c>
      <c r="E15" s="45">
        <f t="shared" si="2"/>
        <v>8.1760000000000002</v>
      </c>
      <c r="F15" s="45">
        <f t="shared" si="2"/>
        <v>8129.1</v>
      </c>
      <c r="G15" s="45"/>
    </row>
    <row r="16" spans="2:12" x14ac:dyDescent="0.25">
      <c r="B16" s="46" t="s">
        <v>39</v>
      </c>
    </row>
    <row r="17" spans="2:8" x14ac:dyDescent="0.25">
      <c r="B17" s="41">
        <v>43529</v>
      </c>
      <c r="C17">
        <v>269687.14</v>
      </c>
      <c r="D17">
        <v>269687.14</v>
      </c>
      <c r="E17">
        <v>234525.94</v>
      </c>
      <c r="F17">
        <v>269687.14</v>
      </c>
      <c r="H17">
        <v>269687.14</v>
      </c>
    </row>
    <row r="18" spans="2:8" x14ac:dyDescent="0.25">
      <c r="B18" s="41">
        <v>43530</v>
      </c>
      <c r="C18">
        <v>91518.278000000006</v>
      </c>
    </row>
    <row r="19" spans="2:8" x14ac:dyDescent="0.25">
      <c r="B19" s="41">
        <v>43574</v>
      </c>
      <c r="C19">
        <v>269687.14</v>
      </c>
      <c r="D19">
        <v>269687.14</v>
      </c>
      <c r="E19">
        <v>229080.75</v>
      </c>
    </row>
    <row r="20" spans="2:8" x14ac:dyDescent="0.25">
      <c r="B20" s="41">
        <v>43591</v>
      </c>
      <c r="C20">
        <v>269687.14</v>
      </c>
      <c r="D20">
        <v>269687.14</v>
      </c>
      <c r="E20">
        <v>203303.83</v>
      </c>
    </row>
    <row r="21" spans="2:8" x14ac:dyDescent="0.25">
      <c r="B21" s="41">
        <v>43620</v>
      </c>
      <c r="C21">
        <v>269687.14</v>
      </c>
      <c r="D21">
        <v>269687.14</v>
      </c>
      <c r="E21">
        <v>269687.14</v>
      </c>
      <c r="F21">
        <v>23681.972000000002</v>
      </c>
    </row>
    <row r="22" spans="2:8" x14ac:dyDescent="0.25">
      <c r="B22" s="41">
        <v>43654</v>
      </c>
      <c r="C22">
        <v>269687.14</v>
      </c>
      <c r="D22">
        <v>269687.14</v>
      </c>
      <c r="E22">
        <v>269687.14</v>
      </c>
      <c r="F22">
        <v>193029</v>
      </c>
    </row>
    <row r="23" spans="2:8" x14ac:dyDescent="0.25">
      <c r="B23" s="41">
        <v>43676</v>
      </c>
      <c r="C23">
        <v>269687.14</v>
      </c>
      <c r="D23">
        <v>269687.14</v>
      </c>
      <c r="E23">
        <v>269687.14</v>
      </c>
      <c r="F23">
        <v>145634.39000000001</v>
      </c>
    </row>
    <row r="24" spans="2:8" x14ac:dyDescent="0.25">
      <c r="B24" s="41">
        <v>43711</v>
      </c>
      <c r="C24">
        <v>269687.14</v>
      </c>
      <c r="D24">
        <v>269687.14</v>
      </c>
      <c r="E24">
        <v>81608.028000000006</v>
      </c>
    </row>
    <row r="25" spans="2:8" x14ac:dyDescent="0.25">
      <c r="B25" s="41">
        <v>43734</v>
      </c>
      <c r="C25">
        <v>269687.14</v>
      </c>
      <c r="D25">
        <v>21176.082999999999</v>
      </c>
    </row>
    <row r="26" spans="2:8" x14ac:dyDescent="0.25">
      <c r="B26" s="41">
        <v>43773</v>
      </c>
      <c r="C26">
        <v>195355.11</v>
      </c>
    </row>
    <row r="27" spans="2:8" x14ac:dyDescent="0.25">
      <c r="B27" s="44" t="s">
        <v>40</v>
      </c>
      <c r="C27">
        <v>238359.44</v>
      </c>
    </row>
    <row r="28" spans="2:8" x14ac:dyDescent="0.25">
      <c r="B28" s="41">
        <v>43826</v>
      </c>
      <c r="C28">
        <v>177254.81</v>
      </c>
    </row>
    <row r="29" spans="2:8" x14ac:dyDescent="0.25">
      <c r="B29" s="40" t="s">
        <v>41</v>
      </c>
      <c r="C29">
        <f>ROUND(SUM(C17:H28)/1000,3)</f>
        <v>7228.27</v>
      </c>
      <c r="D29">
        <f>C29/D15-1</f>
        <v>-0.11081852813733517</v>
      </c>
    </row>
    <row r="30" spans="2:8" x14ac:dyDescent="0.25">
      <c r="B30" s="40"/>
      <c r="F30">
        <v>6099</v>
      </c>
      <c r="G30">
        <v>365</v>
      </c>
    </row>
    <row r="31" spans="2:8" x14ac:dyDescent="0.25">
      <c r="C31" s="40" t="s">
        <v>49</v>
      </c>
      <c r="E31" s="40" t="s">
        <v>50</v>
      </c>
      <c r="F31" s="40" t="s">
        <v>52</v>
      </c>
      <c r="G31" s="40"/>
    </row>
    <row r="32" spans="2:8" x14ac:dyDescent="0.25">
      <c r="B32" s="40" t="s">
        <v>48</v>
      </c>
      <c r="C32">
        <v>11673.96</v>
      </c>
      <c r="E32">
        <v>11636.743999999999</v>
      </c>
      <c r="F32">
        <f>F30*2</f>
        <v>12198</v>
      </c>
      <c r="G32" s="54">
        <f>E32/F32-1</f>
        <v>-4.6012133136579814E-2</v>
      </c>
    </row>
    <row r="33" spans="1:7" x14ac:dyDescent="0.25">
      <c r="A33" s="55">
        <v>40544</v>
      </c>
      <c r="B33" s="55">
        <v>41060</v>
      </c>
      <c r="C33">
        <v>8056.13</v>
      </c>
      <c r="D33">
        <f>B33-A33+1</f>
        <v>517</v>
      </c>
      <c r="E33">
        <v>8029.3639999999996</v>
      </c>
      <c r="F33">
        <f>$F$30/$G$30*D33</f>
        <v>8638.8575342465738</v>
      </c>
      <c r="G33" s="54">
        <f t="shared" ref="G33:G40" si="3">E33/F33-1</f>
        <v>-7.0552562283888842E-2</v>
      </c>
    </row>
    <row r="34" spans="1:7" x14ac:dyDescent="0.25">
      <c r="A34" s="41">
        <v>41061</v>
      </c>
      <c r="B34" s="55">
        <v>41486</v>
      </c>
      <c r="C34">
        <v>7762.1319999999987</v>
      </c>
      <c r="D34">
        <f t="shared" ref="D34:D36" si="4">B34-A34+1</f>
        <v>426</v>
      </c>
      <c r="E34">
        <v>7750.0360000000001</v>
      </c>
      <c r="F34">
        <f t="shared" ref="F34:F36" si="5">$F$30/$G$30*D34</f>
        <v>7118.2849315068488</v>
      </c>
      <c r="G34" s="54">
        <f t="shared" si="3"/>
        <v>8.8750460900617112E-2</v>
      </c>
    </row>
    <row r="35" spans="1:7" x14ac:dyDescent="0.25">
      <c r="A35" s="41">
        <v>41487</v>
      </c>
      <c r="B35" s="55">
        <v>41851</v>
      </c>
      <c r="C35">
        <v>6244.0840000000007</v>
      </c>
      <c r="D35">
        <f t="shared" si="4"/>
        <v>365</v>
      </c>
      <c r="E35">
        <v>6232.4639999999999</v>
      </c>
      <c r="F35">
        <f t="shared" si="5"/>
        <v>6098.9999999999991</v>
      </c>
      <c r="G35" s="54">
        <f t="shared" si="3"/>
        <v>2.1882931628135927E-2</v>
      </c>
    </row>
    <row r="36" spans="1:7" x14ac:dyDescent="0.25">
      <c r="A36" s="41">
        <v>41852</v>
      </c>
      <c r="B36" s="55">
        <v>42369</v>
      </c>
      <c r="C36">
        <v>9071.6919999999991</v>
      </c>
      <c r="D36">
        <f t="shared" si="4"/>
        <v>518</v>
      </c>
      <c r="E36">
        <v>9065.0840000000007</v>
      </c>
      <c r="F36">
        <f t="shared" si="5"/>
        <v>8655.5671232876703</v>
      </c>
      <c r="G36" s="54">
        <f t="shared" si="3"/>
        <v>4.7312541267288122E-2</v>
      </c>
    </row>
    <row r="37" spans="1:7" x14ac:dyDescent="0.25">
      <c r="B37" s="40" t="s">
        <v>47</v>
      </c>
      <c r="C37">
        <v>13632.443999999998</v>
      </c>
      <c r="E37">
        <v>13609.96</v>
      </c>
      <c r="F37">
        <v>12198</v>
      </c>
      <c r="G37" s="54">
        <f t="shared" si="3"/>
        <v>0.11575340219708141</v>
      </c>
    </row>
    <row r="38" spans="1:7" x14ac:dyDescent="0.25">
      <c r="B38" s="53">
        <v>2018</v>
      </c>
      <c r="C38" s="52">
        <v>5913.82</v>
      </c>
      <c r="E38">
        <v>5892.6729999999989</v>
      </c>
      <c r="F38">
        <v>6099</v>
      </c>
      <c r="G38" s="54">
        <f t="shared" si="3"/>
        <v>-3.3829644203968057E-2</v>
      </c>
    </row>
    <row r="39" spans="1:7" x14ac:dyDescent="0.25">
      <c r="B39" s="53">
        <v>2019</v>
      </c>
      <c r="C39">
        <v>8129.1279999999997</v>
      </c>
      <c r="E39">
        <v>8120.8960000000006</v>
      </c>
      <c r="F39">
        <v>6099</v>
      </c>
      <c r="G39" s="54">
        <f t="shared" si="3"/>
        <v>0.33151270700114788</v>
      </c>
    </row>
    <row r="40" spans="1:7" x14ac:dyDescent="0.25">
      <c r="D40" s="40" t="s">
        <v>51</v>
      </c>
      <c r="E40">
        <f>SUM(E32:E39)</f>
        <v>70337.22099999999</v>
      </c>
      <c r="F40">
        <f>SUM(F32:F39)</f>
        <v>67105.7095890411</v>
      </c>
      <c r="G40" s="54">
        <f t="shared" si="3"/>
        <v>4.8155535955864748E-2</v>
      </c>
    </row>
    <row r="41" spans="1:7" x14ac:dyDescent="0.25">
      <c r="C41">
        <f>SUM(C32:C39)</f>
        <v>70483.389999999985</v>
      </c>
    </row>
  </sheetData>
  <mergeCells count="2">
    <mergeCell ref="E1:F1"/>
    <mergeCell ref="C1:D1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B5BA-B1D5-4F99-B59A-7ACD5B5A684F}">
  <dimension ref="A1:H45"/>
  <sheetViews>
    <sheetView topLeftCell="A16" zoomScale="90" zoomScaleNormal="90" workbookViewId="0">
      <selection activeCell="F34" sqref="F34:F45"/>
    </sheetView>
  </sheetViews>
  <sheetFormatPr defaultRowHeight="14" x14ac:dyDescent="0.25"/>
  <cols>
    <col min="1" max="1" width="13.6328125" customWidth="1"/>
    <col min="2" max="2" width="16.453125" customWidth="1"/>
    <col min="3" max="3" width="20.81640625" customWidth="1"/>
    <col min="4" max="4" width="14.1796875" customWidth="1"/>
    <col min="5" max="5" width="16.453125" customWidth="1"/>
    <col min="6" max="6" width="12.6328125" customWidth="1"/>
    <col min="7" max="7" width="11.90625" customWidth="1"/>
    <col min="8" max="8" width="11.36328125" customWidth="1"/>
  </cols>
  <sheetData>
    <row r="1" spans="1:5" x14ac:dyDescent="0.25">
      <c r="B1" s="172" t="s">
        <v>42</v>
      </c>
      <c r="C1" s="172"/>
      <c r="D1" s="172" t="s">
        <v>43</v>
      </c>
      <c r="E1" s="172"/>
    </row>
    <row r="2" spans="1:5" x14ac:dyDescent="0.25">
      <c r="B2" s="40" t="s">
        <v>35</v>
      </c>
      <c r="C2" s="40" t="s">
        <v>36</v>
      </c>
      <c r="D2" s="40" t="s">
        <v>35</v>
      </c>
      <c r="E2" s="40" t="s">
        <v>36</v>
      </c>
    </row>
    <row r="3" spans="1:5" x14ac:dyDescent="0.25">
      <c r="A3" s="41">
        <v>43490</v>
      </c>
      <c r="B3">
        <v>1206</v>
      </c>
      <c r="C3">
        <v>1366190</v>
      </c>
      <c r="D3">
        <v>1206</v>
      </c>
      <c r="E3">
        <v>1366190</v>
      </c>
    </row>
    <row r="4" spans="1:5" x14ac:dyDescent="0.25">
      <c r="A4">
        <v>2</v>
      </c>
      <c r="B4">
        <v>910</v>
      </c>
      <c r="C4">
        <v>1237810</v>
      </c>
      <c r="D4">
        <v>910</v>
      </c>
      <c r="E4">
        <v>1237810</v>
      </c>
    </row>
    <row r="5" spans="1:5" x14ac:dyDescent="0.25">
      <c r="A5">
        <v>3</v>
      </c>
      <c r="B5">
        <v>0</v>
      </c>
      <c r="C5">
        <v>1804810</v>
      </c>
      <c r="D5">
        <v>0</v>
      </c>
      <c r="E5">
        <v>1804810</v>
      </c>
    </row>
    <row r="6" spans="1:5" x14ac:dyDescent="0.25">
      <c r="A6">
        <v>4</v>
      </c>
      <c r="B6">
        <v>210</v>
      </c>
      <c r="C6">
        <v>1600550</v>
      </c>
      <c r="D6">
        <v>210</v>
      </c>
      <c r="E6">
        <v>1600550</v>
      </c>
    </row>
    <row r="7" spans="1:5" x14ac:dyDescent="0.25">
      <c r="A7">
        <v>5</v>
      </c>
      <c r="B7">
        <v>70</v>
      </c>
      <c r="C7">
        <v>2532950</v>
      </c>
      <c r="D7">
        <v>70</v>
      </c>
      <c r="E7">
        <v>2532950</v>
      </c>
    </row>
    <row r="8" spans="1:5" x14ac:dyDescent="0.25">
      <c r="A8">
        <v>6</v>
      </c>
      <c r="B8">
        <v>70</v>
      </c>
      <c r="C8">
        <v>2420460</v>
      </c>
      <c r="D8">
        <v>70</v>
      </c>
      <c r="E8">
        <v>2420460</v>
      </c>
    </row>
    <row r="9" spans="1:5" x14ac:dyDescent="0.25">
      <c r="A9">
        <v>7</v>
      </c>
      <c r="B9">
        <v>70</v>
      </c>
      <c r="C9">
        <v>2150680</v>
      </c>
      <c r="D9">
        <v>70</v>
      </c>
      <c r="E9">
        <v>2150680</v>
      </c>
    </row>
    <row r="10" spans="1:5" x14ac:dyDescent="0.25">
      <c r="A10">
        <v>8</v>
      </c>
      <c r="B10">
        <v>560</v>
      </c>
      <c r="C10">
        <v>752290</v>
      </c>
      <c r="D10">
        <v>560</v>
      </c>
      <c r="E10">
        <v>752290</v>
      </c>
    </row>
    <row r="11" spans="1:5" x14ac:dyDescent="0.25">
      <c r="A11">
        <v>9</v>
      </c>
      <c r="B11">
        <v>2660</v>
      </c>
      <c r="C11">
        <v>573230</v>
      </c>
      <c r="D11">
        <v>2660</v>
      </c>
      <c r="E11">
        <v>573230</v>
      </c>
    </row>
    <row r="12" spans="1:5" x14ac:dyDescent="0.25">
      <c r="A12">
        <v>10</v>
      </c>
      <c r="B12">
        <v>3640</v>
      </c>
      <c r="C12">
        <v>411040</v>
      </c>
      <c r="D12">
        <v>3640</v>
      </c>
      <c r="E12">
        <v>411040</v>
      </c>
    </row>
    <row r="13" spans="1:5" x14ac:dyDescent="0.25">
      <c r="A13">
        <v>11</v>
      </c>
      <c r="B13">
        <v>4340</v>
      </c>
      <c r="C13">
        <v>534030</v>
      </c>
      <c r="D13">
        <v>4340</v>
      </c>
      <c r="E13">
        <v>534030</v>
      </c>
    </row>
    <row r="14" spans="1:5" x14ac:dyDescent="0.25">
      <c r="A14" s="41">
        <v>43824</v>
      </c>
      <c r="B14">
        <v>6510</v>
      </c>
      <c r="C14">
        <v>278530</v>
      </c>
      <c r="D14">
        <v>6510</v>
      </c>
      <c r="E14">
        <v>278530</v>
      </c>
    </row>
    <row r="15" spans="1:5" x14ac:dyDescent="0.25">
      <c r="B15">
        <f>SUM(B3:B14)/1000</f>
        <v>20.245999999999999</v>
      </c>
      <c r="C15">
        <f t="shared" ref="C15:E15" si="0">SUM(C3:C14)/1000</f>
        <v>15662.57</v>
      </c>
      <c r="D15">
        <f t="shared" si="0"/>
        <v>20.245999999999999</v>
      </c>
      <c r="E15">
        <f t="shared" si="0"/>
        <v>15662.57</v>
      </c>
    </row>
    <row r="16" spans="1:5" x14ac:dyDescent="0.25">
      <c r="A16" s="40" t="s">
        <v>44</v>
      </c>
    </row>
    <row r="17" spans="1:8" x14ac:dyDescent="0.25">
      <c r="A17" s="47">
        <v>43489</v>
      </c>
      <c r="B17" s="40">
        <v>294117.65000000002</v>
      </c>
    </row>
    <row r="18" spans="1:8" x14ac:dyDescent="0.25">
      <c r="A18" s="47">
        <v>43493</v>
      </c>
      <c r="B18" s="40">
        <v>294117.65000000002</v>
      </c>
      <c r="C18" s="40">
        <v>294117.65000000002</v>
      </c>
      <c r="D18" s="40">
        <v>189719.4</v>
      </c>
      <c r="E18" s="40">
        <v>294117.65000000002</v>
      </c>
    </row>
    <row r="19" spans="1:8" x14ac:dyDescent="0.25">
      <c r="A19" s="41">
        <v>43522</v>
      </c>
      <c r="B19" s="40">
        <v>294117.65000000002</v>
      </c>
      <c r="C19" s="40">
        <v>61339.408000000003</v>
      </c>
      <c r="D19" s="40">
        <v>294117.65000000002</v>
      </c>
      <c r="E19" s="40">
        <v>294117.65000000002</v>
      </c>
      <c r="F19" s="40">
        <v>294117.65000000002</v>
      </c>
    </row>
    <row r="20" spans="1:8" x14ac:dyDescent="0.25">
      <c r="A20" s="41">
        <v>43550</v>
      </c>
      <c r="B20" s="40">
        <v>294117.65000000002</v>
      </c>
      <c r="C20" s="40">
        <v>294117.65000000002</v>
      </c>
      <c r="D20" s="40">
        <v>294117.65000000002</v>
      </c>
      <c r="E20" s="40">
        <v>40104.11</v>
      </c>
      <c r="F20" s="40">
        <v>294117.65000000002</v>
      </c>
      <c r="G20" s="40">
        <v>294117.65000000002</v>
      </c>
      <c r="H20" s="40">
        <v>294117.65000000002</v>
      </c>
    </row>
    <row r="21" spans="1:8" x14ac:dyDescent="0.25">
      <c r="A21" s="41">
        <v>43579</v>
      </c>
      <c r="B21" s="40">
        <v>294117.65000000002</v>
      </c>
      <c r="C21" s="40">
        <v>294117.65000000002</v>
      </c>
      <c r="D21" s="40">
        <v>294117.65000000002</v>
      </c>
      <c r="E21" s="40">
        <v>294117.65000000002</v>
      </c>
      <c r="F21" s="40">
        <v>129961.76</v>
      </c>
      <c r="G21" s="40">
        <v>294117.65000000002</v>
      </c>
    </row>
    <row r="22" spans="1:8" x14ac:dyDescent="0.25">
      <c r="A22" s="47">
        <v>43612</v>
      </c>
      <c r="B22" s="40">
        <v>294117.65000000002</v>
      </c>
      <c r="C22" s="40">
        <v>294117.65000000002</v>
      </c>
      <c r="D22" s="40">
        <v>294117.65000000002</v>
      </c>
      <c r="E22" s="40">
        <v>294117.65000000002</v>
      </c>
      <c r="F22" s="40">
        <v>294117.65000000002</v>
      </c>
    </row>
    <row r="23" spans="1:8" x14ac:dyDescent="0.25">
      <c r="A23" s="47">
        <v>43614</v>
      </c>
      <c r="B23" s="40">
        <v>294117.65000000002</v>
      </c>
      <c r="C23" s="40">
        <v>294117.65000000002</v>
      </c>
      <c r="D23" s="40">
        <v>294117.65000000002</v>
      </c>
      <c r="E23" s="40">
        <v>180008.8</v>
      </c>
    </row>
    <row r="24" spans="1:8" x14ac:dyDescent="0.25">
      <c r="A24" s="48">
        <v>43640</v>
      </c>
      <c r="B24" s="40">
        <v>294117.65000000002</v>
      </c>
      <c r="C24" s="40">
        <v>294117.65000000002</v>
      </c>
      <c r="D24" s="40">
        <v>294117.65000000002</v>
      </c>
      <c r="E24" s="40">
        <v>294117.65000000002</v>
      </c>
      <c r="F24" s="40">
        <v>294117.65000000002</v>
      </c>
      <c r="G24" s="40">
        <v>294117.65000000002</v>
      </c>
      <c r="H24" s="40"/>
    </row>
    <row r="25" spans="1:8" x14ac:dyDescent="0.25">
      <c r="A25" s="48">
        <v>43642</v>
      </c>
      <c r="B25" s="40">
        <v>294117.65000000002</v>
      </c>
      <c r="C25" s="40">
        <v>67518.953999999998</v>
      </c>
      <c r="D25" s="40">
        <v>294117.65000000002</v>
      </c>
    </row>
    <row r="26" spans="1:8" x14ac:dyDescent="0.25">
      <c r="A26" s="49">
        <v>43671</v>
      </c>
      <c r="B26" s="40">
        <v>294117.65000000002</v>
      </c>
      <c r="C26" s="40">
        <v>294117.65000000002</v>
      </c>
      <c r="D26" s="40">
        <v>294117.65000000002</v>
      </c>
      <c r="E26" s="40">
        <v>294117.65000000002</v>
      </c>
      <c r="F26" s="40">
        <v>294117.65000000002</v>
      </c>
      <c r="G26" s="40">
        <v>294117.65000000002</v>
      </c>
      <c r="H26" s="40">
        <v>294117.65000000002</v>
      </c>
    </row>
    <row r="27" spans="1:8" x14ac:dyDescent="0.25">
      <c r="A27" s="49">
        <v>43672</v>
      </c>
      <c r="B27" s="40">
        <v>91856.46</v>
      </c>
      <c r="C27" s="40"/>
    </row>
    <row r="28" spans="1:8" x14ac:dyDescent="0.25">
      <c r="A28" s="41">
        <v>43704</v>
      </c>
      <c r="B28" s="40">
        <v>294117.65000000002</v>
      </c>
      <c r="C28" s="40">
        <v>294117.65000000002</v>
      </c>
      <c r="D28">
        <v>164054.70000000001</v>
      </c>
    </row>
    <row r="29" spans="1:8" x14ac:dyDescent="0.25">
      <c r="A29" s="41">
        <v>43734</v>
      </c>
      <c r="B29" s="40">
        <v>279112.34000000003</v>
      </c>
      <c r="C29" s="40">
        <v>294117.65000000002</v>
      </c>
    </row>
    <row r="30" spans="1:8" x14ac:dyDescent="0.25">
      <c r="A30" s="41">
        <v>43764</v>
      </c>
      <c r="B30" s="40">
        <v>116922.36</v>
      </c>
      <c r="C30" s="40">
        <v>294117.65000000002</v>
      </c>
    </row>
    <row r="31" spans="1:8" x14ac:dyDescent="0.25">
      <c r="A31" s="41">
        <v>43794</v>
      </c>
      <c r="B31" s="40">
        <v>239912.36</v>
      </c>
      <c r="C31" s="40">
        <v>294117.65000000002</v>
      </c>
    </row>
    <row r="32" spans="1:8" x14ac:dyDescent="0.25">
      <c r="A32" s="41">
        <v>43825</v>
      </c>
      <c r="B32">
        <v>278530</v>
      </c>
    </row>
    <row r="33" spans="2:6" x14ac:dyDescent="0.25">
      <c r="B33">
        <f>SUM(B17:H32)/1000</f>
        <v>15662.57020200001</v>
      </c>
      <c r="E33" s="40" t="s">
        <v>45</v>
      </c>
      <c r="F33" s="40" t="s">
        <v>46</v>
      </c>
    </row>
    <row r="34" spans="2:6" x14ac:dyDescent="0.25">
      <c r="B34">
        <v>1</v>
      </c>
      <c r="C34">
        <f>SUM(B17:E18)/1000</f>
        <v>1366.19</v>
      </c>
      <c r="E34">
        <f>C3/1000</f>
        <v>1366.19</v>
      </c>
      <c r="F34">
        <f>B3/1000</f>
        <v>1.206</v>
      </c>
    </row>
    <row r="35" spans="2:6" x14ac:dyDescent="0.25">
      <c r="B35">
        <v>2</v>
      </c>
      <c r="C35">
        <f>SUM(B19:F19)/1000</f>
        <v>1237.8100080000002</v>
      </c>
      <c r="E35">
        <f t="shared" ref="E35:E45" si="1">C4/1000</f>
        <v>1237.81</v>
      </c>
      <c r="F35">
        <f t="shared" ref="F35:F45" si="2">B4/1000</f>
        <v>0.91</v>
      </c>
    </row>
    <row r="36" spans="2:6" x14ac:dyDescent="0.25">
      <c r="B36">
        <v>3</v>
      </c>
      <c r="C36">
        <f>SUM(B20:H20)/1000</f>
        <v>1804.8100099999997</v>
      </c>
      <c r="E36">
        <f t="shared" si="1"/>
        <v>1804.81</v>
      </c>
      <c r="F36">
        <f t="shared" si="2"/>
        <v>0</v>
      </c>
    </row>
    <row r="37" spans="2:6" x14ac:dyDescent="0.25">
      <c r="B37">
        <v>4</v>
      </c>
      <c r="C37">
        <f>SUM(B21:G21)/1000</f>
        <v>1600.5500100000002</v>
      </c>
      <c r="E37">
        <f t="shared" si="1"/>
        <v>1600.55</v>
      </c>
      <c r="F37">
        <f t="shared" si="2"/>
        <v>0.21</v>
      </c>
    </row>
    <row r="38" spans="2:6" x14ac:dyDescent="0.25">
      <c r="B38">
        <v>5</v>
      </c>
      <c r="C38">
        <f>SUM(B22:F23)/1000</f>
        <v>2532.9499999999994</v>
      </c>
      <c r="E38">
        <f t="shared" si="1"/>
        <v>2532.9499999999998</v>
      </c>
      <c r="F38">
        <f t="shared" si="2"/>
        <v>7.0000000000000007E-2</v>
      </c>
    </row>
    <row r="39" spans="2:6" x14ac:dyDescent="0.25">
      <c r="B39">
        <v>6</v>
      </c>
      <c r="C39">
        <f>SUM(B24:G25)/1000</f>
        <v>2420.4601539999994</v>
      </c>
      <c r="E39">
        <f t="shared" si="1"/>
        <v>2420.46</v>
      </c>
      <c r="F39">
        <f t="shared" si="2"/>
        <v>7.0000000000000007E-2</v>
      </c>
    </row>
    <row r="40" spans="2:6" x14ac:dyDescent="0.25">
      <c r="B40">
        <v>7</v>
      </c>
      <c r="C40">
        <f>SUM(B26:H27)/1000</f>
        <v>2150.6800099999996</v>
      </c>
      <c r="E40">
        <f t="shared" si="1"/>
        <v>2150.6799999999998</v>
      </c>
      <c r="F40">
        <f t="shared" si="2"/>
        <v>7.0000000000000007E-2</v>
      </c>
    </row>
    <row r="41" spans="2:6" x14ac:dyDescent="0.25">
      <c r="B41">
        <v>8</v>
      </c>
      <c r="C41">
        <f>SUM(B28:D28)/1000</f>
        <v>752.29</v>
      </c>
      <c r="E41">
        <f t="shared" si="1"/>
        <v>752.29</v>
      </c>
      <c r="F41">
        <f t="shared" si="2"/>
        <v>0.56000000000000005</v>
      </c>
    </row>
    <row r="42" spans="2:6" x14ac:dyDescent="0.25">
      <c r="B42">
        <v>9</v>
      </c>
      <c r="C42">
        <f>SUM(B29:C29)/1000</f>
        <v>573.22999000000004</v>
      </c>
      <c r="E42">
        <f t="shared" si="1"/>
        <v>573.23</v>
      </c>
      <c r="F42">
        <f t="shared" si="2"/>
        <v>2.66</v>
      </c>
    </row>
    <row r="43" spans="2:6" x14ac:dyDescent="0.25">
      <c r="B43">
        <v>10</v>
      </c>
      <c r="C43">
        <f>SUM(B30:C30)/1000</f>
        <v>411.04001</v>
      </c>
      <c r="E43">
        <f t="shared" si="1"/>
        <v>411.04</v>
      </c>
      <c r="F43">
        <f t="shared" si="2"/>
        <v>3.64</v>
      </c>
    </row>
    <row r="44" spans="2:6" x14ac:dyDescent="0.25">
      <c r="B44">
        <v>11</v>
      </c>
      <c r="C44">
        <f>SUM(B31:C31)/1000</f>
        <v>534.03001000000006</v>
      </c>
      <c r="E44">
        <f t="shared" si="1"/>
        <v>534.03</v>
      </c>
      <c r="F44">
        <f t="shared" si="2"/>
        <v>4.34</v>
      </c>
    </row>
    <row r="45" spans="2:6" x14ac:dyDescent="0.25">
      <c r="B45">
        <v>12</v>
      </c>
      <c r="C45">
        <f>B32/1000</f>
        <v>278.52999999999997</v>
      </c>
      <c r="E45">
        <f t="shared" si="1"/>
        <v>278.52999999999997</v>
      </c>
      <c r="F45">
        <f t="shared" si="2"/>
        <v>6.51</v>
      </c>
    </row>
  </sheetData>
  <mergeCells count="2">
    <mergeCell ref="B1:C1"/>
    <mergeCell ref="D1:E1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0D523F302484F892F723420D71428" ma:contentTypeVersion="8" ma:contentTypeDescription="Create a new document." ma:contentTypeScope="" ma:versionID="5c63b52fe96279c66681866a6e1e68f9">
  <xsd:schema xmlns:xsd="http://www.w3.org/2001/XMLSchema" xmlns:xs="http://www.w3.org/2001/XMLSchema" xmlns:p="http://schemas.microsoft.com/office/2006/metadata/properties" xmlns:ns1="http://schemas.microsoft.com/sharepoint/v3" xmlns:ns2="ea430ab3-9117-4245-8ec8-f243c25dcc3c" xmlns:ns3="http://schemas.microsoft.com/sharepoint/v4" targetNamespace="http://schemas.microsoft.com/office/2006/metadata/properties" ma:root="true" ma:fieldsID="1b4fa04db269b5b410a169be664d3811" ns1:_="" ns2:_="" ns3:_="">
    <xsd:import namespace="http://schemas.microsoft.com/sharepoint/v3"/>
    <xsd:import namespace="ea430ab3-9117-4245-8ec8-f243c25dcc3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anaging_x0020_Entit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3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4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5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6" nillable="true" ma:displayName="E-Mail From" ma:hidden="true" ma:internalName="EmailFrom">
      <xsd:simpleType>
        <xsd:restriction base="dms:Text"/>
      </xsd:simpleType>
    </xsd:element>
    <xsd:element name="EmailSubject" ma:index="7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0ab3-9117-4245-8ec8-f243c25dcc3c" elementFormDefault="qualified">
    <xsd:import namespace="http://schemas.microsoft.com/office/2006/documentManagement/types"/>
    <xsd:import namespace="http://schemas.microsoft.com/office/infopath/2007/PartnerControls"/>
    <xsd:element name="Managing_x0020_Entity" ma:index="2" nillable="true" ma:displayName="Managing Entity" ma:format="Dropdown" ma:internalName="Managing_x0020_Entity">
      <xsd:simpleType>
        <xsd:restriction base="dms:Choice">
          <xsd:enumeration value="BRTUV"/>
          <xsd:enumeration value="TN CERT"/>
          <xsd:enumeration value="TN India"/>
          <xsd:enumeration value="TN Mexico"/>
          <xsd:enumeration value="TN Malaysia"/>
          <xsd:enumeration value="CH"/>
          <xsd:enumeration value="AFR"/>
          <xsd:enumeration value="I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8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Managing_x0020_Entity xmlns="ea430ab3-9117-4245-8ec8-f243c25dcc3c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82C550-C0D4-4D9D-9BE0-7E109ED9B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430ab3-9117-4245-8ec8-f243c25dcc3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4D451D-3DD0-4A51-A56D-C849C881FA63}">
  <ds:schemaRefs/>
</ds:datastoreItem>
</file>

<file path=customXml/itemProps3.xml><?xml version="1.0" encoding="utf-8"?>
<ds:datastoreItem xmlns:ds="http://schemas.openxmlformats.org/officeDocument/2006/customXml" ds:itemID="{C7552676-C96C-4363-A4DD-8A2E164D5A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3</vt:i4>
      </vt:variant>
    </vt:vector>
  </HeadingPairs>
  <TitlesOfParts>
    <vt:vector size="12" baseType="lpstr">
      <vt:lpstr>Cover</vt:lpstr>
      <vt:lpstr>SD contributions achieved</vt:lpstr>
      <vt:lpstr>Calculation of net benefits</vt:lpstr>
      <vt:lpstr>Comparison with PDD estimation</vt:lpstr>
      <vt:lpstr>ER calculation (2022)</vt:lpstr>
      <vt:lpstr>Electricity data</vt:lpstr>
      <vt:lpstr>Sheet1</vt:lpstr>
      <vt:lpstr>Liangjiangkou</vt:lpstr>
      <vt:lpstr>Guanbaodu</vt:lpstr>
      <vt:lpstr>'Calculation of net benefits'!_Hlk74842238</vt:lpstr>
      <vt:lpstr>Cover!Check4</vt:lpstr>
      <vt:lpstr>Cover!Check8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ZhangFeng</dc:creator>
  <cp:lastModifiedBy>DING yolanda</cp:lastModifiedBy>
  <dcterms:created xsi:type="dcterms:W3CDTF">2010-10-09T01:56:00Z</dcterms:created>
  <dcterms:modified xsi:type="dcterms:W3CDTF">2023-09-11T10:00:18Z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0x010100E9D0D523F302484F892F723420D71428</vt:lpwstr>
  </property>
  <property fmtid="{D5CDD505-2E9C-101B-9397-08002B2CF9AE}" pid="3" name="KSOProductBuildVer">
    <vt:lpwstr>2052-11.1.0.8808</vt:lpwstr>
  </property>
</Properties>
</file>