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Folders\Amit Rai\GHG Projects\VCS Projects - Amit Rai\VCS 1742_TQC_9524\Admin Review\Documents for AR submission _9524\"/>
    </mc:Choice>
  </mc:AlternateContent>
  <xr:revisionPtr revIDLastSave="0" documentId="13_ncr:1_{369ED5ED-C75D-4A77-88AF-64BD235BD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 Summary" sheetId="5" r:id="rId1"/>
    <sheet name="NRPC da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M30" i="5"/>
  <c r="L30" i="5"/>
  <c r="K30" i="5"/>
  <c r="J30" i="5"/>
  <c r="K29" i="5"/>
  <c r="E129" i="4"/>
  <c r="D129" i="4"/>
  <c r="D161" i="4"/>
  <c r="E161" i="4"/>
  <c r="N30" i="5"/>
  <c r="E35" i="4"/>
  <c r="D35" i="4"/>
  <c r="G30" i="5"/>
  <c r="F30" i="5" l="1"/>
  <c r="F32" i="5"/>
  <c r="E98" i="4"/>
  <c r="E66" i="4"/>
  <c r="X32" i="5"/>
  <c r="U32" i="5"/>
  <c r="V32" i="5"/>
  <c r="I27" i="5"/>
  <c r="I32" i="5" s="1"/>
  <c r="E32" i="5"/>
  <c r="E33" i="5" s="1"/>
  <c r="N31" i="5"/>
  <c r="M31" i="5"/>
  <c r="L31" i="5"/>
  <c r="K31" i="5"/>
  <c r="J31" i="5"/>
  <c r="I31" i="5"/>
  <c r="H31" i="5"/>
  <c r="G31" i="5"/>
  <c r="N29" i="5"/>
  <c r="M29" i="5"/>
  <c r="L29" i="5"/>
  <c r="J29" i="5"/>
  <c r="I29" i="5"/>
  <c r="H29" i="5"/>
  <c r="G29" i="5"/>
  <c r="N28" i="5"/>
  <c r="M28" i="5"/>
  <c r="L28" i="5"/>
  <c r="K28" i="5"/>
  <c r="J28" i="5"/>
  <c r="I28" i="5"/>
  <c r="H28" i="5"/>
  <c r="G28" i="5"/>
  <c r="N27" i="5"/>
  <c r="M27" i="5"/>
  <c r="M32" i="5" s="1"/>
  <c r="L27" i="5"/>
  <c r="K27" i="5"/>
  <c r="K32" i="5" s="1"/>
  <c r="J27" i="5"/>
  <c r="J32" i="5" s="1"/>
  <c r="H27" i="5"/>
  <c r="G27" i="5"/>
  <c r="J12" i="5"/>
  <c r="J11" i="5"/>
  <c r="N32" i="5" l="1"/>
  <c r="H30" i="5"/>
  <c r="H32" i="5"/>
  <c r="G32" i="5"/>
  <c r="L32" i="5"/>
  <c r="J13" i="5"/>
  <c r="J20" i="5" s="1"/>
  <c r="F37" i="4" l="1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36" i="4"/>
  <c r="F3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4" i="4"/>
  <c r="D98" i="4"/>
  <c r="D66" i="4"/>
  <c r="F98" i="4" l="1"/>
  <c r="O29" i="5" s="1"/>
  <c r="P29" i="5" s="1"/>
  <c r="F66" i="4"/>
  <c r="O28" i="5" s="1"/>
  <c r="F35" i="4"/>
  <c r="O27" i="5" s="1"/>
  <c r="P27" i="5" s="1"/>
  <c r="F129" i="4"/>
  <c r="O30" i="5" s="1"/>
  <c r="P30" i="5" s="1"/>
  <c r="F161" i="4"/>
  <c r="O31" i="5"/>
  <c r="P31" i="5" s="1"/>
  <c r="P28" i="5"/>
  <c r="R30" i="5" l="1"/>
  <c r="S30" i="5" s="1"/>
  <c r="R27" i="5"/>
  <c r="O32" i="5"/>
  <c r="R28" i="5"/>
  <c r="S28" i="5" s="1"/>
  <c r="R31" i="5"/>
  <c r="S31" i="5" s="1"/>
  <c r="R29" i="5"/>
  <c r="S29" i="5" s="1"/>
  <c r="P32" i="5" l="1"/>
  <c r="S27" i="5" l="1"/>
  <c r="S32" i="5" s="1"/>
  <c r="R32" i="5"/>
  <c r="J16" i="5" l="1"/>
  <c r="T27" i="5"/>
  <c r="T32" i="5" l="1"/>
  <c r="J17" i="5" s="1"/>
  <c r="J21" i="5" s="1"/>
  <c r="J22" i="5" s="1"/>
  <c r="W27" i="5"/>
  <c r="W32" i="5" s="1"/>
</calcChain>
</file>

<file path=xl/sharedStrings.xml><?xml version="1.0" encoding="utf-8"?>
<sst xmlns="http://schemas.openxmlformats.org/spreadsheetml/2006/main" count="81" uniqueCount="70">
  <si>
    <t>Period</t>
  </si>
  <si>
    <t>Start date</t>
  </si>
  <si>
    <t>End date</t>
  </si>
  <si>
    <t>Total</t>
  </si>
  <si>
    <t>VCS Project activity reference:-</t>
  </si>
  <si>
    <t>Parameter</t>
  </si>
  <si>
    <t>Unit</t>
  </si>
  <si>
    <t>date</t>
  </si>
  <si>
    <t>Number</t>
  </si>
  <si>
    <t>Baseline Emission Factor</t>
  </si>
  <si>
    <t>MWh</t>
  </si>
  <si>
    <t xml:space="preserve">Baseline Emissions </t>
  </si>
  <si>
    <t xml:space="preserve">Project Emissions </t>
  </si>
  <si>
    <t>Leakage Emissions</t>
  </si>
  <si>
    <t xml:space="preserve">Actual ER for Current Monitoring Period </t>
  </si>
  <si>
    <t>%</t>
  </si>
  <si>
    <t>HYDROELECTRIC PROJECT IN KINNAUR DISTRICT IN HIMACHAL PRADESH</t>
  </si>
  <si>
    <t>DATE</t>
  </si>
  <si>
    <t>ACTUAL(LU)</t>
  </si>
  <si>
    <t xml:space="preserve">Note: Please find the ACTUAL values in the KWHEP Energy Bill from NRPC site. </t>
  </si>
  <si>
    <t xml:space="preserve">Total  Electricity Exported (MU)   </t>
  </si>
  <si>
    <t>As per Invoice</t>
  </si>
  <si>
    <t>Auxillary consumption in MWh</t>
  </si>
  <si>
    <t>As per Daily Performance Report</t>
  </si>
  <si>
    <t>SCHDL(LU)</t>
  </si>
  <si>
    <t>UI units (MU)</t>
  </si>
  <si>
    <t>Difference</t>
  </si>
  <si>
    <t xml:space="preserve">Total energy exported (MU) </t>
  </si>
  <si>
    <t>http://164.100.60.165/comm/dsa.html</t>
  </si>
  <si>
    <t>NPRC website&gt; Commercial Activities &gt; Deviation Settlement Account &gt; Weekely data</t>
  </si>
  <si>
    <t>Minimum of Electricity Exported in MU,  EGfacility,y  (DPR and Invoices)</t>
  </si>
  <si>
    <t>Total Electricity Exported (MWh)</t>
  </si>
  <si>
    <t>Short term Invoices (MU)</t>
  </si>
  <si>
    <t xml:space="preserve">Project Name:-
</t>
  </si>
  <si>
    <t xml:space="preserve">Monitoring Period </t>
  </si>
  <si>
    <t>Date of Submission:-</t>
  </si>
  <si>
    <t>Version No:-</t>
  </si>
  <si>
    <t>Vintage Year 2022</t>
  </si>
  <si>
    <t xml:space="preserve">Start Date </t>
  </si>
  <si>
    <t>End Date</t>
  </si>
  <si>
    <t>Number of operational Days</t>
  </si>
  <si>
    <t xml:space="preserve">Annual (365 Days) estimation as per Registered PDD </t>
  </si>
  <si>
    <t>Variation in Actual Vs Estimated ER*</t>
  </si>
  <si>
    <t>to</t>
  </si>
  <si>
    <r>
      <t>tCO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e/MWh</t>
    </r>
  </si>
  <si>
    <r>
      <t>tCO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e</t>
    </r>
  </si>
  <si>
    <r>
      <t>tCO</t>
    </r>
    <r>
      <rPr>
        <b/>
        <vertAlign val="subscript"/>
        <sz val="11"/>
        <color theme="1"/>
        <rFont val="Aptos"/>
        <family val="2"/>
      </rPr>
      <t>2</t>
    </r>
    <r>
      <rPr>
        <b/>
        <sz val="11"/>
        <color theme="1"/>
        <rFont val="Aptos"/>
        <family val="2"/>
      </rPr>
      <t>e</t>
    </r>
  </si>
  <si>
    <r>
      <t>Total Electricity Generation (MU) (TEG</t>
    </r>
    <r>
      <rPr>
        <b/>
        <vertAlign val="subscript"/>
        <sz val="11"/>
        <color rgb="FF002060"/>
        <rFont val="Aptos"/>
        <family val="2"/>
      </rPr>
      <t>y)</t>
    </r>
  </si>
  <si>
    <r>
      <t>Saleble energy exculding 12.1295% free energy to HP</t>
    </r>
    <r>
      <rPr>
        <b/>
        <vertAlign val="subscript"/>
        <sz val="11"/>
        <color rgb="FF002060"/>
        <rFont val="Aptos"/>
        <family val="2"/>
      </rPr>
      <t xml:space="preserve"> </t>
    </r>
    <r>
      <rPr>
        <b/>
        <sz val="11"/>
        <color rgb="FF002060"/>
        <rFont val="Aptos"/>
        <family val="2"/>
      </rPr>
      <t>(MU)</t>
    </r>
  </si>
  <si>
    <t>Total in (MWh)</t>
  </si>
  <si>
    <t>SDG 07</t>
  </si>
  <si>
    <t>SDG 13</t>
  </si>
  <si>
    <t>Training Record (Number)</t>
  </si>
  <si>
    <t>Employee record (Number)</t>
  </si>
  <si>
    <t>The breakdown of 987 employees across different categories: Executive, Non-Executive, Skilled, Semi-Skilled, and Unskilled. Among the 104 Executives, 43 are Himachali and 61 are Non-Himachali. The Non-Executive group comprises 96 employees, with 65 Himachali and 31 Non-Himachali. The Skilled category has 230 employees, including 138 Himachali and 92 Non-Himachali. In the Semi-Skilled category, there are 416 employees, with 285 Himachali and 131 Non-Himachali. The Unskilled group includes 141 employees, of which 75 are Himachali and 66 are Non-Himachali. Overall, there are 606 Himachali employees and 381 Non-Himachali employees.</t>
  </si>
  <si>
    <t>Estimated Emission Reductions as per registered PDD for current monitoring period</t>
  </si>
  <si>
    <t xml:space="preserve">Bill-1 HPPC 176 (MU)   </t>
  </si>
  <si>
    <t xml:space="preserve">Bill-2 HPPC 200 (MU)   </t>
  </si>
  <si>
    <t xml:space="preserve">Bill-3 Punjab (MU)   </t>
  </si>
  <si>
    <t xml:space="preserve">Bill-4 Rajasthan (MU)   </t>
  </si>
  <si>
    <t xml:space="preserve">Bill-5 UP (MU)   </t>
  </si>
  <si>
    <r>
      <t>Project Emission Reduction (tCO</t>
    </r>
    <r>
      <rPr>
        <b/>
        <vertAlign val="subscript"/>
        <sz val="11"/>
        <color rgb="FF002060"/>
        <rFont val="Aptos"/>
        <family val="2"/>
      </rPr>
      <t>2</t>
    </r>
    <r>
      <rPr>
        <b/>
        <sz val="11"/>
        <color rgb="FF002060"/>
        <rFont val="Aptos"/>
        <family val="2"/>
      </rPr>
      <t>e)</t>
    </r>
  </si>
  <si>
    <r>
      <t>Baseline Emissions Reduction (tCO</t>
    </r>
    <r>
      <rPr>
        <b/>
        <vertAlign val="subscript"/>
        <sz val="11"/>
        <color rgb="FF002060"/>
        <rFont val="Aptos"/>
        <family val="2"/>
      </rPr>
      <t>2</t>
    </r>
    <r>
      <rPr>
        <b/>
        <sz val="11"/>
        <color rgb="FF002060"/>
        <rFont val="Aptos"/>
        <family val="2"/>
      </rPr>
      <t>e)</t>
    </r>
  </si>
  <si>
    <r>
      <t>Leakage Emission Reduction (tCO</t>
    </r>
    <r>
      <rPr>
        <b/>
        <vertAlign val="subscript"/>
        <sz val="11"/>
        <color rgb="FF002060"/>
        <rFont val="Aptos"/>
        <family val="2"/>
      </rPr>
      <t>2</t>
    </r>
    <r>
      <rPr>
        <b/>
        <sz val="11"/>
        <color rgb="FF002060"/>
        <rFont val="Aptos"/>
        <family val="2"/>
      </rPr>
      <t>e)</t>
    </r>
  </si>
  <si>
    <r>
      <t>Emission Reduction Current Monitoring (tCO</t>
    </r>
    <r>
      <rPr>
        <b/>
        <vertAlign val="subscript"/>
        <sz val="11"/>
        <color rgb="FF002060"/>
        <rFont val="Aptos"/>
        <family val="2"/>
      </rPr>
      <t>2</t>
    </r>
    <r>
      <rPr>
        <b/>
        <sz val="11"/>
        <color rgb="FF002060"/>
        <rFont val="Aptos"/>
        <family val="2"/>
      </rPr>
      <t>e)</t>
    </r>
  </si>
  <si>
    <t>Year 2022</t>
  </si>
  <si>
    <t xml:space="preserve">Vintage Year </t>
  </si>
  <si>
    <t>Generation achieved during current monitoring period</t>
  </si>
  <si>
    <t>SDG 04</t>
  </si>
  <si>
    <t>Error factor equivalent to accuracy class of meter have been applied to the missing calibration duration. Respective cells have been highlighted with light green color.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</si>
</sst>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0.0000"/>
    <numFmt numFmtId="167" formatCode="_(* #,##0.000_);_(* \(#,##0.000\);_(* &quot;-&quot;??_);_(@_)"/>
    <numFmt numFmtId="168" formatCode="_(* #,##0_);_(* \(#,##0\);_(* &quot;-&quot;??_);_(@_)"/>
    <numFmt numFmtId="169" formatCode="_ * #,##0_ ;_ * \-#,##0_ ;_ * &quot;-&quot;??_ ;_ @_ "/>
    <numFmt numFmtId="170" formatCode="_(* #,##0.00000_);_(* \(#,##0.0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u/>
      <sz val="11"/>
      <color theme="10"/>
      <name val="Aptos"/>
      <family val="2"/>
    </font>
    <font>
      <vertAlign val="subscript"/>
      <sz val="11"/>
      <color theme="1"/>
      <name val="Aptos"/>
      <family val="2"/>
    </font>
    <font>
      <b/>
      <sz val="11"/>
      <name val="Aptos"/>
      <family val="2"/>
    </font>
    <font>
      <b/>
      <vertAlign val="subscript"/>
      <sz val="11"/>
      <color theme="1"/>
      <name val="Aptos"/>
      <family val="2"/>
    </font>
    <font>
      <b/>
      <sz val="11"/>
      <color rgb="FF002060"/>
      <name val="Aptos"/>
      <family val="2"/>
    </font>
    <font>
      <b/>
      <vertAlign val="subscript"/>
      <sz val="11"/>
      <color rgb="FF002060"/>
      <name val="Aptos"/>
      <family val="2"/>
    </font>
    <font>
      <sz val="8"/>
      <name val="Calibri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2"/>
    <xf numFmtId="15" fontId="6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5" fontId="5" fillId="0" borderId="1" xfId="0" applyNumberFormat="1" applyFont="1" applyBorder="1" applyAlignment="1">
      <alignment horizontal="right" vertical="center"/>
    </xf>
    <xf numFmtId="15" fontId="5" fillId="0" borderId="0" xfId="0" applyNumberFormat="1" applyFont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9" fontId="5" fillId="0" borderId="1" xfId="3" applyNumberFormat="1" applyFont="1" applyFill="1" applyBorder="1" applyAlignment="1">
      <alignment horizontal="right" vertical="center" wrapText="1"/>
    </xf>
    <xf numFmtId="169" fontId="5" fillId="0" borderId="0" xfId="3" applyNumberFormat="1" applyFont="1" applyBorder="1" applyAlignment="1">
      <alignment horizontal="right" vertical="center" wrapText="1"/>
    </xf>
    <xf numFmtId="43" fontId="6" fillId="0" borderId="0" xfId="3" applyFont="1" applyBorder="1" applyAlignment="1">
      <alignment horizontal="right" vertical="center"/>
    </xf>
    <xf numFmtId="169" fontId="5" fillId="0" borderId="1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9" fontId="7" fillId="0" borderId="1" xfId="3" applyNumberFormat="1" applyFont="1" applyFill="1" applyBorder="1" applyAlignment="1">
      <alignment horizontal="right" vertical="center"/>
    </xf>
    <xf numFmtId="169" fontId="7" fillId="0" borderId="0" xfId="3" applyNumberFormat="1" applyFont="1" applyFill="1" applyBorder="1" applyAlignment="1">
      <alignment horizontal="right" vertical="center"/>
    </xf>
    <xf numFmtId="10" fontId="5" fillId="0" borderId="1" xfId="1" applyNumberFormat="1" applyFont="1" applyBorder="1" applyAlignment="1">
      <alignment horizontal="right" vertical="center"/>
    </xf>
    <xf numFmtId="10" fontId="5" fillId="0" borderId="0" xfId="1" applyNumberFormat="1" applyFont="1" applyBorder="1" applyAlignment="1">
      <alignment horizontal="right"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15" fontId="6" fillId="0" borderId="2" xfId="0" applyNumberFormat="1" applyFont="1" applyBorder="1" applyAlignment="1">
      <alignment horizontal="center"/>
    </xf>
    <xf numFmtId="15" fontId="6" fillId="0" borderId="5" xfId="0" applyNumberFormat="1" applyFont="1" applyBorder="1" applyAlignment="1">
      <alignment horizontal="center"/>
    </xf>
    <xf numFmtId="164" fontId="6" fillId="0" borderId="2" xfId="6" applyFont="1" applyFill="1" applyBorder="1" applyAlignment="1">
      <alignment horizontal="right"/>
    </xf>
    <xf numFmtId="164" fontId="6" fillId="0" borderId="1" xfId="6" applyFont="1" applyFill="1" applyBorder="1" applyAlignment="1">
      <alignment horizontal="right"/>
    </xf>
    <xf numFmtId="164" fontId="6" fillId="0" borderId="5" xfId="6" applyFont="1" applyFill="1" applyBorder="1" applyAlignment="1">
      <alignment horizontal="right"/>
    </xf>
    <xf numFmtId="164" fontId="5" fillId="0" borderId="1" xfId="6" applyFont="1" applyFill="1" applyBorder="1"/>
    <xf numFmtId="164" fontId="6" fillId="0" borderId="1" xfId="6" applyFont="1" applyBorder="1" applyAlignment="1">
      <alignment horizontal="right"/>
    </xf>
    <xf numFmtId="164" fontId="6" fillId="0" borderId="1" xfId="6" applyFont="1" applyFill="1" applyBorder="1" applyAlignment="1">
      <alignment horizontal="right" vertical="center"/>
    </xf>
    <xf numFmtId="164" fontId="5" fillId="0" borderId="3" xfId="6" applyFont="1" applyBorder="1" applyAlignment="1">
      <alignment horizontal="right"/>
    </xf>
    <xf numFmtId="164" fontId="5" fillId="0" borderId="4" xfId="6" applyFont="1" applyBorder="1" applyAlignment="1">
      <alignment horizontal="right"/>
    </xf>
    <xf numFmtId="164" fontId="7" fillId="0" borderId="10" xfId="6" applyFont="1" applyBorder="1" applyAlignment="1">
      <alignment horizontal="right"/>
    </xf>
    <xf numFmtId="164" fontId="7" fillId="0" borderId="1" xfId="6" applyFont="1" applyBorder="1" applyAlignment="1">
      <alignment horizontal="right"/>
    </xf>
    <xf numFmtId="168" fontId="7" fillId="0" borderId="1" xfId="6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2" fillId="4" borderId="11" xfId="0" applyFont="1" applyFill="1" applyBorder="1" applyAlignment="1">
      <alignment horizontal="center" vertical="center" wrapText="1"/>
    </xf>
    <xf numFmtId="164" fontId="6" fillId="0" borderId="11" xfId="6" applyFont="1" applyBorder="1" applyAlignment="1">
      <alignment horizontal="right"/>
    </xf>
    <xf numFmtId="164" fontId="5" fillId="0" borderId="11" xfId="6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3" fontId="10" fillId="0" borderId="1" xfId="3" applyFont="1" applyFill="1" applyBorder="1" applyAlignment="1">
      <alignment horizontal="right" vertical="center"/>
    </xf>
    <xf numFmtId="170" fontId="6" fillId="0" borderId="2" xfId="6" applyNumberFormat="1" applyFont="1" applyFill="1" applyBorder="1" applyAlignment="1">
      <alignment horizontal="right"/>
    </xf>
    <xf numFmtId="170" fontId="6" fillId="0" borderId="2" xfId="6" applyNumberFormat="1" applyFont="1" applyFill="1" applyBorder="1" applyAlignment="1">
      <alignment horizontal="right" vertical="center"/>
    </xf>
    <xf numFmtId="170" fontId="5" fillId="0" borderId="3" xfId="6" applyNumberFormat="1" applyFont="1" applyBorder="1" applyAlignment="1">
      <alignment horizontal="right"/>
    </xf>
    <xf numFmtId="168" fontId="6" fillId="0" borderId="0" xfId="6" applyNumberFormat="1" applyFont="1" applyFill="1" applyBorder="1" applyAlignment="1">
      <alignment horizontal="right"/>
    </xf>
    <xf numFmtId="164" fontId="7" fillId="0" borderId="22" xfId="0" applyNumberFormat="1" applyFont="1" applyBorder="1"/>
    <xf numFmtId="0" fontId="12" fillId="4" borderId="2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  <xf numFmtId="167" fontId="15" fillId="0" borderId="1" xfId="6" applyNumberFormat="1" applyFont="1" applyBorder="1" applyAlignment="1">
      <alignment horizontal="center" vertical="center" wrapText="1"/>
    </xf>
    <xf numFmtId="167" fontId="7" fillId="0" borderId="1" xfId="6" applyNumberFormat="1" applyFont="1" applyBorder="1" applyAlignment="1">
      <alignment horizontal="center"/>
    </xf>
    <xf numFmtId="164" fontId="16" fillId="0" borderId="1" xfId="6" applyFont="1" applyBorder="1" applyAlignment="1">
      <alignment horizontal="center" vertical="center" wrapText="1"/>
    </xf>
    <xf numFmtId="164" fontId="5" fillId="0" borderId="1" xfId="6" applyFont="1" applyBorder="1" applyAlignment="1">
      <alignment horizontal="center"/>
    </xf>
    <xf numFmtId="167" fontId="16" fillId="3" borderId="1" xfId="6" applyNumberFormat="1" applyFont="1" applyFill="1" applyBorder="1" applyAlignment="1">
      <alignment horizontal="center" vertical="center" wrapText="1"/>
    </xf>
    <xf numFmtId="164" fontId="15" fillId="3" borderId="1" xfId="6" applyFont="1" applyFill="1" applyBorder="1" applyAlignment="1">
      <alignment horizontal="center" vertical="center" wrapText="1"/>
    </xf>
    <xf numFmtId="15" fontId="6" fillId="8" borderId="2" xfId="0" applyNumberFormat="1" applyFont="1" applyFill="1" applyBorder="1" applyAlignment="1">
      <alignment horizontal="center"/>
    </xf>
    <xf numFmtId="15" fontId="6" fillId="8" borderId="5" xfId="0" applyNumberFormat="1" applyFont="1" applyFill="1" applyBorder="1" applyAlignment="1">
      <alignment horizontal="center"/>
    </xf>
    <xf numFmtId="164" fontId="6" fillId="8" borderId="1" xfId="6" applyFont="1" applyFill="1" applyBorder="1" applyAlignment="1">
      <alignment horizontal="right"/>
    </xf>
    <xf numFmtId="164" fontId="6" fillId="8" borderId="11" xfId="6" applyFont="1" applyFill="1" applyBorder="1" applyAlignment="1">
      <alignment horizontal="right"/>
    </xf>
    <xf numFmtId="164" fontId="6" fillId="8" borderId="2" xfId="6" applyFont="1" applyFill="1" applyBorder="1" applyAlignment="1">
      <alignment horizontal="right"/>
    </xf>
    <xf numFmtId="164" fontId="5" fillId="8" borderId="1" xfId="6" applyFont="1" applyFill="1" applyBorder="1"/>
    <xf numFmtId="164" fontId="6" fillId="8" borderId="5" xfId="6" applyFont="1" applyFill="1" applyBorder="1" applyAlignment="1">
      <alignment horizontal="right"/>
    </xf>
    <xf numFmtId="170" fontId="6" fillId="8" borderId="2" xfId="6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6" fillId="0" borderId="1" xfId="4" applyFont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5" fontId="5" fillId="0" borderId="11" xfId="0" applyNumberFormat="1" applyFont="1" applyBorder="1" applyAlignment="1">
      <alignment horizontal="left" vertical="center"/>
    </xf>
    <xf numFmtId="15" fontId="5" fillId="0" borderId="6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5" fontId="6" fillId="0" borderId="6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168" fontId="6" fillId="0" borderId="1" xfId="6" applyNumberFormat="1" applyFont="1" applyBorder="1" applyAlignment="1">
      <alignment horizontal="righ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8" fontId="6" fillId="0" borderId="12" xfId="6" applyNumberFormat="1" applyFont="1" applyBorder="1" applyAlignment="1">
      <alignment horizontal="center" vertical="center"/>
    </xf>
    <xf numFmtId="168" fontId="6" fillId="0" borderId="14" xfId="6" applyNumberFormat="1" applyFont="1" applyBorder="1" applyAlignment="1">
      <alignment horizontal="center" vertical="center"/>
    </xf>
    <xf numFmtId="168" fontId="6" fillId="0" borderId="13" xfId="6" applyNumberFormat="1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</cellXfs>
  <cellStyles count="7">
    <cellStyle name="Comma" xfId="6" builtinId="3"/>
    <cellStyle name="Comma 2" xfId="3" xr:uid="{00000000-0005-0000-0000-000000000000}"/>
    <cellStyle name="Hyperlink" xfId="2" builtinId="8"/>
    <cellStyle name="Normal" xfId="0" builtinId="0"/>
    <cellStyle name="Normal 2" xfId="5" xr:uid="{00000000-0005-0000-0000-000003000000}"/>
    <cellStyle name="Normal 3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164.100.60.165/comm/ds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95B0-C646-4E39-AE33-985D70C90D3F}">
  <dimension ref="B4:AF37"/>
  <sheetViews>
    <sheetView tabSelected="1" topLeftCell="H23" zoomScale="85" zoomScaleNormal="85" workbookViewId="0">
      <selection activeCell="P37" sqref="P37"/>
    </sheetView>
  </sheetViews>
  <sheetFormatPr defaultColWidth="8.88671875" defaultRowHeight="14.4"/>
  <cols>
    <col min="1" max="2" width="8.88671875" style="27"/>
    <col min="3" max="4" width="14.21875" style="27" customWidth="1"/>
    <col min="5" max="5" width="16.44140625" style="27" customWidth="1"/>
    <col min="6" max="6" width="24.77734375" style="27" bestFit="1" customWidth="1"/>
    <col min="7" max="7" width="17" style="27" customWidth="1"/>
    <col min="8" max="8" width="18.21875" style="27" customWidth="1"/>
    <col min="9" max="9" width="16.33203125" style="27" bestFit="1" customWidth="1"/>
    <col min="10" max="11" width="19.33203125" style="27" bestFit="1" customWidth="1"/>
    <col min="12" max="12" width="10.5546875" style="27" customWidth="1"/>
    <col min="13" max="13" width="16.33203125" style="27" bestFit="1" customWidth="1"/>
    <col min="14" max="14" width="12" style="27" bestFit="1" customWidth="1"/>
    <col min="15" max="15" width="9.109375" style="27" bestFit="1" customWidth="1"/>
    <col min="16" max="16" width="13.21875" style="27" bestFit="1" customWidth="1"/>
    <col min="17" max="17" width="16.33203125" style="27" bestFit="1" customWidth="1"/>
    <col min="18" max="18" width="23" style="27" customWidth="1"/>
    <col min="19" max="19" width="17.109375" style="27" customWidth="1"/>
    <col min="20" max="23" width="17.33203125" style="27" customWidth="1"/>
    <col min="24" max="24" width="16" style="27" bestFit="1" customWidth="1"/>
    <col min="25" max="25" width="136.88671875" style="27" customWidth="1"/>
    <col min="26" max="16384" width="8.88671875" style="27"/>
  </cols>
  <sheetData>
    <row r="4" spans="5:11">
      <c r="E4" s="81" t="s">
        <v>33</v>
      </c>
      <c r="F4" s="82"/>
      <c r="G4" s="88" t="s">
        <v>16</v>
      </c>
      <c r="H4" s="89"/>
      <c r="I4" s="89"/>
      <c r="J4" s="89"/>
      <c r="K4" s="89"/>
    </row>
    <row r="5" spans="5:11">
      <c r="E5" s="81" t="s">
        <v>4</v>
      </c>
      <c r="F5" s="82"/>
      <c r="G5" s="88">
        <v>1742</v>
      </c>
      <c r="H5" s="89"/>
      <c r="I5" s="89"/>
      <c r="J5" s="89"/>
      <c r="K5" s="89"/>
    </row>
    <row r="6" spans="5:11">
      <c r="E6" s="81" t="s">
        <v>34</v>
      </c>
      <c r="F6" s="82"/>
      <c r="G6" s="2">
        <v>44774</v>
      </c>
      <c r="H6" s="3" t="s">
        <v>43</v>
      </c>
      <c r="I6" s="90">
        <v>44926</v>
      </c>
      <c r="J6" s="90"/>
      <c r="K6" s="90"/>
    </row>
    <row r="7" spans="5:11">
      <c r="E7" s="81" t="s">
        <v>35</v>
      </c>
      <c r="F7" s="82"/>
      <c r="G7" s="86">
        <v>45617</v>
      </c>
      <c r="H7" s="87"/>
      <c r="I7" s="87"/>
      <c r="J7" s="87"/>
      <c r="K7" s="87"/>
    </row>
    <row r="8" spans="5:11">
      <c r="E8" s="81" t="s">
        <v>36</v>
      </c>
      <c r="F8" s="82"/>
      <c r="G8" s="84">
        <v>3</v>
      </c>
      <c r="H8" s="85"/>
      <c r="I8" s="85"/>
      <c r="J8" s="85"/>
      <c r="K8" s="85"/>
    </row>
    <row r="9" spans="5:11">
      <c r="E9" s="4"/>
      <c r="F9" s="5"/>
      <c r="G9" s="6"/>
      <c r="H9" s="6"/>
      <c r="I9" s="6"/>
      <c r="J9" s="7"/>
      <c r="K9" s="7"/>
    </row>
    <row r="10" spans="5:11">
      <c r="E10" s="83" t="s">
        <v>5</v>
      </c>
      <c r="F10" s="83"/>
      <c r="G10" s="83"/>
      <c r="H10" s="83"/>
      <c r="I10" s="8" t="s">
        <v>6</v>
      </c>
      <c r="J10" s="8" t="s">
        <v>37</v>
      </c>
      <c r="K10" s="9"/>
    </row>
    <row r="11" spans="5:11">
      <c r="E11" s="80" t="s">
        <v>38</v>
      </c>
      <c r="F11" s="80"/>
      <c r="G11" s="80"/>
      <c r="H11" s="80"/>
      <c r="I11" s="10" t="s">
        <v>7</v>
      </c>
      <c r="J11" s="11">
        <f>G6</f>
        <v>44774</v>
      </c>
      <c r="K11" s="12"/>
    </row>
    <row r="12" spans="5:11">
      <c r="E12" s="80" t="s">
        <v>39</v>
      </c>
      <c r="F12" s="80"/>
      <c r="G12" s="80"/>
      <c r="H12" s="80"/>
      <c r="I12" s="10" t="s">
        <v>7</v>
      </c>
      <c r="J12" s="11">
        <f>I6</f>
        <v>44926</v>
      </c>
      <c r="K12" s="12"/>
    </row>
    <row r="13" spans="5:11">
      <c r="E13" s="80" t="s">
        <v>40</v>
      </c>
      <c r="F13" s="80"/>
      <c r="G13" s="80"/>
      <c r="H13" s="80"/>
      <c r="I13" s="10" t="s">
        <v>8</v>
      </c>
      <c r="J13" s="13">
        <f>J12-J11+1</f>
        <v>153</v>
      </c>
      <c r="K13" s="14"/>
    </row>
    <row r="14" spans="5:11" ht="15.6">
      <c r="E14" s="80" t="s">
        <v>9</v>
      </c>
      <c r="F14" s="80"/>
      <c r="G14" s="80"/>
      <c r="H14" s="80"/>
      <c r="I14" s="10" t="s">
        <v>44</v>
      </c>
      <c r="J14" s="15">
        <v>0.80310000000000004</v>
      </c>
      <c r="K14" s="16"/>
    </row>
    <row r="15" spans="5:11" ht="15.6">
      <c r="E15" s="80" t="s">
        <v>41</v>
      </c>
      <c r="F15" s="80"/>
      <c r="G15" s="80"/>
      <c r="H15" s="80"/>
      <c r="I15" s="10" t="s">
        <v>45</v>
      </c>
      <c r="J15" s="17">
        <v>3541917</v>
      </c>
      <c r="K15" s="18"/>
    </row>
    <row r="16" spans="5:11">
      <c r="E16" s="91" t="s">
        <v>67</v>
      </c>
      <c r="F16" s="91"/>
      <c r="G16" s="91"/>
      <c r="H16" s="91"/>
      <c r="I16" s="22" t="s">
        <v>10</v>
      </c>
      <c r="J16" s="48">
        <f>S32</f>
        <v>1695340.871285924</v>
      </c>
      <c r="K16" s="19"/>
    </row>
    <row r="17" spans="2:32" ht="15.6">
      <c r="E17" s="92" t="s">
        <v>11</v>
      </c>
      <c r="F17" s="92"/>
      <c r="G17" s="92"/>
      <c r="H17" s="92"/>
      <c r="I17" s="10" t="s">
        <v>45</v>
      </c>
      <c r="J17" s="20">
        <f>T32</f>
        <v>1361528</v>
      </c>
      <c r="K17" s="21"/>
    </row>
    <row r="18" spans="2:32" ht="15.6">
      <c r="E18" s="92" t="s">
        <v>12</v>
      </c>
      <c r="F18" s="92"/>
      <c r="G18" s="92"/>
      <c r="H18" s="92"/>
      <c r="I18" s="10" t="s">
        <v>45</v>
      </c>
      <c r="J18" s="13">
        <v>0</v>
      </c>
      <c r="K18" s="14"/>
    </row>
    <row r="19" spans="2:32" ht="15.6">
      <c r="E19" s="92" t="s">
        <v>13</v>
      </c>
      <c r="F19" s="92"/>
      <c r="G19" s="92"/>
      <c r="H19" s="92"/>
      <c r="I19" s="10" t="s">
        <v>45</v>
      </c>
      <c r="J19" s="13">
        <v>0</v>
      </c>
      <c r="K19" s="14"/>
    </row>
    <row r="20" spans="2:32" ht="15.6">
      <c r="E20" s="80" t="s">
        <v>55</v>
      </c>
      <c r="F20" s="80"/>
      <c r="G20" s="80"/>
      <c r="H20" s="80"/>
      <c r="I20" s="10" t="s">
        <v>45</v>
      </c>
      <c r="J20" s="20">
        <f>ROUNDDOWN(J15/365*J13,0)</f>
        <v>1484693</v>
      </c>
      <c r="K20" s="24"/>
    </row>
    <row r="21" spans="2:32" ht="15.6">
      <c r="E21" s="80" t="s">
        <v>14</v>
      </c>
      <c r="F21" s="80"/>
      <c r="G21" s="80"/>
      <c r="H21" s="80"/>
      <c r="I21" s="22" t="s">
        <v>46</v>
      </c>
      <c r="J21" s="23">
        <f>J17-J18-J19</f>
        <v>1361528</v>
      </c>
      <c r="K21" s="21"/>
    </row>
    <row r="22" spans="2:32">
      <c r="E22" s="80" t="s">
        <v>42</v>
      </c>
      <c r="F22" s="80"/>
      <c r="G22" s="80"/>
      <c r="H22" s="80"/>
      <c r="I22" s="10" t="s">
        <v>15</v>
      </c>
      <c r="J22" s="25">
        <f>(J21-J20)/J20</f>
        <v>-8.295654387809466E-2</v>
      </c>
      <c r="K22" s="26"/>
    </row>
    <row r="24" spans="2:32" ht="15" thickBot="1">
      <c r="S24" s="44" t="s">
        <v>50</v>
      </c>
      <c r="T24" s="95" t="s">
        <v>51</v>
      </c>
      <c r="U24" s="96"/>
      <c r="V24" s="96"/>
      <c r="W24" s="97"/>
      <c r="X24" s="44" t="s">
        <v>68</v>
      </c>
      <c r="Y24" s="44" t="s">
        <v>68</v>
      </c>
    </row>
    <row r="25" spans="2:32" ht="18.600000000000001" customHeight="1" thickBot="1">
      <c r="C25" s="104" t="s">
        <v>0</v>
      </c>
      <c r="D25" s="105"/>
      <c r="E25" s="106" t="s">
        <v>23</v>
      </c>
      <c r="F25" s="107"/>
      <c r="G25" s="107"/>
      <c r="H25" s="108"/>
      <c r="I25" s="109" t="s">
        <v>21</v>
      </c>
      <c r="J25" s="110"/>
      <c r="K25" s="110"/>
      <c r="L25" s="110"/>
      <c r="M25" s="110"/>
      <c r="N25" s="110"/>
      <c r="O25" s="110"/>
      <c r="P25" s="111"/>
      <c r="Q25" s="28"/>
      <c r="R25" s="95" t="s">
        <v>30</v>
      </c>
      <c r="S25" s="93" t="s">
        <v>31</v>
      </c>
      <c r="T25" s="93" t="s">
        <v>62</v>
      </c>
      <c r="U25" s="93" t="s">
        <v>61</v>
      </c>
      <c r="V25" s="93" t="s">
        <v>63</v>
      </c>
      <c r="W25" s="93" t="s">
        <v>64</v>
      </c>
      <c r="X25" s="93" t="s">
        <v>52</v>
      </c>
      <c r="Y25" s="93" t="s">
        <v>53</v>
      </c>
    </row>
    <row r="26" spans="2:32" ht="69" customHeight="1">
      <c r="B26" s="54" t="s">
        <v>66</v>
      </c>
      <c r="C26" s="55" t="s">
        <v>1</v>
      </c>
      <c r="D26" s="56" t="s">
        <v>2</v>
      </c>
      <c r="E26" s="57" t="s">
        <v>47</v>
      </c>
      <c r="F26" s="58" t="s">
        <v>27</v>
      </c>
      <c r="G26" s="58" t="s">
        <v>22</v>
      </c>
      <c r="H26" s="59" t="s">
        <v>48</v>
      </c>
      <c r="I26" s="60" t="s">
        <v>56</v>
      </c>
      <c r="J26" s="61" t="s">
        <v>57</v>
      </c>
      <c r="K26" s="61" t="s">
        <v>58</v>
      </c>
      <c r="L26" s="61" t="s">
        <v>59</v>
      </c>
      <c r="M26" s="61" t="s">
        <v>60</v>
      </c>
      <c r="N26" s="62" t="s">
        <v>32</v>
      </c>
      <c r="O26" s="62" t="s">
        <v>25</v>
      </c>
      <c r="P26" s="63" t="s">
        <v>20</v>
      </c>
      <c r="Q26" s="29"/>
      <c r="R26" s="95"/>
      <c r="S26" s="93"/>
      <c r="T26" s="93"/>
      <c r="U26" s="93"/>
      <c r="V26" s="93"/>
      <c r="W26" s="93"/>
      <c r="X26" s="93"/>
      <c r="Y26" s="93"/>
    </row>
    <row r="27" spans="2:32">
      <c r="B27" s="117" t="s">
        <v>65</v>
      </c>
      <c r="C27" s="30">
        <v>44774</v>
      </c>
      <c r="D27" s="31">
        <v>44804</v>
      </c>
      <c r="E27" s="49">
        <v>790.68633</v>
      </c>
      <c r="F27" s="33">
        <v>785.71658000000002</v>
      </c>
      <c r="G27" s="33">
        <f>(E27-F27)*1000</f>
        <v>4969.7499999999764</v>
      </c>
      <c r="H27" s="34">
        <f>F27*(1-0.121295)</f>
        <v>690.41308742889998</v>
      </c>
      <c r="I27" s="32">
        <f>149656555/1000000</f>
        <v>149.656555</v>
      </c>
      <c r="J27" s="33">
        <f>131699755/1000000</f>
        <v>131.69975500000001</v>
      </c>
      <c r="K27" s="33">
        <f>149656555/1000000</f>
        <v>149.656555</v>
      </c>
      <c r="L27" s="33">
        <f>77823038/1000000</f>
        <v>77.823037999999997</v>
      </c>
      <c r="M27" s="33">
        <f>149656555/1000000</f>
        <v>149.656555</v>
      </c>
      <c r="N27" s="35">
        <f>28917.175/1000</f>
        <v>28.917175</v>
      </c>
      <c r="O27" s="33">
        <f>'NRPC data'!F35</f>
        <v>0.79909199999997615</v>
      </c>
      <c r="P27" s="34">
        <f>SUM(I27:O27)</f>
        <v>688.20872500000007</v>
      </c>
      <c r="Q27" s="52"/>
      <c r="R27" s="45">
        <f>MIN(H27,P27)</f>
        <v>688.20872500000007</v>
      </c>
      <c r="S27" s="36">
        <f>(R27*1000)</f>
        <v>688208.72500000009</v>
      </c>
      <c r="T27" s="94">
        <f>ROUNDDOWN(S32*J14,0)</f>
        <v>1361528</v>
      </c>
      <c r="U27" s="101">
        <v>0</v>
      </c>
      <c r="V27" s="101">
        <v>0</v>
      </c>
      <c r="W27" s="101">
        <f>T27-U27-V27</f>
        <v>1361528</v>
      </c>
      <c r="X27" s="118">
        <v>63</v>
      </c>
      <c r="Y27" s="98" t="s">
        <v>54</v>
      </c>
    </row>
    <row r="28" spans="2:32">
      <c r="B28" s="117"/>
      <c r="C28" s="30">
        <v>44805</v>
      </c>
      <c r="D28" s="31">
        <v>44834</v>
      </c>
      <c r="E28" s="49">
        <v>609.15288999999996</v>
      </c>
      <c r="F28" s="33">
        <v>605.32690000000002</v>
      </c>
      <c r="G28" s="33">
        <f t="shared" ref="G28:G29" si="0">(E28-F28)*1000</f>
        <v>3825.9899999999334</v>
      </c>
      <c r="H28" s="34">
        <f t="shared" ref="H28:H30" si="1">F28*(1-0.121295)</f>
        <v>531.90377366450002</v>
      </c>
      <c r="I28" s="32">
        <f>117050492/1000000</f>
        <v>117.05049200000001</v>
      </c>
      <c r="J28" s="33">
        <f>103004400/1000000</f>
        <v>103.0044</v>
      </c>
      <c r="K28" s="33">
        <f>117050492/1000000</f>
        <v>117.05049200000001</v>
      </c>
      <c r="L28" s="33">
        <f>60866488/1000000</f>
        <v>60.866487999999997</v>
      </c>
      <c r="M28" s="33">
        <f>117050492/1000000</f>
        <v>117.05049200000001</v>
      </c>
      <c r="N28" s="35">
        <f>8970.3/1000</f>
        <v>8.9702999999999999</v>
      </c>
      <c r="O28" s="33">
        <f>'NRPC data'!F66</f>
        <v>0.86277830000000066</v>
      </c>
      <c r="P28" s="34">
        <f>SUM(I28:O28)</f>
        <v>524.85544229999994</v>
      </c>
      <c r="Q28" s="52"/>
      <c r="R28" s="45">
        <f>MIN(H28,P28)</f>
        <v>524.85544229999994</v>
      </c>
      <c r="S28" s="36">
        <f t="shared" ref="S28:S31" si="2">(R28*1000)</f>
        <v>524855.44229999988</v>
      </c>
      <c r="T28" s="94"/>
      <c r="U28" s="102"/>
      <c r="V28" s="102"/>
      <c r="W28" s="102"/>
      <c r="X28" s="119"/>
      <c r="Y28" s="99"/>
    </row>
    <row r="29" spans="2:32">
      <c r="B29" s="117"/>
      <c r="C29" s="30">
        <v>44835</v>
      </c>
      <c r="D29" s="31">
        <v>44865</v>
      </c>
      <c r="E29" s="50">
        <v>271.25511</v>
      </c>
      <c r="F29" s="37">
        <v>269.42021</v>
      </c>
      <c r="G29" s="33">
        <f t="shared" si="0"/>
        <v>1834.9000000000046</v>
      </c>
      <c r="H29" s="34">
        <f t="shared" si="1"/>
        <v>236.74088562804999</v>
      </c>
      <c r="I29" s="32">
        <f>52587642/1000000</f>
        <v>52.587642000000002</v>
      </c>
      <c r="J29" s="33">
        <f>46276632/1000000</f>
        <v>46.276631999999999</v>
      </c>
      <c r="K29" s="33">
        <f>52587642/1000000</f>
        <v>52.587642000000002</v>
      </c>
      <c r="L29" s="33">
        <f>27345978/1000000</f>
        <v>27.345977999999999</v>
      </c>
      <c r="M29" s="33">
        <f>52587642/1000000</f>
        <v>52.587642000000002</v>
      </c>
      <c r="N29" s="35">
        <f>3396.54/1000</f>
        <v>3.3965399999999999</v>
      </c>
      <c r="O29" s="33">
        <f>'NRPC data'!F98</f>
        <v>0.2274315000000004</v>
      </c>
      <c r="P29" s="34">
        <f>SUM(I29:O29)</f>
        <v>235.00950749999998</v>
      </c>
      <c r="Q29" s="52"/>
      <c r="R29" s="45">
        <f>MIN(H29,P29)</f>
        <v>235.00950749999998</v>
      </c>
      <c r="S29" s="36">
        <f t="shared" si="2"/>
        <v>235009.50749999998</v>
      </c>
      <c r="T29" s="94"/>
      <c r="U29" s="102"/>
      <c r="V29" s="102"/>
      <c r="W29" s="102"/>
      <c r="X29" s="119"/>
      <c r="Y29" s="99"/>
      <c r="AF29" s="7"/>
    </row>
    <row r="30" spans="2:32">
      <c r="B30" s="117"/>
      <c r="C30" s="70">
        <v>44866</v>
      </c>
      <c r="D30" s="71">
        <v>44895</v>
      </c>
      <c r="E30" s="77">
        <v>160.98658</v>
      </c>
      <c r="F30" s="72">
        <f>160.04721</f>
        <v>160.04721000000001</v>
      </c>
      <c r="G30" s="72">
        <f>(E30-F30)*1000</f>
        <v>939.36999999999671</v>
      </c>
      <c r="H30" s="76">
        <f t="shared" si="1"/>
        <v>140.63428366305001</v>
      </c>
      <c r="I30" s="74">
        <f>27182890/1000000</f>
        <v>27.18289</v>
      </c>
      <c r="J30" s="72">
        <f>30890127/1000000</f>
        <v>30.890127</v>
      </c>
      <c r="K30" s="72">
        <f>30890127/1000000</f>
        <v>30.890127</v>
      </c>
      <c r="L30" s="72">
        <f>16062680/1000000</f>
        <v>16.06268</v>
      </c>
      <c r="M30" s="72">
        <f>30890127/1000000</f>
        <v>30.890127</v>
      </c>
      <c r="N30" s="75">
        <f>3482.54/1000</f>
        <v>3.4825399999999997</v>
      </c>
      <c r="O30" s="72">
        <f>'NRPC data'!F129</f>
        <v>1.4147439999999973</v>
      </c>
      <c r="P30" s="76">
        <f>SUM(I30:O30)</f>
        <v>140.81323499999999</v>
      </c>
      <c r="Q30" s="52"/>
      <c r="R30" s="73">
        <f>MIN(H30,P30)*(1-0.2%)</f>
        <v>140.35301509572392</v>
      </c>
      <c r="S30" s="36">
        <f t="shared" si="2"/>
        <v>140353.01509572391</v>
      </c>
      <c r="T30" s="94"/>
      <c r="U30" s="102"/>
      <c r="V30" s="102"/>
      <c r="W30" s="102"/>
      <c r="X30" s="119"/>
      <c r="Y30" s="99"/>
    </row>
    <row r="31" spans="2:32">
      <c r="B31" s="117"/>
      <c r="C31" s="30">
        <v>44896</v>
      </c>
      <c r="D31" s="31">
        <v>44926</v>
      </c>
      <c r="E31" s="49">
        <v>122.54177</v>
      </c>
      <c r="F31" s="33">
        <v>121.67243999999999</v>
      </c>
      <c r="G31" s="33">
        <f>(E31-F31)*1000</f>
        <v>869.33000000000504</v>
      </c>
      <c r="H31" s="34">
        <f>F31*(1-0.121295)</f>
        <v>106.91418139019999</v>
      </c>
      <c r="I31" s="32">
        <f>23766990/1000000</f>
        <v>23.76699</v>
      </c>
      <c r="J31" s="33">
        <f>20914945/1000000</f>
        <v>20.914944999999999</v>
      </c>
      <c r="K31" s="33">
        <f>23766990/1000000</f>
        <v>23.76699</v>
      </c>
      <c r="L31" s="33">
        <f>12358917/1000000</f>
        <v>12.358917</v>
      </c>
      <c r="M31" s="33">
        <f>23766990/1000000</f>
        <v>23.76699</v>
      </c>
      <c r="N31" s="35">
        <f>1934.64/1000</f>
        <v>1.9346400000000001</v>
      </c>
      <c r="O31" s="33">
        <f>'NRPC data'!F161</f>
        <v>0.58348300000000108</v>
      </c>
      <c r="P31" s="34">
        <f>SUM(I31:O31)</f>
        <v>107.09295500000002</v>
      </c>
      <c r="Q31" s="52"/>
      <c r="R31" s="45">
        <f>MIN(H31,P31)</f>
        <v>106.91418139019999</v>
      </c>
      <c r="S31" s="36">
        <f t="shared" si="2"/>
        <v>106914.18139019998</v>
      </c>
      <c r="T31" s="94"/>
      <c r="U31" s="103"/>
      <c r="V31" s="103"/>
      <c r="W31" s="103"/>
      <c r="X31" s="120"/>
      <c r="Y31" s="100"/>
    </row>
    <row r="32" spans="2:32" s="43" customFormat="1" ht="15" thickBot="1">
      <c r="B32" s="114" t="s">
        <v>3</v>
      </c>
      <c r="C32" s="115"/>
      <c r="D32" s="116"/>
      <c r="E32" s="51">
        <f>SUM(E27:E31)</f>
        <v>1954.6226799999999</v>
      </c>
      <c r="F32" s="39">
        <f t="shared" ref="F32:H32" si="3">SUM(F27:F31)</f>
        <v>1942.18334</v>
      </c>
      <c r="G32" s="39">
        <f t="shared" si="3"/>
        <v>12439.339999999918</v>
      </c>
      <c r="H32" s="40">
        <f t="shared" si="3"/>
        <v>1706.6062117746997</v>
      </c>
      <c r="I32" s="38">
        <f>SUM(I27:I31)</f>
        <v>370.24456900000001</v>
      </c>
      <c r="J32" s="39">
        <f>SUM(J27:J31)</f>
        <v>332.78585900000002</v>
      </c>
      <c r="K32" s="39">
        <f t="shared" ref="K32:P32" si="4">SUM(K27:K31)</f>
        <v>373.95180600000003</v>
      </c>
      <c r="L32" s="39">
        <f t="shared" si="4"/>
        <v>194.45710099999999</v>
      </c>
      <c r="M32" s="39">
        <f t="shared" si="4"/>
        <v>373.95180600000003</v>
      </c>
      <c r="N32" s="39">
        <f t="shared" si="4"/>
        <v>46.701195000000006</v>
      </c>
      <c r="O32" s="39">
        <f t="shared" si="4"/>
        <v>3.8875287999999757</v>
      </c>
      <c r="P32" s="40">
        <f t="shared" si="4"/>
        <v>1695.9798648000001</v>
      </c>
      <c r="Q32" s="52"/>
      <c r="R32" s="46">
        <f t="shared" ref="R32:S32" si="5">SUM(R27:R31)</f>
        <v>1695.3408712859239</v>
      </c>
      <c r="S32" s="41">
        <f t="shared" si="5"/>
        <v>1695340.871285924</v>
      </c>
      <c r="T32" s="42">
        <f>T27</f>
        <v>1361528</v>
      </c>
      <c r="U32" s="42">
        <f t="shared" ref="U32:W32" si="6">U27</f>
        <v>0</v>
      </c>
      <c r="V32" s="42">
        <f t="shared" si="6"/>
        <v>0</v>
      </c>
      <c r="W32" s="42">
        <f t="shared" si="6"/>
        <v>1361528</v>
      </c>
      <c r="X32" s="47">
        <f>X27</f>
        <v>63</v>
      </c>
      <c r="Y32" s="47">
        <v>987</v>
      </c>
    </row>
    <row r="33" spans="2:10" ht="15" thickBot="1">
      <c r="C33" s="121" t="s">
        <v>49</v>
      </c>
      <c r="D33" s="122"/>
      <c r="E33" s="53">
        <f>E32*1000</f>
        <v>1954622.68</v>
      </c>
    </row>
    <row r="36" spans="2:10" ht="17.399999999999999" customHeight="1">
      <c r="B36" s="112"/>
      <c r="C36" s="113" t="s">
        <v>69</v>
      </c>
      <c r="D36" s="113"/>
      <c r="E36" s="113"/>
      <c r="F36" s="113"/>
      <c r="G36" s="113"/>
      <c r="H36" s="113"/>
      <c r="I36" s="113"/>
      <c r="J36" s="113"/>
    </row>
    <row r="37" spans="2:10">
      <c r="B37" s="112"/>
      <c r="C37" s="113"/>
      <c r="D37" s="113"/>
      <c r="E37" s="113"/>
      <c r="F37" s="113"/>
      <c r="G37" s="113"/>
      <c r="H37" s="113"/>
      <c r="I37" s="113"/>
      <c r="J37" s="113"/>
    </row>
  </sheetData>
  <mergeCells count="46">
    <mergeCell ref="B36:B37"/>
    <mergeCell ref="C36:J37"/>
    <mergeCell ref="B32:D32"/>
    <mergeCell ref="B27:B31"/>
    <mergeCell ref="X25:X26"/>
    <mergeCell ref="X27:X31"/>
    <mergeCell ref="C33:D33"/>
    <mergeCell ref="Y25:Y26"/>
    <mergeCell ref="Y27:Y31"/>
    <mergeCell ref="W25:W26"/>
    <mergeCell ref="W27:W31"/>
    <mergeCell ref="C25:D25"/>
    <mergeCell ref="E25:H25"/>
    <mergeCell ref="I25:P25"/>
    <mergeCell ref="V25:V26"/>
    <mergeCell ref="U27:U31"/>
    <mergeCell ref="V27:V31"/>
    <mergeCell ref="U25:U26"/>
    <mergeCell ref="E19:H19"/>
    <mergeCell ref="E20:H20"/>
    <mergeCell ref="E21:H21"/>
    <mergeCell ref="T25:T26"/>
    <mergeCell ref="T27:T31"/>
    <mergeCell ref="R25:R26"/>
    <mergeCell ref="S25:S26"/>
    <mergeCell ref="T24:W24"/>
    <mergeCell ref="E22:H22"/>
    <mergeCell ref="E14:H14"/>
    <mergeCell ref="E15:H15"/>
    <mergeCell ref="E16:H16"/>
    <mergeCell ref="E17:H17"/>
    <mergeCell ref="E18:H18"/>
    <mergeCell ref="G7:K7"/>
    <mergeCell ref="E4:F4"/>
    <mergeCell ref="E5:F5"/>
    <mergeCell ref="E6:F6"/>
    <mergeCell ref="E7:F7"/>
    <mergeCell ref="G4:K4"/>
    <mergeCell ref="G5:K5"/>
    <mergeCell ref="I6:K6"/>
    <mergeCell ref="E13:H13"/>
    <mergeCell ref="E8:F8"/>
    <mergeCell ref="E10:H10"/>
    <mergeCell ref="E11:H11"/>
    <mergeCell ref="E12:H12"/>
    <mergeCell ref="G8:K8"/>
  </mergeCells>
  <phoneticPr fontId="17" type="noConversion"/>
  <pageMargins left="0.7" right="0.7" top="0.75" bottom="0.75" header="0.3" footer="0.3"/>
  <pageSetup orientation="portrait" verticalDpi="0" r:id="rId1"/>
  <ignoredErrors>
    <ignoredError sqref="L27:L29 J27:J29 J31 R30 L30:L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H161"/>
  <sheetViews>
    <sheetView topLeftCell="B40" zoomScaleNormal="100" workbookViewId="0">
      <selection activeCell="G164" sqref="G164"/>
    </sheetView>
  </sheetViews>
  <sheetFormatPr defaultRowHeight="14.4"/>
  <cols>
    <col min="1" max="1" width="7.33203125" customWidth="1"/>
    <col min="3" max="3" width="11" customWidth="1"/>
    <col min="4" max="4" width="12.33203125" customWidth="1"/>
    <col min="5" max="5" width="13.5546875" customWidth="1"/>
    <col min="6" max="6" width="11.77734375" customWidth="1"/>
  </cols>
  <sheetData>
    <row r="2" spans="3:8" ht="22.2" customHeight="1"/>
    <row r="3" spans="3:8">
      <c r="C3" s="64" t="s">
        <v>17</v>
      </c>
      <c r="D3" s="64" t="s">
        <v>24</v>
      </c>
      <c r="E3" s="64" t="s">
        <v>18</v>
      </c>
      <c r="F3" s="65" t="s">
        <v>26</v>
      </c>
    </row>
    <row r="4" spans="3:8">
      <c r="C4" s="30">
        <v>44774</v>
      </c>
      <c r="D4" s="66">
        <v>272.55194999999998</v>
      </c>
      <c r="E4" s="66">
        <v>272.13751999999999</v>
      </c>
      <c r="F4" s="67">
        <f>(E4-D4)/10</f>
        <v>-4.1442999999998162E-2</v>
      </c>
      <c r="G4" s="78"/>
      <c r="H4" t="s">
        <v>19</v>
      </c>
    </row>
    <row r="5" spans="3:8">
      <c r="C5" s="30">
        <v>44775</v>
      </c>
      <c r="D5" s="66">
        <v>272.54354999999998</v>
      </c>
      <c r="E5" s="66">
        <v>273.80137999999999</v>
      </c>
      <c r="F5" s="67">
        <f t="shared" ref="F5:F33" si="0">(E5-D5)/10</f>
        <v>0.12578300000000125</v>
      </c>
      <c r="G5" s="78"/>
      <c r="H5" s="1" t="s">
        <v>28</v>
      </c>
    </row>
    <row r="6" spans="3:8">
      <c r="C6" s="30">
        <v>44776</v>
      </c>
      <c r="D6" s="66">
        <v>272.54759999999999</v>
      </c>
      <c r="E6" s="66">
        <v>273.46123999999998</v>
      </c>
      <c r="F6" s="67">
        <f t="shared" si="0"/>
        <v>9.1363999999998668E-2</v>
      </c>
      <c r="G6" s="78"/>
      <c r="H6" t="s">
        <v>29</v>
      </c>
    </row>
    <row r="7" spans="3:8">
      <c r="C7" s="30">
        <v>44777</v>
      </c>
      <c r="D7" s="66">
        <v>272.55180000000001</v>
      </c>
      <c r="E7" s="66">
        <v>273.47716000000003</v>
      </c>
      <c r="F7" s="67">
        <f t="shared" si="0"/>
        <v>9.2536000000001201E-2</v>
      </c>
      <c r="G7" s="78"/>
    </row>
    <row r="8" spans="3:8">
      <c r="C8" s="30">
        <v>44778</v>
      </c>
      <c r="D8" s="66">
        <v>272.55165</v>
      </c>
      <c r="E8" s="66">
        <v>272.95177999999999</v>
      </c>
      <c r="F8" s="67">
        <f t="shared" si="0"/>
        <v>4.0012999999999008E-2</v>
      </c>
      <c r="G8" s="78"/>
    </row>
    <row r="9" spans="3:8">
      <c r="C9" s="30">
        <v>44779</v>
      </c>
      <c r="D9" s="66">
        <v>272.55180000000001</v>
      </c>
      <c r="E9" s="66">
        <v>272.84902</v>
      </c>
      <c r="F9" s="67">
        <f t="shared" si="0"/>
        <v>2.972199999999816E-2</v>
      </c>
      <c r="G9" s="78"/>
    </row>
    <row r="10" spans="3:8">
      <c r="C10" s="30">
        <v>44780</v>
      </c>
      <c r="D10" s="66">
        <v>272.54160000000002</v>
      </c>
      <c r="E10" s="66">
        <v>272.42007000000001</v>
      </c>
      <c r="F10" s="67">
        <f t="shared" si="0"/>
        <v>-1.2153000000000701E-2</v>
      </c>
      <c r="G10" s="78"/>
    </row>
    <row r="11" spans="3:8">
      <c r="C11" s="30">
        <v>44781</v>
      </c>
      <c r="D11" s="66">
        <v>272.54475000000002</v>
      </c>
      <c r="E11" s="66">
        <v>272.64654999999999</v>
      </c>
      <c r="F11" s="67">
        <f t="shared" si="0"/>
        <v>1.0179999999996881E-2</v>
      </c>
      <c r="G11" s="78"/>
    </row>
    <row r="12" spans="3:8">
      <c r="C12" s="30">
        <v>44782</v>
      </c>
      <c r="D12" s="66">
        <v>180.38398000000001</v>
      </c>
      <c r="E12" s="66">
        <v>173.31295</v>
      </c>
      <c r="F12" s="67">
        <f t="shared" si="0"/>
        <v>-0.7071030000000007</v>
      </c>
      <c r="G12" s="78"/>
    </row>
    <row r="13" spans="3:8">
      <c r="C13" s="30">
        <v>44783</v>
      </c>
      <c r="D13" s="66">
        <v>130.26718</v>
      </c>
      <c r="E13" s="66">
        <v>127.27592</v>
      </c>
      <c r="F13" s="67">
        <f t="shared" si="0"/>
        <v>-0.29912599999999967</v>
      </c>
      <c r="G13" s="78"/>
    </row>
    <row r="14" spans="3:8">
      <c r="C14" s="30">
        <v>44784</v>
      </c>
      <c r="D14" s="66">
        <v>271.89210000000003</v>
      </c>
      <c r="E14" s="66">
        <v>271.62610999999998</v>
      </c>
      <c r="F14" s="67">
        <f t="shared" si="0"/>
        <v>-2.659900000000448E-2</v>
      </c>
      <c r="G14" s="78"/>
    </row>
    <row r="15" spans="3:8">
      <c r="C15" s="30">
        <v>44785</v>
      </c>
      <c r="D15" s="66">
        <v>256.60701999999998</v>
      </c>
      <c r="E15" s="66">
        <v>255.38575</v>
      </c>
      <c r="F15" s="67">
        <f t="shared" si="0"/>
        <v>-0.12212699999999757</v>
      </c>
      <c r="G15" s="78"/>
    </row>
    <row r="16" spans="3:8">
      <c r="C16" s="30">
        <v>44786</v>
      </c>
      <c r="D16" s="66">
        <v>272.54160000000002</v>
      </c>
      <c r="E16" s="66">
        <v>273.95868999999999</v>
      </c>
      <c r="F16" s="67">
        <f t="shared" si="0"/>
        <v>0.14170899999999734</v>
      </c>
      <c r="G16" s="78"/>
    </row>
    <row r="17" spans="3:7">
      <c r="C17" s="30">
        <v>44787</v>
      </c>
      <c r="D17" s="66">
        <v>272.54160000000002</v>
      </c>
      <c r="E17" s="66">
        <v>272.72618</v>
      </c>
      <c r="F17" s="67">
        <f t="shared" si="0"/>
        <v>1.8457999999998264E-2</v>
      </c>
      <c r="G17" s="78"/>
    </row>
    <row r="18" spans="3:7">
      <c r="C18" s="30">
        <v>44788</v>
      </c>
      <c r="D18" s="66">
        <v>272.54160000000002</v>
      </c>
      <c r="E18" s="66">
        <v>270.00261999999998</v>
      </c>
      <c r="F18" s="67">
        <f t="shared" si="0"/>
        <v>-0.25389800000000379</v>
      </c>
      <c r="G18" s="78"/>
    </row>
    <row r="19" spans="3:7">
      <c r="C19" s="30">
        <v>44789</v>
      </c>
      <c r="D19" s="66">
        <v>272.54160000000002</v>
      </c>
      <c r="E19" s="66">
        <v>271.74502000000001</v>
      </c>
      <c r="F19" s="67">
        <f t="shared" si="0"/>
        <v>-7.9658000000000589E-2</v>
      </c>
      <c r="G19" s="78"/>
    </row>
    <row r="20" spans="3:7">
      <c r="C20" s="30">
        <v>44790</v>
      </c>
      <c r="D20" s="66">
        <v>272.54160000000002</v>
      </c>
      <c r="E20" s="66">
        <v>274.03134999999997</v>
      </c>
      <c r="F20" s="67">
        <f t="shared" si="0"/>
        <v>0.14897499999999581</v>
      </c>
      <c r="G20" s="78"/>
    </row>
    <row r="21" spans="3:7">
      <c r="C21" s="30">
        <v>44791</v>
      </c>
      <c r="D21" s="66">
        <v>272.54160000000002</v>
      </c>
      <c r="E21" s="66">
        <v>273.01920000000001</v>
      </c>
      <c r="F21" s="67">
        <f t="shared" si="0"/>
        <v>4.7759999999999539E-2</v>
      </c>
      <c r="G21" s="78"/>
    </row>
    <row r="22" spans="3:7">
      <c r="C22" s="30">
        <v>44792</v>
      </c>
      <c r="D22" s="66">
        <v>272.54160000000002</v>
      </c>
      <c r="E22" s="66">
        <v>271.49149</v>
      </c>
      <c r="F22" s="67">
        <f t="shared" si="0"/>
        <v>-0.10501100000000178</v>
      </c>
      <c r="G22" s="78"/>
    </row>
    <row r="23" spans="3:7">
      <c r="C23" s="30">
        <v>44793</v>
      </c>
      <c r="D23" s="66">
        <v>272.54160000000002</v>
      </c>
      <c r="E23" s="66">
        <v>273.54588999999999</v>
      </c>
      <c r="F23" s="67">
        <f t="shared" si="0"/>
        <v>0.10042899999999691</v>
      </c>
      <c r="G23" s="78"/>
    </row>
    <row r="24" spans="3:7">
      <c r="C24" s="30">
        <v>44794</v>
      </c>
      <c r="D24" s="66">
        <v>272.54160000000002</v>
      </c>
      <c r="E24" s="66">
        <v>272.79207000000002</v>
      </c>
      <c r="F24" s="67">
        <f t="shared" si="0"/>
        <v>2.5047000000000708E-2</v>
      </c>
      <c r="G24" s="78"/>
    </row>
    <row r="25" spans="3:7">
      <c r="C25" s="30">
        <v>44795</v>
      </c>
      <c r="D25" s="66">
        <v>268.23095000000001</v>
      </c>
      <c r="E25" s="66">
        <v>268.40138000000002</v>
      </c>
      <c r="F25" s="67">
        <f t="shared" si="0"/>
        <v>1.704300000000103E-2</v>
      </c>
      <c r="G25" s="78"/>
    </row>
    <row r="26" spans="3:7">
      <c r="C26" s="30">
        <v>44796</v>
      </c>
      <c r="D26" s="66">
        <v>72.170850000000002</v>
      </c>
      <c r="E26" s="66">
        <v>67.138040000000004</v>
      </c>
      <c r="F26" s="67">
        <f t="shared" si="0"/>
        <v>-0.50328099999999976</v>
      </c>
      <c r="G26" s="78"/>
    </row>
    <row r="27" spans="3:7">
      <c r="C27" s="30">
        <v>44797</v>
      </c>
      <c r="D27" s="66">
        <v>204.07159999999999</v>
      </c>
      <c r="E27" s="66">
        <v>206.28588999999999</v>
      </c>
      <c r="F27" s="67">
        <f t="shared" si="0"/>
        <v>0.22142900000000054</v>
      </c>
      <c r="G27" s="78"/>
    </row>
    <row r="28" spans="3:7">
      <c r="C28" s="30">
        <v>44798</v>
      </c>
      <c r="D28" s="66">
        <v>208.60155</v>
      </c>
      <c r="E28" s="66">
        <v>210.00109</v>
      </c>
      <c r="F28" s="67">
        <f t="shared" si="0"/>
        <v>0.13995400000000019</v>
      </c>
      <c r="G28" s="78"/>
    </row>
    <row r="29" spans="3:7">
      <c r="C29" s="30">
        <v>44799</v>
      </c>
      <c r="D29" s="66">
        <v>259.99299999999999</v>
      </c>
      <c r="E29" s="66">
        <v>267.07985000000002</v>
      </c>
      <c r="F29" s="67">
        <f t="shared" si="0"/>
        <v>0.70868500000000267</v>
      </c>
      <c r="G29" s="78"/>
    </row>
    <row r="30" spans="3:7">
      <c r="C30" s="30">
        <v>44800</v>
      </c>
      <c r="D30" s="66">
        <v>272.54320000000001</v>
      </c>
      <c r="E30" s="66">
        <v>274.28814</v>
      </c>
      <c r="F30" s="67">
        <f t="shared" si="0"/>
        <v>0.17449399999999854</v>
      </c>
      <c r="G30" s="78"/>
    </row>
    <row r="31" spans="3:7">
      <c r="C31" s="30">
        <v>44801</v>
      </c>
      <c r="D31" s="66">
        <v>272.32909999999998</v>
      </c>
      <c r="E31" s="66">
        <v>274.27112</v>
      </c>
      <c r="F31" s="67">
        <f t="shared" si="0"/>
        <v>0.19420200000000137</v>
      </c>
      <c r="G31" s="78"/>
    </row>
    <row r="32" spans="3:7">
      <c r="C32" s="30">
        <v>44802</v>
      </c>
      <c r="D32" s="66">
        <v>272.54160000000002</v>
      </c>
      <c r="E32" s="66">
        <v>274.69898000000001</v>
      </c>
      <c r="F32" s="67">
        <f t="shared" si="0"/>
        <v>0.21573799999999893</v>
      </c>
      <c r="G32" s="78"/>
    </row>
    <row r="33" spans="3:7">
      <c r="C33" s="30">
        <v>44803</v>
      </c>
      <c r="D33" s="66">
        <v>272.54160000000002</v>
      </c>
      <c r="E33" s="66">
        <v>274.39549</v>
      </c>
      <c r="F33" s="67">
        <f t="shared" si="0"/>
        <v>0.18538899999999786</v>
      </c>
      <c r="G33" s="78"/>
    </row>
    <row r="34" spans="3:7">
      <c r="C34" s="30">
        <v>44804</v>
      </c>
      <c r="D34" s="66">
        <v>272.54160000000002</v>
      </c>
      <c r="E34" s="66">
        <v>274.74741</v>
      </c>
      <c r="F34" s="67">
        <f>(E34-D34)/10</f>
        <v>0.22058099999999853</v>
      </c>
      <c r="G34" s="78"/>
    </row>
    <row r="35" spans="3:7">
      <c r="C35" s="68" t="s">
        <v>3</v>
      </c>
      <c r="D35" s="69">
        <f>SUM(D4:D34)/10</f>
        <v>784.79744300000038</v>
      </c>
      <c r="E35" s="69">
        <f>SUM(E4:E34)/10</f>
        <v>785.59653500000013</v>
      </c>
      <c r="F35" s="69">
        <f t="shared" ref="F35" si="1">SUM(F4:F34)</f>
        <v>0.79909199999997615</v>
      </c>
      <c r="G35" s="79"/>
    </row>
    <row r="36" spans="3:7">
      <c r="C36" s="30">
        <v>44805</v>
      </c>
      <c r="D36" s="66">
        <v>272.55</v>
      </c>
      <c r="E36" s="66">
        <v>274.77273000000002</v>
      </c>
      <c r="F36" s="67">
        <f>(E36-D36)/10</f>
        <v>0.22227300000000128</v>
      </c>
    </row>
    <row r="37" spans="3:7">
      <c r="C37" s="30">
        <v>44806</v>
      </c>
      <c r="D37" s="66">
        <v>272.54160000000002</v>
      </c>
      <c r="E37" s="66">
        <v>274.56851</v>
      </c>
      <c r="F37" s="67">
        <f t="shared" ref="F37:F100" si="2">(E37-D37)/10</f>
        <v>0.20269099999999868</v>
      </c>
    </row>
    <row r="38" spans="3:7">
      <c r="C38" s="30">
        <v>44807</v>
      </c>
      <c r="D38" s="66">
        <v>272.54259999999999</v>
      </c>
      <c r="E38" s="66">
        <v>274.24471999999997</v>
      </c>
      <c r="F38" s="67">
        <f t="shared" si="2"/>
        <v>0.17021199999999795</v>
      </c>
    </row>
    <row r="39" spans="3:7">
      <c r="C39" s="30">
        <v>44808</v>
      </c>
      <c r="D39" s="66">
        <v>272.54741999999999</v>
      </c>
      <c r="E39" s="66">
        <v>271.09091000000001</v>
      </c>
      <c r="F39" s="67">
        <f t="shared" si="2"/>
        <v>-0.14565099999999803</v>
      </c>
    </row>
    <row r="40" spans="3:7">
      <c r="C40" s="30">
        <v>44809</v>
      </c>
      <c r="D40" s="66">
        <v>245.35332</v>
      </c>
      <c r="E40" s="66">
        <v>244.97650999999999</v>
      </c>
      <c r="F40" s="67">
        <f t="shared" si="2"/>
        <v>-3.768100000000061E-2</v>
      </c>
    </row>
    <row r="41" spans="3:7">
      <c r="C41" s="30">
        <v>44810</v>
      </c>
      <c r="D41" s="66">
        <v>234.05015</v>
      </c>
      <c r="E41" s="66">
        <v>235.06276</v>
      </c>
      <c r="F41" s="67">
        <f t="shared" si="2"/>
        <v>0.10126099999999952</v>
      </c>
    </row>
    <row r="42" spans="3:7">
      <c r="C42" s="30">
        <v>44811</v>
      </c>
      <c r="D42" s="66">
        <v>232.37567999999999</v>
      </c>
      <c r="E42" s="66">
        <v>233.59112999999999</v>
      </c>
      <c r="F42" s="67">
        <f t="shared" si="2"/>
        <v>0.12154500000000042</v>
      </c>
    </row>
    <row r="43" spans="3:7">
      <c r="C43" s="30">
        <v>44812</v>
      </c>
      <c r="D43" s="66">
        <v>222.26588000000001</v>
      </c>
      <c r="E43" s="66">
        <v>231.23498000000001</v>
      </c>
      <c r="F43" s="67">
        <f t="shared" si="2"/>
        <v>0.89690999999999976</v>
      </c>
    </row>
    <row r="44" spans="3:7">
      <c r="C44" s="30">
        <v>44813</v>
      </c>
      <c r="D44" s="66">
        <v>232.34105</v>
      </c>
      <c r="E44" s="66">
        <v>241.18473</v>
      </c>
      <c r="F44" s="67">
        <f t="shared" si="2"/>
        <v>0.8843680000000006</v>
      </c>
    </row>
    <row r="45" spans="3:7">
      <c r="C45" s="30">
        <v>44814</v>
      </c>
      <c r="D45" s="66">
        <v>240.1833</v>
      </c>
      <c r="E45" s="66">
        <v>249.36873</v>
      </c>
      <c r="F45" s="67">
        <f t="shared" si="2"/>
        <v>0.91854299999999967</v>
      </c>
    </row>
    <row r="46" spans="3:7">
      <c r="C46" s="30">
        <v>44815</v>
      </c>
      <c r="D46" s="66">
        <v>239.44954999999999</v>
      </c>
      <c r="E46" s="66">
        <v>241.32021</v>
      </c>
      <c r="F46" s="67">
        <f t="shared" si="2"/>
        <v>0.18706600000000151</v>
      </c>
    </row>
    <row r="47" spans="3:7">
      <c r="C47" s="30">
        <v>44816</v>
      </c>
      <c r="D47" s="66">
        <v>232.37052</v>
      </c>
      <c r="E47" s="66">
        <v>233.2944</v>
      </c>
      <c r="F47" s="67">
        <f t="shared" si="2"/>
        <v>9.2387999999999693E-2</v>
      </c>
    </row>
    <row r="48" spans="3:7">
      <c r="C48" s="30">
        <v>44817</v>
      </c>
      <c r="D48" s="66">
        <v>213.62870000000001</v>
      </c>
      <c r="E48" s="66">
        <v>212.74277000000001</v>
      </c>
      <c r="F48" s="67">
        <f t="shared" si="2"/>
        <v>-8.8593000000000185E-2</v>
      </c>
    </row>
    <row r="49" spans="3:6">
      <c r="C49" s="30">
        <v>44818</v>
      </c>
      <c r="D49" s="66">
        <v>211.90465</v>
      </c>
      <c r="E49" s="66">
        <v>214.52422000000001</v>
      </c>
      <c r="F49" s="67">
        <f t="shared" si="2"/>
        <v>0.26195700000000099</v>
      </c>
    </row>
    <row r="50" spans="3:6">
      <c r="C50" s="30">
        <v>44819</v>
      </c>
      <c r="D50" s="66">
        <v>194.72139999999999</v>
      </c>
      <c r="E50" s="66">
        <v>194.61447999999999</v>
      </c>
      <c r="F50" s="67">
        <f t="shared" si="2"/>
        <v>-1.0692000000000234E-2</v>
      </c>
    </row>
    <row r="51" spans="3:6">
      <c r="C51" s="30">
        <v>44820</v>
      </c>
      <c r="D51" s="66">
        <v>180.19211999999999</v>
      </c>
      <c r="E51" s="66">
        <v>178.26830000000001</v>
      </c>
      <c r="F51" s="67">
        <f t="shared" si="2"/>
        <v>-0.19238199999999778</v>
      </c>
    </row>
    <row r="52" spans="3:6">
      <c r="C52" s="30">
        <v>44821</v>
      </c>
      <c r="D52" s="66">
        <v>177.82075</v>
      </c>
      <c r="E52" s="66">
        <v>178.22575000000001</v>
      </c>
      <c r="F52" s="67">
        <f t="shared" si="2"/>
        <v>4.0500000000000112E-2</v>
      </c>
    </row>
    <row r="53" spans="3:6">
      <c r="C53" s="30">
        <v>44822</v>
      </c>
      <c r="D53" s="66">
        <v>164.10964999999999</v>
      </c>
      <c r="E53" s="66">
        <v>167.59222</v>
      </c>
      <c r="F53" s="67">
        <f t="shared" si="2"/>
        <v>0.34825700000000098</v>
      </c>
    </row>
    <row r="54" spans="3:6">
      <c r="C54" s="30">
        <v>44823</v>
      </c>
      <c r="D54" s="66">
        <v>153.00128000000001</v>
      </c>
      <c r="E54" s="66">
        <v>156.99403000000001</v>
      </c>
      <c r="F54" s="67">
        <f t="shared" si="2"/>
        <v>0.3992750000000001</v>
      </c>
    </row>
    <row r="55" spans="3:6">
      <c r="C55" s="30">
        <v>44824</v>
      </c>
      <c r="D55" s="66">
        <v>151.62932000000001</v>
      </c>
      <c r="E55" s="66">
        <v>153.864</v>
      </c>
      <c r="F55" s="67">
        <f t="shared" si="2"/>
        <v>0.22346799999999972</v>
      </c>
    </row>
    <row r="56" spans="3:6">
      <c r="C56" s="30">
        <v>44825</v>
      </c>
      <c r="D56" s="66">
        <v>143.64175</v>
      </c>
      <c r="E56" s="66">
        <v>146.25599</v>
      </c>
      <c r="F56" s="67">
        <f t="shared" si="2"/>
        <v>0.26142399999999955</v>
      </c>
    </row>
    <row r="57" spans="3:6">
      <c r="C57" s="30">
        <v>44826</v>
      </c>
      <c r="D57" s="66">
        <v>153.87958</v>
      </c>
      <c r="E57" s="66">
        <v>159.38552000000001</v>
      </c>
      <c r="F57" s="67">
        <f t="shared" si="2"/>
        <v>0.55059400000000092</v>
      </c>
    </row>
    <row r="58" spans="3:6">
      <c r="C58" s="30">
        <v>44827</v>
      </c>
      <c r="D58" s="66">
        <v>167.38682</v>
      </c>
      <c r="E58" s="66">
        <v>171.11084</v>
      </c>
      <c r="F58" s="67">
        <f t="shared" si="2"/>
        <v>0.37240199999999957</v>
      </c>
    </row>
    <row r="59" spans="3:6">
      <c r="C59" s="30">
        <v>44828</v>
      </c>
      <c r="D59" s="66">
        <v>154.10998000000001</v>
      </c>
      <c r="E59" s="66">
        <v>159.46865</v>
      </c>
      <c r="F59" s="67">
        <f t="shared" si="2"/>
        <v>0.53586699999999898</v>
      </c>
    </row>
    <row r="60" spans="3:6">
      <c r="C60" s="30">
        <v>44829</v>
      </c>
      <c r="D60" s="66">
        <v>162.55511999999999</v>
      </c>
      <c r="E60" s="66">
        <v>174.47040000000001</v>
      </c>
      <c r="F60" s="67">
        <f t="shared" si="2"/>
        <v>1.1915280000000024</v>
      </c>
    </row>
    <row r="61" spans="3:6">
      <c r="C61" s="30">
        <v>44830</v>
      </c>
      <c r="D61" s="66">
        <v>180.36501999999999</v>
      </c>
      <c r="E61" s="66">
        <v>188.10458</v>
      </c>
      <c r="F61" s="67">
        <f t="shared" si="2"/>
        <v>0.7739560000000012</v>
      </c>
    </row>
    <row r="62" spans="3:6">
      <c r="C62" s="30">
        <v>44831</v>
      </c>
      <c r="D62" s="66">
        <v>163.60668000000001</v>
      </c>
      <c r="E62" s="66">
        <v>166.22771</v>
      </c>
      <c r="F62" s="67">
        <f t="shared" si="2"/>
        <v>0.26210299999999903</v>
      </c>
    </row>
    <row r="63" spans="3:6">
      <c r="C63" s="30">
        <v>44832</v>
      </c>
      <c r="D63" s="66">
        <v>154.10998000000001</v>
      </c>
      <c r="E63" s="66">
        <v>153.60306</v>
      </c>
      <c r="F63" s="67">
        <f t="shared" si="2"/>
        <v>-5.0692000000000806E-2</v>
      </c>
    </row>
    <row r="64" spans="3:6">
      <c r="C64" s="30">
        <v>44833</v>
      </c>
      <c r="D64" s="66">
        <v>141.68805</v>
      </c>
      <c r="E64" s="66">
        <v>141.41193000000001</v>
      </c>
      <c r="F64" s="67">
        <f t="shared" si="2"/>
        <v>-2.7611999999999172E-2</v>
      </c>
    </row>
    <row r="65" spans="3:7">
      <c r="C65" s="30">
        <v>44834</v>
      </c>
      <c r="D65" s="66">
        <v>129.38448</v>
      </c>
      <c r="E65" s="66">
        <v>131.00945999999999</v>
      </c>
      <c r="F65" s="67">
        <f t="shared" si="2"/>
        <v>0.16249799999999937</v>
      </c>
    </row>
    <row r="66" spans="3:7">
      <c r="C66" s="68" t="s">
        <v>3</v>
      </c>
      <c r="D66" s="69">
        <f>(SUM(D36:D65)/10)</f>
        <v>596.63063999999997</v>
      </c>
      <c r="E66" s="69">
        <f t="shared" ref="E66:F66" si="3">(SUM(E36:E65)/10)</f>
        <v>605.25842299999999</v>
      </c>
      <c r="F66" s="69">
        <f t="shared" si="3"/>
        <v>0.86277830000000066</v>
      </c>
      <c r="G66" s="67"/>
    </row>
    <row r="67" spans="3:7">
      <c r="C67" s="30">
        <v>44835</v>
      </c>
      <c r="D67" s="66">
        <v>122.2803</v>
      </c>
      <c r="E67" s="66">
        <v>123.252</v>
      </c>
      <c r="F67" s="67">
        <f t="shared" si="2"/>
        <v>9.716999999999984E-2</v>
      </c>
    </row>
    <row r="68" spans="3:7">
      <c r="C68" s="30">
        <v>44836</v>
      </c>
      <c r="D68" s="66">
        <v>121.08244999999999</v>
      </c>
      <c r="E68" s="66">
        <v>120.11542</v>
      </c>
      <c r="F68" s="67">
        <f t="shared" si="2"/>
        <v>-9.6702999999999401E-2</v>
      </c>
    </row>
    <row r="69" spans="3:7">
      <c r="C69" s="30">
        <v>44837</v>
      </c>
      <c r="D69" s="66">
        <v>115.208</v>
      </c>
      <c r="E69" s="66">
        <v>116.19534</v>
      </c>
      <c r="F69" s="67">
        <f t="shared" si="2"/>
        <v>9.8734000000000322E-2</v>
      </c>
    </row>
    <row r="70" spans="3:7">
      <c r="C70" s="30">
        <v>44838</v>
      </c>
      <c r="D70" s="66">
        <v>105.05995</v>
      </c>
      <c r="E70" s="66">
        <v>107.51608</v>
      </c>
      <c r="F70" s="67">
        <f t="shared" si="2"/>
        <v>0.24561300000000016</v>
      </c>
    </row>
    <row r="71" spans="3:7">
      <c r="C71" s="30">
        <v>44839</v>
      </c>
      <c r="D71" s="66">
        <v>101.9417</v>
      </c>
      <c r="E71" s="66">
        <v>104.01535</v>
      </c>
      <c r="F71" s="67">
        <f t="shared" si="2"/>
        <v>0.20736500000000008</v>
      </c>
    </row>
    <row r="72" spans="3:7">
      <c r="C72" s="30">
        <v>44840</v>
      </c>
      <c r="D72" s="66">
        <v>102.58925000000001</v>
      </c>
      <c r="E72" s="66">
        <v>105.90284</v>
      </c>
      <c r="F72" s="67">
        <f t="shared" si="2"/>
        <v>0.33135899999999907</v>
      </c>
    </row>
    <row r="73" spans="3:7">
      <c r="C73" s="30">
        <v>44841</v>
      </c>
      <c r="D73" s="66">
        <v>98.711100000000002</v>
      </c>
      <c r="E73" s="66">
        <v>100.97083000000001</v>
      </c>
      <c r="F73" s="67">
        <f t="shared" si="2"/>
        <v>0.22597300000000048</v>
      </c>
    </row>
    <row r="74" spans="3:7">
      <c r="C74" s="30">
        <v>44842</v>
      </c>
      <c r="D74" s="66">
        <v>98.711100000000002</v>
      </c>
      <c r="E74" s="66">
        <v>101.47964</v>
      </c>
      <c r="F74" s="67">
        <f t="shared" si="2"/>
        <v>0.27685400000000016</v>
      </c>
    </row>
    <row r="75" spans="3:7">
      <c r="C75" s="30">
        <v>44843</v>
      </c>
      <c r="D75" s="66">
        <v>93.654219999999995</v>
      </c>
      <c r="E75" s="66">
        <v>95.302030000000002</v>
      </c>
      <c r="F75" s="67">
        <f t="shared" si="2"/>
        <v>0.16478100000000068</v>
      </c>
    </row>
    <row r="76" spans="3:7">
      <c r="C76" s="30">
        <v>44844</v>
      </c>
      <c r="D76" s="66">
        <v>96.531400000000005</v>
      </c>
      <c r="E76" s="66">
        <v>98.308139999999995</v>
      </c>
      <c r="F76" s="67">
        <f t="shared" si="2"/>
        <v>0.17767399999999894</v>
      </c>
    </row>
    <row r="77" spans="3:7">
      <c r="C77" s="30">
        <v>44845</v>
      </c>
      <c r="D77" s="66">
        <v>94.83972</v>
      </c>
      <c r="E77" s="66">
        <v>96.023780000000002</v>
      </c>
      <c r="F77" s="67">
        <f t="shared" si="2"/>
        <v>0.11840600000000023</v>
      </c>
    </row>
    <row r="78" spans="3:7">
      <c r="C78" s="30">
        <v>44846</v>
      </c>
      <c r="D78" s="66">
        <v>95.34545</v>
      </c>
      <c r="E78" s="66">
        <v>95.871700000000004</v>
      </c>
      <c r="F78" s="67">
        <f t="shared" si="2"/>
        <v>5.2625000000000456E-2</v>
      </c>
    </row>
    <row r="79" spans="3:7">
      <c r="C79" s="30">
        <v>44847</v>
      </c>
      <c r="D79" s="66">
        <v>93.096180000000004</v>
      </c>
      <c r="E79" s="66">
        <v>93.834109999999995</v>
      </c>
      <c r="F79" s="67">
        <f t="shared" si="2"/>
        <v>7.3792999999999151E-2</v>
      </c>
    </row>
    <row r="80" spans="3:7">
      <c r="C80" s="30">
        <v>44848</v>
      </c>
      <c r="D80" s="66">
        <v>88.596000000000004</v>
      </c>
      <c r="E80" s="66">
        <v>87.077240000000003</v>
      </c>
      <c r="F80" s="67">
        <f t="shared" si="2"/>
        <v>-0.15187600000000004</v>
      </c>
    </row>
    <row r="81" spans="3:6">
      <c r="C81" s="30">
        <v>44849</v>
      </c>
      <c r="D81" s="66">
        <v>88.478049999999996</v>
      </c>
      <c r="E81" s="66">
        <v>87.811629999999994</v>
      </c>
      <c r="F81" s="67">
        <f t="shared" si="2"/>
        <v>-6.6642000000000229E-2</v>
      </c>
    </row>
    <row r="82" spans="3:6">
      <c r="C82" s="30">
        <v>44850</v>
      </c>
      <c r="D82" s="66">
        <v>84.166399999999996</v>
      </c>
      <c r="E82" s="66">
        <v>83.922110000000004</v>
      </c>
      <c r="F82" s="67">
        <f t="shared" si="2"/>
        <v>-2.4428999999999236E-2</v>
      </c>
    </row>
    <row r="83" spans="3:6">
      <c r="C83" s="30">
        <v>44851</v>
      </c>
      <c r="D83" s="66">
        <v>81.479320000000001</v>
      </c>
      <c r="E83" s="66">
        <v>81.721090000000004</v>
      </c>
      <c r="F83" s="67">
        <f t="shared" si="2"/>
        <v>2.4177000000000247E-2</v>
      </c>
    </row>
    <row r="84" spans="3:6">
      <c r="C84" s="30">
        <v>44852</v>
      </c>
      <c r="D84" s="66">
        <v>81.792379999999994</v>
      </c>
      <c r="E84" s="66">
        <v>81.519279999999995</v>
      </c>
      <c r="F84" s="67">
        <f t="shared" si="2"/>
        <v>-2.7309999999999945E-2</v>
      </c>
    </row>
    <row r="85" spans="3:6">
      <c r="C85" s="30">
        <v>44853</v>
      </c>
      <c r="D85" s="66">
        <v>78.017579999999995</v>
      </c>
      <c r="E85" s="66">
        <v>77.846180000000004</v>
      </c>
      <c r="F85" s="67">
        <f t="shared" si="2"/>
        <v>-1.7139999999999135E-2</v>
      </c>
    </row>
    <row r="86" spans="3:6">
      <c r="C86" s="30">
        <v>44854</v>
      </c>
      <c r="D86" s="66">
        <v>75.861249999999998</v>
      </c>
      <c r="E86" s="66">
        <v>75.999499999999998</v>
      </c>
      <c r="F86" s="67">
        <f t="shared" si="2"/>
        <v>1.3824999999999931E-2</v>
      </c>
    </row>
    <row r="87" spans="3:6">
      <c r="C87" s="30">
        <v>44855</v>
      </c>
      <c r="D87" s="66">
        <v>73.459680000000006</v>
      </c>
      <c r="E87" s="66">
        <v>75.088149999999999</v>
      </c>
      <c r="F87" s="67">
        <f t="shared" si="2"/>
        <v>0.1628469999999993</v>
      </c>
    </row>
    <row r="88" spans="3:6">
      <c r="C88" s="30">
        <v>44856</v>
      </c>
      <c r="D88" s="66">
        <v>72.306219999999996</v>
      </c>
      <c r="E88" s="66">
        <v>72.683130000000006</v>
      </c>
      <c r="F88" s="67">
        <f t="shared" si="2"/>
        <v>3.7691000000000939E-2</v>
      </c>
    </row>
    <row r="89" spans="3:6">
      <c r="C89" s="30">
        <v>44857</v>
      </c>
      <c r="D89" s="66">
        <v>72.43038</v>
      </c>
      <c r="E89" s="66">
        <v>73.127350000000007</v>
      </c>
      <c r="F89" s="67">
        <f t="shared" si="2"/>
        <v>6.9697000000000744E-2</v>
      </c>
    </row>
    <row r="90" spans="3:6">
      <c r="C90" s="30">
        <v>44858</v>
      </c>
      <c r="D90" s="66">
        <v>71.120779999999996</v>
      </c>
      <c r="E90" s="66">
        <v>69.548069999999996</v>
      </c>
      <c r="F90" s="67">
        <f t="shared" si="2"/>
        <v>-0.15727100000000008</v>
      </c>
    </row>
    <row r="91" spans="3:6">
      <c r="C91" s="30">
        <v>44859</v>
      </c>
      <c r="D91" s="66">
        <v>72.950699999999998</v>
      </c>
      <c r="E91" s="66">
        <v>70.529020000000003</v>
      </c>
      <c r="F91" s="67">
        <f t="shared" si="2"/>
        <v>-0.24216799999999949</v>
      </c>
    </row>
    <row r="92" spans="3:6">
      <c r="C92" s="30">
        <v>44860</v>
      </c>
      <c r="D92" s="66">
        <v>70.548019999999994</v>
      </c>
      <c r="E92" s="66">
        <v>69.860290000000006</v>
      </c>
      <c r="F92" s="67">
        <f t="shared" si="2"/>
        <v>-6.877299999999878E-2</v>
      </c>
    </row>
    <row r="93" spans="3:6">
      <c r="C93" s="30">
        <v>44861</v>
      </c>
      <c r="D93" s="66">
        <v>68.718779999999995</v>
      </c>
      <c r="E93" s="66">
        <v>68.590689999999995</v>
      </c>
      <c r="F93" s="67">
        <f t="shared" si="2"/>
        <v>-1.2809000000000025E-2</v>
      </c>
    </row>
    <row r="94" spans="3:6">
      <c r="C94" s="30">
        <v>44862</v>
      </c>
      <c r="D94" s="66">
        <v>65.051919999999996</v>
      </c>
      <c r="E94" s="66">
        <v>65.453239999999994</v>
      </c>
      <c r="F94" s="67">
        <f t="shared" si="2"/>
        <v>4.0131999999999834E-2</v>
      </c>
    </row>
    <row r="95" spans="3:6">
      <c r="C95" s="30">
        <v>44863</v>
      </c>
      <c r="D95" s="66">
        <v>63.507779999999997</v>
      </c>
      <c r="E95" s="66">
        <v>66.05368</v>
      </c>
      <c r="F95" s="67">
        <f t="shared" si="2"/>
        <v>0.25459000000000032</v>
      </c>
    </row>
    <row r="96" spans="3:6">
      <c r="C96" s="30">
        <v>44864</v>
      </c>
      <c r="D96" s="66">
        <v>62.520180000000003</v>
      </c>
      <c r="E96" s="66">
        <v>64.88749</v>
      </c>
      <c r="F96" s="67">
        <f t="shared" si="2"/>
        <v>0.23673099999999964</v>
      </c>
    </row>
    <row r="97" spans="3:7">
      <c r="C97" s="30">
        <v>44865</v>
      </c>
      <c r="D97" s="66">
        <v>61.63655</v>
      </c>
      <c r="E97" s="66">
        <v>63.930540000000001</v>
      </c>
      <c r="F97" s="67">
        <f t="shared" si="2"/>
        <v>0.22939900000000008</v>
      </c>
    </row>
    <row r="98" spans="3:7">
      <c r="C98" s="68" t="s">
        <v>3</v>
      </c>
      <c r="D98" s="69">
        <f>(SUM(D67:D97)/10)</f>
        <v>267.16927900000002</v>
      </c>
      <c r="E98" s="69">
        <f t="shared" ref="E98:F98" si="4">(SUM(E67:E97)/10)</f>
        <v>269.44359399999996</v>
      </c>
      <c r="F98" s="69">
        <f t="shared" si="4"/>
        <v>0.2274315000000004</v>
      </c>
      <c r="G98" s="67"/>
    </row>
    <row r="99" spans="3:7">
      <c r="C99" s="30">
        <v>44866</v>
      </c>
      <c r="D99" s="66">
        <v>61.63935</v>
      </c>
      <c r="E99" s="66">
        <v>63.082909999999998</v>
      </c>
      <c r="F99" s="67">
        <f t="shared" si="2"/>
        <v>0.14435599999999979</v>
      </c>
    </row>
    <row r="100" spans="3:7">
      <c r="C100" s="30">
        <v>44867</v>
      </c>
      <c r="D100" s="66">
        <v>60.456449999999997</v>
      </c>
      <c r="E100" s="66">
        <v>61.946840000000002</v>
      </c>
      <c r="F100" s="67">
        <f t="shared" si="2"/>
        <v>0.1490390000000005</v>
      </c>
    </row>
    <row r="101" spans="3:7">
      <c r="C101" s="30">
        <v>44868</v>
      </c>
      <c r="D101" s="66">
        <v>60.455550000000002</v>
      </c>
      <c r="E101" s="66">
        <v>61.121009999999998</v>
      </c>
      <c r="F101" s="67">
        <f t="shared" ref="F101:F160" si="5">(E101-D101)/10</f>
        <v>6.6545999999999592E-2</v>
      </c>
    </row>
    <row r="102" spans="3:7">
      <c r="C102" s="30">
        <v>44869</v>
      </c>
      <c r="D102" s="66">
        <v>60.455550000000002</v>
      </c>
      <c r="E102" s="66">
        <v>60.892359999999996</v>
      </c>
      <c r="F102" s="67">
        <f t="shared" si="5"/>
        <v>4.3680999999999415E-2</v>
      </c>
    </row>
    <row r="103" spans="3:7">
      <c r="C103" s="30">
        <v>44870</v>
      </c>
      <c r="D103" s="66">
        <v>60.455550000000002</v>
      </c>
      <c r="E103" s="66">
        <v>61.754829999999998</v>
      </c>
      <c r="F103" s="67">
        <f t="shared" si="5"/>
        <v>0.1299279999999996</v>
      </c>
    </row>
    <row r="104" spans="3:7">
      <c r="C104" s="30">
        <v>44871</v>
      </c>
      <c r="D104" s="66">
        <v>60.456699999999998</v>
      </c>
      <c r="E104" s="66">
        <v>60.210320000000003</v>
      </c>
      <c r="F104" s="67">
        <f t="shared" si="5"/>
        <v>-2.4637999999999494E-2</v>
      </c>
    </row>
    <row r="105" spans="3:7">
      <c r="C105" s="30">
        <v>44872</v>
      </c>
      <c r="D105" s="66">
        <v>59.271549999999998</v>
      </c>
      <c r="E105" s="66">
        <v>59.52131</v>
      </c>
      <c r="F105" s="67">
        <f t="shared" si="5"/>
        <v>2.4976000000000199E-2</v>
      </c>
    </row>
    <row r="106" spans="3:7">
      <c r="C106" s="30">
        <v>44873</v>
      </c>
      <c r="D106" s="66">
        <v>56.733600000000003</v>
      </c>
      <c r="E106" s="66">
        <v>56.611640000000001</v>
      </c>
      <c r="F106" s="67">
        <f t="shared" si="5"/>
        <v>-1.2196000000000141E-2</v>
      </c>
    </row>
    <row r="107" spans="3:7">
      <c r="C107" s="30">
        <v>44874</v>
      </c>
      <c r="D107" s="66">
        <v>56.901420000000002</v>
      </c>
      <c r="E107" s="66">
        <v>56.36683</v>
      </c>
      <c r="F107" s="67">
        <f t="shared" si="5"/>
        <v>-5.3459000000000145E-2</v>
      </c>
    </row>
    <row r="108" spans="3:7">
      <c r="C108" s="30">
        <v>44875</v>
      </c>
      <c r="D108" s="66">
        <v>52.160600000000002</v>
      </c>
      <c r="E108" s="66">
        <v>53.867559999999997</v>
      </c>
      <c r="F108" s="67">
        <f t="shared" si="5"/>
        <v>0.17069599999999951</v>
      </c>
    </row>
    <row r="109" spans="3:7">
      <c r="C109" s="30">
        <v>44876</v>
      </c>
      <c r="D109" s="66">
        <v>53.864199999999997</v>
      </c>
      <c r="E109" s="66">
        <v>54.549169999999997</v>
      </c>
      <c r="F109" s="67">
        <f t="shared" si="5"/>
        <v>6.8496999999999988E-2</v>
      </c>
    </row>
    <row r="110" spans="3:7">
      <c r="C110" s="30">
        <v>44877</v>
      </c>
      <c r="D110" s="66">
        <v>53.865200000000002</v>
      </c>
      <c r="E110" s="66">
        <v>54.603720000000003</v>
      </c>
      <c r="F110" s="67">
        <f t="shared" si="5"/>
        <v>7.3852000000000112E-2</v>
      </c>
    </row>
    <row r="111" spans="3:7">
      <c r="C111" s="30">
        <v>44878</v>
      </c>
      <c r="D111" s="66">
        <v>54.531979999999997</v>
      </c>
      <c r="E111" s="66">
        <v>55.203270000000003</v>
      </c>
      <c r="F111" s="67">
        <f t="shared" si="5"/>
        <v>6.7129000000000619E-2</v>
      </c>
    </row>
    <row r="112" spans="3:7">
      <c r="C112" s="30">
        <v>44879</v>
      </c>
      <c r="D112" s="66">
        <v>53.346850000000003</v>
      </c>
      <c r="E112" s="66">
        <v>53.772440000000003</v>
      </c>
      <c r="F112" s="67">
        <f t="shared" si="5"/>
        <v>4.2558999999999972E-2</v>
      </c>
    </row>
    <row r="113" spans="3:6">
      <c r="C113" s="30">
        <v>44880</v>
      </c>
      <c r="D113" s="66">
        <v>53.347850000000001</v>
      </c>
      <c r="E113" s="66">
        <v>54.18</v>
      </c>
      <c r="F113" s="67">
        <f t="shared" si="5"/>
        <v>8.3214999999999859E-2</v>
      </c>
    </row>
    <row r="114" spans="3:6">
      <c r="C114" s="30">
        <v>44881</v>
      </c>
      <c r="D114" s="66">
        <v>53.347850000000001</v>
      </c>
      <c r="E114" s="66">
        <v>53.683199999999999</v>
      </c>
      <c r="F114" s="67">
        <f t="shared" si="5"/>
        <v>3.3534999999999829E-2</v>
      </c>
    </row>
    <row r="115" spans="3:6">
      <c r="C115" s="30">
        <v>44882</v>
      </c>
      <c r="D115" s="66">
        <v>53.347850000000001</v>
      </c>
      <c r="E115" s="66">
        <v>53.572800000000001</v>
      </c>
      <c r="F115" s="67">
        <f t="shared" si="5"/>
        <v>2.2494999999999977E-2</v>
      </c>
    </row>
    <row r="116" spans="3:6">
      <c r="C116" s="30">
        <v>44883</v>
      </c>
      <c r="D116" s="66">
        <v>52.162419999999997</v>
      </c>
      <c r="E116" s="66">
        <v>52.668439999999997</v>
      </c>
      <c r="F116" s="67">
        <f t="shared" si="5"/>
        <v>5.0601999999999946E-2</v>
      </c>
    </row>
    <row r="117" spans="3:6">
      <c r="C117" s="30">
        <v>44884</v>
      </c>
      <c r="D117" s="66">
        <v>49.791620000000002</v>
      </c>
      <c r="E117" s="66">
        <v>50.02561</v>
      </c>
      <c r="F117" s="67">
        <f t="shared" si="5"/>
        <v>2.3398999999999857E-2</v>
      </c>
    </row>
    <row r="118" spans="3:6">
      <c r="C118" s="30">
        <v>44885</v>
      </c>
      <c r="D118" s="66">
        <v>48.606200000000001</v>
      </c>
      <c r="E118" s="66">
        <v>46.856079999999999</v>
      </c>
      <c r="F118" s="67">
        <f t="shared" si="5"/>
        <v>-0.17501200000000025</v>
      </c>
    </row>
    <row r="119" spans="3:6">
      <c r="C119" s="30">
        <v>44886</v>
      </c>
      <c r="D119" s="66">
        <v>48.606200000000001</v>
      </c>
      <c r="E119" s="66">
        <v>49.414470000000001</v>
      </c>
      <c r="F119" s="67">
        <f t="shared" si="5"/>
        <v>8.0827000000000024E-2</v>
      </c>
    </row>
    <row r="120" spans="3:6">
      <c r="C120" s="30">
        <v>44887</v>
      </c>
      <c r="D120" s="66">
        <v>50.976349999999996</v>
      </c>
      <c r="E120" s="66">
        <v>52.175559999999997</v>
      </c>
      <c r="F120" s="67">
        <f t="shared" si="5"/>
        <v>0.11992100000000008</v>
      </c>
    </row>
    <row r="121" spans="3:6">
      <c r="C121" s="30">
        <v>44888</v>
      </c>
      <c r="D121" s="66">
        <v>49.791200000000003</v>
      </c>
      <c r="E121" s="66">
        <v>50.336509999999997</v>
      </c>
      <c r="F121" s="67">
        <f t="shared" si="5"/>
        <v>5.4530999999999351E-2</v>
      </c>
    </row>
    <row r="122" spans="3:6">
      <c r="C122" s="30">
        <v>44889</v>
      </c>
      <c r="D122" s="66">
        <v>49.791080000000001</v>
      </c>
      <c r="E122" s="66">
        <v>49.866109999999999</v>
      </c>
      <c r="F122" s="67">
        <f t="shared" si="5"/>
        <v>7.5029999999998154E-3</v>
      </c>
    </row>
    <row r="123" spans="3:6">
      <c r="C123" s="30">
        <v>44890</v>
      </c>
      <c r="D123" s="66">
        <v>46.3063</v>
      </c>
      <c r="E123" s="66">
        <v>45.29345</v>
      </c>
      <c r="F123" s="67">
        <f t="shared" si="5"/>
        <v>-0.10128500000000003</v>
      </c>
    </row>
    <row r="124" spans="3:6">
      <c r="C124" s="30">
        <v>44891</v>
      </c>
      <c r="D124" s="66">
        <v>46.235100000000003</v>
      </c>
      <c r="E124" s="66">
        <v>46.472949999999997</v>
      </c>
      <c r="F124" s="67">
        <f t="shared" si="5"/>
        <v>2.3784999999999456E-2</v>
      </c>
    </row>
    <row r="125" spans="3:6">
      <c r="C125" s="30">
        <v>44892</v>
      </c>
      <c r="D125" s="66">
        <v>45.049950000000003</v>
      </c>
      <c r="E125" s="66">
        <v>45.310040000000001</v>
      </c>
      <c r="F125" s="67">
        <f t="shared" si="5"/>
        <v>2.6008999999999817E-2</v>
      </c>
    </row>
    <row r="126" spans="3:6">
      <c r="C126" s="30">
        <v>44893</v>
      </c>
      <c r="D126" s="66">
        <v>43.864600000000003</v>
      </c>
      <c r="E126" s="66">
        <v>44.429670000000002</v>
      </c>
      <c r="F126" s="67">
        <f t="shared" si="5"/>
        <v>5.6506999999999863E-2</v>
      </c>
    </row>
    <row r="127" spans="3:6">
      <c r="C127" s="30">
        <v>44894</v>
      </c>
      <c r="D127" s="66">
        <v>43.864600000000003</v>
      </c>
      <c r="E127" s="66">
        <v>44.898769999999999</v>
      </c>
      <c r="F127" s="67">
        <f t="shared" si="5"/>
        <v>0.10341699999999961</v>
      </c>
    </row>
    <row r="128" spans="3:6">
      <c r="C128" s="30">
        <v>44895</v>
      </c>
      <c r="D128" s="66">
        <v>45.049950000000003</v>
      </c>
      <c r="E128" s="66">
        <v>46.193240000000003</v>
      </c>
      <c r="F128" s="67">
        <f t="shared" si="5"/>
        <v>0.11432900000000004</v>
      </c>
    </row>
    <row r="129" spans="3:7">
      <c r="C129" s="68" t="s">
        <v>3</v>
      </c>
      <c r="D129" s="69">
        <f>SUM(D99:D128)/10</f>
        <v>158.473367</v>
      </c>
      <c r="E129" s="69">
        <f>SUM(E99:E128)/10</f>
        <v>159.88811099999998</v>
      </c>
      <c r="F129" s="69">
        <f t="shared" ref="F129" si="6">SUM(F99:F128)</f>
        <v>1.4147439999999973</v>
      </c>
      <c r="G129" s="67"/>
    </row>
    <row r="130" spans="3:7">
      <c r="C130" s="30">
        <v>44896</v>
      </c>
      <c r="D130" s="66">
        <v>45.049349999999997</v>
      </c>
      <c r="E130" s="66">
        <v>45.106029999999997</v>
      </c>
      <c r="F130" s="67">
        <f t="shared" si="5"/>
        <v>5.6680000000000064E-3</v>
      </c>
      <c r="G130" s="78"/>
    </row>
    <row r="131" spans="3:7">
      <c r="C131" s="30">
        <v>44897</v>
      </c>
      <c r="D131" s="66">
        <v>45.044350000000001</v>
      </c>
      <c r="E131" s="66">
        <v>45.857019999999999</v>
      </c>
      <c r="F131" s="67">
        <f t="shared" si="5"/>
        <v>8.1266999999999714E-2</v>
      </c>
      <c r="G131" s="78"/>
    </row>
    <row r="132" spans="3:7">
      <c r="C132" s="30">
        <v>44898</v>
      </c>
      <c r="D132" s="66">
        <v>45.049349999999997</v>
      </c>
      <c r="E132" s="66">
        <v>45.191560000000003</v>
      </c>
      <c r="F132" s="67">
        <f t="shared" si="5"/>
        <v>1.4221000000000572E-2</v>
      </c>
      <c r="G132" s="78"/>
    </row>
    <row r="133" spans="3:7">
      <c r="C133" s="30">
        <v>44899</v>
      </c>
      <c r="D133" s="66">
        <v>45.049349999999997</v>
      </c>
      <c r="E133" s="66">
        <v>45.321390000000001</v>
      </c>
      <c r="F133" s="67">
        <f t="shared" si="5"/>
        <v>2.7204000000000405E-2</v>
      </c>
      <c r="G133" s="78"/>
    </row>
    <row r="134" spans="3:7">
      <c r="C134" s="30">
        <v>44900</v>
      </c>
      <c r="D134" s="66">
        <v>43.612250000000003</v>
      </c>
      <c r="E134" s="66">
        <v>43.451129999999999</v>
      </c>
      <c r="F134" s="67">
        <f t="shared" si="5"/>
        <v>-1.6112000000000393E-2</v>
      </c>
      <c r="G134" s="78"/>
    </row>
    <row r="135" spans="3:7">
      <c r="C135" s="30">
        <v>44901</v>
      </c>
      <c r="D135" s="66">
        <v>41.4938</v>
      </c>
      <c r="E135" s="66">
        <v>41.888730000000002</v>
      </c>
      <c r="F135" s="67">
        <f t="shared" si="5"/>
        <v>3.9493000000000222E-2</v>
      </c>
      <c r="G135" s="78"/>
    </row>
    <row r="136" spans="3:7">
      <c r="C136" s="30">
        <v>44902</v>
      </c>
      <c r="D136" s="66">
        <v>37.936750000000004</v>
      </c>
      <c r="E136" s="66">
        <v>38.165680000000002</v>
      </c>
      <c r="F136" s="67">
        <f t="shared" si="5"/>
        <v>2.289299999999983E-2</v>
      </c>
      <c r="G136" s="78"/>
    </row>
    <row r="137" spans="3:7">
      <c r="C137" s="30">
        <v>44903</v>
      </c>
      <c r="D137" s="66">
        <v>37.936750000000004</v>
      </c>
      <c r="E137" s="66">
        <v>38.026470000000003</v>
      </c>
      <c r="F137" s="67">
        <f t="shared" si="5"/>
        <v>8.97199999999998E-3</v>
      </c>
      <c r="G137" s="78"/>
    </row>
    <row r="138" spans="3:7">
      <c r="C138" s="30">
        <v>44904</v>
      </c>
      <c r="D138" s="66">
        <v>37.936750000000004</v>
      </c>
      <c r="E138" s="66">
        <v>37.929160000000003</v>
      </c>
      <c r="F138" s="67">
        <f t="shared" si="5"/>
        <v>-7.5900000000004295E-4</v>
      </c>
      <c r="G138" s="78"/>
    </row>
    <row r="139" spans="3:7">
      <c r="C139" s="30">
        <v>44905</v>
      </c>
      <c r="D139" s="66">
        <v>45.821899999999999</v>
      </c>
      <c r="E139" s="66">
        <v>45.993380000000002</v>
      </c>
      <c r="F139" s="67">
        <f t="shared" si="5"/>
        <v>1.7148000000000253E-2</v>
      </c>
      <c r="G139" s="78"/>
    </row>
    <row r="140" spans="3:7">
      <c r="C140" s="30">
        <v>44906</v>
      </c>
      <c r="D140" s="66">
        <v>41.967750000000002</v>
      </c>
      <c r="E140" s="66">
        <v>42.630119999999998</v>
      </c>
      <c r="F140" s="67">
        <f t="shared" si="5"/>
        <v>6.6236999999999574E-2</v>
      </c>
      <c r="G140" s="78"/>
    </row>
    <row r="141" spans="3:7">
      <c r="C141" s="30">
        <v>44907</v>
      </c>
      <c r="D141" s="66">
        <v>39.122100000000003</v>
      </c>
      <c r="E141" s="66">
        <v>39.686399999999999</v>
      </c>
      <c r="F141" s="67">
        <f t="shared" si="5"/>
        <v>5.6429999999999578E-2</v>
      </c>
      <c r="G141" s="78"/>
    </row>
    <row r="142" spans="3:7">
      <c r="C142" s="30">
        <v>44908</v>
      </c>
      <c r="D142" s="66">
        <v>37.936999999999998</v>
      </c>
      <c r="E142" s="66">
        <v>38.265819999999998</v>
      </c>
      <c r="F142" s="67">
        <f t="shared" si="5"/>
        <v>3.2882000000000036E-2</v>
      </c>
      <c r="G142" s="78"/>
    </row>
    <row r="143" spans="3:7">
      <c r="C143" s="30">
        <v>44909</v>
      </c>
      <c r="D143" s="66">
        <v>37.936999999999998</v>
      </c>
      <c r="E143" s="66">
        <v>38.371630000000003</v>
      </c>
      <c r="F143" s="67">
        <f t="shared" si="5"/>
        <v>4.3463000000000564E-2</v>
      </c>
      <c r="G143" s="78"/>
    </row>
    <row r="144" spans="3:7">
      <c r="C144" s="30">
        <v>44910</v>
      </c>
      <c r="D144" s="66">
        <v>39.587000000000003</v>
      </c>
      <c r="E144" s="66">
        <v>37.70008</v>
      </c>
      <c r="F144" s="67">
        <f t="shared" si="5"/>
        <v>-0.18869200000000036</v>
      </c>
      <c r="G144" s="78"/>
    </row>
    <row r="145" spans="3:7">
      <c r="C145" s="30">
        <v>44911</v>
      </c>
      <c r="D145" s="66">
        <v>40.30715</v>
      </c>
      <c r="E145" s="66">
        <v>40.438040000000001</v>
      </c>
      <c r="F145" s="67">
        <f t="shared" si="5"/>
        <v>1.3089000000000083E-2</v>
      </c>
      <c r="G145" s="78"/>
    </row>
    <row r="146" spans="3:7">
      <c r="C146" s="30">
        <v>44912</v>
      </c>
      <c r="D146" s="66">
        <v>37.936450000000001</v>
      </c>
      <c r="E146" s="66">
        <v>38.181820000000002</v>
      </c>
      <c r="F146" s="67">
        <f t="shared" si="5"/>
        <v>2.4537000000000121E-2</v>
      </c>
      <c r="G146" s="78"/>
    </row>
    <row r="147" spans="3:7">
      <c r="C147" s="30">
        <v>44913</v>
      </c>
      <c r="D147" s="66">
        <v>37.936900000000001</v>
      </c>
      <c r="E147" s="66">
        <v>38.041960000000003</v>
      </c>
      <c r="F147" s="67">
        <f t="shared" si="5"/>
        <v>1.0506000000000171E-2</v>
      </c>
      <c r="G147" s="78"/>
    </row>
    <row r="148" spans="3:7">
      <c r="C148" s="30">
        <v>44914</v>
      </c>
      <c r="D148" s="66">
        <v>37.936900000000001</v>
      </c>
      <c r="E148" s="66">
        <v>38.253819999999997</v>
      </c>
      <c r="F148" s="67">
        <f t="shared" si="5"/>
        <v>3.1691999999999609E-2</v>
      </c>
      <c r="G148" s="78"/>
    </row>
    <row r="149" spans="3:7">
      <c r="C149" s="30">
        <v>44915</v>
      </c>
      <c r="D149" s="66">
        <v>37.936900000000001</v>
      </c>
      <c r="E149" s="66">
        <v>38.16131</v>
      </c>
      <c r="F149" s="67">
        <f t="shared" si="5"/>
        <v>2.2440999999999888E-2</v>
      </c>
      <c r="G149" s="78"/>
    </row>
    <row r="150" spans="3:7">
      <c r="C150" s="30">
        <v>44916</v>
      </c>
      <c r="D150" s="66">
        <v>37.936900000000001</v>
      </c>
      <c r="E150" s="66">
        <v>38.021450000000002</v>
      </c>
      <c r="F150" s="67">
        <f t="shared" si="5"/>
        <v>8.4550000000000129E-3</v>
      </c>
      <c r="G150" s="78"/>
    </row>
    <row r="151" spans="3:7">
      <c r="C151" s="30">
        <v>44917</v>
      </c>
      <c r="D151" s="66">
        <v>37.03492</v>
      </c>
      <c r="E151" s="66">
        <v>37.329160000000002</v>
      </c>
      <c r="F151" s="67">
        <f t="shared" si="5"/>
        <v>2.9424000000000207E-2</v>
      </c>
      <c r="G151" s="78"/>
    </row>
    <row r="152" spans="3:7">
      <c r="C152" s="30">
        <v>44918</v>
      </c>
      <c r="D152" s="66">
        <v>33.193019999999997</v>
      </c>
      <c r="E152" s="66">
        <v>33.59892</v>
      </c>
      <c r="F152" s="67">
        <f t="shared" si="5"/>
        <v>4.0590000000000258E-2</v>
      </c>
      <c r="G152" s="78"/>
    </row>
    <row r="153" spans="3:7">
      <c r="C153" s="30">
        <v>44919</v>
      </c>
      <c r="D153" s="66">
        <v>33.192999999999998</v>
      </c>
      <c r="E153" s="66">
        <v>33.114109999999997</v>
      </c>
      <c r="F153" s="67">
        <f t="shared" si="5"/>
        <v>-7.8890000000001233E-3</v>
      </c>
      <c r="G153" s="78"/>
    </row>
    <row r="154" spans="3:7">
      <c r="C154" s="30">
        <v>44920</v>
      </c>
      <c r="D154" s="66">
        <v>35.564619999999998</v>
      </c>
      <c r="E154" s="66">
        <v>35.77026</v>
      </c>
      <c r="F154" s="67">
        <f t="shared" si="5"/>
        <v>2.0564000000000249E-2</v>
      </c>
      <c r="G154" s="78"/>
    </row>
    <row r="155" spans="3:7">
      <c r="C155" s="30">
        <v>44921</v>
      </c>
      <c r="D155" s="66">
        <v>36.964619999999996</v>
      </c>
      <c r="E155" s="66">
        <v>36.92924</v>
      </c>
      <c r="F155" s="67">
        <f t="shared" si="5"/>
        <v>-3.5379999999996413E-3</v>
      </c>
      <c r="G155" s="78"/>
    </row>
    <row r="156" spans="3:7">
      <c r="C156" s="30">
        <v>44922</v>
      </c>
      <c r="D156" s="66">
        <v>36.749879999999997</v>
      </c>
      <c r="E156" s="66">
        <v>37.182980000000001</v>
      </c>
      <c r="F156" s="67">
        <f t="shared" si="5"/>
        <v>4.3310000000000314E-2</v>
      </c>
      <c r="G156" s="78"/>
    </row>
    <row r="157" spans="3:7">
      <c r="C157" s="30">
        <v>44923</v>
      </c>
      <c r="D157" s="66">
        <v>36.749879999999997</v>
      </c>
      <c r="E157" s="66">
        <v>37.094839999999998</v>
      </c>
      <c r="F157" s="67">
        <f t="shared" si="5"/>
        <v>3.4496000000000041E-2</v>
      </c>
      <c r="G157" s="78"/>
    </row>
    <row r="158" spans="3:7">
      <c r="C158" s="30">
        <v>44924</v>
      </c>
      <c r="D158" s="66">
        <v>36.750120000000003</v>
      </c>
      <c r="E158" s="66">
        <v>37.256520000000002</v>
      </c>
      <c r="F158" s="67">
        <f t="shared" si="5"/>
        <v>5.0639999999999928E-2</v>
      </c>
      <c r="G158" s="78"/>
    </row>
    <row r="159" spans="3:7">
      <c r="C159" s="30">
        <v>44925</v>
      </c>
      <c r="D159" s="66">
        <v>36.750120000000003</v>
      </c>
      <c r="E159" s="66">
        <v>37.203270000000003</v>
      </c>
      <c r="F159" s="67">
        <f t="shared" si="5"/>
        <v>4.5315000000000084E-2</v>
      </c>
      <c r="G159" s="78"/>
    </row>
    <row r="160" spans="3:7">
      <c r="C160" s="30">
        <v>44926</v>
      </c>
      <c r="D160" s="66">
        <v>36.750100000000003</v>
      </c>
      <c r="E160" s="66">
        <v>36.845460000000003</v>
      </c>
      <c r="F160" s="67">
        <f t="shared" si="5"/>
        <v>9.5359999999999438E-3</v>
      </c>
      <c r="G160" s="78"/>
    </row>
    <row r="161" spans="3:7">
      <c r="C161" s="68" t="s">
        <v>3</v>
      </c>
      <c r="D161" s="69">
        <f>SUM(D130:D160)</f>
        <v>1211.1729300000002</v>
      </c>
      <c r="E161" s="69">
        <f t="shared" ref="E161:F161" si="7">SUM(E130:E160)</f>
        <v>1217.0077599999997</v>
      </c>
      <c r="F161" s="69">
        <f t="shared" si="7"/>
        <v>0.58348300000000108</v>
      </c>
      <c r="G161" s="78"/>
    </row>
  </sheetData>
  <phoneticPr fontId="14" type="noConversion"/>
  <hyperlinks>
    <hyperlink ref="H5" r:id="rId1" xr:uid="{5B771CA3-E4C1-417E-9EA8-BFA74445AF4A}"/>
  </hyperlinks>
  <pageMargins left="0.7" right="0.7" top="0.75" bottom="0.75" header="0.3" footer="0.3"/>
  <pageSetup paperSize="9" orientation="portrait" r:id="rId2"/>
  <ignoredErrors>
    <ignoredError sqref="F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 Summary</vt:lpstr>
      <vt:lpstr>NRPC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Adminn</cp:lastModifiedBy>
  <dcterms:created xsi:type="dcterms:W3CDTF">2021-08-06T10:56:15Z</dcterms:created>
  <dcterms:modified xsi:type="dcterms:W3CDTF">2024-11-26T04:54:22Z</dcterms:modified>
</cp:coreProperties>
</file>