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Z:\IZA\02_LPE\02_Landesprogramme\01_LPG 2017-2022\02_Kenya\Carbon\03_Gold Standard\12_Design_Certification_Renewal\6_GS_Review_Round_I_Docs_TUeV-Nord\Annexes\"/>
    </mc:Choice>
  </mc:AlternateContent>
  <bookViews>
    <workbookView xWindow="-120" yWindow="-120" windowWidth="20730" windowHeight="11160" firstSheet="1" activeTab="6"/>
  </bookViews>
  <sheets>
    <sheet name="overview BE_PE_ER estimations" sheetId="12" r:id="rId1"/>
    <sheet name="Project_ER_per Year" sheetId="1" r:id="rId2"/>
    <sheet name="BE" sheetId="9" r:id="rId3"/>
    <sheet name="PE" sheetId="10" r:id="rId4"/>
    <sheet name="ER_per_Stove" sheetId="2" r:id="rId5"/>
    <sheet name="fNRB_Tree_Density" sheetId="6" state="hidden" r:id="rId6"/>
    <sheet name="fNRB_Calculation " sheetId="13" r:id="rId7"/>
    <sheet name="Usage_Rate_Analysis" sheetId="8" r:id="rId8"/>
    <sheet name="UPDATED2020_energy_output" sheetId="11" r:id="rId9"/>
  </sheets>
  <definedNames>
    <definedName name="_ftn1" localSheetId="4">ER_per_Stove!$A$113</definedName>
    <definedName name="_ftnref1" localSheetId="4">ER_per_Stove!$D$98</definedName>
    <definedName name="_GoBack" localSheetId="6">'fNRB_Calculation '!$H$108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H100" i="13"/>
  <c r="H99" i="13"/>
  <c r="H96" i="13"/>
  <c r="H95" i="13"/>
  <c r="H98" i="13" s="1"/>
  <c r="H106" i="13" s="1"/>
  <c r="C107" i="13" s="1"/>
  <c r="H90" i="13"/>
  <c r="H59" i="13"/>
  <c r="H57" i="13"/>
  <c r="H60" i="13" s="1"/>
  <c r="H46" i="13" s="1"/>
  <c r="H49" i="13" s="1"/>
  <c r="C62" i="13" s="1"/>
  <c r="H48" i="13"/>
  <c r="C34" i="13" l="1"/>
  <c r="C16" i="13" s="1"/>
  <c r="B9" i="11"/>
  <c r="B18" i="11" s="1"/>
  <c r="B20" i="11" l="1"/>
  <c r="B22" i="11" s="1"/>
  <c r="B24" i="11" s="1"/>
  <c r="B19" i="11"/>
  <c r="B21" i="11" s="1"/>
  <c r="C42" i="2"/>
  <c r="B39" i="11" s="1"/>
  <c r="B49" i="11" s="1"/>
  <c r="B51" i="11" s="1"/>
  <c r="B48" i="11" l="1"/>
  <c r="B50" i="11" s="1"/>
  <c r="I17" i="8" l="1"/>
  <c r="E31" i="10"/>
  <c r="P27" i="10"/>
  <c r="P26" i="10"/>
  <c r="P25" i="10"/>
  <c r="P24" i="10"/>
  <c r="P23" i="10"/>
  <c r="P22" i="10"/>
  <c r="P21" i="10"/>
  <c r="P20" i="10"/>
  <c r="P19" i="10"/>
  <c r="P18" i="10"/>
  <c r="P17" i="10"/>
  <c r="P16" i="10"/>
  <c r="P15" i="10"/>
  <c r="P14" i="10"/>
  <c r="P13" i="10"/>
  <c r="E31" i="9"/>
  <c r="P27" i="9"/>
  <c r="P26" i="9"/>
  <c r="P25" i="9"/>
  <c r="P24" i="9"/>
  <c r="P23" i="9"/>
  <c r="P22" i="9"/>
  <c r="P21" i="9"/>
  <c r="P20" i="9"/>
  <c r="P19" i="9"/>
  <c r="P18" i="9"/>
  <c r="P17" i="9"/>
  <c r="P16" i="9"/>
  <c r="P15" i="9"/>
  <c r="P14" i="9"/>
  <c r="P13" i="9"/>
  <c r="P28" i="10" l="1"/>
  <c r="P28" i="9"/>
  <c r="C15" i="2"/>
  <c r="F31" i="10"/>
  <c r="F31" i="9"/>
  <c r="G31" i="10" l="1"/>
  <c r="G31" i="9"/>
  <c r="H31" i="10" l="1"/>
  <c r="H31" i="9"/>
  <c r="I31" i="10" l="1"/>
  <c r="I31" i="9"/>
  <c r="J31" i="10" l="1"/>
  <c r="J31" i="9"/>
  <c r="K31" i="10" l="1"/>
  <c r="K31" i="9"/>
  <c r="L31" i="10" l="1"/>
  <c r="L31" i="9"/>
  <c r="M31" i="10" l="1"/>
  <c r="M31" i="9"/>
  <c r="N31" i="10" l="1"/>
  <c r="N31" i="9"/>
  <c r="O31" i="10" l="1"/>
  <c r="O31" i="9"/>
  <c r="C287" i="6"/>
  <c r="D32" i="10" l="1"/>
  <c r="P31" i="10"/>
  <c r="D32" i="9"/>
  <c r="P31" i="9"/>
  <c r="E32" i="10" l="1"/>
  <c r="E32" i="9"/>
  <c r="F32" i="10" l="1"/>
  <c r="F32" i="9"/>
  <c r="G32" i="10" l="1"/>
  <c r="G32" i="9"/>
  <c r="H32" i="10" l="1"/>
  <c r="H32" i="9"/>
  <c r="C38" i="2"/>
  <c r="C33" i="2"/>
  <c r="B68" i="2"/>
  <c r="B70" i="2" s="1"/>
  <c r="B60" i="2"/>
  <c r="B62" i="2" s="1"/>
  <c r="B54" i="2"/>
  <c r="C19" i="2" s="1"/>
  <c r="B74" i="2" l="1"/>
  <c r="C20" i="2" s="1"/>
  <c r="C26" i="2" s="1"/>
  <c r="I32" i="10"/>
  <c r="I32" i="9"/>
  <c r="C43" i="2"/>
  <c r="C16" i="2" s="1"/>
  <c r="E31" i="1"/>
  <c r="P27" i="1"/>
  <c r="P26" i="1"/>
  <c r="P25" i="1"/>
  <c r="P24" i="1"/>
  <c r="P23" i="1"/>
  <c r="P22" i="1"/>
  <c r="P21" i="1"/>
  <c r="P20" i="1"/>
  <c r="P19" i="1"/>
  <c r="P18" i="1"/>
  <c r="P17" i="1"/>
  <c r="P16" i="1"/>
  <c r="P15" i="1"/>
  <c r="P14" i="1"/>
  <c r="P13" i="1"/>
  <c r="C8" i="9" l="1"/>
  <c r="H52" i="9" s="1"/>
  <c r="C24" i="2"/>
  <c r="C8" i="1" s="1"/>
  <c r="P28" i="1"/>
  <c r="D51" i="9"/>
  <c r="E51" i="9"/>
  <c r="F51" i="9"/>
  <c r="G51" i="9"/>
  <c r="H51" i="9"/>
  <c r="I51" i="9"/>
  <c r="J51" i="9"/>
  <c r="K51" i="9"/>
  <c r="L51" i="9"/>
  <c r="M51" i="9"/>
  <c r="N51" i="9"/>
  <c r="O51" i="9"/>
  <c r="D52" i="9"/>
  <c r="E52" i="9"/>
  <c r="F52" i="9"/>
  <c r="G52" i="9"/>
  <c r="J32" i="10"/>
  <c r="I52" i="9"/>
  <c r="J32" i="9"/>
  <c r="F31" i="1"/>
  <c r="C28" i="2" l="1"/>
  <c r="C8" i="10" s="1"/>
  <c r="G52" i="10"/>
  <c r="E52" i="10"/>
  <c r="M51" i="10"/>
  <c r="K51" i="10"/>
  <c r="I51" i="10"/>
  <c r="E51" i="10"/>
  <c r="P51" i="9"/>
  <c r="J52" i="10"/>
  <c r="K32" i="10"/>
  <c r="J52" i="9"/>
  <c r="K32" i="9"/>
  <c r="E51" i="1"/>
  <c r="G31" i="1"/>
  <c r="H52" i="10" l="1"/>
  <c r="D51" i="10"/>
  <c r="L51" i="10"/>
  <c r="I52" i="10"/>
  <c r="H51" i="10"/>
  <c r="D52" i="10"/>
  <c r="F52" i="10"/>
  <c r="F51" i="10"/>
  <c r="N51" i="10"/>
  <c r="J51" i="10"/>
  <c r="G51" i="10"/>
  <c r="O51" i="10"/>
  <c r="K52" i="10"/>
  <c r="L32" i="10"/>
  <c r="K52" i="9"/>
  <c r="L32" i="9"/>
  <c r="F51" i="1"/>
  <c r="D51" i="1"/>
  <c r="G51" i="1"/>
  <c r="H31" i="1"/>
  <c r="P51" i="10" l="1"/>
  <c r="L52" i="10"/>
  <c r="M32" i="10"/>
  <c r="M32" i="9"/>
  <c r="L52" i="9"/>
  <c r="H51" i="1"/>
  <c r="I31" i="1"/>
  <c r="M52" i="10" l="1"/>
  <c r="N32" i="10"/>
  <c r="M52" i="9"/>
  <c r="N32" i="9"/>
  <c r="I51" i="1"/>
  <c r="J31" i="1"/>
  <c r="O32" i="10" l="1"/>
  <c r="N52" i="10"/>
  <c r="N52" i="9"/>
  <c r="O32" i="9"/>
  <c r="J51" i="1"/>
  <c r="K31" i="1"/>
  <c r="D33" i="10" l="1"/>
  <c r="P32" i="10"/>
  <c r="O52" i="10"/>
  <c r="P52" i="10" s="1"/>
  <c r="O52" i="9"/>
  <c r="P52" i="9" s="1"/>
  <c r="D33" i="9"/>
  <c r="P32" i="9"/>
  <c r="L31" i="1"/>
  <c r="K51" i="1"/>
  <c r="D53" i="10" l="1"/>
  <c r="E33" i="10"/>
  <c r="D53" i="9"/>
  <c r="E33" i="9"/>
  <c r="L51" i="1"/>
  <c r="M31" i="1"/>
  <c r="E53" i="10" l="1"/>
  <c r="F33" i="10"/>
  <c r="E53" i="9"/>
  <c r="F33" i="9"/>
  <c r="M51" i="1"/>
  <c r="N31" i="1"/>
  <c r="F53" i="10" l="1"/>
  <c r="G33" i="10"/>
  <c r="F53" i="9"/>
  <c r="G33" i="9"/>
  <c r="N51" i="1"/>
  <c r="O31" i="1"/>
  <c r="P31" i="1" s="1"/>
  <c r="G53" i="10" l="1"/>
  <c r="H33" i="10"/>
  <c r="H33" i="9"/>
  <c r="G53" i="9"/>
  <c r="D32" i="1"/>
  <c r="O51" i="1"/>
  <c r="P51" i="1" s="1"/>
  <c r="Q51" i="1" s="1"/>
  <c r="H53" i="10" l="1"/>
  <c r="I33" i="10"/>
  <c r="H53" i="9"/>
  <c r="I33" i="9"/>
  <c r="D52" i="1"/>
  <c r="E32" i="1"/>
  <c r="J33" i="10" l="1"/>
  <c r="I53" i="10"/>
  <c r="I53" i="9"/>
  <c r="J33" i="9"/>
  <c r="E52" i="1"/>
  <c r="F32" i="1"/>
  <c r="K33" i="10" l="1"/>
  <c r="J53" i="10"/>
  <c r="J53" i="9"/>
  <c r="K33" i="9"/>
  <c r="F52" i="1"/>
  <c r="G32" i="1"/>
  <c r="K53" i="10" l="1"/>
  <c r="L33" i="10"/>
  <c r="K53" i="9"/>
  <c r="L33" i="9"/>
  <c r="G52" i="1"/>
  <c r="H32" i="1"/>
  <c r="L53" i="10" l="1"/>
  <c r="M33" i="10"/>
  <c r="L53" i="9"/>
  <c r="M33" i="9"/>
  <c r="H52" i="1"/>
  <c r="I32" i="1"/>
  <c r="M53" i="10" l="1"/>
  <c r="N33" i="10"/>
  <c r="M53" i="9"/>
  <c r="N33" i="9"/>
  <c r="I52" i="1"/>
  <c r="J32" i="1"/>
  <c r="N53" i="10" l="1"/>
  <c r="O33" i="10"/>
  <c r="N53" i="9"/>
  <c r="O33" i="9"/>
  <c r="J52" i="1"/>
  <c r="K32" i="1"/>
  <c r="O53" i="10" l="1"/>
  <c r="P53" i="10" s="1"/>
  <c r="P33" i="10"/>
  <c r="D34" i="10"/>
  <c r="P33" i="9"/>
  <c r="O53" i="9"/>
  <c r="P53" i="9" s="1"/>
  <c r="D34" i="9"/>
  <c r="K52" i="1"/>
  <c r="L32" i="1"/>
  <c r="E34" i="10" l="1"/>
  <c r="D54" i="10"/>
  <c r="D54" i="9"/>
  <c r="E34" i="9"/>
  <c r="L52" i="1"/>
  <c r="M32" i="1"/>
  <c r="F34" i="10" l="1"/>
  <c r="E54" i="10"/>
  <c r="E54" i="9"/>
  <c r="F34" i="9"/>
  <c r="M52" i="1"/>
  <c r="N32" i="1"/>
  <c r="F54" i="10" l="1"/>
  <c r="G34" i="10"/>
  <c r="G34" i="9"/>
  <c r="F54" i="9"/>
  <c r="O32" i="1"/>
  <c r="N52" i="1"/>
  <c r="G54" i="10" l="1"/>
  <c r="H34" i="10"/>
  <c r="G54" i="9"/>
  <c r="H34" i="9"/>
  <c r="O52" i="1"/>
  <c r="P52" i="1" s="1"/>
  <c r="Q52" i="1" s="1"/>
  <c r="D33" i="1"/>
  <c r="P32" i="1"/>
  <c r="H54" i="10" l="1"/>
  <c r="I34" i="10"/>
  <c r="H54" i="9"/>
  <c r="I34" i="9"/>
  <c r="D53" i="1"/>
  <c r="E33" i="1"/>
  <c r="I54" i="10" l="1"/>
  <c r="J34" i="10"/>
  <c r="I54" i="9"/>
  <c r="J34" i="9"/>
  <c r="E53" i="1"/>
  <c r="F33" i="1"/>
  <c r="J54" i="10" l="1"/>
  <c r="K34" i="10"/>
  <c r="K34" i="9"/>
  <c r="J54" i="9"/>
  <c r="F53" i="1"/>
  <c r="G33" i="1"/>
  <c r="K54" i="10" l="1"/>
  <c r="L34" i="10"/>
  <c r="K54" i="9"/>
  <c r="L34" i="9"/>
  <c r="G53" i="1"/>
  <c r="H33" i="1"/>
  <c r="M34" i="10" l="1"/>
  <c r="L54" i="10"/>
  <c r="L54" i="9"/>
  <c r="M34" i="9"/>
  <c r="H53" i="1"/>
  <c r="I33" i="1"/>
  <c r="N34" i="10" l="1"/>
  <c r="M54" i="10"/>
  <c r="M54" i="9"/>
  <c r="N34" i="9"/>
  <c r="I53" i="1"/>
  <c r="J33" i="1"/>
  <c r="N54" i="10" l="1"/>
  <c r="O34" i="10"/>
  <c r="N54" i="9"/>
  <c r="O34" i="9"/>
  <c r="J53" i="1"/>
  <c r="K33" i="1"/>
  <c r="O54" i="10" l="1"/>
  <c r="P54" i="10" s="1"/>
  <c r="D35" i="10"/>
  <c r="P34" i="10"/>
  <c r="O54" i="9"/>
  <c r="P54" i="9" s="1"/>
  <c r="P34" i="9"/>
  <c r="D35" i="9"/>
  <c r="K53" i="1"/>
  <c r="L33" i="1"/>
  <c r="E35" i="10" l="1"/>
  <c r="D55" i="10"/>
  <c r="D55" i="9"/>
  <c r="E35" i="9"/>
  <c r="L53" i="1"/>
  <c r="M33" i="1"/>
  <c r="E55" i="10" l="1"/>
  <c r="F35" i="10"/>
  <c r="F35" i="9"/>
  <c r="E55" i="9"/>
  <c r="M53" i="1"/>
  <c r="N33" i="1"/>
  <c r="F55" i="10" l="1"/>
  <c r="G35" i="10"/>
  <c r="F55" i="9"/>
  <c r="G35" i="9"/>
  <c r="N53" i="1"/>
  <c r="O33" i="1"/>
  <c r="H35" i="10" l="1"/>
  <c r="G55" i="10"/>
  <c r="G55" i="9"/>
  <c r="H35" i="9"/>
  <c r="O53" i="1"/>
  <c r="P53" i="1" s="1"/>
  <c r="Q53" i="1" s="1"/>
  <c r="P33" i="1"/>
  <c r="D34" i="1"/>
  <c r="I35" i="10" l="1"/>
  <c r="H55" i="10"/>
  <c r="H55" i="9"/>
  <c r="I35" i="9"/>
  <c r="E34" i="1"/>
  <c r="D54" i="1"/>
  <c r="I55" i="10" l="1"/>
  <c r="J35" i="10"/>
  <c r="I55" i="9"/>
  <c r="J35" i="9"/>
  <c r="E54" i="1"/>
  <c r="F34" i="1"/>
  <c r="J55" i="10" l="1"/>
  <c r="K35" i="10"/>
  <c r="J55" i="9"/>
  <c r="K35" i="9"/>
  <c r="F54" i="1"/>
  <c r="G34" i="1"/>
  <c r="L35" i="10" l="1"/>
  <c r="K55" i="10"/>
  <c r="K55" i="9"/>
  <c r="L35" i="9"/>
  <c r="G54" i="1"/>
  <c r="H34" i="1"/>
  <c r="M35" i="10" l="1"/>
  <c r="L55" i="10"/>
  <c r="L55" i="9"/>
  <c r="M35" i="9"/>
  <c r="H54" i="1"/>
  <c r="I34" i="1"/>
  <c r="M55" i="10" l="1"/>
  <c r="N35" i="10"/>
  <c r="M55" i="9"/>
  <c r="N35" i="9"/>
  <c r="I54" i="1"/>
  <c r="J34" i="1"/>
  <c r="N55" i="10" l="1"/>
  <c r="O35" i="10"/>
  <c r="N55" i="9"/>
  <c r="O35" i="9"/>
  <c r="J54" i="1"/>
  <c r="K34" i="1"/>
  <c r="D36" i="10" l="1"/>
  <c r="P35" i="10"/>
  <c r="O55" i="10"/>
  <c r="P55" i="10" s="1"/>
  <c r="O55" i="9"/>
  <c r="P55" i="9" s="1"/>
  <c r="D36" i="9"/>
  <c r="P35" i="9"/>
  <c r="K54" i="1"/>
  <c r="L34" i="1"/>
  <c r="D56" i="10" l="1"/>
  <c r="E36" i="10"/>
  <c r="D56" i="9"/>
  <c r="E36" i="9"/>
  <c r="L54" i="1"/>
  <c r="M34" i="1"/>
  <c r="E56" i="10" l="1"/>
  <c r="F36" i="10"/>
  <c r="E56" i="9"/>
  <c r="F36" i="9"/>
  <c r="M54" i="1"/>
  <c r="N34" i="1"/>
  <c r="G36" i="10" l="1"/>
  <c r="F56" i="10"/>
  <c r="F56" i="9"/>
  <c r="G36" i="9"/>
  <c r="N54" i="1"/>
  <c r="O34" i="1"/>
  <c r="H36" i="10" l="1"/>
  <c r="G56" i="10"/>
  <c r="G56" i="9"/>
  <c r="H36" i="9"/>
  <c r="O54" i="1"/>
  <c r="P54" i="1" s="1"/>
  <c r="Q54" i="1" s="1"/>
  <c r="D35" i="1"/>
  <c r="P34" i="1"/>
  <c r="H56" i="10" l="1"/>
  <c r="I36" i="10"/>
  <c r="I36" i="9"/>
  <c r="H56" i="9"/>
  <c r="D55" i="1"/>
  <c r="E35" i="1"/>
  <c r="I56" i="10" l="1"/>
  <c r="J36" i="10"/>
  <c r="I56" i="9"/>
  <c r="J36" i="9"/>
  <c r="E55" i="1"/>
  <c r="F35" i="1"/>
  <c r="K36" i="10" l="1"/>
  <c r="J56" i="10"/>
  <c r="J56" i="9"/>
  <c r="K36" i="9"/>
  <c r="F55" i="1"/>
  <c r="G35" i="1"/>
  <c r="L36" i="10" l="1"/>
  <c r="K56" i="10"/>
  <c r="K56" i="9"/>
  <c r="L36" i="9"/>
  <c r="H35" i="1"/>
  <c r="G55" i="1"/>
  <c r="L56" i="10" l="1"/>
  <c r="M36" i="10"/>
  <c r="M36" i="9"/>
  <c r="L56" i="9"/>
  <c r="H55" i="1"/>
  <c r="I35" i="1"/>
  <c r="M56" i="10" l="1"/>
  <c r="N36" i="10"/>
  <c r="N36" i="9"/>
  <c r="M56" i="9"/>
  <c r="I55" i="1"/>
  <c r="J35" i="1"/>
  <c r="O36" i="10" l="1"/>
  <c r="N56" i="10"/>
  <c r="N56" i="9"/>
  <c r="O36" i="9"/>
  <c r="J55" i="1"/>
  <c r="K35" i="1"/>
  <c r="P36" i="10" l="1"/>
  <c r="O56" i="10"/>
  <c r="P56" i="10" s="1"/>
  <c r="D37" i="10"/>
  <c r="O56" i="9"/>
  <c r="P56" i="9" s="1"/>
  <c r="D37" i="9"/>
  <c r="P36" i="9"/>
  <c r="K55" i="1"/>
  <c r="L35" i="1"/>
  <c r="D57" i="10" l="1"/>
  <c r="E37" i="10"/>
  <c r="E37" i="9"/>
  <c r="D57" i="9"/>
  <c r="L55" i="1"/>
  <c r="M35" i="1"/>
  <c r="F37" i="10" l="1"/>
  <c r="E57" i="10"/>
  <c r="E57" i="9"/>
  <c r="F37" i="9"/>
  <c r="M55" i="1"/>
  <c r="N35" i="1"/>
  <c r="G37" i="10" l="1"/>
  <c r="F57" i="10"/>
  <c r="F57" i="9"/>
  <c r="G37" i="9"/>
  <c r="N55" i="1"/>
  <c r="O35" i="1"/>
  <c r="G57" i="10" l="1"/>
  <c r="H37" i="10"/>
  <c r="H37" i="9"/>
  <c r="G57" i="9"/>
  <c r="O55" i="1"/>
  <c r="P55" i="1" s="1"/>
  <c r="Q55" i="1" s="1"/>
  <c r="D36" i="1"/>
  <c r="P35" i="1"/>
  <c r="H57" i="10" l="1"/>
  <c r="I37" i="10"/>
  <c r="I37" i="9"/>
  <c r="H57" i="9"/>
  <c r="D56" i="1"/>
  <c r="E36" i="1"/>
  <c r="J37" i="10" l="1"/>
  <c r="I57" i="10"/>
  <c r="I57" i="9"/>
  <c r="J37" i="9"/>
  <c r="E56" i="1"/>
  <c r="F36" i="1"/>
  <c r="K37" i="10" l="1"/>
  <c r="J57" i="10"/>
  <c r="J57" i="9"/>
  <c r="K37" i="9"/>
  <c r="F56" i="1"/>
  <c r="G36" i="1"/>
  <c r="K57" i="10" l="1"/>
  <c r="L37" i="10"/>
  <c r="L37" i="9"/>
  <c r="K57" i="9"/>
  <c r="G56" i="1"/>
  <c r="H36" i="1"/>
  <c r="L57" i="10" l="1"/>
  <c r="M37" i="10"/>
  <c r="M37" i="9"/>
  <c r="L57" i="9"/>
  <c r="H56" i="1"/>
  <c r="I36" i="1"/>
  <c r="N37" i="10" l="1"/>
  <c r="M57" i="10"/>
  <c r="M57" i="9"/>
  <c r="N37" i="9"/>
  <c r="I56" i="1"/>
  <c r="J36" i="1"/>
  <c r="O37" i="10" l="1"/>
  <c r="N57" i="10"/>
  <c r="N57" i="9"/>
  <c r="O37" i="9"/>
  <c r="K36" i="1"/>
  <c r="J56" i="1"/>
  <c r="O57" i="10" l="1"/>
  <c r="P57" i="10" s="1"/>
  <c r="D38" i="10"/>
  <c r="P37" i="10"/>
  <c r="D38" i="9"/>
  <c r="P37" i="9"/>
  <c r="O57" i="9"/>
  <c r="P57" i="9" s="1"/>
  <c r="K56" i="1"/>
  <c r="L36" i="1"/>
  <c r="E38" i="10" l="1"/>
  <c r="D58" i="10"/>
  <c r="D58" i="9"/>
  <c r="E38" i="9"/>
  <c r="L56" i="1"/>
  <c r="M36" i="1"/>
  <c r="F38" i="10" l="1"/>
  <c r="E58" i="10"/>
  <c r="E58" i="9"/>
  <c r="F38" i="9"/>
  <c r="M56" i="1"/>
  <c r="N36" i="1"/>
  <c r="F58" i="10" l="1"/>
  <c r="G38" i="10"/>
  <c r="G38" i="9"/>
  <c r="F58" i="9"/>
  <c r="N56" i="1"/>
  <c r="O36" i="1"/>
  <c r="G58" i="10" l="1"/>
  <c r="H38" i="10"/>
  <c r="H38" i="9"/>
  <c r="G58" i="9"/>
  <c r="O56" i="1"/>
  <c r="P56" i="1" s="1"/>
  <c r="Q56" i="1" s="1"/>
  <c r="D37" i="1"/>
  <c r="P36" i="1"/>
  <c r="I38" i="10" l="1"/>
  <c r="H58" i="10"/>
  <c r="H58" i="9"/>
  <c r="I38" i="9"/>
  <c r="D57" i="1"/>
  <c r="E37" i="1"/>
  <c r="J38" i="10" l="1"/>
  <c r="I58" i="10"/>
  <c r="I58" i="9"/>
  <c r="J38" i="9"/>
  <c r="E57" i="1"/>
  <c r="F37" i="1"/>
  <c r="J58" i="10" l="1"/>
  <c r="K38" i="10"/>
  <c r="K38" i="9"/>
  <c r="J58" i="9"/>
  <c r="F57" i="1"/>
  <c r="G37" i="1"/>
  <c r="K58" i="10" l="1"/>
  <c r="L38" i="10"/>
  <c r="L38" i="9"/>
  <c r="K58" i="9"/>
  <c r="G57" i="1"/>
  <c r="H37" i="1"/>
  <c r="M38" i="10" l="1"/>
  <c r="L58" i="10"/>
  <c r="L58" i="9"/>
  <c r="M38" i="9"/>
  <c r="H57" i="1"/>
  <c r="I37" i="1"/>
  <c r="N38" i="10" l="1"/>
  <c r="M58" i="10"/>
  <c r="M58" i="9"/>
  <c r="N38" i="9"/>
  <c r="I57" i="1"/>
  <c r="J37" i="1"/>
  <c r="N58" i="10" l="1"/>
  <c r="O38" i="10"/>
  <c r="O38" i="9"/>
  <c r="D39" i="9" s="1"/>
  <c r="N58" i="9"/>
  <c r="J57" i="1"/>
  <c r="K37" i="1"/>
  <c r="O58" i="10" l="1"/>
  <c r="P58" i="10" s="1"/>
  <c r="D39" i="10"/>
  <c r="D59" i="10" s="1"/>
  <c r="P38" i="10"/>
  <c r="P38" i="9"/>
  <c r="O58" i="9"/>
  <c r="P58" i="9" s="1"/>
  <c r="K57" i="1"/>
  <c r="L37" i="1"/>
  <c r="E39" i="10" l="1"/>
  <c r="D59" i="9"/>
  <c r="E39" i="9"/>
  <c r="L57" i="1"/>
  <c r="M37" i="1"/>
  <c r="E59" i="10" l="1"/>
  <c r="F39" i="10"/>
  <c r="F39" i="9"/>
  <c r="E59" i="9"/>
  <c r="M57" i="1"/>
  <c r="N37" i="1"/>
  <c r="F59" i="10" l="1"/>
  <c r="G39" i="10"/>
  <c r="G39" i="9"/>
  <c r="F59" i="9"/>
  <c r="N57" i="1"/>
  <c r="O37" i="1"/>
  <c r="H39" i="10" l="1"/>
  <c r="G59" i="10"/>
  <c r="G59" i="9"/>
  <c r="H39" i="9"/>
  <c r="O57" i="1"/>
  <c r="P57" i="1" s="1"/>
  <c r="Q57" i="1" s="1"/>
  <c r="D38" i="1"/>
  <c r="P37" i="1"/>
  <c r="I39" i="10" l="1"/>
  <c r="H59" i="10"/>
  <c r="H59" i="9"/>
  <c r="I39" i="9"/>
  <c r="E38" i="1"/>
  <c r="D58" i="1"/>
  <c r="I59" i="10" l="1"/>
  <c r="J39" i="10"/>
  <c r="J39" i="9"/>
  <c r="I59" i="9"/>
  <c r="E58" i="1"/>
  <c r="F38" i="1"/>
  <c r="J59" i="10" l="1"/>
  <c r="K39" i="10"/>
  <c r="K39" i="9"/>
  <c r="J59" i="9"/>
  <c r="F58" i="1"/>
  <c r="G38" i="1"/>
  <c r="L39" i="10" l="1"/>
  <c r="K59" i="10"/>
  <c r="K59" i="9"/>
  <c r="L39" i="9"/>
  <c r="G58" i="1"/>
  <c r="H38" i="1"/>
  <c r="M39" i="10" l="1"/>
  <c r="L59" i="10"/>
  <c r="L59" i="9"/>
  <c r="M39" i="9"/>
  <c r="H58" i="1"/>
  <c r="I38" i="1"/>
  <c r="J38" i="1" s="1"/>
  <c r="K38" i="1" l="1"/>
  <c r="L38" i="1" s="1"/>
  <c r="M38" i="1" s="1"/>
  <c r="N38" i="1" s="1"/>
  <c r="O38" i="1" s="1"/>
  <c r="P38" i="1" s="1"/>
  <c r="M59" i="10"/>
  <c r="N39" i="10"/>
  <c r="N39" i="9"/>
  <c r="M59" i="9"/>
  <c r="I58" i="1"/>
  <c r="D39" i="1" l="1"/>
  <c r="D59" i="1" s="1"/>
  <c r="N59" i="10"/>
  <c r="O39" i="10"/>
  <c r="O39" i="9"/>
  <c r="N59" i="9"/>
  <c r="J58" i="1"/>
  <c r="E39" i="1" l="1"/>
  <c r="F39" i="1" s="1"/>
  <c r="G39" i="1" s="1"/>
  <c r="D40" i="10"/>
  <c r="P39" i="10"/>
  <c r="O59" i="10"/>
  <c r="P59" i="10" s="1"/>
  <c r="D7" i="12" s="1"/>
  <c r="O59" i="9"/>
  <c r="P59" i="9" s="1"/>
  <c r="C7" i="12" s="1"/>
  <c r="D40" i="9"/>
  <c r="P39" i="9"/>
  <c r="K58" i="1"/>
  <c r="H39" i="1" l="1"/>
  <c r="I39" i="1" s="1"/>
  <c r="J39" i="1" s="1"/>
  <c r="K39" i="1" s="1"/>
  <c r="L39" i="1" s="1"/>
  <c r="M39" i="1" s="1"/>
  <c r="N39" i="1" s="1"/>
  <c r="O39" i="1" s="1"/>
  <c r="G59" i="1"/>
  <c r="D40" i="1"/>
  <c r="O59" i="1"/>
  <c r="D60" i="10"/>
  <c r="E40" i="10"/>
  <c r="E40" i="9"/>
  <c r="D60" i="9"/>
  <c r="L58" i="1"/>
  <c r="E60" i="10" l="1"/>
  <c r="F40" i="10"/>
  <c r="F40" i="9"/>
  <c r="E60" i="9"/>
  <c r="M58" i="1"/>
  <c r="G40" i="10" l="1"/>
  <c r="F60" i="10"/>
  <c r="F60" i="9"/>
  <c r="G40" i="9"/>
  <c r="N58" i="1"/>
  <c r="H40" i="10" l="1"/>
  <c r="G60" i="10"/>
  <c r="G60" i="9"/>
  <c r="H40" i="9"/>
  <c r="O58" i="1"/>
  <c r="P58" i="1" s="1"/>
  <c r="Q58" i="1" s="1"/>
  <c r="H60" i="10" l="1"/>
  <c r="I40" i="10"/>
  <c r="I40" i="9"/>
  <c r="H60" i="9"/>
  <c r="E59" i="1"/>
  <c r="I60" i="10" l="1"/>
  <c r="J40" i="10"/>
  <c r="J40" i="9"/>
  <c r="I60" i="9"/>
  <c r="F59" i="1"/>
  <c r="K40" i="10" l="1"/>
  <c r="J60" i="10"/>
  <c r="J60" i="9"/>
  <c r="K40" i="9"/>
  <c r="L40" i="10" l="1"/>
  <c r="K60" i="10"/>
  <c r="K60" i="9"/>
  <c r="L40" i="9"/>
  <c r="H59" i="1"/>
  <c r="L60" i="10" l="1"/>
  <c r="M40" i="10"/>
  <c r="M40" i="9"/>
  <c r="L60" i="9"/>
  <c r="I59" i="1"/>
  <c r="M60" i="10" l="1"/>
  <c r="N40" i="10"/>
  <c r="N40" i="9"/>
  <c r="M60" i="9"/>
  <c r="J59" i="1"/>
  <c r="O40" i="10" l="1"/>
  <c r="N60" i="10"/>
  <c r="N60" i="9"/>
  <c r="O40" i="9"/>
  <c r="K59" i="1"/>
  <c r="P40" i="10" l="1"/>
  <c r="O60" i="10"/>
  <c r="P60" i="10" s="1"/>
  <c r="D8" i="12" s="1"/>
  <c r="D41" i="10"/>
  <c r="O60" i="9"/>
  <c r="P60" i="9" s="1"/>
  <c r="C8" i="12" s="1"/>
  <c r="D41" i="9"/>
  <c r="P40" i="9"/>
  <c r="L59" i="1"/>
  <c r="D61" i="10" l="1"/>
  <c r="E41" i="10"/>
  <c r="E41" i="9"/>
  <c r="D61" i="9"/>
  <c r="M59" i="1"/>
  <c r="F41" i="10" l="1"/>
  <c r="E61" i="10"/>
  <c r="E61" i="9"/>
  <c r="F41" i="9"/>
  <c r="N59" i="1"/>
  <c r="P59" i="1" s="1"/>
  <c r="E7" i="12" l="1"/>
  <c r="Q59" i="1"/>
  <c r="G41" i="10"/>
  <c r="F61" i="10"/>
  <c r="F61" i="9"/>
  <c r="G41" i="9"/>
  <c r="P39" i="1"/>
  <c r="E40" i="1"/>
  <c r="F40" i="1" s="1"/>
  <c r="G40" i="1" s="1"/>
  <c r="H40" i="1" s="1"/>
  <c r="I40" i="1" s="1"/>
  <c r="J40" i="1" s="1"/>
  <c r="K40" i="1" s="1"/>
  <c r="L40" i="1" s="1"/>
  <c r="M40" i="1" s="1"/>
  <c r="N40" i="1" s="1"/>
  <c r="O40" i="1" s="1"/>
  <c r="D41" i="1" s="1"/>
  <c r="G61" i="10" l="1"/>
  <c r="H41" i="10"/>
  <c r="H41" i="9"/>
  <c r="G61" i="9"/>
  <c r="D60" i="1"/>
  <c r="H61" i="10" l="1"/>
  <c r="I41" i="10"/>
  <c r="I41" i="9"/>
  <c r="H61" i="9"/>
  <c r="E60" i="1"/>
  <c r="J41" i="10" l="1"/>
  <c r="I61" i="10"/>
  <c r="I61" i="9"/>
  <c r="J41" i="9"/>
  <c r="F60" i="1"/>
  <c r="K41" i="10" l="1"/>
  <c r="J61" i="10"/>
  <c r="J61" i="9"/>
  <c r="K41" i="9"/>
  <c r="G60" i="1"/>
  <c r="K61" i="10" l="1"/>
  <c r="L41" i="10"/>
  <c r="L41" i="9"/>
  <c r="K61" i="9"/>
  <c r="H60" i="1"/>
  <c r="L61" i="10" l="1"/>
  <c r="M41" i="10"/>
  <c r="M41" i="9"/>
  <c r="L61" i="9"/>
  <c r="I60" i="1"/>
  <c r="N41" i="10" l="1"/>
  <c r="M61" i="10"/>
  <c r="M61" i="9"/>
  <c r="N41" i="9"/>
  <c r="J60" i="1"/>
  <c r="O41" i="10" l="1"/>
  <c r="N61" i="10"/>
  <c r="N61" i="9"/>
  <c r="O41" i="9"/>
  <c r="K60" i="1"/>
  <c r="O61" i="10" l="1"/>
  <c r="P61" i="10" s="1"/>
  <c r="D9" i="12" s="1"/>
  <c r="D42" i="10"/>
  <c r="P41" i="10"/>
  <c r="D42" i="9"/>
  <c r="P41" i="9"/>
  <c r="O61" i="9"/>
  <c r="P61" i="9" s="1"/>
  <c r="C9" i="12" s="1"/>
  <c r="L60" i="1"/>
  <c r="E42" i="10" l="1"/>
  <c r="D62" i="10"/>
  <c r="D62" i="9"/>
  <c r="E42" i="9"/>
  <c r="M60" i="1"/>
  <c r="F42" i="10" l="1"/>
  <c r="E62" i="10"/>
  <c r="E62" i="9"/>
  <c r="F42" i="9"/>
  <c r="N60" i="1"/>
  <c r="F62" i="10" l="1"/>
  <c r="G42" i="10"/>
  <c r="G42" i="9"/>
  <c r="F62" i="9"/>
  <c r="O60" i="1"/>
  <c r="P60" i="1" s="1"/>
  <c r="P40" i="1"/>
  <c r="E41" i="1"/>
  <c r="F41" i="1" s="1"/>
  <c r="G41" i="1" s="1"/>
  <c r="H41" i="1" s="1"/>
  <c r="I41" i="1" s="1"/>
  <c r="J41" i="1" s="1"/>
  <c r="K41" i="1" s="1"/>
  <c r="L41" i="1" s="1"/>
  <c r="M41" i="1" s="1"/>
  <c r="N41" i="1" s="1"/>
  <c r="O41" i="1" s="1"/>
  <c r="D42" i="1" s="1"/>
  <c r="E8" i="12" l="1"/>
  <c r="Q60" i="1"/>
  <c r="G62" i="10"/>
  <c r="H42" i="10"/>
  <c r="H42" i="9"/>
  <c r="G62" i="9"/>
  <c r="D61" i="1"/>
  <c r="I42" i="10" l="1"/>
  <c r="H62" i="10"/>
  <c r="H62" i="9"/>
  <c r="I42" i="9"/>
  <c r="E61" i="1"/>
  <c r="J42" i="10" l="1"/>
  <c r="I62" i="10"/>
  <c r="I62" i="9"/>
  <c r="J42" i="9"/>
  <c r="F61" i="1"/>
  <c r="J62" i="10" l="1"/>
  <c r="K42" i="10"/>
  <c r="K42" i="9"/>
  <c r="J62" i="9"/>
  <c r="G61" i="1"/>
  <c r="K62" i="10" l="1"/>
  <c r="L42" i="10"/>
  <c r="L42" i="9"/>
  <c r="K62" i="9"/>
  <c r="H61" i="1"/>
  <c r="M42" i="10" l="1"/>
  <c r="L62" i="10"/>
  <c r="L62" i="9"/>
  <c r="M42" i="9"/>
  <c r="I61" i="1"/>
  <c r="N42" i="10" l="1"/>
  <c r="M62" i="10"/>
  <c r="M62" i="9"/>
  <c r="N42" i="9"/>
  <c r="J61" i="1"/>
  <c r="N62" i="10" l="1"/>
  <c r="O42" i="10"/>
  <c r="O42" i="9"/>
  <c r="N62" i="9"/>
  <c r="K61" i="1"/>
  <c r="O62" i="10" l="1"/>
  <c r="P62" i="10" s="1"/>
  <c r="D10" i="12" s="1"/>
  <c r="D43" i="10"/>
  <c r="P42" i="10"/>
  <c r="P42" i="9"/>
  <c r="O62" i="9"/>
  <c r="P62" i="9" s="1"/>
  <c r="C10" i="12" s="1"/>
  <c r="D43" i="9"/>
  <c r="L61" i="1"/>
  <c r="E43" i="10" l="1"/>
  <c r="D63" i="10"/>
  <c r="D63" i="9"/>
  <c r="E43" i="9"/>
  <c r="M61" i="1"/>
  <c r="E63" i="10" l="1"/>
  <c r="F43" i="10"/>
  <c r="F43" i="9"/>
  <c r="E63" i="9"/>
  <c r="N61" i="1"/>
  <c r="F63" i="10" l="1"/>
  <c r="G43" i="10"/>
  <c r="G43" i="9"/>
  <c r="F63" i="9"/>
  <c r="O61" i="1"/>
  <c r="P61" i="1" s="1"/>
  <c r="E42" i="1"/>
  <c r="F42" i="1" s="1"/>
  <c r="G42" i="1" s="1"/>
  <c r="H42" i="1" s="1"/>
  <c r="I42" i="1" s="1"/>
  <c r="J42" i="1" s="1"/>
  <c r="K42" i="1" s="1"/>
  <c r="L42" i="1" s="1"/>
  <c r="M42" i="1" s="1"/>
  <c r="N42" i="1" s="1"/>
  <c r="O42" i="1" s="1"/>
  <c r="D43" i="1" s="1"/>
  <c r="P41" i="1"/>
  <c r="E9" i="12" l="1"/>
  <c r="Q61" i="1"/>
  <c r="H43" i="10"/>
  <c r="G63" i="10"/>
  <c r="G63" i="9"/>
  <c r="H43" i="9"/>
  <c r="D62" i="1"/>
  <c r="I43" i="10" l="1"/>
  <c r="H63" i="10"/>
  <c r="H63" i="9"/>
  <c r="I43" i="9"/>
  <c r="E62" i="1"/>
  <c r="I63" i="10" l="1"/>
  <c r="J43" i="10"/>
  <c r="J43" i="9"/>
  <c r="I63" i="9"/>
  <c r="F62" i="1"/>
  <c r="J63" i="10" l="1"/>
  <c r="K43" i="10"/>
  <c r="K43" i="9"/>
  <c r="J63" i="9"/>
  <c r="G62" i="1"/>
  <c r="L43" i="10" l="1"/>
  <c r="K63" i="10"/>
  <c r="K63" i="9"/>
  <c r="L43" i="9"/>
  <c r="H62" i="1"/>
  <c r="M43" i="10" l="1"/>
  <c r="L63" i="10"/>
  <c r="L63" i="9"/>
  <c r="M43" i="9"/>
  <c r="I62" i="1"/>
  <c r="M63" i="10" l="1"/>
  <c r="N43" i="10"/>
  <c r="N43" i="9"/>
  <c r="M63" i="9"/>
  <c r="J62" i="1"/>
  <c r="N63" i="10" l="1"/>
  <c r="O43" i="10"/>
  <c r="O43" i="9"/>
  <c r="N63" i="9"/>
  <c r="K62" i="1"/>
  <c r="D44" i="10" l="1"/>
  <c r="P43" i="10"/>
  <c r="O63" i="10"/>
  <c r="P63" i="10" s="1"/>
  <c r="D11" i="12" s="1"/>
  <c r="O63" i="9"/>
  <c r="P63" i="9" s="1"/>
  <c r="C11" i="12" s="1"/>
  <c r="D44" i="9"/>
  <c r="P43" i="9"/>
  <c r="L62" i="1"/>
  <c r="D64" i="10" l="1"/>
  <c r="E44" i="10"/>
  <c r="E44" i="9"/>
  <c r="D64" i="9"/>
  <c r="M62" i="1"/>
  <c r="E64" i="10" l="1"/>
  <c r="F44" i="10"/>
  <c r="F44" i="9"/>
  <c r="E64" i="9"/>
  <c r="N62" i="1"/>
  <c r="G44" i="10" l="1"/>
  <c r="F64" i="10"/>
  <c r="F64" i="9"/>
  <c r="G44" i="9"/>
  <c r="E43" i="1"/>
  <c r="F43" i="1" s="1"/>
  <c r="G43" i="1" s="1"/>
  <c r="H43" i="1" s="1"/>
  <c r="I43" i="1" s="1"/>
  <c r="J43" i="1" s="1"/>
  <c r="K43" i="1" s="1"/>
  <c r="L43" i="1" s="1"/>
  <c r="M43" i="1" s="1"/>
  <c r="N43" i="1" s="1"/>
  <c r="O43" i="1" s="1"/>
  <c r="D44" i="1" s="1"/>
  <c r="P42" i="1"/>
  <c r="O62" i="1"/>
  <c r="P62" i="1" s="1"/>
  <c r="E10" i="12" l="1"/>
  <c r="Q62" i="1"/>
  <c r="H44" i="10"/>
  <c r="G64" i="10"/>
  <c r="G64" i="9"/>
  <c r="H44" i="9"/>
  <c r="D63" i="1"/>
  <c r="H64" i="10" l="1"/>
  <c r="I44" i="10"/>
  <c r="I44" i="9"/>
  <c r="H64" i="9"/>
  <c r="E63" i="1"/>
  <c r="I64" i="10" l="1"/>
  <c r="J44" i="10"/>
  <c r="J44" i="9"/>
  <c r="I64" i="9"/>
  <c r="F63" i="1"/>
  <c r="K44" i="10" l="1"/>
  <c r="J64" i="10"/>
  <c r="J64" i="9"/>
  <c r="K44" i="9"/>
  <c r="G63" i="1"/>
  <c r="L44" i="10" l="1"/>
  <c r="K64" i="10"/>
  <c r="K64" i="9"/>
  <c r="L44" i="9"/>
  <c r="H63" i="1"/>
  <c r="L64" i="10" l="1"/>
  <c r="M44" i="10"/>
  <c r="M44" i="9"/>
  <c r="L64" i="9"/>
  <c r="I63" i="1"/>
  <c r="M64" i="10" l="1"/>
  <c r="N44" i="10"/>
  <c r="N44" i="9"/>
  <c r="M64" i="9"/>
  <c r="J63" i="1"/>
  <c r="O44" i="10" l="1"/>
  <c r="N64" i="10"/>
  <c r="N64" i="9"/>
  <c r="O44" i="9"/>
  <c r="K63" i="1"/>
  <c r="P44" i="10" l="1"/>
  <c r="O64" i="10"/>
  <c r="P64" i="10" s="1"/>
  <c r="D12" i="12" s="1"/>
  <c r="D45" i="10"/>
  <c r="O64" i="9"/>
  <c r="P64" i="9" s="1"/>
  <c r="C12" i="12" s="1"/>
  <c r="D45" i="9"/>
  <c r="P44" i="9"/>
  <c r="L63" i="1"/>
  <c r="D65" i="10" l="1"/>
  <c r="E45" i="10"/>
  <c r="E45" i="9"/>
  <c r="D65" i="9"/>
  <c r="M63" i="1"/>
  <c r="F45" i="10" l="1"/>
  <c r="E65" i="10"/>
  <c r="E65" i="9"/>
  <c r="F45" i="9"/>
  <c r="N63" i="1"/>
  <c r="G45" i="10" l="1"/>
  <c r="F65" i="10"/>
  <c r="F65" i="9"/>
  <c r="G45" i="9"/>
  <c r="P43" i="1"/>
  <c r="E44" i="1"/>
  <c r="F44" i="1" s="1"/>
  <c r="G44" i="1" s="1"/>
  <c r="H44" i="1" s="1"/>
  <c r="I44" i="1" s="1"/>
  <c r="J44" i="1" s="1"/>
  <c r="K44" i="1" s="1"/>
  <c r="L44" i="1" s="1"/>
  <c r="M44" i="1" s="1"/>
  <c r="N44" i="1" s="1"/>
  <c r="O44" i="1" s="1"/>
  <c r="D45" i="1" s="1"/>
  <c r="O63" i="1"/>
  <c r="P63" i="1" s="1"/>
  <c r="E11" i="12" l="1"/>
  <c r="Q63" i="1"/>
  <c r="G65" i="10"/>
  <c r="H45" i="10"/>
  <c r="H45" i="9"/>
  <c r="G65" i="9"/>
  <c r="D64" i="1"/>
  <c r="H65" i="10" l="1"/>
  <c r="I45" i="10"/>
  <c r="I45" i="9"/>
  <c r="H65" i="9"/>
  <c r="E64" i="1"/>
  <c r="J45" i="10" l="1"/>
  <c r="I65" i="10"/>
  <c r="I65" i="9"/>
  <c r="J45" i="9"/>
  <c r="F64" i="1"/>
  <c r="K45" i="10" l="1"/>
  <c r="J65" i="10"/>
  <c r="J65" i="9"/>
  <c r="K45" i="9"/>
  <c r="G64" i="1"/>
  <c r="K65" i="10" l="1"/>
  <c r="L45" i="10"/>
  <c r="L45" i="9"/>
  <c r="K65" i="9"/>
  <c r="H64" i="1"/>
  <c r="L65" i="10" l="1"/>
  <c r="M45" i="10"/>
  <c r="M45" i="9"/>
  <c r="L65" i="9"/>
  <c r="I64" i="1"/>
  <c r="N45" i="10" l="1"/>
  <c r="M65" i="10"/>
  <c r="M65" i="9"/>
  <c r="N45" i="9"/>
  <c r="J64" i="1"/>
  <c r="O45" i="10" l="1"/>
  <c r="N65" i="10"/>
  <c r="N65" i="9"/>
  <c r="O45" i="9"/>
  <c r="K64" i="1"/>
  <c r="O65" i="10" l="1"/>
  <c r="P65" i="10" s="1"/>
  <c r="P45" i="10"/>
  <c r="P45" i="9"/>
  <c r="O65" i="9"/>
  <c r="P65" i="9" s="1"/>
  <c r="L64" i="1"/>
  <c r="P69" i="9" l="1"/>
  <c r="C13" i="12"/>
  <c r="P69" i="10"/>
  <c r="D13" i="12"/>
  <c r="P71" i="10"/>
  <c r="P71" i="9"/>
  <c r="M64" i="1"/>
  <c r="D16" i="12" l="1"/>
  <c r="D14" i="12"/>
  <c r="C14" i="12"/>
  <c r="C16" i="12"/>
  <c r="N64" i="1"/>
  <c r="O64" i="1" l="1"/>
  <c r="P64" i="1" s="1"/>
  <c r="P44" i="1"/>
  <c r="E12" i="12" l="1"/>
  <c r="Q64" i="1"/>
  <c r="E45" i="1"/>
  <c r="F45" i="1" s="1"/>
  <c r="G45" i="1" s="1"/>
  <c r="H45" i="1" s="1"/>
  <c r="I45" i="1" s="1"/>
  <c r="J45" i="1" s="1"/>
  <c r="K45" i="1" s="1"/>
  <c r="L45" i="1" s="1"/>
  <c r="M45" i="1" s="1"/>
  <c r="N45" i="1" s="1"/>
  <c r="O45" i="1" s="1"/>
  <c r="D65" i="1"/>
  <c r="E65" i="1" l="1"/>
  <c r="F65" i="1" l="1"/>
  <c r="G65" i="1" l="1"/>
  <c r="H65" i="1" l="1"/>
  <c r="I65" i="1" l="1"/>
  <c r="J65" i="1" l="1"/>
  <c r="K65" i="1" l="1"/>
  <c r="L65" i="1" l="1"/>
  <c r="P45" i="1" l="1"/>
  <c r="B52" i="11" s="1"/>
  <c r="M65" i="1"/>
  <c r="N65" i="1" l="1"/>
  <c r="O65" i="1" l="1"/>
  <c r="P65" i="1" s="1"/>
  <c r="E13" i="12" l="1"/>
  <c r="Q65" i="1"/>
  <c r="P70" i="1" s="1"/>
  <c r="P72" i="1"/>
  <c r="P71" i="1"/>
  <c r="P69" i="1"/>
  <c r="Q70" i="1" l="1"/>
  <c r="E14" i="12"/>
  <c r="E16" i="12"/>
</calcChain>
</file>

<file path=xl/sharedStrings.xml><?xml version="1.0" encoding="utf-8"?>
<sst xmlns="http://schemas.openxmlformats.org/spreadsheetml/2006/main" count="757" uniqueCount="507">
  <si>
    <t>IMPROVED JIKOS – BETTER LIVING FOR RURAL POPULATION (GS 2457)</t>
  </si>
  <si>
    <t>Emission reduction according to projected monthly stove dissemination and operation</t>
  </si>
  <si>
    <t>Version:</t>
  </si>
  <si>
    <t>Date of file:</t>
  </si>
  <si>
    <t>ER per stove per month</t>
  </si>
  <si>
    <t>tCO2/stove/month</t>
  </si>
  <si>
    <t>Stoves Sales/Instalation</t>
  </si>
  <si>
    <t>Jan</t>
  </si>
  <si>
    <t>Feb</t>
  </si>
  <si>
    <t>Mar</t>
  </si>
  <si>
    <t>April</t>
  </si>
  <si>
    <t>May</t>
  </si>
  <si>
    <t>June</t>
  </si>
  <si>
    <t>July</t>
  </si>
  <si>
    <t>Aug</t>
  </si>
  <si>
    <t>Sep</t>
  </si>
  <si>
    <t>Oct</t>
  </si>
  <si>
    <t>Nov</t>
  </si>
  <si>
    <t>Dec</t>
  </si>
  <si>
    <t>Total</t>
  </si>
  <si>
    <t>TOTAL</t>
  </si>
  <si>
    <t>Cummulative Monthly Stoves in Operation</t>
  </si>
  <si>
    <t>Project Emission Reduction (tCO2)</t>
  </si>
  <si>
    <t>Annual ER (tCO2e)</t>
  </si>
  <si>
    <t>Item</t>
  </si>
  <si>
    <t>Unit</t>
  </si>
  <si>
    <t>Value</t>
  </si>
  <si>
    <t>Source</t>
  </si>
  <si>
    <t>Project Technology Days (N)</t>
  </si>
  <si>
    <t>days</t>
  </si>
  <si>
    <t># Days per Year</t>
  </si>
  <si>
    <t>Cumulative Usage Rate (U)</t>
  </si>
  <si>
    <t>fraction</t>
  </si>
  <si>
    <t>Usage Survey 2019</t>
  </si>
  <si>
    <t>Fuel Savings (P)</t>
  </si>
  <si>
    <t>t wood/day-stove</t>
  </si>
  <si>
    <t>calculated from PFT 2019</t>
  </si>
  <si>
    <t>Non-renewable biomass fraction</t>
  </si>
  <si>
    <t>Net Caloric Value*</t>
  </si>
  <si>
    <t>TJ/t wood</t>
  </si>
  <si>
    <t>n.a</t>
  </si>
  <si>
    <t>EF wood, CO2</t>
  </si>
  <si>
    <t>tCO2e/t wood</t>
  </si>
  <si>
    <t>EF wood, nonCO2</t>
  </si>
  <si>
    <t>Leakage LE</t>
  </si>
  <si>
    <t>tCO2e/t year</t>
  </si>
  <si>
    <t>PDD</t>
  </si>
  <si>
    <t>Total ER (tCO2e/year-stove)</t>
  </si>
  <si>
    <t>Total BE (tO2e/year-stove)</t>
  </si>
  <si>
    <t>Total PE (tCO2e/year-stove</t>
  </si>
  <si>
    <t>Baseline fuel consumption</t>
  </si>
  <si>
    <t>source</t>
  </si>
  <si>
    <t>Wood combusted</t>
  </si>
  <si>
    <t>t/year/stove</t>
  </si>
  <si>
    <t>t/day/stove</t>
  </si>
  <si>
    <t>calculated</t>
  </si>
  <si>
    <t>Project fuel consumption</t>
  </si>
  <si>
    <t>KPT 2019</t>
  </si>
  <si>
    <t>Fuel Savings</t>
  </si>
  <si>
    <t>Wood savings</t>
  </si>
  <si>
    <t>Emission factors</t>
  </si>
  <si>
    <t>item</t>
  </si>
  <si>
    <t>value</t>
  </si>
  <si>
    <t>EF wood (tCO2e/TJ)</t>
  </si>
  <si>
    <t>NCV wood (TJ/ton fuel)</t>
  </si>
  <si>
    <t>EF wood (tCO2e/t fuel)</t>
  </si>
  <si>
    <t>CH4 emission factor</t>
  </si>
  <si>
    <t>EF wood (tCH4/TJ)</t>
  </si>
  <si>
    <t>wood tCO2e/TJ</t>
  </si>
  <si>
    <t>EF wood tCO2e/t fuel</t>
  </si>
  <si>
    <t>N2O emission factor</t>
  </si>
  <si>
    <t>wood tN2O/TJ</t>
  </si>
  <si>
    <t>wood TJ/ton fuel</t>
  </si>
  <si>
    <t>non-CO2 emission factor for wood</t>
  </si>
  <si>
    <t>Updated version for the Design Certification Renewal 2020</t>
  </si>
  <si>
    <t>V03 (Updated version for the Design Certification Renewal 2020)</t>
  </si>
  <si>
    <t>* If EF is in units of tCO2/t_fuel, remove NCV term from emission calculations. This has same value as NCVbaseline in projects which reduce use of the same fuel. (Gold Standard Methodology Technologies and Practices to Displace Decentralized Thermal Energy Consumption, vers. 1.3 August 2017)</t>
  </si>
  <si>
    <t>CO2 emission factor for wood (EF wood)</t>
  </si>
  <si>
    <t>IPCC 2006, Volume 2 "Energy", Chapter 1, Table 2.5</t>
  </si>
  <si>
    <t>IPCC 2006, Volume 2 "Energy", Chapter 1, Table 1.2</t>
  </si>
  <si>
    <t>IPCC 2006 default (CH4 + N2O), see below</t>
  </si>
  <si>
    <t>IPCC 2006 default, see below</t>
  </si>
  <si>
    <t>GWP 100-yr N2O</t>
  </si>
  <si>
    <t>GWP 100-yr CH4</t>
  </si>
  <si>
    <t>Updated: 14.10.2020</t>
  </si>
  <si>
    <t>Emission reducation calculations according to GS Methodology "Technologies and Practices to Displace Decentralized Thermal Energy Consumption" (Vers. 3.1 Aug 2017)</t>
  </si>
  <si>
    <t>GWP from the Working Group 1 to the Fifth Assessment Report of IPCC, Chapter 8, Appendix 8.A, Table 8.A.1 https://www.ipcc.ch/site/assets/uploads/2018/02/WG1AR5_Chapter08_FINAL.pdf and Gold Standard Rule Update 27/10/2020 https://globalgoals.goldstandard.org/applicability-of-global-warming-potential-for-gold-standard-for-the-global-goals-projects/</t>
  </si>
  <si>
    <t xml:space="preserve">fNRB </t>
  </si>
  <si>
    <t xml:space="preserve">fNRB in % </t>
  </si>
  <si>
    <t xml:space="preserve">NRB </t>
  </si>
  <si>
    <t>NRB in ton/year</t>
  </si>
  <si>
    <t>ASSUMPTIONS</t>
  </si>
  <si>
    <t>Parameter</t>
  </si>
  <si>
    <t xml:space="preserve">Value </t>
  </si>
  <si>
    <t xml:space="preserve">Data Unit </t>
  </si>
  <si>
    <t>Data Source</t>
  </si>
  <si>
    <t xml:space="preserve">Calculated </t>
  </si>
  <si>
    <t xml:space="preserve">H (Total annual consumption of wood) </t>
  </si>
  <si>
    <t>t/year</t>
  </si>
  <si>
    <t xml:space="preserve">Overall consumption of woody biomass (H) in million ton </t>
  </si>
  <si>
    <t>EXTENT OF FOREST AND OTHER WOODED LAND</t>
  </si>
  <si>
    <t>ha</t>
  </si>
  <si>
    <t>MAI</t>
  </si>
  <si>
    <t>m3/ha/year</t>
  </si>
  <si>
    <t>Renewable Biomass (RB) in million t/year</t>
  </si>
  <si>
    <t>Renewable Biomass (RB) in t/year</t>
  </si>
  <si>
    <t xml:space="preserve">A MAI of 0.08 m3/ha/year has been assumed for 100% of other land. To take 100% of other lands is conservative, since only a certain proportion of other lands provide supply of woody biomass. The MAI of 0.08 m3/ha/year has been sourced from GTZ Eastern Africa Online Resource Base (https://energypedia.info/wiki/Biomass_Energy_Resources_in_Kenya) and is the one for grasslands. </t>
  </si>
  <si>
    <t>t/ha/year</t>
  </si>
  <si>
    <t>NON ACCESSIBLE AREAS (PROTECTED AREAS)</t>
  </si>
  <si>
    <t>RB (Renewable biomass)</t>
  </si>
  <si>
    <t>Charcoal conversion factor
(Data source: Default IPCC value taken from https://www.ipcc-nggip.iges.or.jp/public/gl/guidelin/ch1ref3.pdf
(page 1.45) for conversion factor from charcoal to fuelwood)</t>
  </si>
  <si>
    <r>
      <t>Using available forest sector values, (</t>
    </r>
    <r>
      <rPr>
        <b/>
        <sz val="12"/>
        <color theme="1"/>
        <rFont val="Calibri"/>
        <family val="2"/>
        <scheme val="minor"/>
      </rPr>
      <t>excluding</t>
    </r>
    <r>
      <rPr>
        <sz val="12"/>
        <color theme="1"/>
        <rFont val="Calibri"/>
        <family val="2"/>
        <scheme val="minor"/>
      </rPr>
      <t xml:space="preserve"> TIproject/forest and non-forest areas or which products or by-products are not available for meeting thermal uses as per CDM Methodological Tool TOOL30 "Calculation of the fraction of non-renewable
biomass" vers. 01.0),  </t>
    </r>
    <r>
      <rPr>
        <b/>
        <sz val="12"/>
        <color theme="1"/>
        <rFont val="Calibri"/>
        <family val="2"/>
        <scheme val="minor"/>
      </rPr>
      <t>discounting protected areas</t>
    </r>
    <r>
      <rPr>
        <sz val="12"/>
        <color theme="1"/>
        <rFont val="Calibri"/>
        <family val="2"/>
        <scheme val="minor"/>
      </rPr>
      <t xml:space="preserve"> (using PROTECTED PLANET data https://www.protectedplanet.net) </t>
    </r>
  </si>
  <si>
    <t>Global Forest Resources Assessment 2020, Country Report Kenya, page 13, FRA Categories</t>
  </si>
  <si>
    <t>Source of the graphic: Global Forest Resources Assessment 2020, Country Report Kenya, page 9, http://www.fao.org/forest-resources-assessment/fra-2020/country-reports/en/</t>
  </si>
  <si>
    <t>Global Forest Resources Assessment 2020, Country Report Kenya, page 13, FRA Categories (http://www.fao.org/forest-resources-assessment/fra-2020/country-reports/en/)</t>
  </si>
  <si>
    <t>Forest (in 2020) [Fforest]</t>
  </si>
  <si>
    <t>Other wooded land (in 2020) [Fland,wooded]</t>
  </si>
  <si>
    <t>Other land (in 2020) [Fland,other]</t>
  </si>
  <si>
    <t xml:space="preserve">Average value from closed forest (1.3 m3/ha/year), woodlands (0.64 m3/ha/year); and bushlands (0.44 m3/ha/year) since all are considered to have a canopy cover of at least 40%, hence are considered as forest as per Kenya's DNA forest definition (https://cdm.unfccc.int/DNA/index.html --&gt; Kenya) 
Data Source: GTZ Eastern Africa Online Resource Base (https://energypedia.info/wiki/Biomass_Energy_Resources_in_Kenya) </t>
  </si>
  <si>
    <t xml:space="preserve">For other wooded lands the value for wooded grasslands (0.25 m3/ha/year) as indicated in 'Energypedia' is used. Wooded grasslands are described as areas with a 10-40% woody vegetation cover, hence predominantly fall under 'other wooded land' as per Kenya's DNA forest definition (https://cdm.unfccc.int/DNA/index.html --&gt; Kenya); 
Data Source: GTZ Eastern Africa Online Resource Base (https://energypedia.info/wiki/Biomass_Energy_Resources_in_Kenya) </t>
  </si>
  <si>
    <t>Tropical Africa</t>
  </si>
  <si>
    <t>Densities (t/m3)</t>
  </si>
  <si>
    <t>Data Source: http://www.fao.org/3/W4095E/w4095e0c.htm</t>
  </si>
  <si>
    <t>Afzelia bipindensis</t>
  </si>
  <si>
    <t>Afzelia pachyloba</t>
  </si>
  <si>
    <t>Afzelia spp.</t>
  </si>
  <si>
    <t>Aidia ochroleuca</t>
  </si>
  <si>
    <t>Albizia ferruginea</t>
  </si>
  <si>
    <t>Albizia glaberrima</t>
  </si>
  <si>
    <t>Albizia gummifera</t>
  </si>
  <si>
    <t>Albizia spp.</t>
  </si>
  <si>
    <t>Albizia zygia</t>
  </si>
  <si>
    <t>Allanblackia floribunda</t>
  </si>
  <si>
    <t>Allophyllus africanus f. acuminatus</t>
  </si>
  <si>
    <t>Alstonia congensis</t>
  </si>
  <si>
    <t>Amphimas ferrugineus</t>
  </si>
  <si>
    <t>Amphimas pterocarpoides</t>
  </si>
  <si>
    <t>Anisophyllea obtusifolia</t>
  </si>
  <si>
    <t>Annonidium mannii</t>
  </si>
  <si>
    <t>Anopyxis klaineana</t>
  </si>
  <si>
    <t>Anthocleista keniensis</t>
  </si>
  <si>
    <t>Anthonotha macrophylla</t>
  </si>
  <si>
    <t>Anthostemma aubryanum</t>
  </si>
  <si>
    <t>Antiaris africana</t>
  </si>
  <si>
    <t>Antiaris spp.</t>
  </si>
  <si>
    <t>Antrocaryon klaineanum</t>
  </si>
  <si>
    <t>Aucoumea klaineana</t>
  </si>
  <si>
    <t>Autranella congolensis</t>
  </si>
  <si>
    <t>Baillonella toxisperma</t>
  </si>
  <si>
    <t>Balanites aegyptiaca</t>
  </si>
  <si>
    <t>Baphia kirkii</t>
  </si>
  <si>
    <t>Beilschmiedia corbisieri</t>
  </si>
  <si>
    <t>Beilschmiedia diversiflora</t>
  </si>
  <si>
    <t>Beilschmiedia kweo</t>
  </si>
  <si>
    <t>Beilschmiedia louisii</t>
  </si>
  <si>
    <t>Beilschmiedia membranifolia</t>
  </si>
  <si>
    <t>Beilschmiedia nitida</t>
  </si>
  <si>
    <t>Berlinia bracteosa</t>
  </si>
  <si>
    <t>Berlinia confusa</t>
  </si>
  <si>
    <t>Berlinia spp.</t>
  </si>
  <si>
    <t>Blighia welwitschii</t>
  </si>
  <si>
    <t>Bombax buonopozense</t>
  </si>
  <si>
    <t>Bombax chevalieri</t>
  </si>
  <si>
    <t>Bombax rhodognaphalon</t>
  </si>
  <si>
    <t>Bombax spp.</t>
  </si>
  <si>
    <t>Brachystegia cynometroides</t>
  </si>
  <si>
    <t>Brachystegia laurentii</t>
  </si>
  <si>
    <t>Brachystegia mildbraedii</t>
  </si>
  <si>
    <t>Brachystegia spp.</t>
  </si>
  <si>
    <t>Bridelia grandis</t>
  </si>
  <si>
    <t>Bridelia micrantha</t>
  </si>
  <si>
    <t>Calpocalyx heitzii</t>
  </si>
  <si>
    <t>Calpocalyx klainei</t>
  </si>
  <si>
    <t>Canarium schweinfurthii</t>
  </si>
  <si>
    <t>Canthium rubrocostratum</t>
  </si>
  <si>
    <t>Carapa procera</t>
  </si>
  <si>
    <t>Casearia battiscombei</t>
  </si>
  <si>
    <t>Cassipourea euryoides</t>
  </si>
  <si>
    <t>Cassipourea malosana</t>
  </si>
  <si>
    <t>Ceiba pentandra</t>
  </si>
  <si>
    <t>Celtis brieyi</t>
  </si>
  <si>
    <t>Celtis mildbraedii</t>
  </si>
  <si>
    <t>Celtis spp.</t>
  </si>
  <si>
    <t>Celtis zenkeri</t>
  </si>
  <si>
    <t>Chlorophora excelsa</t>
  </si>
  <si>
    <t>Chrysophyllum albidum</t>
  </si>
  <si>
    <t>Cleistanthus mildbraedii</t>
  </si>
  <si>
    <t>Cleistopholis patens</t>
  </si>
  <si>
    <t>Coelocaryon preussii</t>
  </si>
  <si>
    <t>Cola cordifolia</t>
  </si>
  <si>
    <t>Cola gigantea</t>
  </si>
  <si>
    <t>Cola gigantea var. glabrescens</t>
  </si>
  <si>
    <t>Cola natalensis</t>
  </si>
  <si>
    <t>Cola sp.</t>
  </si>
  <si>
    <t>Combretodendron macrocarpum</t>
  </si>
  <si>
    <t>Conopharyngia holstii</t>
  </si>
  <si>
    <r>
      <t>Copaifera</t>
    </r>
    <r>
      <rPr>
        <sz val="10"/>
        <color theme="1"/>
        <rFont val="Arial"/>
        <family val="2"/>
      </rPr>
      <t> </t>
    </r>
    <r>
      <rPr>
        <i/>
        <sz val="10"/>
        <color theme="1"/>
        <rFont val="Arial"/>
        <family val="2"/>
      </rPr>
      <t>mildbraedii</t>
    </r>
  </si>
  <si>
    <r>
      <t>Copaifera</t>
    </r>
    <r>
      <rPr>
        <sz val="10"/>
        <color theme="1"/>
        <rFont val="Arial"/>
        <family val="2"/>
      </rPr>
      <t> </t>
    </r>
    <r>
      <rPr>
        <i/>
        <sz val="10"/>
        <color theme="1"/>
        <rFont val="Arial"/>
        <family val="2"/>
      </rPr>
      <t>religiosa</t>
    </r>
  </si>
  <si>
    <t>Cordia africana</t>
  </si>
  <si>
    <t>Cordia millenii</t>
  </si>
  <si>
    <t>Cordia platythyrsa</t>
  </si>
  <si>
    <t>Corynanthe gabonensis</t>
  </si>
  <si>
    <t>Corynanthe pachyceras</t>
  </si>
  <si>
    <t>Coula edulis</t>
  </si>
  <si>
    <t>Croton macrostachyus</t>
  </si>
  <si>
    <t>Croton megalocarpus</t>
  </si>
  <si>
    <t>Cryptosepalum staudtii</t>
  </si>
  <si>
    <t>Ctenolophon englerianus</t>
  </si>
  <si>
    <t>Cylicodiscus gabonensis</t>
  </si>
  <si>
    <t>Cynometra alexandri</t>
  </si>
  <si>
    <t>Dacryodes buettneri</t>
  </si>
  <si>
    <t>Dacryodes edulis</t>
  </si>
  <si>
    <t>Dacryodes igaganga</t>
  </si>
  <si>
    <t>Dacryodes klaineana</t>
  </si>
  <si>
    <t>Dacryodes le-testui</t>
  </si>
  <si>
    <t>Dacryodes normandii</t>
  </si>
  <si>
    <t>Dacryodes spp.</t>
  </si>
  <si>
    <t>Daniellia klainei</t>
  </si>
  <si>
    <t>Daniellia ogea</t>
  </si>
  <si>
    <t>Daniellia soyauxii</t>
  </si>
  <si>
    <t>Desbordesia pierreana</t>
  </si>
  <si>
    <t>Detarium senegalensis</t>
  </si>
  <si>
    <t>Dialium bipindense</t>
  </si>
  <si>
    <t>Dialium dinklagei</t>
  </si>
  <si>
    <t>Dialium excelsum</t>
  </si>
  <si>
    <t>Didelotia africana</t>
  </si>
  <si>
    <t>Didelotia brevipaniculata</t>
  </si>
  <si>
    <t>Didelotia letouzeyi</t>
  </si>
  <si>
    <t>Diospyros kamerunensis</t>
  </si>
  <si>
    <t>Diospyros spp.</t>
  </si>
  <si>
    <t>Discoglypremna caloneura</t>
  </si>
  <si>
    <t>Distemonanthus benthamianus</t>
  </si>
  <si>
    <t>Drypetes gossweilleri</t>
  </si>
  <si>
    <t>Drypetes sp.</t>
  </si>
  <si>
    <t>Ehretia acuminata</t>
  </si>
  <si>
    <t>Enantia chlorantha</t>
  </si>
  <si>
    <t>Endodesmia calophylloides</t>
  </si>
  <si>
    <t>Entandrophragma angolensis</t>
  </si>
  <si>
    <t>Entandrophragma candollei</t>
  </si>
  <si>
    <t>Entandrophragma cylindricum</t>
  </si>
  <si>
    <t>Entandrophragma utile</t>
  </si>
  <si>
    <t>Eribroma oblongum</t>
  </si>
  <si>
    <t>Eriocoelum microspermum</t>
  </si>
  <si>
    <t>Erismadelphus exsul</t>
  </si>
  <si>
    <t>Erythrina vogelii</t>
  </si>
  <si>
    <t>Erythrophleum ivorense</t>
  </si>
  <si>
    <t>Erythroxylum mannii</t>
  </si>
  <si>
    <t>Fagara heitzii</t>
  </si>
  <si>
    <t>Fagara macrophylla</t>
  </si>
  <si>
    <t>Ficus iteophylla</t>
  </si>
  <si>
    <t>Ficus mucuso</t>
  </si>
  <si>
    <t>Funtumia africana</t>
  </si>
  <si>
    <t>Fumtumia latifolia</t>
  </si>
  <si>
    <t>Gambeya africana</t>
  </si>
  <si>
    <t>Gambeya lacourtiana</t>
  </si>
  <si>
    <t>Gambeya madagascariensis</t>
  </si>
  <si>
    <t>Gambeya spp.</t>
  </si>
  <si>
    <t>Garcinia gerardii</t>
  </si>
  <si>
    <t>Garcinia mannii</t>
  </si>
  <si>
    <t>Garcinia punctata</t>
  </si>
  <si>
    <t>Gilbertiodendron dewevrei</t>
  </si>
  <si>
    <t>Gilbertiodendron grandiflorum</t>
  </si>
  <si>
    <t>Gilbertiodendron mayombense</t>
  </si>
  <si>
    <t>Gilletiodendron mildbraedii</t>
  </si>
  <si>
    <t>Gossweilerodendron balsamiferum</t>
  </si>
  <si>
    <t>Guarea cedrata</t>
  </si>
  <si>
    <t>Guarea laurentii</t>
  </si>
  <si>
    <t>Guarea thompsonii</t>
  </si>
  <si>
    <t>Guibourtia arnoldiana</t>
  </si>
  <si>
    <t>Guibourtia demeusei</t>
  </si>
  <si>
    <t>Guibourtia ehie</t>
  </si>
  <si>
    <t>Guibourtia pellegriniana</t>
  </si>
  <si>
    <t>Guibourtia spp.</t>
  </si>
  <si>
    <t>Guibourtia tessmannii</t>
  </si>
  <si>
    <t>Hannoa klaineana</t>
  </si>
  <si>
    <t>Harungana madagascariensis</t>
  </si>
  <si>
    <t>Hexalobus crispiflorus</t>
  </si>
  <si>
    <t>Holoptelea grandis</t>
  </si>
  <si>
    <t>Homalium letestui</t>
  </si>
  <si>
    <t>Homalium spp.</t>
  </si>
  <si>
    <t>Hylodendron gabonense</t>
  </si>
  <si>
    <t>Hymenostegia afzelii</t>
  </si>
  <si>
    <t>Hymenostegia pellegrini</t>
  </si>
  <si>
    <t>Irvingia gabonensis</t>
  </si>
  <si>
    <t>Irvingia grandifolia</t>
  </si>
  <si>
    <t>Julbernardia globiflora</t>
  </si>
  <si>
    <t>Khaya grandifoliola</t>
  </si>
  <si>
    <t>Khaya ivorensis</t>
  </si>
  <si>
    <t>Khaya senegalensis</t>
  </si>
  <si>
    <t>Klainedoxa gabonensis</t>
  </si>
  <si>
    <t>Lannea welwitschii</t>
  </si>
  <si>
    <t>Lecomtedoxa klaineana</t>
  </si>
  <si>
    <t>Letestua durissima</t>
  </si>
  <si>
    <t>Lophira alata</t>
  </si>
  <si>
    <t>Lovoa trichilioides</t>
  </si>
  <si>
    <t>Macaranga conglomerata</t>
  </si>
  <si>
    <t>Macaranga kilimandscharica</t>
  </si>
  <si>
    <t>Maesopsis eminii</t>
  </si>
  <si>
    <t>Malacantha sp. aff. alnifolia</t>
  </si>
  <si>
    <t>Mammea africana</t>
  </si>
  <si>
    <t>Manilkara cuneifolia</t>
  </si>
  <si>
    <t>Manilkara lacera</t>
  </si>
  <si>
    <t>Markhamia hildebrandtii</t>
  </si>
  <si>
    <t>Markhamia platycalyx</t>
  </si>
  <si>
    <t>Memecylon capitellatum</t>
  </si>
  <si>
    <t>Microberlinia bisulcata</t>
  </si>
  <si>
    <t>Microberlinia brazzavillensis</t>
  </si>
  <si>
    <t>Microcos coriaceus</t>
  </si>
  <si>
    <t>Milletia laurentii</t>
  </si>
  <si>
    <t>Milletia spp.</t>
  </si>
  <si>
    <t>Mitragyna ciliata</t>
  </si>
  <si>
    <t>Mitragyna stipulosa</t>
  </si>
  <si>
    <t>Monopetalanthus coriaceus</t>
  </si>
  <si>
    <t>Monopetalanthus durandii</t>
  </si>
  <si>
    <t>Monopetalanthus heitzii</t>
  </si>
  <si>
    <t>Monopetalanthus letestui</t>
  </si>
  <si>
    <t>Monopetalanthus pellegrinii</t>
  </si>
  <si>
    <t>Musanga cecropioides</t>
  </si>
  <si>
    <t>Nauclea diderrichii</t>
  </si>
  <si>
    <t>Neopoutonia macrocalyx</t>
  </si>
  <si>
    <t>Nesogordonia fouassieri</t>
  </si>
  <si>
    <t>Nesogordonia papaverifera</t>
  </si>
  <si>
    <t>Newtonia buchananii</t>
  </si>
  <si>
    <t>Newtonia glandulifera</t>
  </si>
  <si>
    <t>Ochtocosmus africanus</t>
  </si>
  <si>
    <t>Odyendea gabonensis</t>
  </si>
  <si>
    <t>Odyendea spp.</t>
  </si>
  <si>
    <t>Oldfieldia africana</t>
  </si>
  <si>
    <t>Ongokea gore</t>
  </si>
  <si>
    <t>Oxystigma oxyphyllum</t>
  </si>
  <si>
    <t>Pachyelasma tessmannii</t>
  </si>
  <si>
    <t>Pachypodanthium confine</t>
  </si>
  <si>
    <t>Pachypodanthium staudtii</t>
  </si>
  <si>
    <t>Paraberlinia bifoliolata</t>
  </si>
  <si>
    <t>Parinari excelsa</t>
  </si>
  <si>
    <t>Parinari glabra</t>
  </si>
  <si>
    <t>Parinari goetzeniana</t>
  </si>
  <si>
    <t>Parkia bicolor</t>
  </si>
  <si>
    <t>Pausinystalia brachythyrsa</t>
  </si>
  <si>
    <t>Pausinystalia cf. talbotii</t>
  </si>
  <si>
    <t>Pentaclethra eetveldeana</t>
  </si>
  <si>
    <t>Pentaclethra macrophylla</t>
  </si>
  <si>
    <t>Pentadesma butyracea</t>
  </si>
  <si>
    <t>Phyllanthus discoideus</t>
  </si>
  <si>
    <t>Pierreodendron africanum</t>
  </si>
  <si>
    <t>Piptadenia gabunensis</t>
  </si>
  <si>
    <t>Piptadeniastrum africanum</t>
  </si>
  <si>
    <t>Plagiostyles africana</t>
  </si>
  <si>
    <t>Poga oleosa</t>
  </si>
  <si>
    <t>Polyalthia suaveolens</t>
  </si>
  <si>
    <t>Premna angolensis</t>
  </si>
  <si>
    <t>Pteleopsis hylodendron</t>
  </si>
  <si>
    <t>Pterocarpus angolensis</t>
  </si>
  <si>
    <t>Pterocarpus soyauxii</t>
  </si>
  <si>
    <t>Pterygota bequaertii</t>
  </si>
  <si>
    <t>Pterygota spp.</t>
  </si>
  <si>
    <t>Pycnanthus angolensis</t>
  </si>
  <si>
    <t>Randia cladantha</t>
  </si>
  <si>
    <t>Rauwolfia macrophylla</t>
  </si>
  <si>
    <t>Ricinodendron heudelotii</t>
  </si>
  <si>
    <t>Saccoglottis gabonensis</t>
  </si>
  <si>
    <t>Santiria trimera</t>
  </si>
  <si>
    <t>Sapium ellipticum</t>
  </si>
  <si>
    <t>Schrebera arborea</t>
  </si>
  <si>
    <t>Sclorodophloeus zenkeri</t>
  </si>
  <si>
    <t>Scottellia chevalieri</t>
  </si>
  <si>
    <t>Scottellia coriacea</t>
  </si>
  <si>
    <t>Scyphocephalium ochocoa</t>
  </si>
  <si>
    <t>Scytopetalum tieghemii</t>
  </si>
  <si>
    <t>Sindoropsis letestui</t>
  </si>
  <si>
    <t>Staudtia stipitata</t>
  </si>
  <si>
    <t>Stemonocoleus micranthus</t>
  </si>
  <si>
    <t>Sterculia oblonga</t>
  </si>
  <si>
    <t>Sterculia rhinopetala</t>
  </si>
  <si>
    <t>Strephonema pseudocola</t>
  </si>
  <si>
    <t>Strombosia glaucescens</t>
  </si>
  <si>
    <t>Strombosia grandifolia</t>
  </si>
  <si>
    <t>Strombosiopsis tetrandra</t>
  </si>
  <si>
    <t>Swartzia fistuloides</t>
  </si>
  <si>
    <t>Symphonia globulifera</t>
  </si>
  <si>
    <t>Syzygium cordatum</t>
  </si>
  <si>
    <t>Tarrietia densiflora</t>
  </si>
  <si>
    <t>Tarrietia utilis</t>
  </si>
  <si>
    <t>Terminalia superba</t>
  </si>
  <si>
    <t>Tessmania africana</t>
  </si>
  <si>
    <t>Testulea gabonensis</t>
  </si>
  <si>
    <t>Tetraberlinia bifoliolata</t>
  </si>
  <si>
    <t>Tetraberlinia tubmaniana</t>
  </si>
  <si>
    <t>Tetrapleura tetraptera</t>
  </si>
  <si>
    <t>Tieghemella africana</t>
  </si>
  <si>
    <t>Tieghemella heckelii</t>
  </si>
  <si>
    <t>Trema guineensis</t>
  </si>
  <si>
    <t>Trema sp.</t>
  </si>
  <si>
    <t>Trichilia heudelotii</t>
  </si>
  <si>
    <t>Trichilia prieureana</t>
  </si>
  <si>
    <t>Trichoscypha arborea</t>
  </si>
  <si>
    <t>Triplochiton scleroxylon</t>
  </si>
  <si>
    <t>Uapaca spp.</t>
  </si>
  <si>
    <t>Vepris undulata</t>
  </si>
  <si>
    <t>Vitex doniana</t>
  </si>
  <si>
    <t>Xylopia aethiopica</t>
  </si>
  <si>
    <t>Xylopia chrysophylla</t>
  </si>
  <si>
    <t>Xylopia hypolambra</t>
  </si>
  <si>
    <t>Xylopia quintasii</t>
  </si>
  <si>
    <t>Xylopia staudtii</t>
  </si>
  <si>
    <t xml:space="preserve">AVERAGE </t>
  </si>
  <si>
    <t>TIregion</t>
  </si>
  <si>
    <t xml:space="preserve">MAI (land,other) </t>
  </si>
  <si>
    <t xml:space="preserve">MAI (land,wooded) </t>
  </si>
  <si>
    <t>MAI (forest)</t>
  </si>
  <si>
    <t>P (land,other)</t>
  </si>
  <si>
    <t>P (land,wooded)</t>
  </si>
  <si>
    <t>P (forest)</t>
  </si>
  <si>
    <t>Year</t>
  </si>
  <si>
    <t>Weighted Usage Rate</t>
  </si>
  <si>
    <t>KPT 2020</t>
  </si>
  <si>
    <t>Link to TOOL30: https://cdm.unfccc.int/methodologies/PAmethodologies/tools/am-tool-30-v2.0.pdf/history_view</t>
  </si>
  <si>
    <r>
      <t xml:space="preserve">Using available forest sector values, </t>
    </r>
    <r>
      <rPr>
        <b/>
        <sz val="12"/>
        <color theme="1"/>
        <rFont val="Calibri"/>
        <family val="2"/>
        <scheme val="minor"/>
      </rPr>
      <t>discounting protected areas</t>
    </r>
    <r>
      <rPr>
        <sz val="12"/>
        <color theme="1"/>
        <rFont val="Calibri"/>
        <family val="2"/>
        <scheme val="minor"/>
      </rPr>
      <t xml:space="preserve"> (using PROTECTED PLANET data https://www.protectedplanet.net) </t>
    </r>
  </si>
  <si>
    <t>fNRB Calculation according to CDM TOOL30 "Calculation of the fraction of non-renewable biomass" (version 2.0), as indicated in section A1.3 of Annex 1 Non-Renewable Biomass Assessment of Impact Methodology TPDDTEC vers. 3.1 August 2017</t>
  </si>
  <si>
    <t>CPA 9265-P1-0018-CP1 : Top Third Ventures Stove Programme CPA KE0018 – BURN Efficient Cookstoves for Kenya, Appendix 3 - 20200609_ER calculation_BURN Kenya CPA KE0018_version 1.1.xlsx (cells G98 - J102): https://cdm.unfccc.int/ProgrammeOfActivities/cpa_db/N2PJ9SFEWZ6MQO7CXUY145HBGRKL0A/view [accessed on 01.2.2020].</t>
  </si>
  <si>
    <t>Calculation, see "fNRB_Calculation" sheet.</t>
  </si>
  <si>
    <t>Baseline estimate</t>
  </si>
  <si>
    <t>Project estimate</t>
  </si>
  <si>
    <r>
      <t>Year 8 (year 1 2</t>
    </r>
    <r>
      <rPr>
        <vertAlign val="superscript"/>
        <sz val="11"/>
        <rFont val="Avenir Book"/>
      </rPr>
      <t>nd</t>
    </r>
    <r>
      <rPr>
        <sz val="11"/>
        <rFont val="Avenir Book"/>
      </rPr>
      <t xml:space="preserve"> crediting cycle)</t>
    </r>
  </si>
  <si>
    <t>Year 9 (year 2)</t>
  </si>
  <si>
    <t>Year 10 (year 3)</t>
  </si>
  <si>
    <t>Year 11 (year 4)</t>
  </si>
  <si>
    <t>Year 12 (year 5)</t>
  </si>
  <si>
    <t>Year 13 (year 6)</t>
  </si>
  <si>
    <t>Year 14 (year 7)</t>
  </si>
  <si>
    <t>Total number of crediting years</t>
  </si>
  <si>
    <t>Annual average over the crediting period</t>
  </si>
  <si>
    <t>from here 2nd cycle</t>
  </si>
  <si>
    <t>TOTAL estimated ER in t CO2eq</t>
  </si>
  <si>
    <t>yearly average of ER in t CO2eq</t>
  </si>
  <si>
    <t>Usage Rate (according to usage survey 2019)</t>
  </si>
  <si>
    <t>Construction year</t>
  </si>
  <si>
    <t xml:space="preserve">Age Group 0-1 </t>
  </si>
  <si>
    <t xml:space="preserve"> Age Group 1-2 </t>
  </si>
  <si>
    <t xml:space="preserve">Age Group 2-3 </t>
  </si>
  <si>
    <t xml:space="preserve">Age Group 3-4 </t>
  </si>
  <si>
    <t xml:space="preserve">Age Group 4-5 </t>
  </si>
  <si>
    <t xml:space="preserve">Age Group 5-6 </t>
  </si>
  <si>
    <t xml:space="preserve">Age Group 6-7 </t>
  </si>
  <si>
    <t>fraction (in %)</t>
  </si>
  <si>
    <t>BE per stove per month</t>
  </si>
  <si>
    <t>PE per stove per month</t>
  </si>
  <si>
    <t>Maximum energy ouput of project stove - IMPROVED JIKOS – BETTER LIVING FOR RURAL POPULATION (GS 2457)</t>
  </si>
  <si>
    <t>value</t>
    <phoneticPr fontId="0" type="noConversion"/>
  </si>
  <si>
    <t>Wood t/year/stove</t>
    <phoneticPr fontId="0" type="noConversion"/>
  </si>
  <si>
    <t>PFT 2019</t>
  </si>
  <si>
    <t>Fuel energy content</t>
    <phoneticPr fontId="0" type="noConversion"/>
  </si>
  <si>
    <t>Net Caloric Value (NCV) wood TJ/t</t>
  </si>
  <si>
    <t>IPCC 2006, Volume 2 "Energy", Chapter 1, Table 1.2.</t>
  </si>
  <si>
    <t>Calculation of maximum energy output</t>
  </si>
  <si>
    <t>total energy delivered per stove TJ/day</t>
  </si>
  <si>
    <t>calculated</t>
    <phoneticPr fontId="0" type="noConversion"/>
  </si>
  <si>
    <t>total energy delivered per stove GWh/day</t>
  </si>
  <si>
    <t>total energy delivered per stove kWh/day</t>
  </si>
  <si>
    <t>stove operation/cooking event in hours per day</t>
  </si>
  <si>
    <t>30min. three times a day</t>
  </si>
  <si>
    <t>conversion factor</t>
    <phoneticPr fontId="0" type="noConversion"/>
  </si>
  <si>
    <t>1 kWh = 3.6 MJ</t>
    <phoneticPr fontId="0" type="noConversion"/>
  </si>
  <si>
    <t>1 MWh = 3.6 GJ</t>
    <phoneticPr fontId="0" type="noConversion"/>
  </si>
  <si>
    <t>1 GWh = 3.6 TJ</t>
    <phoneticPr fontId="0" type="noConversion"/>
  </si>
  <si>
    <t>Stove repartition per age group as per stove database from 15.06.2020</t>
  </si>
  <si>
    <t>Project Emissions (tCO2)</t>
  </si>
  <si>
    <t>BASELINE EMISSIONS</t>
  </si>
  <si>
    <t>BASELINE Emissions (tCO2)</t>
  </si>
  <si>
    <t>PROJECT EMISSIONS</t>
  </si>
  <si>
    <t>Cummulative Monthly Households in interaction with project</t>
  </si>
  <si>
    <t>Project fuel savings</t>
  </si>
  <si>
    <t>total energy delivered per stove TJ/year</t>
  </si>
  <si>
    <t>total energy delivered per stove GWh/year</t>
  </si>
  <si>
    <t>incl. 21 day lag tie</t>
  </si>
  <si>
    <t>incl. 21 day lag tie per stove</t>
  </si>
  <si>
    <t>compared to amount without consideration of 21 day lag tie.</t>
  </si>
  <si>
    <t>Project fuel</t>
  </si>
  <si>
    <t xml:space="preserve">end-use energy efficiency improvement of the project </t>
  </si>
  <si>
    <t>Updated: 19/01/2021 (Leon Jander, David Knecht, Fastenopfer)</t>
  </si>
  <si>
    <t xml:space="preserve">thermal power output of technologies </t>
  </si>
  <si>
    <t>Maximum energy saved per year from all stoves by end of second crediting period (2027) in GWhth (thermal)</t>
  </si>
  <si>
    <t>(cf. tab “BE”)</t>
  </si>
  <si>
    <t>(cf. tab “PE”)</t>
  </si>
  <si>
    <t>(cf. tab “Project_ER_per Year”)</t>
  </si>
  <si>
    <t>Emission Reduction Estimate</t>
  </si>
  <si>
    <t>Table for PDD, section B.6.5 (assumption: 16,303 households at the start + 2,600 new households each year)</t>
  </si>
  <si>
    <t>V05 (Updated version for the Design Certification Renewal 2020)</t>
  </si>
  <si>
    <t>Maximum energy ouput of the stove in kW</t>
  </si>
  <si>
    <t>On the demand of Gold Standard reviewer, this tree density average has been replaced by another standard value: http://www.fao.org/3/x2740e/x2740e05.htm.</t>
  </si>
  <si>
    <r>
      <t>Using available forest sector values</t>
    </r>
    <r>
      <rPr>
        <sz val="10"/>
        <rFont val="Verdana"/>
        <family val="2"/>
      </rPr>
      <t xml:space="preserve">, </t>
    </r>
    <r>
      <rPr>
        <b/>
        <sz val="12"/>
        <color theme="1"/>
        <rFont val="Calibri"/>
        <family val="2"/>
        <scheme val="minor"/>
      </rPr>
      <t xml:space="preserve">discounting protected areas </t>
    </r>
    <r>
      <rPr>
        <sz val="12"/>
        <color theme="1"/>
        <rFont val="Calibri"/>
        <family val="2"/>
        <scheme val="minor"/>
      </rPr>
      <t xml:space="preserve">(using PROTECTED PLANET data https://www.protectedplanet.net) </t>
    </r>
  </si>
  <si>
    <t>total annual consumption of wood household level</t>
  </si>
  <si>
    <t>cubic meters/year</t>
  </si>
  <si>
    <t>UN Data 2018 (http://data.un.org/Data.aspx?d=EDATA&amp;f=cmID%3aFW%3bcrID%3a404%3btrID%3a1214o%2c1234&amp;c=2,5,6,7,8&amp;s=_crEngNameOrderBy:asc,_enID:asc,yr:desc&amp;v=1)</t>
  </si>
  <si>
    <t>t</t>
  </si>
  <si>
    <t>FAO default wood density for 1 cubic metre (http://www.fao.org/3/x2740e/x2740e05.htm)</t>
  </si>
  <si>
    <t>Household Fuelwood Consumption (incl. Charcoal)</t>
  </si>
  <si>
    <t>Data Unit</t>
  </si>
  <si>
    <t>Charcoal</t>
  </si>
  <si>
    <t>UN Data 2018 (http://data.un.org/Data.aspx?d=EDATA&amp;f=cmID%3aCH%3bcrID%3a404%3btrID%3a1231&amp;c=2,5,6,7,8&amp;s=_crEngNameOrderBy:asc,_enID:asc,yr:desc&amp;v=1)</t>
  </si>
  <si>
    <t>Fuelwood</t>
  </si>
  <si>
    <t>Cubic metres</t>
  </si>
  <si>
    <t>UN Data 2018 (http://data.un.org/Data.aspx?d=EDATA&amp;f=cmID%3aFW%3bcrID%3a404%3btrID%3a1231&amp;c=2,5,6,7,8&amp;s=_crEngNameOrderBy:asc,_enID:asc,yr:desc&amp;v=1)</t>
  </si>
  <si>
    <t>Total Household Consumption</t>
  </si>
  <si>
    <t>Calculated based on MAI value (m3/ha/year) and the FAO default wood density (http://www.fao.org/3/x2740e/x2740e05.htm).</t>
  </si>
  <si>
    <r>
      <t>Charcoal</t>
    </r>
    <r>
      <rPr>
        <b/>
        <sz val="12"/>
        <rFont val="Calibri"/>
        <family val="2"/>
        <scheme val="minor"/>
      </rPr>
      <t xml:space="preserve"> (converted to fuelwood)</t>
    </r>
  </si>
  <si>
    <t>calculated; on request of Gold Standard in Review Round I, newer UN Data has been used to calculate the total annual consumption of wood at household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</si>
</sst>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 #,##0.00_ ;_ * \-#,##0.00_ ;_ * &quot;-&quot;??_ ;_ @_ "/>
    <numFmt numFmtId="164" formatCode="_ * #,##0_ ;_ * \-#,##0_ ;_ * &quot;-&quot;??_ ;_ @_ "/>
    <numFmt numFmtId="165" formatCode="0.0000"/>
    <numFmt numFmtId="166" formatCode="0.000"/>
    <numFmt numFmtId="167" formatCode="0.0"/>
    <numFmt numFmtId="168" formatCode="_-* #,##0_-;\-* #,##0_-;_-* &quot;-&quot;??_-;_-@_-"/>
    <numFmt numFmtId="169" formatCode="_-* #,##0.0_-;\-* #,##0.0_-;_-* &quot;-&quot;??_-;_-@_-"/>
    <numFmt numFmtId="170" formatCode="_-* #,##0.00_-;\-* #,##0.00_-;_-* &quot;-&quot;??_-;_-@_-"/>
    <numFmt numFmtId="171" formatCode="#,##0.000"/>
    <numFmt numFmtId="172" formatCode="0.000000"/>
    <numFmt numFmtId="173" formatCode="0.00000000000000000000E+00"/>
    <numFmt numFmtId="174" formatCode="0.000%"/>
  </numFmts>
  <fonts count="57">
    <font>
      <sz val="10"/>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Verdana"/>
      <family val="2"/>
    </font>
    <font>
      <b/>
      <sz val="10"/>
      <name val="Verdana"/>
      <family val="2"/>
    </font>
    <font>
      <sz val="9"/>
      <name val="Verdana"/>
      <family val="2"/>
    </font>
    <font>
      <sz val="10"/>
      <color theme="1"/>
      <name val="Verdana"/>
      <family val="2"/>
    </font>
    <font>
      <b/>
      <sz val="10"/>
      <color theme="1"/>
      <name val="Verdana"/>
      <family val="2"/>
    </font>
    <font>
      <sz val="11"/>
      <name val="Calibri"/>
      <family val="2"/>
      <scheme val="minor"/>
    </font>
    <font>
      <b/>
      <sz val="11"/>
      <name val="Verdana"/>
      <family val="2"/>
    </font>
    <font>
      <b/>
      <sz val="12"/>
      <name val="Verdana"/>
      <family val="2"/>
    </font>
    <font>
      <b/>
      <sz val="9"/>
      <name val="Verdana"/>
      <family val="2"/>
    </font>
    <font>
      <sz val="9"/>
      <color rgb="FFFF0000"/>
      <name val="Verdana"/>
      <family val="2"/>
    </font>
    <font>
      <b/>
      <sz val="9"/>
      <color rgb="FFFF0000"/>
      <name val="Verdana"/>
      <family val="2"/>
    </font>
    <font>
      <u/>
      <sz val="10"/>
      <color theme="10"/>
      <name val="Verdana"/>
      <family val="2"/>
    </font>
    <font>
      <i/>
      <sz val="8"/>
      <name val="Verdana"/>
      <family val="2"/>
    </font>
    <font>
      <b/>
      <sz val="14"/>
      <color theme="1"/>
      <name val="Calibri"/>
      <family val="2"/>
      <scheme val="minor"/>
    </font>
    <font>
      <u/>
      <sz val="10"/>
      <color indexed="12"/>
      <name val="Verdana"/>
      <family val="2"/>
    </font>
    <font>
      <sz val="12"/>
      <color theme="1"/>
      <name val="Calibri"/>
      <family val="2"/>
      <scheme val="minor"/>
    </font>
    <font>
      <sz val="10"/>
      <name val="Arial"/>
      <family val="2"/>
    </font>
    <font>
      <b/>
      <sz val="10"/>
      <name val="Arial"/>
      <family val="2"/>
    </font>
    <font>
      <b/>
      <sz val="12"/>
      <color theme="1"/>
      <name val="Calibri"/>
      <family val="2"/>
      <scheme val="minor"/>
    </font>
    <font>
      <b/>
      <sz val="18"/>
      <color rgb="FF000000"/>
      <name val="Calibri"/>
      <family val="2"/>
      <scheme val="minor"/>
    </font>
    <font>
      <sz val="14"/>
      <color rgb="FF0A0A0A"/>
      <name val="Arial"/>
      <family val="2"/>
    </font>
    <font>
      <u/>
      <sz val="11"/>
      <color theme="10"/>
      <name val="Calibri"/>
      <family val="2"/>
      <scheme val="minor"/>
    </font>
    <font>
      <sz val="12"/>
      <color rgb="FF000000"/>
      <name val="Calibri"/>
      <family val="2"/>
      <scheme val="minor"/>
    </font>
    <font>
      <b/>
      <sz val="10"/>
      <color theme="1"/>
      <name val="Arial"/>
      <family val="2"/>
    </font>
    <font>
      <i/>
      <sz val="10"/>
      <color theme="1"/>
      <name val="Arial"/>
      <family val="2"/>
    </font>
    <font>
      <sz val="10"/>
      <color theme="1"/>
      <name val="Arial"/>
      <family val="2"/>
    </font>
    <font>
      <b/>
      <i/>
      <sz val="10"/>
      <color theme="1"/>
      <name val="Arial"/>
      <family val="2"/>
    </font>
    <font>
      <sz val="12"/>
      <name val="Calibri"/>
      <family val="2"/>
      <scheme val="minor"/>
    </font>
    <font>
      <b/>
      <sz val="16"/>
      <color theme="1"/>
      <name val="Calibri"/>
      <family val="2"/>
      <scheme val="minor"/>
    </font>
    <font>
      <sz val="11"/>
      <name val="Arial"/>
      <family val="2"/>
    </font>
    <font>
      <b/>
      <sz val="11"/>
      <name val="Avenir Book"/>
    </font>
    <font>
      <sz val="11"/>
      <name val="Avenir Book"/>
    </font>
    <font>
      <vertAlign val="superscript"/>
      <sz val="11"/>
      <name val="Avenir Book"/>
    </font>
    <font>
      <sz val="8"/>
      <name val="Verdana"/>
      <family val="2"/>
    </font>
    <font>
      <sz val="12"/>
      <name val="Verdana"/>
      <family val="2"/>
    </font>
    <font>
      <sz val="12"/>
      <color theme="1"/>
      <name val="Verdana"/>
      <family val="2"/>
    </font>
    <font>
      <sz val="10"/>
      <name val="Verdana"/>
      <family val="2"/>
    </font>
    <font>
      <sz val="10"/>
      <color rgb="FF000000"/>
      <name val="Avenir Book"/>
    </font>
    <font>
      <b/>
      <sz val="10"/>
      <color rgb="FF000000"/>
      <name val="Avenir Book"/>
    </font>
    <font>
      <b/>
      <sz val="11"/>
      <color theme="0"/>
      <name val="Calibri"/>
      <family val="2"/>
      <scheme val="minor"/>
    </font>
    <font>
      <sz val="11"/>
      <color rgb="FFFF0000"/>
      <name val="Calibri"/>
      <family val="2"/>
      <scheme val="minor"/>
    </font>
    <font>
      <sz val="11"/>
      <color theme="0"/>
      <name val="Calibri"/>
      <family val="2"/>
      <scheme val="minor"/>
    </font>
    <font>
      <sz val="12"/>
      <color theme="0" tint="-0.34998626667073579"/>
      <name val="Calibri"/>
      <family val="2"/>
      <scheme val="minor"/>
    </font>
    <font>
      <u/>
      <sz val="10"/>
      <color theme="0" tint="-0.34998626667073579"/>
      <name val="Verdana"/>
      <family val="2"/>
    </font>
    <font>
      <sz val="12"/>
      <color theme="0" tint="-0.499984740745262"/>
      <name val="Calibri"/>
      <family val="2"/>
      <scheme val="minor"/>
    </font>
    <font>
      <b/>
      <sz val="12"/>
      <color theme="0" tint="-0.249977111117893"/>
      <name val="Calibri"/>
      <family val="2"/>
      <scheme val="minor"/>
    </font>
    <font>
      <sz val="12"/>
      <color theme="0" tint="-0.249977111117893"/>
      <name val="Calibri"/>
      <family val="2"/>
      <scheme val="minor"/>
    </font>
    <font>
      <b/>
      <sz val="12"/>
      <name val="Calibri"/>
      <family val="2"/>
      <scheme val="minor"/>
    </font>
    <font>
      <sz val="14"/>
      <color theme="1"/>
      <name val="Calibri"/>
      <family val="2"/>
      <scheme val="minor"/>
    </font>
  </fonts>
  <fills count="13">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2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bgColor indexed="64"/>
      </patternFill>
    </fill>
    <fill>
      <patternFill patternType="solid">
        <fgColor theme="5" tint="0.39997558519241921"/>
        <bgColor indexed="64"/>
      </patternFill>
    </fill>
    <fill>
      <patternFill patternType="solid">
        <fgColor rgb="FFD9D9D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9">
    <xf numFmtId="0" fontId="0" fillId="0" borderId="0"/>
    <xf numFmtId="43" fontId="8" fillId="0" borderId="0" applyFont="0" applyFill="0" applyBorder="0" applyAlignment="0" applyProtection="0"/>
    <xf numFmtId="0" fontId="8" fillId="0" borderId="0"/>
    <xf numFmtId="0" fontId="6" fillId="0" borderId="0"/>
    <xf numFmtId="0" fontId="6" fillId="0" borderId="0"/>
    <xf numFmtId="0" fontId="19" fillId="0" borderId="0" applyNumberFormat="0" applyFill="0" applyBorder="0" applyAlignment="0" applyProtection="0"/>
    <xf numFmtId="0" fontId="5" fillId="0" borderId="0"/>
    <xf numFmtId="9" fontId="8" fillId="0" borderId="0" applyFont="0" applyFill="0" applyBorder="0" applyAlignment="0" applyProtection="0"/>
    <xf numFmtId="0" fontId="22" fillId="0" borderId="0" applyNumberFormat="0" applyFill="0" applyBorder="0" applyAlignment="0" applyProtection="0">
      <alignment vertical="top"/>
      <protection locked="0"/>
    </xf>
    <xf numFmtId="0" fontId="23" fillId="0" borderId="0"/>
    <xf numFmtId="0" fontId="4" fillId="0" borderId="0"/>
    <xf numFmtId="170" fontId="4" fillId="0" borderId="0" applyFont="0" applyFill="0" applyBorder="0" applyAlignment="0" applyProtection="0"/>
    <xf numFmtId="0" fontId="29" fillId="0" borderId="0" applyNumberFormat="0" applyFill="0" applyBorder="0" applyAlignment="0" applyProtection="0"/>
    <xf numFmtId="0" fontId="3" fillId="0" borderId="0"/>
    <xf numFmtId="0" fontId="3" fillId="0" borderId="0"/>
    <xf numFmtId="0" fontId="8" fillId="0" borderId="0"/>
    <xf numFmtId="9" fontId="44" fillId="0" borderId="0" applyFont="0" applyFill="0" applyBorder="0" applyAlignment="0" applyProtection="0"/>
    <xf numFmtId="0" fontId="1" fillId="0" borderId="0"/>
    <xf numFmtId="170" fontId="1" fillId="0" borderId="0" applyFont="0" applyFill="0" applyBorder="0" applyAlignment="0" applyProtection="0"/>
  </cellStyleXfs>
  <cellXfs count="264">
    <xf numFmtId="0" fontId="0" fillId="0" borderId="0" xfId="0"/>
    <xf numFmtId="0" fontId="9" fillId="0" borderId="0" xfId="2" applyFont="1"/>
    <xf numFmtId="0" fontId="8" fillId="0" borderId="0" xfId="2" applyFont="1"/>
    <xf numFmtId="0" fontId="10" fillId="0" borderId="0" xfId="2" applyFont="1"/>
    <xf numFmtId="0" fontId="11" fillId="0" borderId="0" xfId="3" applyFont="1"/>
    <xf numFmtId="0" fontId="6" fillId="0" borderId="0" xfId="3"/>
    <xf numFmtId="14" fontId="11" fillId="0" borderId="0" xfId="3" applyNumberFormat="1" applyFont="1" applyAlignment="1">
      <alignment horizontal="left"/>
    </xf>
    <xf numFmtId="0" fontId="11" fillId="0" borderId="1" xfId="3" applyFont="1" applyBorder="1" applyAlignment="1">
      <alignment wrapText="1"/>
    </xf>
    <xf numFmtId="2" fontId="12" fillId="0" borderId="2" xfId="3" applyNumberFormat="1" applyFont="1" applyBorder="1"/>
    <xf numFmtId="0" fontId="12" fillId="0" borderId="0" xfId="3" applyFont="1" applyAlignment="1">
      <alignment horizontal="left"/>
    </xf>
    <xf numFmtId="0" fontId="12" fillId="0" borderId="0" xfId="3" applyFont="1"/>
    <xf numFmtId="0" fontId="8" fillId="0" borderId="0" xfId="3" applyFont="1"/>
    <xf numFmtId="0" fontId="13" fillId="0" borderId="0" xfId="3" applyFont="1"/>
    <xf numFmtId="164" fontId="9" fillId="0" borderId="0" xfId="1" applyNumberFormat="1" applyFont="1"/>
    <xf numFmtId="1" fontId="13" fillId="0" borderId="0" xfId="3" applyNumberFormat="1" applyFont="1"/>
    <xf numFmtId="164" fontId="12" fillId="0" borderId="0" xfId="1" applyNumberFormat="1" applyFont="1"/>
    <xf numFmtId="3" fontId="6" fillId="0" borderId="0" xfId="3" applyNumberFormat="1"/>
    <xf numFmtId="1" fontId="6" fillId="0" borderId="0" xfId="3" applyNumberFormat="1"/>
    <xf numFmtId="0" fontId="6" fillId="0" borderId="0" xfId="3" applyFill="1"/>
    <xf numFmtId="0" fontId="7" fillId="2" borderId="0" xfId="3" applyFont="1" applyFill="1"/>
    <xf numFmtId="0" fontId="6" fillId="3" borderId="0" xfId="3" applyFill="1"/>
    <xf numFmtId="0" fontId="11" fillId="3" borderId="0" xfId="4" applyFont="1" applyFill="1"/>
    <xf numFmtId="1" fontId="6" fillId="0" borderId="0" xfId="3" applyNumberFormat="1" applyFill="1"/>
    <xf numFmtId="0" fontId="13" fillId="3" borderId="0" xfId="3" applyFont="1" applyFill="1"/>
    <xf numFmtId="0" fontId="11" fillId="0" borderId="0" xfId="3" applyFont="1" applyFill="1"/>
    <xf numFmtId="0" fontId="12" fillId="0" borderId="0" xfId="3" applyFont="1" applyFill="1"/>
    <xf numFmtId="164" fontId="12" fillId="0" borderId="0" xfId="1" applyNumberFormat="1" applyFont="1" applyFill="1"/>
    <xf numFmtId="3" fontId="6" fillId="0" borderId="0" xfId="3" applyNumberFormat="1" applyFill="1"/>
    <xf numFmtId="0" fontId="12" fillId="0" borderId="0" xfId="3" applyFont="1" applyAlignment="1">
      <alignment horizontal="left" wrapText="1"/>
    </xf>
    <xf numFmtId="0" fontId="7" fillId="0" borderId="0" xfId="3" applyFont="1"/>
    <xf numFmtId="0" fontId="6" fillId="0" borderId="0" xfId="3" applyFont="1" applyAlignment="1">
      <alignment horizontal="right"/>
    </xf>
    <xf numFmtId="0" fontId="11" fillId="3" borderId="0" xfId="3" applyFont="1" applyFill="1"/>
    <xf numFmtId="164" fontId="11" fillId="3" borderId="0" xfId="3" applyNumberFormat="1" applyFont="1" applyFill="1"/>
    <xf numFmtId="0" fontId="12" fillId="0" borderId="0" xfId="3" applyFont="1" applyFill="1" applyAlignment="1">
      <alignment wrapText="1"/>
    </xf>
    <xf numFmtId="0" fontId="7" fillId="0" borderId="0" xfId="3" applyFont="1" applyAlignment="1">
      <alignment horizontal="center"/>
    </xf>
    <xf numFmtId="0" fontId="8" fillId="0" borderId="0" xfId="3" applyFont="1" applyFill="1"/>
    <xf numFmtId="1" fontId="8" fillId="0" borderId="0" xfId="3" applyNumberFormat="1" applyFont="1" applyFill="1"/>
    <xf numFmtId="3" fontId="9" fillId="0" borderId="0" xfId="3" applyNumberFormat="1" applyFont="1" applyFill="1"/>
    <xf numFmtId="1" fontId="11" fillId="0" borderId="0" xfId="3" applyNumberFormat="1" applyFont="1" applyFill="1"/>
    <xf numFmtId="3" fontId="12" fillId="0" borderId="0" xfId="3" applyNumberFormat="1" applyFont="1" applyFill="1"/>
    <xf numFmtId="0" fontId="6" fillId="0" borderId="0" xfId="3" applyAlignment="1">
      <alignment wrapText="1"/>
    </xf>
    <xf numFmtId="1" fontId="11" fillId="3" borderId="0" xfId="3" applyNumberFormat="1" applyFont="1" applyFill="1"/>
    <xf numFmtId="2" fontId="6" fillId="0" borderId="0" xfId="3" applyNumberFormat="1"/>
    <xf numFmtId="3" fontId="12" fillId="0" borderId="0" xfId="3" applyNumberFormat="1" applyFont="1"/>
    <xf numFmtId="0" fontId="14" fillId="0" borderId="0" xfId="2" applyFont="1"/>
    <xf numFmtId="49" fontId="10" fillId="0" borderId="0" xfId="2" applyNumberFormat="1" applyFont="1"/>
    <xf numFmtId="0" fontId="15" fillId="4" borderId="0" xfId="2" applyFont="1" applyFill="1"/>
    <xf numFmtId="0" fontId="10" fillId="4" borderId="0" xfId="2" applyFont="1" applyFill="1"/>
    <xf numFmtId="0" fontId="16" fillId="4" borderId="0" xfId="2" applyFont="1" applyFill="1" applyBorder="1"/>
    <xf numFmtId="0" fontId="10" fillId="4" borderId="0" xfId="2" applyFont="1" applyFill="1" applyBorder="1"/>
    <xf numFmtId="0" fontId="10" fillId="5" borderId="4" xfId="2" applyFont="1" applyFill="1" applyBorder="1"/>
    <xf numFmtId="0" fontId="10" fillId="5" borderId="4" xfId="2" applyFont="1" applyFill="1" applyBorder="1" applyAlignment="1">
      <alignment horizontal="center"/>
    </xf>
    <xf numFmtId="0" fontId="10" fillId="4" borderId="4" xfId="2" applyFont="1" applyFill="1" applyBorder="1"/>
    <xf numFmtId="1" fontId="10" fillId="4" borderId="4" xfId="2" applyNumberFormat="1" applyFont="1" applyFill="1" applyBorder="1" applyAlignment="1">
      <alignment horizontal="right"/>
    </xf>
    <xf numFmtId="165" fontId="10" fillId="4" borderId="4" xfId="2" applyNumberFormat="1" applyFont="1" applyFill="1" applyBorder="1" applyAlignment="1">
      <alignment horizontal="right"/>
    </xf>
    <xf numFmtId="0" fontId="10" fillId="4" borderId="4" xfId="2" applyFont="1" applyFill="1" applyBorder="1" applyAlignment="1">
      <alignment horizontal="right"/>
    </xf>
    <xf numFmtId="166" fontId="16" fillId="6" borderId="6" xfId="2" applyNumberFormat="1" applyFont="1" applyFill="1" applyBorder="1"/>
    <xf numFmtId="166" fontId="16" fillId="6" borderId="7" xfId="2" applyNumberFormat="1" applyFont="1" applyFill="1" applyBorder="1"/>
    <xf numFmtId="0" fontId="16" fillId="4" borderId="6" xfId="2" applyFont="1" applyFill="1" applyBorder="1"/>
    <xf numFmtId="0" fontId="10" fillId="4" borderId="7" xfId="2" applyFont="1" applyFill="1" applyBorder="1"/>
    <xf numFmtId="2" fontId="16" fillId="4" borderId="0" xfId="2" applyNumberFormat="1" applyFont="1" applyFill="1" applyBorder="1"/>
    <xf numFmtId="0" fontId="16" fillId="4" borderId="0" xfId="2" applyFont="1" applyFill="1"/>
    <xf numFmtId="165" fontId="10" fillId="4" borderId="4" xfId="2" applyNumberFormat="1" applyFont="1" applyFill="1" applyBorder="1"/>
    <xf numFmtId="0" fontId="8" fillId="4" borderId="0" xfId="2" applyFill="1"/>
    <xf numFmtId="2" fontId="10" fillId="4" borderId="4" xfId="2" applyNumberFormat="1" applyFont="1" applyFill="1" applyBorder="1"/>
    <xf numFmtId="0" fontId="8" fillId="0" borderId="0" xfId="2"/>
    <xf numFmtId="0" fontId="15" fillId="0" borderId="0" xfId="2" applyFont="1"/>
    <xf numFmtId="0" fontId="8" fillId="7" borderId="4" xfId="2" applyFill="1" applyBorder="1"/>
    <xf numFmtId="0" fontId="8" fillId="0" borderId="4" xfId="2" applyBorder="1"/>
    <xf numFmtId="0" fontId="8" fillId="7" borderId="4" xfId="2" applyFont="1" applyFill="1" applyBorder="1"/>
    <xf numFmtId="0" fontId="8" fillId="0" borderId="4" xfId="2" applyFont="1" applyBorder="1"/>
    <xf numFmtId="165" fontId="8" fillId="0" borderId="4" xfId="2" applyNumberFormat="1" applyFont="1" applyBorder="1"/>
    <xf numFmtId="10" fontId="10" fillId="0" borderId="0" xfId="2" applyNumberFormat="1" applyFont="1" applyBorder="1"/>
    <xf numFmtId="0" fontId="17" fillId="0" borderId="0" xfId="2" applyFont="1"/>
    <xf numFmtId="0" fontId="18" fillId="0" borderId="0" xfId="2" applyFont="1"/>
    <xf numFmtId="0" fontId="19" fillId="4" borderId="0" xfId="5" applyFill="1"/>
    <xf numFmtId="0" fontId="8" fillId="0" borderId="0" xfId="0" applyFont="1"/>
    <xf numFmtId="0" fontId="23" fillId="0" borderId="0" xfId="9"/>
    <xf numFmtId="0" fontId="4" fillId="0" borderId="0" xfId="10"/>
    <xf numFmtId="0" fontId="26" fillId="0" borderId="0" xfId="9" applyFont="1"/>
    <xf numFmtId="0" fontId="23" fillId="8" borderId="0" xfId="9" applyFont="1" applyFill="1" applyAlignment="1">
      <alignment wrapText="1"/>
    </xf>
    <xf numFmtId="0" fontId="23" fillId="8" borderId="0" xfId="9" applyFill="1"/>
    <xf numFmtId="169" fontId="27" fillId="8" borderId="0" xfId="9" applyNumberFormat="1" applyFont="1" applyFill="1"/>
    <xf numFmtId="168" fontId="23" fillId="8" borderId="0" xfId="9" applyNumberFormat="1" applyFill="1"/>
    <xf numFmtId="170" fontId="23" fillId="8" borderId="0" xfId="9" applyNumberFormat="1" applyFill="1"/>
    <xf numFmtId="0" fontId="23" fillId="0" borderId="0" xfId="9" applyFont="1"/>
    <xf numFmtId="170" fontId="23" fillId="0" borderId="0" xfId="9" applyNumberFormat="1"/>
    <xf numFmtId="0" fontId="26" fillId="0" borderId="0" xfId="9" applyFont="1" applyAlignment="1">
      <alignment horizontal="center"/>
    </xf>
    <xf numFmtId="0" fontId="23" fillId="0" borderId="0" xfId="9" applyFont="1" applyAlignment="1">
      <alignment wrapText="1"/>
    </xf>
    <xf numFmtId="0" fontId="30" fillId="0" borderId="0" xfId="9" applyFont="1" applyAlignment="1">
      <alignment wrapText="1"/>
    </xf>
    <xf numFmtId="171" fontId="23" fillId="0" borderId="0" xfId="9" applyNumberFormat="1"/>
    <xf numFmtId="0" fontId="23" fillId="0" borderId="0" xfId="9" applyFont="1" applyFill="1"/>
    <xf numFmtId="3" fontId="23" fillId="0" borderId="0" xfId="9" applyNumberFormat="1"/>
    <xf numFmtId="0" fontId="23" fillId="0" borderId="0" xfId="9" applyFill="1"/>
    <xf numFmtId="0" fontId="23" fillId="0" borderId="0" xfId="9" applyFill="1" applyAlignment="1">
      <alignment wrapText="1"/>
    </xf>
    <xf numFmtId="0" fontId="31" fillId="0" borderId="0" xfId="10" applyFont="1"/>
    <xf numFmtId="0" fontId="32" fillId="0" borderId="0" xfId="10" applyFont="1"/>
    <xf numFmtId="0" fontId="33" fillId="0" borderId="0" xfId="10" applyNumberFormat="1" applyFont="1"/>
    <xf numFmtId="0" fontId="33" fillId="0" borderId="0" xfId="10" applyFont="1"/>
    <xf numFmtId="0" fontId="34" fillId="0" borderId="0" xfId="10" applyFont="1"/>
    <xf numFmtId="0" fontId="7" fillId="0" borderId="0" xfId="10" applyFont="1"/>
    <xf numFmtId="0" fontId="4" fillId="0" borderId="0" xfId="10" applyBorder="1"/>
    <xf numFmtId="0" fontId="33" fillId="0" borderId="0" xfId="10" applyFont="1" applyBorder="1"/>
    <xf numFmtId="164" fontId="26" fillId="0" borderId="0" xfId="9" applyNumberFormat="1" applyFont="1"/>
    <xf numFmtId="43" fontId="23" fillId="8" borderId="0" xfId="9" applyNumberFormat="1" applyFill="1"/>
    <xf numFmtId="0" fontId="26" fillId="0" borderId="0" xfId="9" applyFont="1" applyFill="1"/>
    <xf numFmtId="0" fontId="23" fillId="0" borderId="0" xfId="9" applyAlignment="1">
      <alignment horizontal="right"/>
    </xf>
    <xf numFmtId="0" fontId="0" fillId="0" borderId="0" xfId="0" applyNumberFormat="1"/>
    <xf numFmtId="0" fontId="36" fillId="9" borderId="0" xfId="9" applyFont="1" applyFill="1"/>
    <xf numFmtId="0" fontId="23" fillId="9" borderId="0" xfId="9" applyFill="1"/>
    <xf numFmtId="0" fontId="23" fillId="0" borderId="4" xfId="9" applyFill="1" applyBorder="1"/>
    <xf numFmtId="0" fontId="23" fillId="0" borderId="0" xfId="9" applyFill="1" applyBorder="1" applyAlignment="1">
      <alignment wrapText="1"/>
    </xf>
    <xf numFmtId="0" fontId="23" fillId="0" borderId="0" xfId="9" applyFill="1" applyBorder="1"/>
    <xf numFmtId="1" fontId="23" fillId="0" borderId="0" xfId="9" applyNumberFormat="1" applyFill="1" applyBorder="1"/>
    <xf numFmtId="0" fontId="23" fillId="0" borderId="4" xfId="9" applyBorder="1"/>
    <xf numFmtId="3" fontId="23" fillId="0" borderId="0" xfId="9" applyNumberFormat="1" applyFill="1" applyBorder="1"/>
    <xf numFmtId="3" fontId="23" fillId="0" borderId="0" xfId="9" applyNumberFormat="1" applyFont="1" applyFill="1"/>
    <xf numFmtId="0" fontId="26" fillId="0" borderId="4" xfId="9" applyFont="1" applyBorder="1"/>
    <xf numFmtId="0" fontId="21" fillId="0" borderId="0" xfId="9" applyFont="1" applyFill="1" applyAlignment="1">
      <alignment vertical="center" textRotation="90"/>
    </xf>
    <xf numFmtId="3" fontId="23" fillId="0" borderId="4" xfId="9" applyNumberFormat="1" applyFill="1" applyBorder="1"/>
    <xf numFmtId="2" fontId="0" fillId="4" borderId="0" xfId="0" applyNumberFormat="1" applyFill="1" applyAlignment="1">
      <alignment horizontal="right"/>
    </xf>
    <xf numFmtId="2" fontId="16" fillId="6" borderId="8" xfId="2" applyNumberFormat="1" applyFont="1" applyFill="1" applyBorder="1"/>
    <xf numFmtId="2" fontId="16" fillId="4" borderId="9" xfId="2" applyNumberFormat="1" applyFont="1" applyFill="1" applyBorder="1"/>
    <xf numFmtId="2" fontId="16" fillId="4" borderId="8" xfId="2" applyNumberFormat="1" applyFont="1" applyFill="1" applyBorder="1"/>
    <xf numFmtId="0" fontId="12" fillId="0" borderId="0" xfId="3" applyFont="1" applyAlignment="1">
      <alignment horizontal="right"/>
    </xf>
    <xf numFmtId="0" fontId="6" fillId="0" borderId="0" xfId="3" applyAlignment="1">
      <alignment horizontal="right"/>
    </xf>
    <xf numFmtId="0" fontId="8" fillId="0" borderId="0" xfId="4" applyFont="1" applyFill="1"/>
    <xf numFmtId="43" fontId="23" fillId="0" borderId="0" xfId="9" applyNumberFormat="1"/>
    <xf numFmtId="166" fontId="10" fillId="4" borderId="4" xfId="2" applyNumberFormat="1" applyFont="1" applyFill="1" applyBorder="1" applyAlignment="1">
      <alignment horizontal="right"/>
    </xf>
    <xf numFmtId="0" fontId="9" fillId="10" borderId="0" xfId="0" applyFont="1" applyFill="1"/>
    <xf numFmtId="0" fontId="9" fillId="0" borderId="0" xfId="0" applyFont="1" applyAlignment="1">
      <alignment horizontal="left"/>
    </xf>
    <xf numFmtId="0" fontId="9" fillId="0" borderId="0" xfId="0" applyFont="1" applyAlignment="1">
      <alignment wrapText="1"/>
    </xf>
    <xf numFmtId="0" fontId="9" fillId="0" borderId="13" xfId="0" applyFont="1" applyBorder="1" applyAlignment="1">
      <alignment horizontal="left"/>
    </xf>
    <xf numFmtId="0" fontId="9" fillId="0" borderId="13" xfId="0" applyNumberFormat="1" applyFont="1" applyBorder="1"/>
    <xf numFmtId="0" fontId="9" fillId="0" borderId="13" xfId="0" applyFont="1" applyBorder="1"/>
    <xf numFmtId="0" fontId="15" fillId="0" borderId="0" xfId="15" applyFont="1"/>
    <xf numFmtId="0" fontId="8" fillId="0" borderId="0" xfId="15"/>
    <xf numFmtId="0" fontId="41" fillId="0" borderId="0" xfId="15" applyFont="1"/>
    <xf numFmtId="0" fontId="9" fillId="0" borderId="0" xfId="15" applyFont="1"/>
    <xf numFmtId="0" fontId="8" fillId="7" borderId="4" xfId="15" applyFill="1" applyBorder="1"/>
    <xf numFmtId="0" fontId="8" fillId="0" borderId="4" xfId="15" applyBorder="1"/>
    <xf numFmtId="0" fontId="8" fillId="0" borderId="4" xfId="15" applyBorder="1" applyAlignment="1">
      <alignment wrapText="1"/>
    </xf>
    <xf numFmtId="0" fontId="8" fillId="0" borderId="4" xfId="15" applyFont="1" applyBorder="1" applyAlignment="1">
      <alignment wrapText="1"/>
    </xf>
    <xf numFmtId="0" fontId="8" fillId="0" borderId="4" xfId="15" applyFill="1" applyBorder="1"/>
    <xf numFmtId="172" fontId="8" fillId="0" borderId="4" xfId="15" applyNumberFormat="1" applyBorder="1"/>
    <xf numFmtId="0" fontId="8" fillId="0" borderId="4" xfId="15" applyFont="1" applyBorder="1"/>
    <xf numFmtId="167" fontId="8" fillId="0" borderId="4" xfId="15" applyNumberFormat="1" applyBorder="1"/>
    <xf numFmtId="0" fontId="9" fillId="0" borderId="4" xfId="15" applyFont="1" applyFill="1" applyBorder="1"/>
    <xf numFmtId="2" fontId="9" fillId="0" borderId="4" xfId="15" applyNumberFormat="1" applyFont="1" applyBorder="1"/>
    <xf numFmtId="0" fontId="9" fillId="0" borderId="4" xfId="15" applyFont="1" applyBorder="1"/>
    <xf numFmtId="0" fontId="42" fillId="0" borderId="0" xfId="0" applyFont="1"/>
    <xf numFmtId="0" fontId="43" fillId="0" borderId="0" xfId="3" applyFont="1"/>
    <xf numFmtId="0" fontId="7" fillId="0" borderId="0" xfId="0" applyFont="1" applyFill="1" applyAlignment="1">
      <alignment horizontal="left"/>
    </xf>
    <xf numFmtId="165" fontId="9" fillId="0" borderId="0" xfId="0" applyNumberFormat="1" applyFont="1" applyFill="1"/>
    <xf numFmtId="173" fontId="8" fillId="0" borderId="0" xfId="15" applyNumberFormat="1"/>
    <xf numFmtId="0" fontId="8" fillId="0" borderId="10" xfId="15" applyFont="1" applyFill="1" applyBorder="1"/>
    <xf numFmtId="0" fontId="13" fillId="0" borderId="0" xfId="3" applyFont="1" applyFill="1"/>
    <xf numFmtId="0" fontId="7" fillId="0" borderId="0" xfId="3" applyFont="1" applyFill="1"/>
    <xf numFmtId="0" fontId="2" fillId="0" borderId="0" xfId="3" applyFont="1" applyFill="1"/>
    <xf numFmtId="0" fontId="12" fillId="0" borderId="0" xfId="3" applyFont="1" applyFill="1" applyAlignment="1">
      <alignment horizontal="right"/>
    </xf>
    <xf numFmtId="0" fontId="6" fillId="0" borderId="0" xfId="3" applyFill="1" applyAlignment="1">
      <alignment horizontal="right"/>
    </xf>
    <xf numFmtId="3" fontId="12" fillId="5" borderId="0" xfId="3" applyNumberFormat="1" applyFont="1" applyFill="1"/>
    <xf numFmtId="0" fontId="7" fillId="0" borderId="0" xfId="3" applyFont="1" applyAlignment="1">
      <alignment wrapText="1"/>
    </xf>
    <xf numFmtId="164" fontId="6" fillId="0" borderId="0" xfId="3" applyNumberFormat="1" applyFill="1"/>
    <xf numFmtId="0" fontId="9" fillId="0" borderId="4" xfId="15" applyFont="1" applyFill="1" applyBorder="1" applyAlignment="1">
      <alignment wrapText="1"/>
    </xf>
    <xf numFmtId="0" fontId="9" fillId="11" borderId="0" xfId="15" applyFont="1" applyFill="1"/>
    <xf numFmtId="0" fontId="8" fillId="11" borderId="0" xfId="15" applyFill="1"/>
    <xf numFmtId="166" fontId="8" fillId="0" borderId="4" xfId="15" applyNumberFormat="1" applyBorder="1"/>
    <xf numFmtId="2" fontId="8" fillId="0" borderId="4" xfId="15" applyNumberFormat="1" applyFill="1" applyBorder="1"/>
    <xf numFmtId="0" fontId="19" fillId="0" borderId="0" xfId="5" applyAlignment="1">
      <alignment horizontal="justify" vertical="center"/>
    </xf>
    <xf numFmtId="0" fontId="38" fillId="12" borderId="15" xfId="0" applyFont="1" applyFill="1" applyBorder="1" applyAlignment="1">
      <alignment vertical="center" wrapText="1"/>
    </xf>
    <xf numFmtId="0" fontId="39" fillId="12" borderId="5" xfId="0" applyFont="1" applyFill="1" applyBorder="1" applyAlignment="1">
      <alignment vertical="center" wrapText="1"/>
    </xf>
    <xf numFmtId="0" fontId="39" fillId="0" borderId="12" xfId="0" applyFont="1" applyBorder="1" applyAlignment="1">
      <alignment vertical="center" wrapText="1"/>
    </xf>
    <xf numFmtId="3" fontId="45" fillId="12" borderId="0" xfId="0" applyNumberFormat="1" applyFont="1" applyFill="1" applyAlignment="1">
      <alignment vertical="center" wrapText="1"/>
    </xf>
    <xf numFmtId="0" fontId="38" fillId="0" borderId="12" xfId="0" applyFont="1" applyBorder="1" applyAlignment="1">
      <alignment vertical="center" wrapText="1"/>
    </xf>
    <xf numFmtId="3" fontId="45" fillId="0" borderId="5" xfId="0" applyNumberFormat="1" applyFont="1" applyBorder="1" applyAlignment="1">
      <alignment vertical="center" wrapText="1"/>
    </xf>
    <xf numFmtId="3" fontId="38" fillId="0" borderId="5" xfId="0" applyNumberFormat="1" applyFont="1" applyBorder="1" applyAlignment="1">
      <alignment vertical="center" wrapText="1"/>
    </xf>
    <xf numFmtId="3" fontId="46" fillId="0" borderId="5" xfId="0" applyNumberFormat="1" applyFont="1" applyBorder="1" applyAlignment="1">
      <alignment vertical="center" wrapText="1"/>
    </xf>
    <xf numFmtId="0" fontId="0" fillId="0" borderId="0" xfId="0" applyFill="1" applyBorder="1"/>
    <xf numFmtId="0" fontId="38" fillId="0" borderId="0" xfId="0" applyFont="1" applyFill="1" applyBorder="1" applyAlignment="1">
      <alignment vertical="center" wrapText="1"/>
    </xf>
    <xf numFmtId="0" fontId="39" fillId="0" borderId="0" xfId="0" applyFont="1" applyFill="1" applyBorder="1" applyAlignment="1">
      <alignment vertical="center" wrapText="1"/>
    </xf>
    <xf numFmtId="0" fontId="45" fillId="0" borderId="0" xfId="0" applyFont="1" applyFill="1" applyBorder="1" applyAlignment="1">
      <alignment vertical="center" wrapText="1"/>
    </xf>
    <xf numFmtId="3" fontId="45" fillId="0" borderId="0" xfId="0" applyNumberFormat="1" applyFont="1" applyFill="1" applyBorder="1" applyAlignment="1">
      <alignment vertical="center" wrapText="1"/>
    </xf>
    <xf numFmtId="0" fontId="46" fillId="0" borderId="0" xfId="0" applyFont="1" applyFill="1" applyBorder="1" applyAlignment="1">
      <alignment vertical="center" wrapText="1"/>
    </xf>
    <xf numFmtId="0" fontId="8" fillId="0" borderId="0" xfId="2" applyFill="1" applyBorder="1"/>
    <xf numFmtId="0" fontId="10" fillId="0" borderId="0" xfId="2" applyFont="1" applyFill="1" applyBorder="1"/>
    <xf numFmtId="0" fontId="17" fillId="0" borderId="0" xfId="2" applyFont="1" applyFill="1" applyBorder="1"/>
    <xf numFmtId="0" fontId="9" fillId="0" borderId="0" xfId="2" applyFont="1" applyFill="1" applyBorder="1"/>
    <xf numFmtId="0" fontId="38" fillId="0" borderId="0" xfId="0" applyFont="1" applyFill="1" applyBorder="1" applyAlignment="1">
      <alignment horizontal="center" vertical="center" wrapText="1"/>
    </xf>
    <xf numFmtId="0" fontId="39" fillId="0" borderId="0" xfId="0" applyFont="1" applyFill="1" applyBorder="1" applyAlignment="1">
      <alignment horizontal="justify" vertical="center" wrapText="1"/>
    </xf>
    <xf numFmtId="3" fontId="39" fillId="0" borderId="0" xfId="0" applyNumberFormat="1" applyFont="1" applyFill="1" applyBorder="1" applyAlignment="1">
      <alignment horizontal="justify" vertical="center" wrapText="1"/>
    </xf>
    <xf numFmtId="0" fontId="38" fillId="0" borderId="0" xfId="0" applyFont="1" applyFill="1" applyBorder="1" applyAlignment="1">
      <alignment horizontal="justify" vertical="center" wrapText="1"/>
    </xf>
    <xf numFmtId="0" fontId="38" fillId="0" borderId="0" xfId="0" applyFont="1" applyFill="1" applyBorder="1" applyAlignment="1">
      <alignment horizontal="left" vertical="center" wrapText="1"/>
    </xf>
    <xf numFmtId="0" fontId="37" fillId="0" borderId="0" xfId="0" applyFont="1" applyFill="1" applyBorder="1" applyAlignment="1">
      <alignment vertical="center" wrapText="1"/>
    </xf>
    <xf numFmtId="0" fontId="23" fillId="0" borderId="0" xfId="9" applyFont="1" applyFill="1" applyAlignment="1">
      <alignment horizontal="left" wrapText="1"/>
    </xf>
    <xf numFmtId="0" fontId="48" fillId="0" borderId="0" xfId="10" applyFont="1"/>
    <xf numFmtId="0" fontId="24" fillId="0" borderId="0" xfId="17" applyFont="1" applyAlignment="1">
      <alignment horizontal="justify"/>
    </xf>
    <xf numFmtId="0" fontId="24" fillId="0" borderId="0" xfId="17" applyFont="1"/>
    <xf numFmtId="0" fontId="1" fillId="0" borderId="0" xfId="17"/>
    <xf numFmtId="0" fontId="25" fillId="0" borderId="0" xfId="17" applyFont="1" applyAlignment="1">
      <alignment horizontal="justify"/>
    </xf>
    <xf numFmtId="168" fontId="25" fillId="0" borderId="0" xfId="17" applyNumberFormat="1" applyFont="1"/>
    <xf numFmtId="0" fontId="25" fillId="0" borderId="0" xfId="17" applyFont="1"/>
    <xf numFmtId="168" fontId="1" fillId="0" borderId="0" xfId="17" applyNumberFormat="1"/>
    <xf numFmtId="3" fontId="28" fillId="0" borderId="0" xfId="17" applyNumberFormat="1" applyFont="1"/>
    <xf numFmtId="170" fontId="23" fillId="0" borderId="0" xfId="18" applyFont="1"/>
    <xf numFmtId="0" fontId="26" fillId="0" borderId="4" xfId="9" applyFont="1" applyFill="1" applyBorder="1" applyAlignment="1">
      <alignment wrapText="1"/>
    </xf>
    <xf numFmtId="0" fontId="50" fillId="0" borderId="4" xfId="9" applyFont="1" applyFill="1" applyBorder="1"/>
    <xf numFmtId="168" fontId="26" fillId="0" borderId="4" xfId="18" applyNumberFormat="1" applyFont="1" applyFill="1" applyBorder="1"/>
    <xf numFmtId="0" fontId="23" fillId="0" borderId="0" xfId="17" applyFont="1" applyBorder="1" applyAlignment="1">
      <alignment horizontal="left" vertical="top" wrapText="1"/>
    </xf>
    <xf numFmtId="0" fontId="1" fillId="0" borderId="0" xfId="17" applyFont="1" applyBorder="1" applyAlignment="1">
      <alignment horizontal="right" wrapText="1"/>
    </xf>
    <xf numFmtId="0" fontId="1" fillId="0" borderId="0" xfId="17" applyFont="1"/>
    <xf numFmtId="0" fontId="23" fillId="0" borderId="0" xfId="17" applyFont="1" applyAlignment="1">
      <alignment wrapText="1"/>
    </xf>
    <xf numFmtId="0" fontId="23" fillId="0" borderId="0" xfId="17" applyFont="1"/>
    <xf numFmtId="0" fontId="26" fillId="0" borderId="0" xfId="17" applyFont="1" applyFill="1" applyBorder="1"/>
    <xf numFmtId="0" fontId="1" fillId="0" borderId="0" xfId="17" applyFill="1" applyBorder="1" applyAlignment="1">
      <alignment horizontal="center" wrapText="1"/>
    </xf>
    <xf numFmtId="0" fontId="1" fillId="0" borderId="0" xfId="17" applyFont="1" applyFill="1" applyBorder="1" applyAlignment="1">
      <alignment horizontal="right" vertical="center" wrapText="1"/>
    </xf>
    <xf numFmtId="0" fontId="1" fillId="0" borderId="0" xfId="17" applyFont="1" applyFill="1" applyBorder="1" applyAlignment="1">
      <alignment horizontal="center" wrapText="1"/>
    </xf>
    <xf numFmtId="0" fontId="26" fillId="11" borderId="4" xfId="9" applyFont="1" applyFill="1" applyBorder="1" applyAlignment="1">
      <alignment wrapText="1"/>
    </xf>
    <xf numFmtId="0" fontId="26" fillId="11" borderId="4" xfId="9" applyFont="1" applyFill="1" applyBorder="1"/>
    <xf numFmtId="0" fontId="52" fillId="0" borderId="4" xfId="9" applyFont="1" applyBorder="1" applyAlignment="1">
      <alignment wrapText="1"/>
    </xf>
    <xf numFmtId="0" fontId="52" fillId="0" borderId="4" xfId="9" applyFont="1" applyBorder="1"/>
    <xf numFmtId="0" fontId="26" fillId="0" borderId="4" xfId="9" applyFont="1" applyBorder="1" applyAlignment="1">
      <alignment wrapText="1"/>
    </xf>
    <xf numFmtId="0" fontId="53" fillId="0" borderId="4" xfId="9" applyFont="1" applyBorder="1" applyAlignment="1">
      <alignment wrapText="1"/>
    </xf>
    <xf numFmtId="0" fontId="54" fillId="0" borderId="4" xfId="9" applyFont="1" applyBorder="1"/>
    <xf numFmtId="0" fontId="55" fillId="0" borderId="4" xfId="9" applyFont="1" applyBorder="1" applyAlignment="1">
      <alignment wrapText="1"/>
    </xf>
    <xf numFmtId="0" fontId="35" fillId="0" borderId="4" xfId="9" applyFont="1" applyBorder="1"/>
    <xf numFmtId="0" fontId="35" fillId="0" borderId="0" xfId="9" applyFont="1" applyFill="1" applyBorder="1" applyAlignment="1">
      <alignment wrapText="1"/>
    </xf>
    <xf numFmtId="0" fontId="21" fillId="0" borderId="0" xfId="9" applyFont="1" applyFill="1" applyBorder="1" applyAlignment="1">
      <alignment wrapText="1"/>
    </xf>
    <xf numFmtId="3" fontId="21" fillId="0" borderId="0" xfId="9" applyNumberFormat="1" applyFont="1" applyFill="1" applyBorder="1"/>
    <xf numFmtId="0" fontId="21" fillId="0" borderId="0" xfId="9" applyFont="1" applyFill="1" applyBorder="1" applyAlignment="1">
      <alignment horizontal="center" vertical="center" textRotation="90" wrapText="1"/>
    </xf>
    <xf numFmtId="168" fontId="23" fillId="0" borderId="0" xfId="18" applyNumberFormat="1" applyFont="1" applyFill="1"/>
    <xf numFmtId="168" fontId="23" fillId="0" borderId="0" xfId="18" applyNumberFormat="1" applyFont="1"/>
    <xf numFmtId="168" fontId="23" fillId="8" borderId="0" xfId="18" applyNumberFormat="1" applyFont="1" applyFill="1"/>
    <xf numFmtId="3" fontId="35" fillId="0" borderId="0" xfId="2" applyNumberFormat="1" applyFont="1" applyAlignment="1">
      <alignment vertical="center"/>
    </xf>
    <xf numFmtId="1" fontId="23" fillId="0" borderId="4" xfId="9" applyNumberFormat="1" applyFill="1" applyBorder="1"/>
    <xf numFmtId="1" fontId="50" fillId="0" borderId="4" xfId="9" applyNumberFormat="1" applyFont="1" applyFill="1" applyBorder="1"/>
    <xf numFmtId="0" fontId="51" fillId="0" borderId="0" xfId="5" applyFont="1" applyFill="1" applyBorder="1" applyAlignment="1">
      <alignment wrapText="1"/>
    </xf>
    <xf numFmtId="0" fontId="21" fillId="0" borderId="4" xfId="9" applyFont="1" applyFill="1" applyBorder="1" applyAlignment="1">
      <alignment vertical="center" wrapText="1"/>
    </xf>
    <xf numFmtId="0" fontId="56" fillId="0" borderId="4" xfId="9" applyFont="1" applyFill="1" applyBorder="1" applyAlignment="1">
      <alignment vertical="center"/>
    </xf>
    <xf numFmtId="0" fontId="23" fillId="0" borderId="4" xfId="9" applyFill="1" applyBorder="1" applyAlignment="1">
      <alignment vertical="center"/>
    </xf>
    <xf numFmtId="0" fontId="54" fillId="0" borderId="0" xfId="9" applyFont="1" applyFill="1" applyBorder="1" applyAlignment="1">
      <alignment wrapText="1"/>
    </xf>
    <xf numFmtId="0" fontId="54" fillId="0" borderId="0" xfId="9" applyFont="1" applyFill="1" applyBorder="1"/>
    <xf numFmtId="0" fontId="19" fillId="0" borderId="4" xfId="5" applyBorder="1" applyAlignment="1">
      <alignment wrapText="1"/>
    </xf>
    <xf numFmtId="0" fontId="23" fillId="0" borderId="4" xfId="9" applyBorder="1" applyAlignment="1">
      <alignment wrapText="1"/>
    </xf>
    <xf numFmtId="0" fontId="35" fillId="0" borderId="4" xfId="9" applyFont="1" applyBorder="1" applyAlignment="1">
      <alignment wrapText="1"/>
    </xf>
    <xf numFmtId="0" fontId="23" fillId="0" borderId="4" xfId="9" applyFill="1" applyBorder="1" applyAlignment="1">
      <alignment vertical="center" wrapText="1"/>
    </xf>
    <xf numFmtId="0" fontId="47" fillId="0" borderId="0" xfId="3" applyFont="1" applyAlignment="1">
      <alignment wrapText="1"/>
    </xf>
    <xf numFmtId="1" fontId="49" fillId="0" borderId="0" xfId="3" applyNumberFormat="1" applyFont="1"/>
    <xf numFmtId="0" fontId="49" fillId="0" borderId="0" xfId="3" applyFont="1" applyAlignment="1">
      <alignment horizontal="right"/>
    </xf>
    <xf numFmtId="3" fontId="49" fillId="0" borderId="0" xfId="3" applyNumberFormat="1" applyFont="1"/>
    <xf numFmtId="174" fontId="49" fillId="0" borderId="0" xfId="16" applyNumberFormat="1" applyFont="1"/>
    <xf numFmtId="1" fontId="49" fillId="0" borderId="0" xfId="3" applyNumberFormat="1" applyFont="1" applyFill="1"/>
    <xf numFmtId="2" fontId="26" fillId="0" borderId="0" xfId="9" applyNumberFormat="1" applyFont="1" applyFill="1"/>
    <xf numFmtId="0" fontId="38" fillId="12" borderId="14" xfId="0" applyFont="1" applyFill="1" applyBorder="1" applyAlignment="1">
      <alignment vertical="center" wrapText="1"/>
    </xf>
    <xf numFmtId="0" fontId="38" fillId="12" borderId="12" xfId="0" applyFont="1" applyFill="1" applyBorder="1" applyAlignment="1">
      <alignment vertical="center" wrapText="1"/>
    </xf>
    <xf numFmtId="0" fontId="38" fillId="0" borderId="6" xfId="0" applyFont="1" applyBorder="1" applyAlignment="1">
      <alignment vertical="center" wrapText="1"/>
    </xf>
    <xf numFmtId="0" fontId="38" fillId="0" borderId="7" xfId="0" applyFont="1" applyBorder="1" applyAlignment="1">
      <alignment vertical="center" wrapText="1"/>
    </xf>
    <xf numFmtId="0" fontId="38" fillId="0" borderId="11" xfId="0" applyFont="1" applyBorder="1" applyAlignment="1">
      <alignment vertical="center" wrapText="1"/>
    </xf>
    <xf numFmtId="0" fontId="11" fillId="0" borderId="2" xfId="3" applyFont="1" applyBorder="1" applyAlignment="1">
      <alignment horizontal="center"/>
    </xf>
    <xf numFmtId="0" fontId="11" fillId="0" borderId="3" xfId="3" applyFont="1" applyBorder="1" applyAlignment="1">
      <alignment horizontal="center"/>
    </xf>
    <xf numFmtId="0" fontId="20" fillId="4" borderId="10" xfId="2" applyFont="1" applyFill="1" applyBorder="1" applyAlignment="1">
      <alignment horizontal="left" wrapText="1"/>
    </xf>
    <xf numFmtId="0" fontId="10" fillId="4" borderId="10" xfId="2" applyFont="1" applyFill="1" applyBorder="1" applyAlignment="1">
      <alignment horizontal="left" wrapText="1"/>
    </xf>
    <xf numFmtId="0" fontId="23" fillId="0" borderId="0" xfId="9" applyFont="1" applyFill="1" applyAlignment="1">
      <alignment horizontal="left" wrapText="1"/>
    </xf>
    <xf numFmtId="0" fontId="23" fillId="8" borderId="0" xfId="9" applyFont="1" applyFill="1" applyAlignment="1">
      <alignment horizontal="left" vertical="top" wrapText="1"/>
    </xf>
  </cellXfs>
  <cellStyles count="19">
    <cellStyle name="Lien hypertexte" xfId="5" builtinId="8"/>
    <cellStyle name="Lien hypertexte 2" xfId="8"/>
    <cellStyle name="Lien hypertexte 3" xfId="12"/>
    <cellStyle name="Milliers" xfId="1" builtinId="3"/>
    <cellStyle name="Milliers 2" xfId="11"/>
    <cellStyle name="Milliers 2 2" xfId="18"/>
    <cellStyle name="Normal" xfId="0" builtinId="0"/>
    <cellStyle name="Normal 2" xfId="2"/>
    <cellStyle name="Normal 2 2" xfId="9"/>
    <cellStyle name="Normal 3" xfId="10"/>
    <cellStyle name="Normal 3 2" xfId="17"/>
    <cellStyle name="Normal 4" xfId="13"/>
    <cellStyle name="Pourcentage" xfId="16" builtinId="5"/>
    <cellStyle name="Pourcentage 2" xfId="7"/>
    <cellStyle name="Standard 2" xfId="15"/>
    <cellStyle name="Standard 2 3" xfId="6"/>
    <cellStyle name="Standard 4" xfId="3"/>
    <cellStyle name="Standard 4 2" xfId="4"/>
    <cellStyle name="Standard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5</xdr:row>
      <xdr:rowOff>133350</xdr:rowOff>
    </xdr:from>
    <xdr:to>
      <xdr:col>3</xdr:col>
      <xdr:colOff>2266950</xdr:colOff>
      <xdr:row>8</xdr:row>
      <xdr:rowOff>39370</xdr:rowOff>
    </xdr:to>
    <xdr:pic>
      <xdr:nvPicPr>
        <xdr:cNvPr id="2" name="Picture 1" descr="Bildschirmfoto 2011-07-19 um 10.15.32.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bwMode="auto">
        <a:xfrm>
          <a:off x="190500" y="923925"/>
          <a:ext cx="5943600" cy="3346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63500</xdr:rowOff>
    </xdr:from>
    <xdr:to>
      <xdr:col>2</xdr:col>
      <xdr:colOff>759072</xdr:colOff>
      <xdr:row>30</xdr:row>
      <xdr:rowOff>177799</xdr:rowOff>
    </xdr:to>
    <xdr:pic>
      <xdr:nvPicPr>
        <xdr:cNvPr id="2" name="Picture 1">
          <a:extLst>
            <a:ext uri="{FF2B5EF4-FFF2-40B4-BE49-F238E27FC236}">
              <a16:creationId xmlns:a16="http://schemas.microsoft.com/office/drawing/2014/main" id="{FE8C4ECA-3B18-4742-BE85-793903351E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283075"/>
          <a:ext cx="8417172" cy="2514599"/>
        </a:xfrm>
        <a:prstGeom prst="rect">
          <a:avLst/>
        </a:prstGeom>
      </xdr:spPr>
    </xdr:pic>
    <xdr:clientData/>
  </xdr:twoCellAnchor>
  <xdr:twoCellAnchor editAs="oneCell">
    <xdr:from>
      <xdr:col>0</xdr:col>
      <xdr:colOff>235323</xdr:colOff>
      <xdr:row>3</xdr:row>
      <xdr:rowOff>16573</xdr:rowOff>
    </xdr:from>
    <xdr:to>
      <xdr:col>1</xdr:col>
      <xdr:colOff>1333499</xdr:colOff>
      <xdr:row>9</xdr:row>
      <xdr:rowOff>145225</xdr:rowOff>
    </xdr:to>
    <xdr:pic>
      <xdr:nvPicPr>
        <xdr:cNvPr id="3" name="Picture 2">
          <a:extLst>
            <a:ext uri="{FF2B5EF4-FFF2-40B4-BE49-F238E27FC236}">
              <a16:creationId xmlns:a16="http://schemas.microsoft.com/office/drawing/2014/main" id="{820637F4-8687-4B40-8BF6-7306EEB2C1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5323" y="683323"/>
          <a:ext cx="7222751" cy="1328802"/>
        </a:xfrm>
        <a:prstGeom prst="rect">
          <a:avLst/>
        </a:prstGeom>
      </xdr:spPr>
    </xdr:pic>
    <xdr:clientData/>
  </xdr:twoCellAnchor>
  <xdr:twoCellAnchor editAs="oneCell">
    <xdr:from>
      <xdr:col>0</xdr:col>
      <xdr:colOff>773206</xdr:colOff>
      <xdr:row>87</xdr:row>
      <xdr:rowOff>179294</xdr:rowOff>
    </xdr:from>
    <xdr:to>
      <xdr:col>2</xdr:col>
      <xdr:colOff>773595</xdr:colOff>
      <xdr:row>98</xdr:row>
      <xdr:rowOff>104937</xdr:rowOff>
    </xdr:to>
    <xdr:pic>
      <xdr:nvPicPr>
        <xdr:cNvPr id="4" name="Picture 3">
          <a:extLst>
            <a:ext uri="{FF2B5EF4-FFF2-40B4-BE49-F238E27FC236}">
              <a16:creationId xmlns:a16="http://schemas.microsoft.com/office/drawing/2014/main" id="{0CA86B68-B28B-084C-B33B-69CCF3E616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73206" y="22048694"/>
          <a:ext cx="7658489" cy="5126293"/>
        </a:xfrm>
        <a:prstGeom prst="rect">
          <a:avLst/>
        </a:prstGeom>
      </xdr:spPr>
    </xdr:pic>
    <xdr:clientData/>
  </xdr:twoCellAnchor>
  <xdr:twoCellAnchor editAs="oneCell">
    <xdr:from>
      <xdr:col>0</xdr:col>
      <xdr:colOff>545353</xdr:colOff>
      <xdr:row>48</xdr:row>
      <xdr:rowOff>912907</xdr:rowOff>
    </xdr:from>
    <xdr:to>
      <xdr:col>2</xdr:col>
      <xdr:colOff>477386</xdr:colOff>
      <xdr:row>54</xdr:row>
      <xdr:rowOff>114654</xdr:rowOff>
    </xdr:to>
    <xdr:pic>
      <xdr:nvPicPr>
        <xdr:cNvPr id="5" name="Picture 4">
          <a:extLst>
            <a:ext uri="{FF2B5EF4-FFF2-40B4-BE49-F238E27FC236}">
              <a16:creationId xmlns:a16="http://schemas.microsoft.com/office/drawing/2014/main" id="{4E92A8B1-EE9F-5346-A596-E8CDEF1DE685}"/>
            </a:ext>
          </a:extLst>
        </xdr:cNvPr>
        <xdr:cNvPicPr>
          <a:picLocks noChangeAspect="1"/>
        </xdr:cNvPicPr>
      </xdr:nvPicPr>
      <xdr:blipFill>
        <a:blip xmlns:r="http://schemas.openxmlformats.org/officeDocument/2006/relationships" r:embed="rId4"/>
        <a:stretch>
          <a:fillRect/>
        </a:stretch>
      </xdr:blipFill>
      <xdr:spPr>
        <a:xfrm>
          <a:off x="545353" y="11542807"/>
          <a:ext cx="7590133" cy="2316422"/>
        </a:xfrm>
        <a:prstGeom prst="rect">
          <a:avLst/>
        </a:prstGeom>
      </xdr:spPr>
    </xdr:pic>
    <xdr:clientData/>
  </xdr:twoCellAnchor>
  <xdr:twoCellAnchor editAs="oneCell">
    <xdr:from>
      <xdr:col>0</xdr:col>
      <xdr:colOff>502224</xdr:colOff>
      <xdr:row>52</xdr:row>
      <xdr:rowOff>264337</xdr:rowOff>
    </xdr:from>
    <xdr:to>
      <xdr:col>2</xdr:col>
      <xdr:colOff>339007</xdr:colOff>
      <xdr:row>58</xdr:row>
      <xdr:rowOff>81411</xdr:rowOff>
    </xdr:to>
    <xdr:pic>
      <xdr:nvPicPr>
        <xdr:cNvPr id="6" name="Picture 5">
          <a:extLst>
            <a:ext uri="{FF2B5EF4-FFF2-40B4-BE49-F238E27FC236}">
              <a16:creationId xmlns:a16="http://schemas.microsoft.com/office/drawing/2014/main" id="{F3BB1A30-E042-2B4E-8171-F641DA1227E3}"/>
            </a:ext>
          </a:extLst>
        </xdr:cNvPr>
        <xdr:cNvPicPr>
          <a:picLocks noChangeAspect="1"/>
        </xdr:cNvPicPr>
      </xdr:nvPicPr>
      <xdr:blipFill>
        <a:blip xmlns:r="http://schemas.openxmlformats.org/officeDocument/2006/relationships" r:embed="rId5"/>
        <a:stretch>
          <a:fillRect/>
        </a:stretch>
      </xdr:blipFill>
      <xdr:spPr>
        <a:xfrm>
          <a:off x="502224" y="13542187"/>
          <a:ext cx="7494883" cy="1866069"/>
        </a:xfrm>
        <a:prstGeom prst="rect">
          <a:avLst/>
        </a:prstGeom>
      </xdr:spPr>
    </xdr:pic>
    <xdr:clientData/>
  </xdr:twoCellAnchor>
  <xdr:twoCellAnchor editAs="oneCell">
    <xdr:from>
      <xdr:col>5</xdr:col>
      <xdr:colOff>123264</xdr:colOff>
      <xdr:row>74</xdr:row>
      <xdr:rowOff>156883</xdr:rowOff>
    </xdr:from>
    <xdr:to>
      <xdr:col>9</xdr:col>
      <xdr:colOff>2770994</xdr:colOff>
      <xdr:row>94</xdr:row>
      <xdr:rowOff>581087</xdr:rowOff>
    </xdr:to>
    <xdr:pic>
      <xdr:nvPicPr>
        <xdr:cNvPr id="7" name="Image 7"/>
        <xdr:cNvPicPr>
          <a:picLocks noChangeAspect="1"/>
        </xdr:cNvPicPr>
      </xdr:nvPicPr>
      <xdr:blipFill>
        <a:blip xmlns:r="http://schemas.openxmlformats.org/officeDocument/2006/relationships" r:embed="rId6"/>
        <a:stretch>
          <a:fillRect/>
        </a:stretch>
      </xdr:blipFill>
      <xdr:spPr>
        <a:xfrm>
          <a:off x="10467414" y="19425958"/>
          <a:ext cx="10467755" cy="4424704"/>
        </a:xfrm>
        <a:prstGeom prst="rect">
          <a:avLst/>
        </a:prstGeom>
      </xdr:spPr>
    </xdr:pic>
    <xdr:clientData/>
  </xdr:twoCellAnchor>
  <xdr:twoCellAnchor editAs="oneCell">
    <xdr:from>
      <xdr:col>0</xdr:col>
      <xdr:colOff>493059</xdr:colOff>
      <xdr:row>7</xdr:row>
      <xdr:rowOff>190499</xdr:rowOff>
    </xdr:from>
    <xdr:to>
      <xdr:col>1</xdr:col>
      <xdr:colOff>345976</xdr:colOff>
      <xdr:row>13</xdr:row>
      <xdr:rowOff>171054</xdr:rowOff>
    </xdr:to>
    <xdr:pic>
      <xdr:nvPicPr>
        <xdr:cNvPr id="8" name="Image 8"/>
        <xdr:cNvPicPr>
          <a:picLocks noChangeAspect="1"/>
        </xdr:cNvPicPr>
      </xdr:nvPicPr>
      <xdr:blipFill>
        <a:blip xmlns:r="http://schemas.openxmlformats.org/officeDocument/2006/relationships" r:embed="rId7"/>
        <a:stretch>
          <a:fillRect/>
        </a:stretch>
      </xdr:blipFill>
      <xdr:spPr>
        <a:xfrm>
          <a:off x="493059" y="1657349"/>
          <a:ext cx="5977492" cy="118070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data.un.org/Data.aspx?d=EDATA&amp;f=cmID%3aFW%3bcrID%3a404%3btrID%3a1214o%2c1234&amp;c=2,5,6,7,8&amp;s=_crEngNameOrderBy:asc,_enID:asc,yr:desc&amp;v=1" TargetMode="External"/><Relationship Id="rId2" Type="http://schemas.openxmlformats.org/officeDocument/2006/relationships/hyperlink" Target="http://data.un.org/Data.aspx?d=EDATA&amp;f=cmID%3aFW%3bcrID%3a404%3btrID%3a1231&amp;c=2,5,6,7,8&amp;s=_crEngNameOrderBy:asc,_enID:asc,yr:desc&amp;v=1" TargetMode="External"/><Relationship Id="rId1" Type="http://schemas.openxmlformats.org/officeDocument/2006/relationships/hyperlink" Target="http://data.un.org/Data.aspx?d=EDATA&amp;f=cmID%3aCH%3bcrID%3a404%3btrID%3a1231&amp;c=2,5,6,7,8&amp;s=_crEngNameOrderBy:asc,_enID:asc,yr:desc&amp;v=1" TargetMode="External"/><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0"/>
  <sheetViews>
    <sheetView workbookViewId="0">
      <selection activeCell="H30" sqref="H30"/>
    </sheetView>
  </sheetViews>
  <sheetFormatPr baseColWidth="10" defaultColWidth="11" defaultRowHeight="13.5"/>
  <cols>
    <col min="2" max="4" width="16" customWidth="1"/>
    <col min="5" max="5" width="18.765625" customWidth="1"/>
    <col min="6" max="6" width="5.3828125" customWidth="1"/>
    <col min="7" max="11" width="16.4609375" customWidth="1"/>
  </cols>
  <sheetData>
    <row r="2" spans="2:10">
      <c r="G2" s="178"/>
      <c r="H2" s="178"/>
      <c r="I2" s="178"/>
      <c r="J2" s="178"/>
    </row>
    <row r="3" spans="2:10">
      <c r="B3" s="1" t="s">
        <v>486</v>
      </c>
      <c r="G3" s="178"/>
      <c r="H3" s="178"/>
      <c r="I3" s="178"/>
      <c r="J3" s="178"/>
    </row>
    <row r="4" spans="2:10" ht="14" thickBot="1">
      <c r="G4" s="178"/>
      <c r="H4" s="178"/>
      <c r="I4" s="178"/>
      <c r="J4" s="178"/>
    </row>
    <row r="5" spans="2:10" ht="28">
      <c r="B5" s="253" t="s">
        <v>413</v>
      </c>
      <c r="C5" s="170" t="s">
        <v>421</v>
      </c>
      <c r="D5" s="170" t="s">
        <v>422</v>
      </c>
      <c r="E5" s="170" t="s">
        <v>485</v>
      </c>
      <c r="G5" s="179"/>
      <c r="H5" s="179"/>
      <c r="I5" s="179"/>
      <c r="J5" s="179"/>
    </row>
    <row r="6" spans="2:10" ht="28.5" thickBot="1">
      <c r="B6" s="254"/>
      <c r="C6" s="171" t="s">
        <v>482</v>
      </c>
      <c r="D6" s="171" t="s">
        <v>483</v>
      </c>
      <c r="E6" s="171" t="s">
        <v>484</v>
      </c>
      <c r="G6" s="179"/>
      <c r="H6" s="180"/>
      <c r="I6" s="180"/>
      <c r="J6" s="180"/>
    </row>
    <row r="7" spans="2:10" ht="31" thickBot="1">
      <c r="B7" s="172" t="s">
        <v>423</v>
      </c>
      <c r="C7" s="175">
        <f>BE!P59</f>
        <v>72655.912626108504</v>
      </c>
      <c r="D7" s="175">
        <f>PE!P59</f>
        <v>37308.703014589119</v>
      </c>
      <c r="E7" s="173">
        <f>'Project_ER_per Year'!P59</f>
        <v>35347.2096115194</v>
      </c>
      <c r="G7" s="180"/>
      <c r="H7" s="181"/>
      <c r="I7" s="182"/>
      <c r="J7" s="182"/>
    </row>
    <row r="8" spans="2:10" ht="14.5" thickBot="1">
      <c r="B8" s="172" t="s">
        <v>424</v>
      </c>
      <c r="C8" s="175">
        <f>BE!P60</f>
        <v>83521.077189916236</v>
      </c>
      <c r="D8" s="175">
        <f>PE!P60</f>
        <v>42887.948849704728</v>
      </c>
      <c r="E8" s="173">
        <f>'Project_ER_per Year'!P60</f>
        <v>40633.128340211508</v>
      </c>
      <c r="G8" s="180"/>
      <c r="H8" s="181"/>
      <c r="I8" s="182"/>
      <c r="J8" s="182"/>
    </row>
    <row r="9" spans="2:10" ht="14.5" thickBot="1">
      <c r="B9" s="172" t="s">
        <v>425</v>
      </c>
      <c r="C9" s="175">
        <f>BE!P61</f>
        <v>94386.241753723953</v>
      </c>
      <c r="D9" s="175">
        <f>PE!P61</f>
        <v>48467.194684820337</v>
      </c>
      <c r="E9" s="173">
        <f>'Project_ER_per Year'!P61</f>
        <v>45919.047068903616</v>
      </c>
      <c r="G9" s="180"/>
      <c r="H9" s="181"/>
      <c r="I9" s="182"/>
      <c r="J9" s="182"/>
    </row>
    <row r="10" spans="2:10" ht="14.5" thickBot="1">
      <c r="B10" s="172" t="s">
        <v>426</v>
      </c>
      <c r="C10" s="175">
        <f>BE!P62</f>
        <v>105251.40631753166</v>
      </c>
      <c r="D10" s="175">
        <f>PE!P62</f>
        <v>54046.440519935946</v>
      </c>
      <c r="E10" s="173">
        <f>'Project_ER_per Year'!P62</f>
        <v>51204.965797595709</v>
      </c>
      <c r="G10" s="180"/>
      <c r="H10" s="181"/>
      <c r="I10" s="182"/>
      <c r="J10" s="182"/>
    </row>
    <row r="11" spans="2:10" ht="14.5" thickBot="1">
      <c r="B11" s="172" t="s">
        <v>427</v>
      </c>
      <c r="C11" s="175">
        <f>BE!P63</f>
        <v>116116.57088133937</v>
      </c>
      <c r="D11" s="175">
        <f>PE!P63</f>
        <v>59625.686355051555</v>
      </c>
      <c r="E11" s="173">
        <f>'Project_ER_per Year'!P63</f>
        <v>56490.884526287809</v>
      </c>
      <c r="G11" s="180"/>
      <c r="H11" s="181"/>
      <c r="I11" s="182"/>
      <c r="J11" s="182"/>
    </row>
    <row r="12" spans="2:10" ht="14.5" thickBot="1">
      <c r="B12" s="172" t="s">
        <v>428</v>
      </c>
      <c r="C12" s="175">
        <f>BE!P64</f>
        <v>126981.73544514709</v>
      </c>
      <c r="D12" s="175">
        <f>PE!P64</f>
        <v>65204.932190167179</v>
      </c>
      <c r="E12" s="173">
        <f>'Project_ER_per Year'!P64</f>
        <v>61776.803254979917</v>
      </c>
      <c r="G12" s="180"/>
      <c r="H12" s="181"/>
      <c r="I12" s="182"/>
      <c r="J12" s="182"/>
    </row>
    <row r="13" spans="2:10" ht="14.5" thickBot="1">
      <c r="B13" s="172" t="s">
        <v>429</v>
      </c>
      <c r="C13" s="175">
        <f>BE!P65</f>
        <v>137846.90000895481</v>
      </c>
      <c r="D13" s="175">
        <f>PE!P65</f>
        <v>70784.178025282788</v>
      </c>
      <c r="E13" s="173">
        <f>'Project_ER_per Year'!P65</f>
        <v>67062.721983672018</v>
      </c>
      <c r="G13" s="180"/>
      <c r="H13" s="181"/>
      <c r="I13" s="182"/>
      <c r="J13" s="182"/>
    </row>
    <row r="14" spans="2:10" ht="14.5" thickBot="1">
      <c r="B14" s="174" t="s">
        <v>19</v>
      </c>
      <c r="C14" s="177">
        <f>SUM(C7:C13)</f>
        <v>736759.84422272164</v>
      </c>
      <c r="D14" s="177">
        <f>SUM(D7:D13)</f>
        <v>378325.08363955165</v>
      </c>
      <c r="E14" s="177">
        <f>SUM(E7:E13)</f>
        <v>358434.76058316999</v>
      </c>
      <c r="G14" s="179"/>
      <c r="H14" s="181"/>
      <c r="I14" s="181"/>
      <c r="J14" s="181"/>
    </row>
    <row r="15" spans="2:10" ht="28.5" thickBot="1">
      <c r="B15" s="174" t="s">
        <v>430</v>
      </c>
      <c r="C15" s="255">
        <v>7</v>
      </c>
      <c r="D15" s="256"/>
      <c r="E15" s="257"/>
      <c r="G15" s="179"/>
      <c r="H15" s="179"/>
      <c r="I15" s="179"/>
      <c r="J15" s="179"/>
    </row>
    <row r="16" spans="2:10" ht="42.5" thickBot="1">
      <c r="B16" s="174" t="s">
        <v>431</v>
      </c>
      <c r="C16" s="176">
        <f>AVERAGE(C7:C13)</f>
        <v>105251.40631753167</v>
      </c>
      <c r="D16" s="176">
        <f>AVERAGE(D7:D13)</f>
        <v>54046.440519935953</v>
      </c>
      <c r="E16" s="176">
        <f>AVERAGE(E7:E13)</f>
        <v>51204.965797595716</v>
      </c>
      <c r="G16" s="179"/>
      <c r="H16" s="179"/>
      <c r="I16" s="183"/>
      <c r="J16" s="183"/>
    </row>
    <row r="17" spans="7:10">
      <c r="G17" s="178"/>
      <c r="H17" s="178"/>
      <c r="I17" s="178"/>
      <c r="J17" s="178"/>
    </row>
    <row r="18" spans="7:10">
      <c r="G18" s="178"/>
      <c r="H18" s="178"/>
      <c r="I18" s="178"/>
      <c r="J18" s="178"/>
    </row>
    <row r="19" spans="7:10">
      <c r="G19" s="178"/>
      <c r="H19" s="178"/>
      <c r="I19" s="178"/>
      <c r="J19" s="178"/>
    </row>
    <row r="20" spans="7:10">
      <c r="G20" s="178"/>
      <c r="H20" s="178"/>
      <c r="I20" s="178"/>
      <c r="J20" s="178"/>
    </row>
  </sheetData>
  <mergeCells count="2">
    <mergeCell ref="B5:B6"/>
    <mergeCell ref="C15:E15"/>
  </mergeCells>
  <pageMargins left="0.7" right="0.7" top="0.78740157499999996" bottom="0.78740157499999996"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zoomScaleNormal="100" workbookViewId="0">
      <selection activeCell="I71" sqref="I71"/>
    </sheetView>
  </sheetViews>
  <sheetFormatPr baseColWidth="10" defaultColWidth="7.61328125" defaultRowHeight="14.5"/>
  <cols>
    <col min="1" max="1" width="15.4609375" style="5" customWidth="1"/>
    <col min="2" max="2" width="18.765625" style="5" customWidth="1"/>
    <col min="3" max="3" width="24.23046875" style="5" customWidth="1"/>
    <col min="4" max="4" width="10.3828125" style="5" bestFit="1" customWidth="1"/>
    <col min="5" max="6" width="8.3828125" style="5" customWidth="1"/>
    <col min="7" max="7" width="10.84375" style="5" bestFit="1" customWidth="1"/>
    <col min="8" max="8" width="8.3828125" style="5" customWidth="1"/>
    <col min="9" max="9" width="13.765625" style="5" customWidth="1"/>
    <col min="10" max="10" width="11.765625" style="5" customWidth="1"/>
    <col min="11" max="13" width="8.3828125" style="5" customWidth="1"/>
    <col min="14" max="14" width="11.84375" style="5" customWidth="1"/>
    <col min="15" max="15" width="12.4609375" style="5" customWidth="1"/>
    <col min="16" max="16" width="13.4609375" style="5" customWidth="1"/>
    <col min="17" max="17" width="11.84375" style="5" customWidth="1"/>
    <col min="18" max="18" width="9.23046875" style="5" bestFit="1" customWidth="1"/>
    <col min="19" max="19" width="13" style="5" customWidth="1"/>
    <col min="20" max="20" width="8.3828125" style="5" bestFit="1" customWidth="1"/>
    <col min="21" max="21" width="9.15234375" style="5" customWidth="1"/>
    <col min="22" max="22" width="11" style="5" customWidth="1"/>
    <col min="23" max="16384" width="7.61328125" style="5"/>
  </cols>
  <sheetData>
    <row r="1" spans="1:20" s="3" customFormat="1" ht="15.75" customHeight="1">
      <c r="A1" s="1" t="s">
        <v>0</v>
      </c>
      <c r="B1" s="1"/>
      <c r="C1" s="2"/>
      <c r="D1" s="2"/>
      <c r="E1" s="2"/>
      <c r="F1" s="2"/>
      <c r="G1" s="2"/>
      <c r="H1" s="2"/>
      <c r="I1" s="2"/>
      <c r="J1" s="2"/>
      <c r="K1" s="2"/>
      <c r="L1" s="2"/>
      <c r="M1" s="2"/>
      <c r="N1" s="2"/>
      <c r="O1" s="2"/>
      <c r="P1" s="2"/>
      <c r="Q1" s="2"/>
      <c r="R1" s="2"/>
    </row>
    <row r="2" spans="1:20">
      <c r="A2" s="76" t="s">
        <v>74</v>
      </c>
      <c r="B2" s="4"/>
      <c r="C2" s="4"/>
      <c r="D2" s="4"/>
      <c r="E2" s="4"/>
      <c r="F2" s="4"/>
      <c r="G2" s="4"/>
      <c r="H2" s="4"/>
      <c r="I2" s="4"/>
      <c r="J2" s="4"/>
      <c r="K2" s="4"/>
      <c r="L2" s="4"/>
      <c r="M2" s="4"/>
      <c r="N2" s="4"/>
      <c r="O2" s="4"/>
      <c r="P2" s="4"/>
      <c r="Q2" s="4"/>
      <c r="R2" s="4"/>
    </row>
    <row r="3" spans="1:20">
      <c r="A3" s="4"/>
      <c r="B3" s="4"/>
      <c r="C3" s="4"/>
      <c r="D3" s="4"/>
      <c r="E3" s="4"/>
      <c r="F3" s="4"/>
      <c r="G3" s="4"/>
      <c r="H3" s="4"/>
      <c r="I3" s="4"/>
      <c r="J3" s="4"/>
      <c r="K3" s="4"/>
      <c r="L3" s="4"/>
      <c r="M3" s="4"/>
      <c r="N3" s="4"/>
      <c r="O3" s="4"/>
      <c r="P3" s="4"/>
      <c r="Q3" s="4"/>
      <c r="R3" s="4"/>
    </row>
    <row r="4" spans="1:20">
      <c r="A4" s="4" t="s">
        <v>1</v>
      </c>
      <c r="B4" s="4"/>
      <c r="C4" s="4"/>
      <c r="D4" s="4"/>
      <c r="E4" s="4"/>
      <c r="F4" s="4"/>
      <c r="G4" s="4"/>
      <c r="H4" s="4"/>
      <c r="I4" s="4"/>
      <c r="J4" s="4"/>
      <c r="K4" s="4"/>
      <c r="L4" s="4"/>
      <c r="M4" s="4"/>
      <c r="N4" s="4"/>
      <c r="O4" s="4"/>
      <c r="P4" s="4"/>
      <c r="Q4" s="4"/>
      <c r="R4" s="4"/>
    </row>
    <row r="5" spans="1:20">
      <c r="A5" s="4" t="s">
        <v>2</v>
      </c>
      <c r="B5" s="4" t="s">
        <v>487</v>
      </c>
      <c r="C5" s="4"/>
      <c r="D5" s="4"/>
      <c r="E5" s="4"/>
      <c r="F5" s="4"/>
      <c r="G5" s="4"/>
      <c r="H5" s="4"/>
      <c r="I5" s="4"/>
      <c r="J5" s="4"/>
      <c r="K5" s="4"/>
      <c r="L5" s="4"/>
      <c r="M5" s="4"/>
      <c r="N5" s="4"/>
      <c r="O5" s="4"/>
      <c r="P5" s="4"/>
      <c r="Q5" s="4"/>
      <c r="R5" s="4"/>
    </row>
    <row r="6" spans="1:20">
      <c r="A6" s="4" t="s">
        <v>3</v>
      </c>
      <c r="B6" s="6">
        <v>44249</v>
      </c>
      <c r="C6" s="4"/>
      <c r="D6" s="4"/>
      <c r="E6" s="4"/>
      <c r="F6" s="4"/>
      <c r="G6" s="4"/>
      <c r="H6" s="4"/>
      <c r="I6" s="4"/>
      <c r="J6" s="4"/>
      <c r="K6" s="4"/>
      <c r="L6" s="4"/>
      <c r="M6" s="4"/>
      <c r="N6" s="4"/>
      <c r="O6" s="4"/>
      <c r="P6" s="4"/>
      <c r="Q6" s="4"/>
      <c r="R6" s="4"/>
    </row>
    <row r="7" spans="1:20">
      <c r="A7" s="4"/>
      <c r="B7" s="4"/>
      <c r="C7" s="4"/>
      <c r="D7" s="4"/>
      <c r="E7" s="4"/>
      <c r="F7" s="4"/>
      <c r="G7" s="4"/>
      <c r="H7" s="4"/>
      <c r="I7" s="4"/>
      <c r="J7" s="4"/>
      <c r="K7" s="4"/>
      <c r="L7" s="4"/>
      <c r="M7" s="4"/>
      <c r="N7" s="4"/>
      <c r="O7" s="4"/>
      <c r="P7" s="4"/>
      <c r="Q7" s="4"/>
      <c r="R7" s="4"/>
    </row>
    <row r="8" spans="1:20" ht="27.5">
      <c r="A8" s="4"/>
      <c r="B8" s="7" t="s">
        <v>4</v>
      </c>
      <c r="C8" s="8">
        <f>ER_per_Stove!C24/12</f>
        <v>0.16942047207346481</v>
      </c>
      <c r="D8" s="258" t="s">
        <v>5</v>
      </c>
      <c r="E8" s="259"/>
      <c r="F8" s="4"/>
      <c r="G8" s="4"/>
      <c r="H8" s="4"/>
      <c r="I8" s="4"/>
      <c r="J8" s="4"/>
      <c r="K8" s="4"/>
      <c r="L8" s="4"/>
      <c r="M8" s="4"/>
      <c r="N8" s="4"/>
      <c r="O8" s="4"/>
      <c r="P8" s="4"/>
      <c r="Q8" s="4"/>
      <c r="R8" s="4"/>
    </row>
    <row r="9" spans="1:20">
      <c r="A9" s="4"/>
      <c r="B9" s="4"/>
      <c r="C9" s="4"/>
      <c r="D9" s="4"/>
      <c r="E9" s="4"/>
      <c r="F9" s="4"/>
      <c r="G9" s="4"/>
      <c r="H9" s="4"/>
      <c r="I9" s="4"/>
      <c r="J9" s="4"/>
      <c r="K9" s="4"/>
      <c r="L9" s="4"/>
      <c r="M9" s="4"/>
      <c r="N9" s="4"/>
      <c r="O9" s="4"/>
      <c r="P9" s="4"/>
      <c r="Q9" s="4"/>
      <c r="R9" s="4"/>
    </row>
    <row r="10" spans="1:20">
      <c r="A10" s="4"/>
      <c r="E10" s="4"/>
      <c r="F10" s="4"/>
      <c r="G10" s="4"/>
      <c r="H10" s="4"/>
      <c r="I10" s="4"/>
      <c r="J10" s="4"/>
      <c r="K10" s="4"/>
      <c r="L10" s="4"/>
      <c r="M10" s="4"/>
      <c r="N10" s="4"/>
      <c r="O10" s="4"/>
      <c r="P10" s="4"/>
      <c r="R10" s="4"/>
    </row>
    <row r="11" spans="1:20">
      <c r="A11" s="4"/>
      <c r="C11" s="9" t="s">
        <v>6</v>
      </c>
      <c r="D11" s="4"/>
      <c r="E11" s="4"/>
      <c r="F11" s="4"/>
      <c r="G11" s="4"/>
      <c r="H11" s="4"/>
      <c r="I11" s="4"/>
      <c r="J11" s="4"/>
      <c r="K11" s="4"/>
      <c r="L11" s="4"/>
      <c r="M11" s="4"/>
      <c r="N11" s="4"/>
      <c r="O11" s="4"/>
      <c r="P11" s="4"/>
    </row>
    <row r="12" spans="1:20">
      <c r="A12" s="4"/>
      <c r="C12" s="4"/>
      <c r="D12" s="4" t="s">
        <v>7</v>
      </c>
      <c r="E12" s="4" t="s">
        <v>8</v>
      </c>
      <c r="F12" s="4" t="s">
        <v>9</v>
      </c>
      <c r="G12" s="4" t="s">
        <v>10</v>
      </c>
      <c r="H12" s="4" t="s">
        <v>11</v>
      </c>
      <c r="I12" s="4" t="s">
        <v>12</v>
      </c>
      <c r="J12" s="4" t="s">
        <v>13</v>
      </c>
      <c r="K12" s="4" t="s">
        <v>14</v>
      </c>
      <c r="L12" s="4" t="s">
        <v>15</v>
      </c>
      <c r="M12" s="4" t="s">
        <v>16</v>
      </c>
      <c r="N12" s="4" t="s">
        <v>17</v>
      </c>
      <c r="O12" s="4" t="s">
        <v>18</v>
      </c>
      <c r="P12" s="10" t="s">
        <v>19</v>
      </c>
    </row>
    <row r="13" spans="1:20" s="12" customFormat="1">
      <c r="A13" s="11"/>
      <c r="C13" s="11">
        <v>2013</v>
      </c>
      <c r="D13" s="35">
        <v>1</v>
      </c>
      <c r="E13" s="35">
        <v>0</v>
      </c>
      <c r="F13" s="35">
        <v>0</v>
      </c>
      <c r="G13" s="35">
        <v>0</v>
      </c>
      <c r="H13" s="35">
        <v>0</v>
      </c>
      <c r="I13" s="35">
        <v>0</v>
      </c>
      <c r="J13" s="35">
        <v>0</v>
      </c>
      <c r="K13" s="35">
        <v>0</v>
      </c>
      <c r="L13" s="35">
        <v>72</v>
      </c>
      <c r="M13" s="35">
        <v>16</v>
      </c>
      <c r="N13" s="35">
        <v>28</v>
      </c>
      <c r="O13" s="35">
        <v>51</v>
      </c>
      <c r="P13" s="13">
        <f>SUM(D13:O13)</f>
        <v>168</v>
      </c>
      <c r="Q13" s="5"/>
      <c r="T13" s="14"/>
    </row>
    <row r="14" spans="1:20">
      <c r="A14" s="4"/>
      <c r="C14" s="4">
        <v>2014</v>
      </c>
      <c r="D14" s="35">
        <v>70</v>
      </c>
      <c r="E14" s="35">
        <v>40</v>
      </c>
      <c r="F14" s="35">
        <v>51</v>
      </c>
      <c r="G14" s="35">
        <v>29</v>
      </c>
      <c r="H14" s="35">
        <v>46</v>
      </c>
      <c r="I14" s="35">
        <v>22</v>
      </c>
      <c r="J14" s="35">
        <v>57</v>
      </c>
      <c r="K14" s="35">
        <v>72</v>
      </c>
      <c r="L14" s="35">
        <v>89</v>
      </c>
      <c r="M14" s="35">
        <v>63</v>
      </c>
      <c r="N14" s="35">
        <v>26</v>
      </c>
      <c r="O14" s="35">
        <v>14</v>
      </c>
      <c r="P14" s="15">
        <f>SUM(D14:O14)</f>
        <v>579</v>
      </c>
      <c r="R14" s="16"/>
      <c r="T14" s="17"/>
    </row>
    <row r="15" spans="1:20">
      <c r="A15" s="4"/>
      <c r="C15" s="4">
        <v>2015</v>
      </c>
      <c r="D15" s="35">
        <v>10</v>
      </c>
      <c r="E15" s="35">
        <v>6</v>
      </c>
      <c r="F15" s="35">
        <v>7</v>
      </c>
      <c r="G15" s="35">
        <v>2</v>
      </c>
      <c r="H15" s="35">
        <v>3</v>
      </c>
      <c r="I15" s="35">
        <v>4</v>
      </c>
      <c r="J15" s="35">
        <v>1</v>
      </c>
      <c r="K15" s="35">
        <v>8</v>
      </c>
      <c r="L15" s="35">
        <v>9</v>
      </c>
      <c r="M15" s="35">
        <v>40</v>
      </c>
      <c r="N15" s="35">
        <v>32</v>
      </c>
      <c r="O15" s="35">
        <v>50</v>
      </c>
      <c r="P15" s="15">
        <f t="shared" ref="P15:P27" si="0">SUM(D15:O15)</f>
        <v>172</v>
      </c>
      <c r="R15" s="16"/>
      <c r="T15" s="17"/>
    </row>
    <row r="16" spans="1:20">
      <c r="A16" s="4"/>
      <c r="C16" s="4">
        <v>2016</v>
      </c>
      <c r="D16" s="126">
        <v>24</v>
      </c>
      <c r="E16" s="126">
        <v>81</v>
      </c>
      <c r="F16" s="126">
        <v>53</v>
      </c>
      <c r="G16" s="126">
        <v>120</v>
      </c>
      <c r="H16" s="126">
        <v>100</v>
      </c>
      <c r="I16" s="126">
        <v>220</v>
      </c>
      <c r="J16" s="126">
        <v>601</v>
      </c>
      <c r="K16" s="126">
        <v>524</v>
      </c>
      <c r="L16" s="126">
        <v>524</v>
      </c>
      <c r="M16" s="126">
        <v>447</v>
      </c>
      <c r="N16" s="126">
        <v>177</v>
      </c>
      <c r="O16" s="126">
        <v>91</v>
      </c>
      <c r="P16" s="15">
        <f t="shared" si="0"/>
        <v>2962</v>
      </c>
      <c r="R16" s="16"/>
      <c r="T16" s="17"/>
    </row>
    <row r="17" spans="1:20">
      <c r="A17" s="4"/>
      <c r="C17" s="4">
        <v>2017</v>
      </c>
      <c r="D17" s="126">
        <v>48</v>
      </c>
      <c r="E17" s="126">
        <v>57</v>
      </c>
      <c r="F17" s="126">
        <v>235</v>
      </c>
      <c r="G17" s="126">
        <v>158</v>
      </c>
      <c r="H17" s="126">
        <v>112</v>
      </c>
      <c r="I17" s="126">
        <v>90</v>
      </c>
      <c r="J17" s="126">
        <v>127</v>
      </c>
      <c r="K17" s="126">
        <v>275</v>
      </c>
      <c r="L17" s="126">
        <v>325</v>
      </c>
      <c r="M17" s="126">
        <v>236</v>
      </c>
      <c r="N17" s="126">
        <v>115</v>
      </c>
      <c r="O17" s="126">
        <v>164</v>
      </c>
      <c r="P17" s="15">
        <f t="shared" si="0"/>
        <v>1942</v>
      </c>
      <c r="R17" s="16"/>
      <c r="T17" s="17"/>
    </row>
    <row r="18" spans="1:20">
      <c r="A18" s="4"/>
      <c r="C18" s="4">
        <v>2018</v>
      </c>
      <c r="D18" s="126">
        <v>88</v>
      </c>
      <c r="E18" s="126">
        <v>164</v>
      </c>
      <c r="F18" s="126">
        <v>179</v>
      </c>
      <c r="G18" s="126">
        <v>72</v>
      </c>
      <c r="H18" s="126">
        <v>81</v>
      </c>
      <c r="I18" s="126">
        <v>283</v>
      </c>
      <c r="J18" s="126">
        <v>571</v>
      </c>
      <c r="K18" s="126">
        <v>568</v>
      </c>
      <c r="L18" s="126">
        <v>553</v>
      </c>
      <c r="M18" s="126">
        <v>656</v>
      </c>
      <c r="N18" s="126">
        <v>335</v>
      </c>
      <c r="O18" s="126">
        <v>85</v>
      </c>
      <c r="P18" s="15">
        <f t="shared" si="0"/>
        <v>3635</v>
      </c>
      <c r="R18" s="16"/>
      <c r="T18" s="17"/>
    </row>
    <row r="19" spans="1:20">
      <c r="A19" s="4"/>
      <c r="C19" s="4">
        <v>2019</v>
      </c>
      <c r="D19" s="126">
        <v>80</v>
      </c>
      <c r="E19" s="126">
        <v>51</v>
      </c>
      <c r="F19" s="126">
        <v>101</v>
      </c>
      <c r="G19" s="126">
        <v>116</v>
      </c>
      <c r="H19" s="126">
        <v>27</v>
      </c>
      <c r="I19" s="126">
        <v>12</v>
      </c>
      <c r="J19" s="126">
        <v>177</v>
      </c>
      <c r="K19" s="126">
        <v>363</v>
      </c>
      <c r="L19" s="126">
        <v>398</v>
      </c>
      <c r="M19" s="126">
        <v>328</v>
      </c>
      <c r="N19" s="126">
        <v>426</v>
      </c>
      <c r="O19" s="126">
        <v>266</v>
      </c>
      <c r="P19" s="15">
        <f t="shared" si="0"/>
        <v>2345</v>
      </c>
      <c r="R19" s="16"/>
      <c r="T19" s="17"/>
    </row>
    <row r="20" spans="1:20">
      <c r="A20" s="4"/>
      <c r="C20" s="4">
        <v>2020</v>
      </c>
      <c r="D20" s="126">
        <v>143</v>
      </c>
      <c r="E20" s="126">
        <v>202</v>
      </c>
      <c r="F20" s="126">
        <v>375</v>
      </c>
      <c r="G20" s="126">
        <v>354</v>
      </c>
      <c r="H20" s="126">
        <v>388</v>
      </c>
      <c r="I20" s="126">
        <v>434</v>
      </c>
      <c r="J20" s="126">
        <v>434</v>
      </c>
      <c r="K20" s="126">
        <v>434</v>
      </c>
      <c r="L20" s="126">
        <v>434</v>
      </c>
      <c r="M20" s="126">
        <v>434</v>
      </c>
      <c r="N20" s="126">
        <v>434</v>
      </c>
      <c r="O20" s="126">
        <v>434</v>
      </c>
      <c r="P20" s="15">
        <f t="shared" si="0"/>
        <v>4500</v>
      </c>
      <c r="R20" s="16"/>
      <c r="T20" s="17"/>
    </row>
    <row r="21" spans="1:20" s="18" customFormat="1">
      <c r="B21" s="19" t="s">
        <v>432</v>
      </c>
      <c r="C21" s="20">
        <v>2021</v>
      </c>
      <c r="D21" s="21">
        <v>50</v>
      </c>
      <c r="E21" s="21">
        <v>50</v>
      </c>
      <c r="F21" s="21">
        <v>200</v>
      </c>
      <c r="G21" s="21">
        <v>200</v>
      </c>
      <c r="H21" s="21">
        <v>250</v>
      </c>
      <c r="I21" s="21">
        <v>300</v>
      </c>
      <c r="J21" s="21">
        <v>350</v>
      </c>
      <c r="K21" s="21">
        <v>350</v>
      </c>
      <c r="L21" s="21">
        <v>350</v>
      </c>
      <c r="M21" s="21">
        <v>350</v>
      </c>
      <c r="N21" s="21">
        <v>100</v>
      </c>
      <c r="O21" s="21">
        <v>50</v>
      </c>
      <c r="P21" s="15">
        <f t="shared" si="0"/>
        <v>2600</v>
      </c>
      <c r="Q21" s="5"/>
      <c r="T21" s="22"/>
    </row>
    <row r="22" spans="1:20">
      <c r="C22" s="20">
        <v>2022</v>
      </c>
      <c r="D22" s="21">
        <v>50</v>
      </c>
      <c r="E22" s="21">
        <v>50</v>
      </c>
      <c r="F22" s="21">
        <v>200</v>
      </c>
      <c r="G22" s="21">
        <v>200</v>
      </c>
      <c r="H22" s="21">
        <v>250</v>
      </c>
      <c r="I22" s="21">
        <v>300</v>
      </c>
      <c r="J22" s="21">
        <v>350</v>
      </c>
      <c r="K22" s="21">
        <v>350</v>
      </c>
      <c r="L22" s="21">
        <v>350</v>
      </c>
      <c r="M22" s="21">
        <v>350</v>
      </c>
      <c r="N22" s="21">
        <v>100</v>
      </c>
      <c r="O22" s="21">
        <v>50</v>
      </c>
      <c r="P22" s="15">
        <f t="shared" si="0"/>
        <v>2600</v>
      </c>
    </row>
    <row r="23" spans="1:20" ht="14.15" customHeight="1">
      <c r="C23" s="20">
        <v>2023</v>
      </c>
      <c r="D23" s="21">
        <v>50</v>
      </c>
      <c r="E23" s="21">
        <v>50</v>
      </c>
      <c r="F23" s="21">
        <v>200</v>
      </c>
      <c r="G23" s="21">
        <v>200</v>
      </c>
      <c r="H23" s="21">
        <v>250</v>
      </c>
      <c r="I23" s="21">
        <v>300</v>
      </c>
      <c r="J23" s="21">
        <v>350</v>
      </c>
      <c r="K23" s="21">
        <v>350</v>
      </c>
      <c r="L23" s="21">
        <v>350</v>
      </c>
      <c r="M23" s="21">
        <v>350</v>
      </c>
      <c r="N23" s="21">
        <v>100</v>
      </c>
      <c r="O23" s="21">
        <v>50</v>
      </c>
      <c r="P23" s="15">
        <f t="shared" si="0"/>
        <v>2600</v>
      </c>
    </row>
    <row r="24" spans="1:20" s="12" customFormat="1">
      <c r="C24" s="23">
        <v>2024</v>
      </c>
      <c r="D24" s="21">
        <v>50</v>
      </c>
      <c r="E24" s="21">
        <v>50</v>
      </c>
      <c r="F24" s="21">
        <v>200</v>
      </c>
      <c r="G24" s="21">
        <v>200</v>
      </c>
      <c r="H24" s="21">
        <v>250</v>
      </c>
      <c r="I24" s="21">
        <v>300</v>
      </c>
      <c r="J24" s="21">
        <v>350</v>
      </c>
      <c r="K24" s="21">
        <v>350</v>
      </c>
      <c r="L24" s="21">
        <v>350</v>
      </c>
      <c r="M24" s="21">
        <v>350</v>
      </c>
      <c r="N24" s="21">
        <v>100</v>
      </c>
      <c r="O24" s="21">
        <v>50</v>
      </c>
      <c r="P24" s="15">
        <f t="shared" si="0"/>
        <v>2600</v>
      </c>
      <c r="Q24" s="5"/>
    </row>
    <row r="25" spans="1:20" s="12" customFormat="1">
      <c r="C25" s="20">
        <v>2025</v>
      </c>
      <c r="D25" s="21">
        <v>50</v>
      </c>
      <c r="E25" s="21">
        <v>50</v>
      </c>
      <c r="F25" s="21">
        <v>200</v>
      </c>
      <c r="G25" s="21">
        <v>200</v>
      </c>
      <c r="H25" s="21">
        <v>250</v>
      </c>
      <c r="I25" s="21">
        <v>300</v>
      </c>
      <c r="J25" s="21">
        <v>350</v>
      </c>
      <c r="K25" s="21">
        <v>350</v>
      </c>
      <c r="L25" s="21">
        <v>350</v>
      </c>
      <c r="M25" s="21">
        <v>350</v>
      </c>
      <c r="N25" s="21">
        <v>100</v>
      </c>
      <c r="O25" s="21">
        <v>50</v>
      </c>
      <c r="P25" s="15">
        <f t="shared" si="0"/>
        <v>2600</v>
      </c>
      <c r="Q25" s="5"/>
    </row>
    <row r="26" spans="1:20" s="12" customFormat="1">
      <c r="C26" s="23">
        <v>2026</v>
      </c>
      <c r="D26" s="21">
        <v>50</v>
      </c>
      <c r="E26" s="21">
        <v>50</v>
      </c>
      <c r="F26" s="21">
        <v>200</v>
      </c>
      <c r="G26" s="21">
        <v>200</v>
      </c>
      <c r="H26" s="21">
        <v>250</v>
      </c>
      <c r="I26" s="21">
        <v>300</v>
      </c>
      <c r="J26" s="21">
        <v>350</v>
      </c>
      <c r="K26" s="21">
        <v>350</v>
      </c>
      <c r="L26" s="21">
        <v>350</v>
      </c>
      <c r="M26" s="21">
        <v>350</v>
      </c>
      <c r="N26" s="21">
        <v>100</v>
      </c>
      <c r="O26" s="21">
        <v>50</v>
      </c>
      <c r="P26" s="15">
        <f t="shared" si="0"/>
        <v>2600</v>
      </c>
      <c r="Q26" s="5"/>
    </row>
    <row r="27" spans="1:20" s="12" customFormat="1">
      <c r="C27" s="20">
        <v>2027</v>
      </c>
      <c r="D27" s="21">
        <v>50</v>
      </c>
      <c r="E27" s="21">
        <v>50</v>
      </c>
      <c r="F27" s="21">
        <v>200</v>
      </c>
      <c r="G27" s="21">
        <v>200</v>
      </c>
      <c r="H27" s="21">
        <v>250</v>
      </c>
      <c r="I27" s="21">
        <v>300</v>
      </c>
      <c r="J27" s="21">
        <v>350</v>
      </c>
      <c r="K27" s="21">
        <v>350</v>
      </c>
      <c r="L27" s="21">
        <v>350</v>
      </c>
      <c r="M27" s="21">
        <v>350</v>
      </c>
      <c r="N27" s="21">
        <v>100</v>
      </c>
      <c r="O27" s="21">
        <v>50</v>
      </c>
      <c r="P27" s="15">
        <f t="shared" si="0"/>
        <v>2600</v>
      </c>
      <c r="Q27" s="5"/>
    </row>
    <row r="28" spans="1:20">
      <c r="A28" s="24"/>
      <c r="B28" s="18"/>
      <c r="C28" s="24"/>
      <c r="D28" s="24"/>
      <c r="E28" s="24"/>
      <c r="F28" s="24"/>
      <c r="G28" s="24"/>
      <c r="H28" s="24"/>
      <c r="I28" s="24"/>
      <c r="J28" s="24"/>
      <c r="K28" s="24"/>
      <c r="L28" s="24"/>
      <c r="M28" s="24"/>
      <c r="N28" s="24"/>
      <c r="O28" s="25" t="s">
        <v>20</v>
      </c>
      <c r="P28" s="26">
        <f>SUM(P13:P27)</f>
        <v>34503</v>
      </c>
      <c r="R28" s="27"/>
      <c r="S28" s="163"/>
    </row>
    <row r="29" spans="1:20">
      <c r="A29" s="4"/>
      <c r="C29" s="4"/>
      <c r="D29" s="4"/>
      <c r="E29" s="4"/>
      <c r="F29" s="4"/>
      <c r="G29" s="4"/>
      <c r="H29" s="4"/>
      <c r="I29" s="4"/>
      <c r="J29" s="4"/>
      <c r="K29" s="4"/>
      <c r="L29" s="4"/>
      <c r="M29" s="4"/>
      <c r="N29" s="4"/>
      <c r="O29" s="4"/>
      <c r="P29" s="10"/>
      <c r="R29" s="16"/>
    </row>
    <row r="30" spans="1:20" ht="27.5">
      <c r="A30" s="4"/>
      <c r="C30" s="28" t="s">
        <v>21</v>
      </c>
      <c r="D30" s="4" t="s">
        <v>7</v>
      </c>
      <c r="E30" s="4" t="s">
        <v>8</v>
      </c>
      <c r="F30" s="4" t="s">
        <v>9</v>
      </c>
      <c r="G30" s="4" t="s">
        <v>10</v>
      </c>
      <c r="H30" s="4" t="s">
        <v>11</v>
      </c>
      <c r="I30" s="4" t="s">
        <v>12</v>
      </c>
      <c r="J30" s="4" t="s">
        <v>13</v>
      </c>
      <c r="K30" s="4" t="s">
        <v>14</v>
      </c>
      <c r="L30" s="4" t="s">
        <v>15</v>
      </c>
      <c r="M30" s="4" t="s">
        <v>16</v>
      </c>
      <c r="N30" s="4" t="s">
        <v>17</v>
      </c>
      <c r="O30" s="4" t="s">
        <v>18</v>
      </c>
      <c r="P30" s="10" t="s">
        <v>19</v>
      </c>
      <c r="Q30" s="162"/>
    </row>
    <row r="31" spans="1:20">
      <c r="A31" s="11"/>
      <c r="B31" s="12"/>
      <c r="C31" s="11">
        <v>2013</v>
      </c>
      <c r="D31" s="11">
        <v>0</v>
      </c>
      <c r="E31" s="11">
        <f>D13</f>
        <v>1</v>
      </c>
      <c r="F31" s="11">
        <f t="shared" ref="F31:O31" si="1">E13+E31</f>
        <v>1</v>
      </c>
      <c r="G31" s="11">
        <f t="shared" si="1"/>
        <v>1</v>
      </c>
      <c r="H31" s="11">
        <f t="shared" si="1"/>
        <v>1</v>
      </c>
      <c r="I31" s="11">
        <f t="shared" si="1"/>
        <v>1</v>
      </c>
      <c r="J31" s="11">
        <f t="shared" si="1"/>
        <v>1</v>
      </c>
      <c r="K31" s="11">
        <f t="shared" si="1"/>
        <v>1</v>
      </c>
      <c r="L31" s="11">
        <f t="shared" si="1"/>
        <v>1</v>
      </c>
      <c r="M31" s="11">
        <f t="shared" si="1"/>
        <v>73</v>
      </c>
      <c r="N31" s="11">
        <f t="shared" si="1"/>
        <v>89</v>
      </c>
      <c r="O31" s="11">
        <f t="shared" si="1"/>
        <v>117</v>
      </c>
      <c r="P31" s="13">
        <f>SUM(D31:O31)</f>
        <v>287</v>
      </c>
      <c r="R31" s="12"/>
      <c r="S31" s="12"/>
    </row>
    <row r="32" spans="1:20">
      <c r="A32" s="4"/>
      <c r="C32" s="4">
        <v>2014</v>
      </c>
      <c r="D32" s="4">
        <f t="shared" ref="D32:D38" si="2">O31+O13</f>
        <v>168</v>
      </c>
      <c r="E32" s="4">
        <f t="shared" ref="E32:P39" si="3">D32+D14</f>
        <v>238</v>
      </c>
      <c r="F32" s="4">
        <f t="shared" si="3"/>
        <v>278</v>
      </c>
      <c r="G32" s="4">
        <f t="shared" si="3"/>
        <v>329</v>
      </c>
      <c r="H32" s="4">
        <f t="shared" si="3"/>
        <v>358</v>
      </c>
      <c r="I32" s="4">
        <f t="shared" si="3"/>
        <v>404</v>
      </c>
      <c r="J32" s="4">
        <f t="shared" si="3"/>
        <v>426</v>
      </c>
      <c r="K32" s="4">
        <f t="shared" si="3"/>
        <v>483</v>
      </c>
      <c r="L32" s="4">
        <f t="shared" si="3"/>
        <v>555</v>
      </c>
      <c r="M32" s="4">
        <f t="shared" si="3"/>
        <v>644</v>
      </c>
      <c r="N32" s="4">
        <f t="shared" si="3"/>
        <v>707</v>
      </c>
      <c r="O32" s="4">
        <f t="shared" si="3"/>
        <v>733</v>
      </c>
      <c r="P32" s="15">
        <f t="shared" si="3"/>
        <v>747</v>
      </c>
      <c r="R32" s="16"/>
    </row>
    <row r="33" spans="1:19">
      <c r="A33" s="4"/>
      <c r="C33" s="4">
        <v>2015</v>
      </c>
      <c r="D33" s="4">
        <f t="shared" si="2"/>
        <v>747</v>
      </c>
      <c r="E33" s="4">
        <f t="shared" si="3"/>
        <v>757</v>
      </c>
      <c r="F33" s="4">
        <f t="shared" si="3"/>
        <v>763</v>
      </c>
      <c r="G33" s="4">
        <f t="shared" si="3"/>
        <v>770</v>
      </c>
      <c r="H33" s="4">
        <f t="shared" si="3"/>
        <v>772</v>
      </c>
      <c r="I33" s="4">
        <f t="shared" si="3"/>
        <v>775</v>
      </c>
      <c r="J33" s="4">
        <f t="shared" si="3"/>
        <v>779</v>
      </c>
      <c r="K33" s="4">
        <f t="shared" si="3"/>
        <v>780</v>
      </c>
      <c r="L33" s="4">
        <f t="shared" si="3"/>
        <v>788</v>
      </c>
      <c r="M33" s="4">
        <f t="shared" si="3"/>
        <v>797</v>
      </c>
      <c r="N33" s="4">
        <f t="shared" si="3"/>
        <v>837</v>
      </c>
      <c r="O33" s="4">
        <f t="shared" si="3"/>
        <v>869</v>
      </c>
      <c r="P33" s="15">
        <f t="shared" si="3"/>
        <v>919</v>
      </c>
      <c r="R33" s="16"/>
    </row>
    <row r="34" spans="1:19">
      <c r="A34" s="4"/>
      <c r="C34" s="4">
        <v>2016</v>
      </c>
      <c r="D34" s="4">
        <f t="shared" si="2"/>
        <v>919</v>
      </c>
      <c r="E34" s="4">
        <f t="shared" si="3"/>
        <v>943</v>
      </c>
      <c r="F34" s="4">
        <f t="shared" si="3"/>
        <v>1024</v>
      </c>
      <c r="G34" s="4">
        <f t="shared" si="3"/>
        <v>1077</v>
      </c>
      <c r="H34" s="4">
        <f t="shared" si="3"/>
        <v>1197</v>
      </c>
      <c r="I34" s="4">
        <f t="shared" si="3"/>
        <v>1297</v>
      </c>
      <c r="J34" s="4">
        <f t="shared" si="3"/>
        <v>1517</v>
      </c>
      <c r="K34" s="4">
        <f t="shared" si="3"/>
        <v>2118</v>
      </c>
      <c r="L34" s="4">
        <f t="shared" si="3"/>
        <v>2642</v>
      </c>
      <c r="M34" s="4">
        <f t="shared" si="3"/>
        <v>3166</v>
      </c>
      <c r="N34" s="4">
        <f t="shared" si="3"/>
        <v>3613</v>
      </c>
      <c r="O34" s="4">
        <f t="shared" si="3"/>
        <v>3790</v>
      </c>
      <c r="P34" s="15">
        <f t="shared" si="3"/>
        <v>3881</v>
      </c>
      <c r="R34" s="16"/>
    </row>
    <row r="35" spans="1:19">
      <c r="A35" s="4"/>
      <c r="C35" s="4">
        <v>2017</v>
      </c>
      <c r="D35" s="4">
        <f t="shared" si="2"/>
        <v>3881</v>
      </c>
      <c r="E35" s="4">
        <f t="shared" si="3"/>
        <v>3929</v>
      </c>
      <c r="F35" s="4">
        <f t="shared" si="3"/>
        <v>3986</v>
      </c>
      <c r="G35" s="4">
        <f t="shared" si="3"/>
        <v>4221</v>
      </c>
      <c r="H35" s="4">
        <f t="shared" si="3"/>
        <v>4379</v>
      </c>
      <c r="I35" s="4">
        <f t="shared" si="3"/>
        <v>4491</v>
      </c>
      <c r="J35" s="4">
        <f t="shared" si="3"/>
        <v>4581</v>
      </c>
      <c r="K35" s="4">
        <f t="shared" si="3"/>
        <v>4708</v>
      </c>
      <c r="L35" s="4">
        <f t="shared" si="3"/>
        <v>4983</v>
      </c>
      <c r="M35" s="4">
        <f t="shared" si="3"/>
        <v>5308</v>
      </c>
      <c r="N35" s="4">
        <f t="shared" si="3"/>
        <v>5544</v>
      </c>
      <c r="O35" s="4">
        <f t="shared" si="3"/>
        <v>5659</v>
      </c>
      <c r="P35" s="15">
        <f t="shared" si="3"/>
        <v>5823</v>
      </c>
      <c r="R35" s="16"/>
    </row>
    <row r="36" spans="1:19">
      <c r="A36" s="4"/>
      <c r="C36" s="4">
        <v>2018</v>
      </c>
      <c r="D36" s="4">
        <f t="shared" si="2"/>
        <v>5823</v>
      </c>
      <c r="E36" s="4">
        <f t="shared" si="3"/>
        <v>5911</v>
      </c>
      <c r="F36" s="4">
        <f t="shared" si="3"/>
        <v>6075</v>
      </c>
      <c r="G36" s="4">
        <f t="shared" si="3"/>
        <v>6254</v>
      </c>
      <c r="H36" s="4">
        <f t="shared" si="3"/>
        <v>6326</v>
      </c>
      <c r="I36" s="4">
        <f t="shared" si="3"/>
        <v>6407</v>
      </c>
      <c r="J36" s="4">
        <f t="shared" si="3"/>
        <v>6690</v>
      </c>
      <c r="K36" s="4">
        <f t="shared" si="3"/>
        <v>7261</v>
      </c>
      <c r="L36" s="4">
        <f t="shared" si="3"/>
        <v>7829</v>
      </c>
      <c r="M36" s="4">
        <f t="shared" si="3"/>
        <v>8382</v>
      </c>
      <c r="N36" s="4">
        <f t="shared" si="3"/>
        <v>9038</v>
      </c>
      <c r="O36" s="4">
        <f t="shared" si="3"/>
        <v>9373</v>
      </c>
      <c r="P36" s="15">
        <f t="shared" si="3"/>
        <v>9458</v>
      </c>
      <c r="R36" s="16"/>
    </row>
    <row r="37" spans="1:19" s="12" customFormat="1">
      <c r="A37" s="4"/>
      <c r="B37" s="5"/>
      <c r="C37" s="4">
        <v>2019</v>
      </c>
      <c r="D37" s="4">
        <f t="shared" si="2"/>
        <v>9458</v>
      </c>
      <c r="E37" s="4">
        <f t="shared" si="3"/>
        <v>9538</v>
      </c>
      <c r="F37" s="4">
        <f t="shared" si="3"/>
        <v>9589</v>
      </c>
      <c r="G37" s="4">
        <f t="shared" si="3"/>
        <v>9690</v>
      </c>
      <c r="H37" s="4">
        <f t="shared" si="3"/>
        <v>9806</v>
      </c>
      <c r="I37" s="4">
        <f t="shared" si="3"/>
        <v>9833</v>
      </c>
      <c r="J37" s="4">
        <f t="shared" si="3"/>
        <v>9845</v>
      </c>
      <c r="K37" s="4">
        <f t="shared" si="3"/>
        <v>10022</v>
      </c>
      <c r="L37" s="4">
        <f t="shared" si="3"/>
        <v>10385</v>
      </c>
      <c r="M37" s="4">
        <f t="shared" si="3"/>
        <v>10783</v>
      </c>
      <c r="N37" s="4">
        <f t="shared" si="3"/>
        <v>11111</v>
      </c>
      <c r="O37" s="4">
        <f t="shared" si="3"/>
        <v>11537</v>
      </c>
      <c r="P37" s="15">
        <f t="shared" si="3"/>
        <v>11803</v>
      </c>
      <c r="Q37" s="5"/>
      <c r="R37" s="16"/>
      <c r="S37" s="5"/>
    </row>
    <row r="38" spans="1:19">
      <c r="A38" s="4"/>
      <c r="B38" s="30"/>
      <c r="C38" s="4">
        <v>2020</v>
      </c>
      <c r="D38" s="4">
        <f t="shared" si="2"/>
        <v>11803</v>
      </c>
      <c r="E38" s="4">
        <f t="shared" si="3"/>
        <v>11946</v>
      </c>
      <c r="F38" s="4">
        <f t="shared" si="3"/>
        <v>12148</v>
      </c>
      <c r="G38" s="4">
        <f t="shared" si="3"/>
        <v>12523</v>
      </c>
      <c r="H38" s="4">
        <f t="shared" si="3"/>
        <v>12877</v>
      </c>
      <c r="I38" s="4">
        <f t="shared" si="3"/>
        <v>13265</v>
      </c>
      <c r="J38" s="4">
        <f>I38+I20</f>
        <v>13699</v>
      </c>
      <c r="K38" s="24">
        <f>J38+J20</f>
        <v>14133</v>
      </c>
      <c r="L38" s="4">
        <f t="shared" si="3"/>
        <v>14567</v>
      </c>
      <c r="M38" s="4">
        <f t="shared" si="3"/>
        <v>15001</v>
      </c>
      <c r="N38" s="4">
        <f t="shared" si="3"/>
        <v>15435</v>
      </c>
      <c r="O38" s="4">
        <f t="shared" si="3"/>
        <v>15869</v>
      </c>
      <c r="P38" s="15">
        <f>O38+O20</f>
        <v>16303</v>
      </c>
      <c r="R38" s="16"/>
    </row>
    <row r="39" spans="1:19">
      <c r="A39" s="4"/>
      <c r="B39" s="19" t="s">
        <v>432</v>
      </c>
      <c r="C39" s="20">
        <v>2021</v>
      </c>
      <c r="D39" s="31">
        <f t="shared" ref="D39:D45" si="4">O38+O20</f>
        <v>16303</v>
      </c>
      <c r="E39" s="31">
        <f t="shared" ref="E39:E45" si="5">D39+D21</f>
        <v>16353</v>
      </c>
      <c r="F39" s="31">
        <f t="shared" si="3"/>
        <v>16403</v>
      </c>
      <c r="G39" s="31">
        <f t="shared" si="3"/>
        <v>16603</v>
      </c>
      <c r="H39" s="31">
        <f t="shared" si="3"/>
        <v>16803</v>
      </c>
      <c r="I39" s="31">
        <f t="shared" si="3"/>
        <v>17053</v>
      </c>
      <c r="J39" s="31">
        <f>I39+I21</f>
        <v>17353</v>
      </c>
      <c r="K39" s="31">
        <f t="shared" si="3"/>
        <v>17703</v>
      </c>
      <c r="L39" s="31">
        <f t="shared" si="3"/>
        <v>18053</v>
      </c>
      <c r="M39" s="31">
        <f t="shared" si="3"/>
        <v>18403</v>
      </c>
      <c r="N39" s="31">
        <f t="shared" si="3"/>
        <v>18753</v>
      </c>
      <c r="O39" s="31">
        <f t="shared" si="3"/>
        <v>18853</v>
      </c>
      <c r="P39" s="15">
        <f t="shared" ref="P39:P45" si="6">O39+O21</f>
        <v>18903</v>
      </c>
      <c r="R39" s="16"/>
    </row>
    <row r="40" spans="1:19">
      <c r="C40" s="20">
        <v>2022</v>
      </c>
      <c r="D40" s="31">
        <f t="shared" si="4"/>
        <v>18903</v>
      </c>
      <c r="E40" s="31">
        <f t="shared" si="5"/>
        <v>18953</v>
      </c>
      <c r="F40" s="31">
        <f t="shared" ref="F40:F45" si="7">E40+E22</f>
        <v>19003</v>
      </c>
      <c r="G40" s="31">
        <f t="shared" ref="G40:G45" si="8">F40+F22</f>
        <v>19203</v>
      </c>
      <c r="H40" s="31">
        <f t="shared" ref="H40:H45" si="9">G40+G22</f>
        <v>19403</v>
      </c>
      <c r="I40" s="31">
        <f t="shared" ref="I40:J45" si="10">H40+H22</f>
        <v>19653</v>
      </c>
      <c r="J40" s="31">
        <f t="shared" si="10"/>
        <v>19953</v>
      </c>
      <c r="K40" s="31">
        <f t="shared" ref="K40:K45" si="11">J40+J22</f>
        <v>20303</v>
      </c>
      <c r="L40" s="31">
        <f t="shared" ref="L40:L45" si="12">K40+K22</f>
        <v>20653</v>
      </c>
      <c r="M40" s="31">
        <f t="shared" ref="M40:M45" si="13">L40+L22</f>
        <v>21003</v>
      </c>
      <c r="N40" s="31">
        <f t="shared" ref="N40:N45" si="14">M40+M22</f>
        <v>21353</v>
      </c>
      <c r="O40" s="31">
        <f t="shared" ref="O40:O45" si="15">N40+N22</f>
        <v>21453</v>
      </c>
      <c r="P40" s="15">
        <f t="shared" si="6"/>
        <v>21503</v>
      </c>
    </row>
    <row r="41" spans="1:19">
      <c r="C41" s="20">
        <v>2023</v>
      </c>
      <c r="D41" s="31">
        <f t="shared" si="4"/>
        <v>21503</v>
      </c>
      <c r="E41" s="31">
        <f t="shared" si="5"/>
        <v>21553</v>
      </c>
      <c r="F41" s="31">
        <f t="shared" si="7"/>
        <v>21603</v>
      </c>
      <c r="G41" s="31">
        <f t="shared" si="8"/>
        <v>21803</v>
      </c>
      <c r="H41" s="31">
        <f t="shared" si="9"/>
        <v>22003</v>
      </c>
      <c r="I41" s="31">
        <f t="shared" si="10"/>
        <v>22253</v>
      </c>
      <c r="J41" s="31">
        <f t="shared" si="10"/>
        <v>22553</v>
      </c>
      <c r="K41" s="31">
        <f t="shared" si="11"/>
        <v>22903</v>
      </c>
      <c r="L41" s="31">
        <f t="shared" si="12"/>
        <v>23253</v>
      </c>
      <c r="M41" s="31">
        <f t="shared" si="13"/>
        <v>23603</v>
      </c>
      <c r="N41" s="31">
        <f t="shared" si="14"/>
        <v>23953</v>
      </c>
      <c r="O41" s="31">
        <f t="shared" si="15"/>
        <v>24053</v>
      </c>
      <c r="P41" s="15">
        <f t="shared" si="6"/>
        <v>24103</v>
      </c>
    </row>
    <row r="42" spans="1:19">
      <c r="C42" s="23">
        <v>2024</v>
      </c>
      <c r="D42" s="32">
        <f t="shared" si="4"/>
        <v>24103</v>
      </c>
      <c r="E42" s="31">
        <f t="shared" si="5"/>
        <v>24153</v>
      </c>
      <c r="F42" s="31">
        <f t="shared" si="7"/>
        <v>24203</v>
      </c>
      <c r="G42" s="31">
        <f t="shared" si="8"/>
        <v>24403</v>
      </c>
      <c r="H42" s="31">
        <f t="shared" si="9"/>
        <v>24603</v>
      </c>
      <c r="I42" s="31">
        <f t="shared" si="10"/>
        <v>24853</v>
      </c>
      <c r="J42" s="31">
        <f t="shared" si="10"/>
        <v>25153</v>
      </c>
      <c r="K42" s="31">
        <f t="shared" si="11"/>
        <v>25503</v>
      </c>
      <c r="L42" s="31">
        <f t="shared" si="12"/>
        <v>25853</v>
      </c>
      <c r="M42" s="31">
        <f t="shared" si="13"/>
        <v>26203</v>
      </c>
      <c r="N42" s="31">
        <f t="shared" si="14"/>
        <v>26553</v>
      </c>
      <c r="O42" s="31">
        <f t="shared" si="15"/>
        <v>26653</v>
      </c>
      <c r="P42" s="15">
        <f t="shared" si="6"/>
        <v>26703</v>
      </c>
    </row>
    <row r="43" spans="1:19">
      <c r="C43" s="20">
        <v>2025</v>
      </c>
      <c r="D43" s="32">
        <f t="shared" si="4"/>
        <v>26703</v>
      </c>
      <c r="E43" s="31">
        <f t="shared" si="5"/>
        <v>26753</v>
      </c>
      <c r="F43" s="31">
        <f t="shared" si="7"/>
        <v>26803</v>
      </c>
      <c r="G43" s="31">
        <f t="shared" si="8"/>
        <v>27003</v>
      </c>
      <c r="H43" s="31">
        <f t="shared" si="9"/>
        <v>27203</v>
      </c>
      <c r="I43" s="31">
        <f t="shared" si="10"/>
        <v>27453</v>
      </c>
      <c r="J43" s="31">
        <f t="shared" si="10"/>
        <v>27753</v>
      </c>
      <c r="K43" s="31">
        <f t="shared" si="11"/>
        <v>28103</v>
      </c>
      <c r="L43" s="31">
        <f t="shared" si="12"/>
        <v>28453</v>
      </c>
      <c r="M43" s="31">
        <f t="shared" si="13"/>
        <v>28803</v>
      </c>
      <c r="N43" s="31">
        <f t="shared" si="14"/>
        <v>29153</v>
      </c>
      <c r="O43" s="31">
        <f t="shared" si="15"/>
        <v>29253</v>
      </c>
      <c r="P43" s="15">
        <f t="shared" si="6"/>
        <v>29303</v>
      </c>
    </row>
    <row r="44" spans="1:19">
      <c r="C44" s="23">
        <v>2026</v>
      </c>
      <c r="D44" s="32">
        <f t="shared" si="4"/>
        <v>29303</v>
      </c>
      <c r="E44" s="31">
        <f t="shared" si="5"/>
        <v>29353</v>
      </c>
      <c r="F44" s="31">
        <f t="shared" si="7"/>
        <v>29403</v>
      </c>
      <c r="G44" s="31">
        <f t="shared" si="8"/>
        <v>29603</v>
      </c>
      <c r="H44" s="31">
        <f t="shared" si="9"/>
        <v>29803</v>
      </c>
      <c r="I44" s="31">
        <f t="shared" si="10"/>
        <v>30053</v>
      </c>
      <c r="J44" s="31">
        <f t="shared" si="10"/>
        <v>30353</v>
      </c>
      <c r="K44" s="31">
        <f t="shared" si="11"/>
        <v>30703</v>
      </c>
      <c r="L44" s="31">
        <f t="shared" si="12"/>
        <v>31053</v>
      </c>
      <c r="M44" s="31">
        <f t="shared" si="13"/>
        <v>31403</v>
      </c>
      <c r="N44" s="31">
        <f t="shared" si="14"/>
        <v>31753</v>
      </c>
      <c r="O44" s="31">
        <f t="shared" si="15"/>
        <v>31853</v>
      </c>
      <c r="P44" s="15">
        <f t="shared" si="6"/>
        <v>31903</v>
      </c>
    </row>
    <row r="45" spans="1:19">
      <c r="C45" s="20">
        <v>2027</v>
      </c>
      <c r="D45" s="32">
        <f t="shared" si="4"/>
        <v>31903</v>
      </c>
      <c r="E45" s="32">
        <f t="shared" si="5"/>
        <v>31953</v>
      </c>
      <c r="F45" s="31">
        <f t="shared" si="7"/>
        <v>32003</v>
      </c>
      <c r="G45" s="31">
        <f t="shared" si="8"/>
        <v>32203</v>
      </c>
      <c r="H45" s="31">
        <f t="shared" si="9"/>
        <v>32403</v>
      </c>
      <c r="I45" s="31">
        <f t="shared" si="10"/>
        <v>32653</v>
      </c>
      <c r="J45" s="31">
        <f t="shared" si="10"/>
        <v>32953</v>
      </c>
      <c r="K45" s="31">
        <f t="shared" si="11"/>
        <v>33303</v>
      </c>
      <c r="L45" s="31">
        <f t="shared" si="12"/>
        <v>33653</v>
      </c>
      <c r="M45" s="31">
        <f t="shared" si="13"/>
        <v>34003</v>
      </c>
      <c r="N45" s="31">
        <f t="shared" si="14"/>
        <v>34353</v>
      </c>
      <c r="O45" s="31">
        <f t="shared" si="15"/>
        <v>34453</v>
      </c>
      <c r="P45" s="15">
        <f t="shared" si="6"/>
        <v>34503</v>
      </c>
    </row>
    <row r="50" spans="1:21" ht="29">
      <c r="A50" s="4"/>
      <c r="C50" s="33" t="s">
        <v>22</v>
      </c>
      <c r="D50" s="24" t="s">
        <v>7</v>
      </c>
      <c r="E50" s="24" t="s">
        <v>8</v>
      </c>
      <c r="F50" s="24" t="s">
        <v>9</v>
      </c>
      <c r="G50" s="24" t="s">
        <v>10</v>
      </c>
      <c r="H50" s="24" t="s">
        <v>11</v>
      </c>
      <c r="I50" s="24" t="s">
        <v>12</v>
      </c>
      <c r="J50" s="24" t="s">
        <v>13</v>
      </c>
      <c r="K50" s="24" t="s">
        <v>14</v>
      </c>
      <c r="L50" s="24" t="s">
        <v>15</v>
      </c>
      <c r="M50" s="24" t="s">
        <v>16</v>
      </c>
      <c r="N50" s="24" t="s">
        <v>17</v>
      </c>
      <c r="O50" s="24" t="s">
        <v>18</v>
      </c>
      <c r="P50" s="25" t="s">
        <v>19</v>
      </c>
      <c r="Q50" s="246" t="s">
        <v>475</v>
      </c>
      <c r="R50" s="34"/>
      <c r="S50" s="29"/>
    </row>
    <row r="51" spans="1:21">
      <c r="A51" s="11"/>
      <c r="B51" s="12"/>
      <c r="C51" s="35">
        <v>2013</v>
      </c>
      <c r="D51" s="36">
        <f t="shared" ref="D51:O65" si="16">D31*$C$8</f>
        <v>0</v>
      </c>
      <c r="E51" s="36">
        <f t="shared" si="16"/>
        <v>0.16942047207346481</v>
      </c>
      <c r="F51" s="36">
        <f t="shared" si="16"/>
        <v>0.16942047207346481</v>
      </c>
      <c r="G51" s="36">
        <f t="shared" si="16"/>
        <v>0.16942047207346481</v>
      </c>
      <c r="H51" s="36">
        <f t="shared" si="16"/>
        <v>0.16942047207346481</v>
      </c>
      <c r="I51" s="36">
        <f t="shared" si="16"/>
        <v>0.16942047207346481</v>
      </c>
      <c r="J51" s="36">
        <f t="shared" si="16"/>
        <v>0.16942047207346481</v>
      </c>
      <c r="K51" s="36">
        <f t="shared" si="16"/>
        <v>0.16942047207346481</v>
      </c>
      <c r="L51" s="36">
        <f t="shared" si="16"/>
        <v>0.16942047207346481</v>
      </c>
      <c r="M51" s="36">
        <f t="shared" si="16"/>
        <v>12.36769446136293</v>
      </c>
      <c r="N51" s="36">
        <f t="shared" si="16"/>
        <v>15.078422014538369</v>
      </c>
      <c r="O51" s="36">
        <f t="shared" si="16"/>
        <v>19.822195232595384</v>
      </c>
      <c r="P51" s="37">
        <f t="shared" ref="P51:P57" si="17">SUM(D51:O51)</f>
        <v>48.623675485084405</v>
      </c>
      <c r="Q51" s="247">
        <f>P51-(P51*(21/365))</f>
        <v>45.826148950326122</v>
      </c>
      <c r="R51" s="12"/>
      <c r="S51" s="12"/>
    </row>
    <row r="52" spans="1:21">
      <c r="A52" s="4"/>
      <c r="C52" s="24">
        <v>2014</v>
      </c>
      <c r="D52" s="38">
        <f t="shared" si="16"/>
        <v>28.462639308342087</v>
      </c>
      <c r="E52" s="38">
        <f t="shared" si="16"/>
        <v>40.322072353484621</v>
      </c>
      <c r="F52" s="38">
        <f t="shared" si="16"/>
        <v>47.098891236423214</v>
      </c>
      <c r="G52" s="38">
        <f t="shared" si="16"/>
        <v>55.739335312169921</v>
      </c>
      <c r="H52" s="38">
        <f t="shared" si="16"/>
        <v>60.652529002300398</v>
      </c>
      <c r="I52" s="38">
        <f t="shared" si="16"/>
        <v>68.445870717679782</v>
      </c>
      <c r="J52" s="38">
        <f t="shared" si="16"/>
        <v>72.173121103296012</v>
      </c>
      <c r="K52" s="38">
        <f t="shared" si="16"/>
        <v>81.830088011483497</v>
      </c>
      <c r="L52" s="38">
        <f t="shared" si="16"/>
        <v>94.028362000772972</v>
      </c>
      <c r="M52" s="38">
        <f t="shared" si="16"/>
        <v>109.10678401531133</v>
      </c>
      <c r="N52" s="38">
        <f t="shared" si="16"/>
        <v>119.78027375593962</v>
      </c>
      <c r="O52" s="38">
        <f t="shared" si="16"/>
        <v>124.18520602984971</v>
      </c>
      <c r="P52" s="39">
        <f>SUM(D52:O52)</f>
        <v>901.82517284705318</v>
      </c>
      <c r="Q52" s="247">
        <f t="shared" ref="Q52:Q58" si="18">P52-(P52*(21/365))</f>
        <v>849.93934098462</v>
      </c>
      <c r="R52" s="16"/>
    </row>
    <row r="53" spans="1:21">
      <c r="A53" s="4"/>
      <c r="C53" s="24">
        <v>2015</v>
      </c>
      <c r="D53" s="38">
        <f t="shared" si="16"/>
        <v>126.55709263887822</v>
      </c>
      <c r="E53" s="38">
        <f t="shared" si="16"/>
        <v>128.25129735961286</v>
      </c>
      <c r="F53" s="38">
        <f t="shared" si="16"/>
        <v>129.26782019205365</v>
      </c>
      <c r="G53" s="38">
        <f t="shared" si="16"/>
        <v>130.45376349656789</v>
      </c>
      <c r="H53" s="38">
        <f t="shared" si="16"/>
        <v>130.79260444071483</v>
      </c>
      <c r="I53" s="38">
        <f t="shared" si="16"/>
        <v>131.30086585693522</v>
      </c>
      <c r="J53" s="38">
        <f t="shared" si="16"/>
        <v>131.97854774522909</v>
      </c>
      <c r="K53" s="38">
        <f t="shared" si="16"/>
        <v>132.14796821730255</v>
      </c>
      <c r="L53" s="38">
        <f t="shared" si="16"/>
        <v>133.50333199389027</v>
      </c>
      <c r="M53" s="38">
        <f t="shared" si="16"/>
        <v>135.02811624255145</v>
      </c>
      <c r="N53" s="38">
        <f t="shared" si="16"/>
        <v>141.80493512549003</v>
      </c>
      <c r="O53" s="38">
        <f t="shared" si="16"/>
        <v>147.22639023184092</v>
      </c>
      <c r="P53" s="39">
        <f>SUM(D53:O53)</f>
        <v>1598.3127335410668</v>
      </c>
      <c r="Q53" s="247">
        <f t="shared" si="18"/>
        <v>1506.3550146250054</v>
      </c>
      <c r="R53" s="16"/>
    </row>
    <row r="54" spans="1:21">
      <c r="A54" s="4"/>
      <c r="C54" s="24">
        <v>2016</v>
      </c>
      <c r="D54" s="38">
        <f t="shared" si="16"/>
        <v>155.69741383551417</v>
      </c>
      <c r="E54" s="38">
        <f t="shared" si="16"/>
        <v>159.76350516527731</v>
      </c>
      <c r="F54" s="38">
        <f t="shared" si="16"/>
        <v>173.48656340322796</v>
      </c>
      <c r="G54" s="38">
        <f t="shared" si="16"/>
        <v>182.4658484231216</v>
      </c>
      <c r="H54" s="38">
        <f t="shared" si="16"/>
        <v>202.79630507193738</v>
      </c>
      <c r="I54" s="38">
        <f t="shared" si="16"/>
        <v>219.73835227928384</v>
      </c>
      <c r="J54" s="38">
        <f t="shared" si="16"/>
        <v>257.01085613544609</v>
      </c>
      <c r="K54" s="38">
        <f t="shared" si="16"/>
        <v>358.83255985159843</v>
      </c>
      <c r="L54" s="38">
        <f t="shared" si="16"/>
        <v>447.60888721809403</v>
      </c>
      <c r="M54" s="38">
        <f t="shared" si="16"/>
        <v>536.38521458458956</v>
      </c>
      <c r="N54" s="38">
        <f t="shared" si="16"/>
        <v>612.11616560142829</v>
      </c>
      <c r="O54" s="38">
        <f t="shared" si="16"/>
        <v>642.10358915843165</v>
      </c>
      <c r="P54" s="39">
        <f t="shared" si="17"/>
        <v>3948.0052607279504</v>
      </c>
      <c r="Q54" s="247">
        <f t="shared" si="18"/>
        <v>3720.8597525764794</v>
      </c>
      <c r="R54" s="16"/>
    </row>
    <row r="55" spans="1:21">
      <c r="A55" s="4"/>
      <c r="C55" s="24">
        <v>2017</v>
      </c>
      <c r="D55" s="38">
        <f t="shared" si="16"/>
        <v>657.52085211711687</v>
      </c>
      <c r="E55" s="38">
        <f t="shared" si="16"/>
        <v>665.65303477664327</v>
      </c>
      <c r="F55" s="38">
        <f t="shared" si="16"/>
        <v>675.3100016848307</v>
      </c>
      <c r="G55" s="38">
        <f t="shared" si="16"/>
        <v>715.12381262209499</v>
      </c>
      <c r="H55" s="38">
        <f t="shared" si="16"/>
        <v>741.89224720970242</v>
      </c>
      <c r="I55" s="38">
        <f t="shared" si="16"/>
        <v>760.86734008193048</v>
      </c>
      <c r="J55" s="38">
        <f t="shared" si="16"/>
        <v>776.11518256854231</v>
      </c>
      <c r="K55" s="38">
        <f t="shared" si="16"/>
        <v>797.63158252187236</v>
      </c>
      <c r="L55" s="38">
        <f t="shared" si="16"/>
        <v>844.22221234207518</v>
      </c>
      <c r="M55" s="38">
        <f t="shared" si="16"/>
        <v>899.28386576595119</v>
      </c>
      <c r="N55" s="38">
        <f t="shared" si="16"/>
        <v>939.26709717528888</v>
      </c>
      <c r="O55" s="38">
        <f t="shared" si="16"/>
        <v>958.75045146373736</v>
      </c>
      <c r="P55" s="39">
        <f t="shared" si="17"/>
        <v>9431.6376803297862</v>
      </c>
      <c r="Q55" s="247">
        <f t="shared" si="18"/>
        <v>8888.9955124204007</v>
      </c>
      <c r="R55" s="16"/>
    </row>
    <row r="56" spans="1:21">
      <c r="A56" s="4"/>
      <c r="C56" s="24">
        <v>2018</v>
      </c>
      <c r="D56" s="38">
        <f t="shared" si="16"/>
        <v>986.53540888378552</v>
      </c>
      <c r="E56" s="38">
        <f t="shared" si="16"/>
        <v>1001.4444104262504</v>
      </c>
      <c r="F56" s="38">
        <f t="shared" si="16"/>
        <v>1029.2293678462986</v>
      </c>
      <c r="G56" s="38">
        <f t="shared" si="16"/>
        <v>1059.5556323474489</v>
      </c>
      <c r="H56" s="38">
        <f t="shared" si="16"/>
        <v>1071.7539063367383</v>
      </c>
      <c r="I56" s="38">
        <f t="shared" si="16"/>
        <v>1085.476964574689</v>
      </c>
      <c r="J56" s="38">
        <f t="shared" si="16"/>
        <v>1133.4229581714796</v>
      </c>
      <c r="K56" s="38">
        <f t="shared" si="16"/>
        <v>1230.162047725428</v>
      </c>
      <c r="L56" s="38">
        <f t="shared" si="16"/>
        <v>1326.392875863156</v>
      </c>
      <c r="M56" s="38">
        <f t="shared" si="16"/>
        <v>1420.082396919782</v>
      </c>
      <c r="N56" s="38">
        <f t="shared" si="16"/>
        <v>1531.2222265999749</v>
      </c>
      <c r="O56" s="38">
        <f t="shared" si="16"/>
        <v>1587.9780847445857</v>
      </c>
      <c r="P56" s="39">
        <f>SUM(D56:O56)</f>
        <v>14463.256280439617</v>
      </c>
      <c r="Q56" s="247">
        <f t="shared" si="18"/>
        <v>13631.123727318432</v>
      </c>
      <c r="R56" s="16"/>
    </row>
    <row r="57" spans="1:21">
      <c r="A57" s="4"/>
      <c r="C57" s="24">
        <v>2019</v>
      </c>
      <c r="D57" s="38">
        <f t="shared" si="16"/>
        <v>1602.3788248708302</v>
      </c>
      <c r="E57" s="38">
        <f t="shared" si="16"/>
        <v>1615.9324626367072</v>
      </c>
      <c r="F57" s="38">
        <f t="shared" si="16"/>
        <v>1624.5729067124539</v>
      </c>
      <c r="G57" s="38">
        <f t="shared" si="16"/>
        <v>1641.6843743918739</v>
      </c>
      <c r="H57" s="38">
        <f t="shared" si="16"/>
        <v>1661.3371491523958</v>
      </c>
      <c r="I57" s="38">
        <f t="shared" si="16"/>
        <v>1665.9115018983794</v>
      </c>
      <c r="J57" s="38">
        <f t="shared" si="16"/>
        <v>1667.944547563261</v>
      </c>
      <c r="K57" s="38">
        <f t="shared" si="16"/>
        <v>1697.9319711202643</v>
      </c>
      <c r="L57" s="38">
        <f t="shared" si="16"/>
        <v>1759.431602482932</v>
      </c>
      <c r="M57" s="38">
        <f t="shared" si="16"/>
        <v>1826.860950368171</v>
      </c>
      <c r="N57" s="38">
        <f t="shared" si="16"/>
        <v>1882.4308652082675</v>
      </c>
      <c r="O57" s="38">
        <f t="shared" si="16"/>
        <v>1954.6039863115634</v>
      </c>
      <c r="P57" s="39">
        <f t="shared" si="17"/>
        <v>20601.021142717098</v>
      </c>
      <c r="Q57" s="247">
        <f t="shared" si="18"/>
        <v>19415.756912588171</v>
      </c>
      <c r="R57" s="16"/>
      <c r="T57" s="40"/>
    </row>
    <row r="58" spans="1:21">
      <c r="A58" s="4"/>
      <c r="C58" s="24">
        <v>2020</v>
      </c>
      <c r="D58" s="38">
        <f t="shared" si="16"/>
        <v>1999.6698318831052</v>
      </c>
      <c r="E58" s="38">
        <f t="shared" si="16"/>
        <v>2023.8969593896106</v>
      </c>
      <c r="F58" s="38">
        <f t="shared" si="16"/>
        <v>2058.1198947484504</v>
      </c>
      <c r="G58" s="38">
        <f t="shared" si="16"/>
        <v>2121.6525717759996</v>
      </c>
      <c r="H58" s="38">
        <f t="shared" si="16"/>
        <v>2181.6274188900061</v>
      </c>
      <c r="I58" s="38">
        <f t="shared" si="16"/>
        <v>2247.3625620545108</v>
      </c>
      <c r="J58" s="38">
        <f t="shared" si="16"/>
        <v>2320.8910469343946</v>
      </c>
      <c r="K58" s="38">
        <f t="shared" si="16"/>
        <v>2394.4195318142779</v>
      </c>
      <c r="L58" s="38">
        <f t="shared" si="16"/>
        <v>2467.9480166941617</v>
      </c>
      <c r="M58" s="38">
        <f t="shared" si="16"/>
        <v>2541.4765015740454</v>
      </c>
      <c r="N58" s="38">
        <f t="shared" si="16"/>
        <v>2615.0049864539292</v>
      </c>
      <c r="O58" s="38">
        <f t="shared" si="16"/>
        <v>2688.5334713338129</v>
      </c>
      <c r="P58" s="39">
        <f>SUM(D58:O58)</f>
        <v>27660.602793546303</v>
      </c>
      <c r="Q58" s="247">
        <f t="shared" si="18"/>
        <v>26069.170851999803</v>
      </c>
    </row>
    <row r="59" spans="1:21">
      <c r="A59" s="4"/>
      <c r="B59" s="19" t="s">
        <v>432</v>
      </c>
      <c r="C59" s="20">
        <v>2021</v>
      </c>
      <c r="D59" s="41">
        <f>D39*$C$8</f>
        <v>2762.0619562136967</v>
      </c>
      <c r="E59" s="41">
        <f t="shared" si="16"/>
        <v>2770.5329798173698</v>
      </c>
      <c r="F59" s="41">
        <f t="shared" si="16"/>
        <v>2779.0040034210433</v>
      </c>
      <c r="G59" s="41">
        <f>G39*$C$8</f>
        <v>2812.8880978357361</v>
      </c>
      <c r="H59" s="41">
        <f t="shared" si="16"/>
        <v>2846.7721922504293</v>
      </c>
      <c r="I59" s="41">
        <f t="shared" si="16"/>
        <v>2889.1273102687956</v>
      </c>
      <c r="J59" s="41">
        <f t="shared" si="16"/>
        <v>2939.9534518908349</v>
      </c>
      <c r="K59" s="41">
        <f t="shared" si="16"/>
        <v>2999.2506171165473</v>
      </c>
      <c r="L59" s="41">
        <f t="shared" si="16"/>
        <v>3058.5477823422602</v>
      </c>
      <c r="M59" s="41">
        <f t="shared" si="16"/>
        <v>3117.8449475679727</v>
      </c>
      <c r="N59" s="41">
        <f t="shared" si="16"/>
        <v>3177.1421127936856</v>
      </c>
      <c r="O59" s="41">
        <f t="shared" si="16"/>
        <v>3194.0841600010322</v>
      </c>
      <c r="P59" s="161">
        <f>SUM(D59:O59)</f>
        <v>35347.2096115194</v>
      </c>
      <c r="Q59" s="251">
        <f>P59-(P39*(21/365))</f>
        <v>34259.639748505702</v>
      </c>
      <c r="R59" s="16"/>
      <c r="T59" s="42"/>
      <c r="U59" s="42"/>
    </row>
    <row r="60" spans="1:21">
      <c r="A60" s="4"/>
      <c r="B60" s="4"/>
      <c r="C60" s="20">
        <v>2022</v>
      </c>
      <c r="D60" s="41">
        <f t="shared" si="16"/>
        <v>3202.5551836047052</v>
      </c>
      <c r="E60" s="41">
        <f t="shared" si="16"/>
        <v>3211.0262072083783</v>
      </c>
      <c r="F60" s="41">
        <f t="shared" si="16"/>
        <v>3219.4972308120518</v>
      </c>
      <c r="G60" s="41">
        <f t="shared" si="16"/>
        <v>3253.3813252267446</v>
      </c>
      <c r="H60" s="41">
        <f t="shared" si="16"/>
        <v>3287.2654196414378</v>
      </c>
      <c r="I60" s="41">
        <f t="shared" si="16"/>
        <v>3329.6205376598036</v>
      </c>
      <c r="J60" s="41">
        <f t="shared" si="16"/>
        <v>3380.4466792818434</v>
      </c>
      <c r="K60" s="41">
        <f t="shared" si="16"/>
        <v>3439.7438445075559</v>
      </c>
      <c r="L60" s="41">
        <f t="shared" si="16"/>
        <v>3499.0410097332688</v>
      </c>
      <c r="M60" s="41">
        <f t="shared" si="16"/>
        <v>3558.3381749589812</v>
      </c>
      <c r="N60" s="41">
        <f t="shared" si="16"/>
        <v>3617.6353401846941</v>
      </c>
      <c r="O60" s="41">
        <f t="shared" si="16"/>
        <v>3634.5773873920407</v>
      </c>
      <c r="P60" s="161">
        <f t="shared" ref="P60:P65" si="19">SUM(D60:O60)</f>
        <v>40633.128340211508</v>
      </c>
      <c r="Q60" s="251">
        <f t="shared" ref="Q60:Q65" si="20">P60-(P40*(21/365))</f>
        <v>39395.969436101921</v>
      </c>
      <c r="R60" s="16"/>
      <c r="T60" s="42"/>
    </row>
    <row r="61" spans="1:21">
      <c r="A61" s="4"/>
      <c r="B61" s="4"/>
      <c r="C61" s="20">
        <v>2023</v>
      </c>
      <c r="D61" s="41">
        <f t="shared" si="16"/>
        <v>3643.0484109957138</v>
      </c>
      <c r="E61" s="41">
        <f t="shared" si="16"/>
        <v>3651.5194345993868</v>
      </c>
      <c r="F61" s="41">
        <f t="shared" si="16"/>
        <v>3659.9904582030604</v>
      </c>
      <c r="G61" s="41">
        <f t="shared" si="16"/>
        <v>3693.8745526177531</v>
      </c>
      <c r="H61" s="41">
        <f t="shared" si="16"/>
        <v>3727.7586470324463</v>
      </c>
      <c r="I61" s="41">
        <f t="shared" si="16"/>
        <v>3770.1137650508122</v>
      </c>
      <c r="J61" s="41">
        <f t="shared" si="16"/>
        <v>3820.939906672852</v>
      </c>
      <c r="K61" s="41">
        <f t="shared" si="16"/>
        <v>3880.2370718985644</v>
      </c>
      <c r="L61" s="41">
        <f t="shared" si="16"/>
        <v>3939.5342371242773</v>
      </c>
      <c r="M61" s="41">
        <f t="shared" si="16"/>
        <v>3998.8314023499897</v>
      </c>
      <c r="N61" s="41">
        <f t="shared" si="16"/>
        <v>4058.1285675757026</v>
      </c>
      <c r="O61" s="41">
        <f t="shared" si="16"/>
        <v>4075.0706147830488</v>
      </c>
      <c r="P61" s="161">
        <f t="shared" si="19"/>
        <v>45919.047068903616</v>
      </c>
      <c r="Q61" s="251">
        <f t="shared" si="20"/>
        <v>44532.299123698132</v>
      </c>
      <c r="R61" s="16"/>
      <c r="T61" s="42"/>
    </row>
    <row r="62" spans="1:21">
      <c r="A62" s="4"/>
      <c r="B62" s="4"/>
      <c r="C62" s="23">
        <v>2024</v>
      </c>
      <c r="D62" s="41">
        <f t="shared" si="16"/>
        <v>4083.5416383867223</v>
      </c>
      <c r="E62" s="41">
        <f t="shared" si="16"/>
        <v>4092.0126619903954</v>
      </c>
      <c r="F62" s="41">
        <f t="shared" si="16"/>
        <v>4100.4836855940684</v>
      </c>
      <c r="G62" s="41">
        <f t="shared" si="16"/>
        <v>4134.3677800087617</v>
      </c>
      <c r="H62" s="41">
        <f t="shared" si="16"/>
        <v>4168.2518744234549</v>
      </c>
      <c r="I62" s="41">
        <f t="shared" si="16"/>
        <v>4210.6069924418207</v>
      </c>
      <c r="J62" s="41">
        <f t="shared" si="16"/>
        <v>4261.4331340638601</v>
      </c>
      <c r="K62" s="41">
        <f t="shared" si="16"/>
        <v>4320.7302992895729</v>
      </c>
      <c r="L62" s="41">
        <f t="shared" si="16"/>
        <v>4380.0274645152858</v>
      </c>
      <c r="M62" s="41">
        <f t="shared" si="16"/>
        <v>4439.3246297409987</v>
      </c>
      <c r="N62" s="41">
        <f t="shared" si="16"/>
        <v>4498.6217949667107</v>
      </c>
      <c r="O62" s="41">
        <f t="shared" si="16"/>
        <v>4515.5638421740578</v>
      </c>
      <c r="P62" s="161">
        <f t="shared" si="19"/>
        <v>51204.965797595709</v>
      </c>
      <c r="Q62" s="251">
        <f t="shared" si="20"/>
        <v>49668.628811294337</v>
      </c>
      <c r="R62" s="16"/>
      <c r="T62" s="42"/>
    </row>
    <row r="63" spans="1:21">
      <c r="A63" s="4"/>
      <c r="B63" s="4"/>
      <c r="C63" s="20">
        <v>2025</v>
      </c>
      <c r="D63" s="41">
        <f t="shared" si="16"/>
        <v>4524.0348657777304</v>
      </c>
      <c r="E63" s="41">
        <f t="shared" si="16"/>
        <v>4532.5058893814039</v>
      </c>
      <c r="F63" s="41">
        <f t="shared" si="16"/>
        <v>4540.9769129850774</v>
      </c>
      <c r="G63" s="41">
        <f t="shared" si="16"/>
        <v>4574.8610073997697</v>
      </c>
      <c r="H63" s="41">
        <f t="shared" si="16"/>
        <v>4608.7451018144629</v>
      </c>
      <c r="I63" s="41">
        <f t="shared" si="16"/>
        <v>4651.1002198328297</v>
      </c>
      <c r="J63" s="41">
        <f t="shared" si="16"/>
        <v>4701.926361454869</v>
      </c>
      <c r="K63" s="41">
        <f t="shared" si="16"/>
        <v>4761.223526680581</v>
      </c>
      <c r="L63" s="41">
        <f t="shared" si="16"/>
        <v>4820.5206919062939</v>
      </c>
      <c r="M63" s="41">
        <f t="shared" si="16"/>
        <v>4879.8178571320068</v>
      </c>
      <c r="N63" s="41">
        <f t="shared" si="16"/>
        <v>4939.1150223577197</v>
      </c>
      <c r="O63" s="41">
        <f t="shared" si="16"/>
        <v>4956.0570695650658</v>
      </c>
      <c r="P63" s="161">
        <f t="shared" si="19"/>
        <v>56490.884526287809</v>
      </c>
      <c r="Q63" s="251">
        <f t="shared" si="20"/>
        <v>54804.958498890548</v>
      </c>
      <c r="R63" s="16"/>
      <c r="T63" s="42"/>
    </row>
    <row r="64" spans="1:21">
      <c r="A64" s="4"/>
      <c r="B64" s="4"/>
      <c r="C64" s="23">
        <v>2026</v>
      </c>
      <c r="D64" s="41">
        <f t="shared" si="16"/>
        <v>4964.5280931687394</v>
      </c>
      <c r="E64" s="41">
        <f t="shared" si="16"/>
        <v>4972.9991167724129</v>
      </c>
      <c r="F64" s="41">
        <f t="shared" si="16"/>
        <v>4981.4701403760855</v>
      </c>
      <c r="G64" s="41">
        <f t="shared" si="16"/>
        <v>5015.3542347907787</v>
      </c>
      <c r="H64" s="41">
        <f t="shared" si="16"/>
        <v>5049.2383292054719</v>
      </c>
      <c r="I64" s="41">
        <f t="shared" si="16"/>
        <v>5091.5934472238378</v>
      </c>
      <c r="J64" s="41">
        <f t="shared" si="16"/>
        <v>5142.4195888458771</v>
      </c>
      <c r="K64" s="41">
        <f t="shared" si="16"/>
        <v>5201.71675407159</v>
      </c>
      <c r="L64" s="41">
        <f t="shared" si="16"/>
        <v>5261.0139192973029</v>
      </c>
      <c r="M64" s="41">
        <f t="shared" si="16"/>
        <v>5320.3110845230149</v>
      </c>
      <c r="N64" s="41">
        <f t="shared" si="16"/>
        <v>5379.6082497487278</v>
      </c>
      <c r="O64" s="41">
        <f t="shared" si="16"/>
        <v>5396.5502969560748</v>
      </c>
      <c r="P64" s="161">
        <f t="shared" si="19"/>
        <v>61776.803254979917</v>
      </c>
      <c r="Q64" s="251">
        <f t="shared" si="20"/>
        <v>59941.288186486767</v>
      </c>
      <c r="R64" s="16"/>
      <c r="T64" s="42"/>
    </row>
    <row r="65" spans="1:20">
      <c r="A65" s="4"/>
      <c r="B65" s="4"/>
      <c r="C65" s="20">
        <v>2027</v>
      </c>
      <c r="D65" s="41">
        <f t="shared" si="16"/>
        <v>5405.0213205597474</v>
      </c>
      <c r="E65" s="41">
        <f t="shared" si="16"/>
        <v>5413.492344163421</v>
      </c>
      <c r="F65" s="41">
        <f t="shared" si="16"/>
        <v>5421.9633677670945</v>
      </c>
      <c r="G65" s="41">
        <f t="shared" si="16"/>
        <v>5455.8474621817868</v>
      </c>
      <c r="H65" s="41">
        <f t="shared" si="16"/>
        <v>5489.73155659648</v>
      </c>
      <c r="I65" s="41">
        <f t="shared" si="16"/>
        <v>5532.0866746148467</v>
      </c>
      <c r="J65" s="41">
        <f t="shared" si="16"/>
        <v>5582.9128162368861</v>
      </c>
      <c r="K65" s="41">
        <f t="shared" si="16"/>
        <v>5642.2099814625981</v>
      </c>
      <c r="L65" s="41">
        <f t="shared" si="16"/>
        <v>5701.507146688311</v>
      </c>
      <c r="M65" s="41">
        <f t="shared" si="16"/>
        <v>5760.8043119140239</v>
      </c>
      <c r="N65" s="41">
        <f t="shared" si="16"/>
        <v>5820.1014771397367</v>
      </c>
      <c r="O65" s="41">
        <f t="shared" si="16"/>
        <v>5837.0435243470829</v>
      </c>
      <c r="P65" s="161">
        <f t="shared" si="19"/>
        <v>67062.721983672018</v>
      </c>
      <c r="Q65" s="251">
        <f t="shared" si="20"/>
        <v>65077.617874082978</v>
      </c>
      <c r="R65" s="16"/>
      <c r="T65" s="42"/>
    </row>
    <row r="66" spans="1:20">
      <c r="A66" s="4"/>
      <c r="B66" s="4"/>
      <c r="D66" s="38"/>
      <c r="E66" s="38"/>
      <c r="F66" s="38"/>
      <c r="G66" s="38"/>
      <c r="H66" s="38"/>
      <c r="I66" s="38"/>
      <c r="J66" s="38"/>
      <c r="K66" s="38"/>
      <c r="L66" s="38"/>
      <c r="M66" s="38"/>
      <c r="N66" s="38"/>
      <c r="O66" s="38"/>
      <c r="P66" s="39"/>
      <c r="R66" s="16"/>
      <c r="T66" s="42"/>
    </row>
    <row r="67" spans="1:20">
      <c r="A67" s="4"/>
      <c r="B67" s="4"/>
      <c r="R67" s="16"/>
      <c r="T67" s="42"/>
    </row>
    <row r="68" spans="1:20">
      <c r="A68" s="4"/>
      <c r="B68" s="4"/>
      <c r="R68" s="16"/>
      <c r="T68" s="42"/>
    </row>
    <row r="69" spans="1:20">
      <c r="A69" s="4"/>
      <c r="B69" s="4"/>
      <c r="O69" s="124" t="s">
        <v>433</v>
      </c>
      <c r="P69" s="43">
        <f>SUM(P59:P65)</f>
        <v>358434.76058316999</v>
      </c>
      <c r="R69" s="16"/>
      <c r="T69" s="42"/>
    </row>
    <row r="70" spans="1:20">
      <c r="A70" s="4"/>
      <c r="B70" s="4"/>
      <c r="O70" s="248" t="s">
        <v>474</v>
      </c>
      <c r="P70" s="249">
        <f>SUM(Q59:Q65)</f>
        <v>347680.40167906042</v>
      </c>
      <c r="Q70" s="250">
        <f>(P70-P69)/P69</f>
        <v>-3.0003671760552263E-2</v>
      </c>
      <c r="R70" s="249" t="s">
        <v>476</v>
      </c>
      <c r="T70" s="42"/>
    </row>
    <row r="71" spans="1:20">
      <c r="A71" s="4"/>
      <c r="B71" s="4"/>
      <c r="O71" s="124" t="s">
        <v>434</v>
      </c>
      <c r="P71" s="43">
        <f>AVERAGE(P59:P65)</f>
        <v>51204.965797595716</v>
      </c>
      <c r="R71" s="16"/>
      <c r="T71" s="42"/>
    </row>
    <row r="72" spans="1:20">
      <c r="O72" s="248" t="s">
        <v>474</v>
      </c>
      <c r="P72" s="249">
        <f>AVERAGE(Q59:Q65)</f>
        <v>49668.628811294344</v>
      </c>
    </row>
    <row r="75" spans="1:20">
      <c r="B75" s="18"/>
      <c r="C75" s="33"/>
      <c r="D75" s="24"/>
      <c r="E75" s="24"/>
      <c r="F75" s="24"/>
      <c r="G75" s="24"/>
      <c r="H75" s="24"/>
      <c r="I75" s="24"/>
      <c r="J75" s="24"/>
      <c r="K75" s="24"/>
      <c r="L75" s="24"/>
      <c r="M75" s="24"/>
      <c r="N75" s="24"/>
      <c r="O75" s="24"/>
      <c r="P75" s="25"/>
    </row>
    <row r="76" spans="1:20">
      <c r="B76" s="156"/>
      <c r="G76" s="36"/>
      <c r="H76" s="36"/>
      <c r="I76" s="36"/>
      <c r="J76" s="36"/>
      <c r="K76" s="36"/>
      <c r="L76" s="36"/>
      <c r="M76" s="36"/>
      <c r="N76" s="36"/>
      <c r="O76" s="36"/>
      <c r="P76" s="37"/>
    </row>
    <row r="77" spans="1:20">
      <c r="B77" s="18"/>
      <c r="G77" s="36"/>
      <c r="H77" s="36"/>
      <c r="I77" s="36"/>
      <c r="J77" s="36"/>
      <c r="K77" s="36"/>
      <c r="L77" s="36"/>
      <c r="M77" s="36"/>
      <c r="N77" s="36"/>
      <c r="O77" s="36"/>
      <c r="P77" s="39"/>
    </row>
    <row r="78" spans="1:20">
      <c r="B78" s="18"/>
      <c r="G78" s="36"/>
      <c r="H78" s="36"/>
      <c r="I78" s="36"/>
      <c r="J78" s="36"/>
      <c r="K78" s="36"/>
      <c r="L78" s="36"/>
      <c r="M78" s="36"/>
      <c r="N78" s="36"/>
      <c r="O78" s="36"/>
      <c r="P78" s="39"/>
    </row>
    <row r="79" spans="1:20">
      <c r="B79" s="18"/>
      <c r="G79" s="36"/>
      <c r="H79" s="36"/>
      <c r="I79" s="36"/>
      <c r="J79" s="36"/>
      <c r="K79" s="36"/>
      <c r="L79" s="36"/>
      <c r="M79" s="36"/>
      <c r="N79" s="36"/>
      <c r="O79" s="36"/>
      <c r="P79" s="39"/>
    </row>
    <row r="80" spans="1:20">
      <c r="B80" s="18"/>
      <c r="G80" s="36"/>
      <c r="H80" s="36"/>
      <c r="I80" s="36"/>
      <c r="J80" s="36"/>
      <c r="K80" s="36"/>
      <c r="L80" s="36"/>
      <c r="M80" s="36"/>
      <c r="N80" s="36"/>
      <c r="O80" s="36"/>
      <c r="P80" s="39"/>
    </row>
    <row r="81" spans="2:16">
      <c r="B81" s="18"/>
      <c r="G81" s="36"/>
      <c r="H81" s="36"/>
      <c r="I81" s="36"/>
      <c r="J81" s="36"/>
      <c r="K81" s="36"/>
      <c r="L81" s="36"/>
      <c r="M81" s="36"/>
      <c r="N81" s="36"/>
      <c r="O81" s="36"/>
      <c r="P81" s="39"/>
    </row>
    <row r="82" spans="2:16">
      <c r="B82" s="18"/>
      <c r="G82" s="36"/>
      <c r="H82" s="36"/>
      <c r="I82" s="36"/>
      <c r="J82" s="36"/>
      <c r="K82" s="36"/>
      <c r="L82" s="36"/>
      <c r="M82" s="36"/>
      <c r="N82" s="36"/>
      <c r="O82" s="36"/>
      <c r="P82" s="39"/>
    </row>
    <row r="83" spans="2:16">
      <c r="B83" s="18"/>
      <c r="G83" s="36"/>
      <c r="H83" s="36"/>
      <c r="I83" s="36"/>
      <c r="J83" s="36"/>
      <c r="K83" s="36"/>
      <c r="L83" s="36"/>
      <c r="M83" s="36"/>
      <c r="N83" s="36"/>
      <c r="O83" s="36"/>
      <c r="P83" s="39"/>
    </row>
    <row r="84" spans="2:16">
      <c r="B84" s="157"/>
      <c r="G84" s="36"/>
      <c r="H84" s="36"/>
      <c r="I84" s="36"/>
      <c r="J84" s="36"/>
      <c r="K84" s="36"/>
      <c r="L84" s="36"/>
      <c r="M84" s="36"/>
      <c r="N84" s="36"/>
      <c r="O84" s="36"/>
      <c r="P84" s="39"/>
    </row>
    <row r="85" spans="2:16">
      <c r="B85" s="24"/>
      <c r="G85" s="36"/>
      <c r="H85" s="36"/>
      <c r="I85" s="36"/>
      <c r="J85" s="36"/>
      <c r="K85" s="36"/>
      <c r="L85" s="36"/>
      <c r="M85" s="36"/>
      <c r="N85" s="36"/>
      <c r="O85" s="36"/>
      <c r="P85" s="39"/>
    </row>
    <row r="86" spans="2:16">
      <c r="B86" s="24"/>
      <c r="G86" s="36"/>
      <c r="H86" s="36"/>
      <c r="I86" s="36"/>
      <c r="J86" s="36"/>
      <c r="K86" s="36"/>
      <c r="L86" s="36"/>
      <c r="M86" s="36"/>
      <c r="N86" s="36"/>
      <c r="O86" s="36"/>
      <c r="P86" s="39"/>
    </row>
    <row r="87" spans="2:16" ht="15" customHeight="1">
      <c r="B87" s="24"/>
      <c r="G87" s="36"/>
      <c r="H87" s="36"/>
      <c r="I87" s="36"/>
      <c r="J87" s="36"/>
      <c r="K87" s="36"/>
      <c r="L87" s="36"/>
      <c r="M87" s="36"/>
      <c r="N87" s="36"/>
      <c r="O87" s="36"/>
      <c r="P87" s="39"/>
    </row>
    <row r="88" spans="2:16">
      <c r="B88" s="24"/>
      <c r="G88" s="36"/>
      <c r="H88" s="36"/>
      <c r="I88" s="36"/>
      <c r="J88" s="36"/>
      <c r="K88" s="36"/>
      <c r="L88" s="36"/>
      <c r="M88" s="36"/>
      <c r="N88" s="36"/>
      <c r="O88" s="36"/>
      <c r="P88" s="39"/>
    </row>
    <row r="89" spans="2:16">
      <c r="B89" s="24"/>
      <c r="G89" s="36"/>
      <c r="H89" s="36"/>
      <c r="I89" s="36"/>
      <c r="J89" s="36"/>
      <c r="K89" s="36"/>
      <c r="L89" s="36"/>
      <c r="M89" s="36"/>
      <c r="N89" s="36"/>
      <c r="O89" s="36"/>
      <c r="P89" s="39"/>
    </row>
    <row r="90" spans="2:16">
      <c r="B90" s="24"/>
      <c r="C90" s="169"/>
      <c r="D90"/>
      <c r="E90"/>
      <c r="F90"/>
      <c r="G90" s="36"/>
      <c r="H90" s="36"/>
      <c r="I90" s="36"/>
      <c r="J90" s="36"/>
      <c r="K90" s="36"/>
      <c r="L90" s="36"/>
      <c r="M90" s="36"/>
      <c r="N90" s="36"/>
      <c r="O90" s="36"/>
      <c r="P90" s="39"/>
    </row>
    <row r="91" spans="2:16">
      <c r="B91" s="24"/>
      <c r="C91" s="18"/>
      <c r="D91" s="38"/>
      <c r="E91" s="38"/>
      <c r="F91" s="38"/>
      <c r="G91" s="38"/>
      <c r="H91" s="38"/>
      <c r="I91" s="38"/>
      <c r="J91" s="38"/>
      <c r="K91" s="38"/>
      <c r="L91" s="38"/>
      <c r="M91" s="38"/>
      <c r="N91" s="38"/>
      <c r="O91" s="38"/>
      <c r="P91" s="39"/>
    </row>
    <row r="92" spans="2:16">
      <c r="B92" s="24"/>
      <c r="C92" s="158"/>
      <c r="D92" s="18"/>
      <c r="E92" s="18"/>
      <c r="F92" s="18"/>
      <c r="G92" s="18"/>
      <c r="H92" s="18"/>
      <c r="I92" s="18"/>
      <c r="J92" s="18"/>
      <c r="K92" s="18"/>
      <c r="L92" s="18"/>
      <c r="M92" s="18"/>
      <c r="N92" s="18"/>
      <c r="O92" s="18"/>
      <c r="P92" s="18"/>
    </row>
    <row r="93" spans="2:16">
      <c r="B93" s="24"/>
      <c r="C93" s="18"/>
      <c r="D93" s="18"/>
      <c r="E93" s="18"/>
      <c r="F93" s="18"/>
      <c r="G93" s="18"/>
      <c r="H93" s="18"/>
      <c r="I93" s="18"/>
      <c r="J93" s="18"/>
      <c r="K93" s="18"/>
      <c r="L93" s="18"/>
      <c r="M93" s="18"/>
      <c r="N93" s="18"/>
      <c r="O93" s="18"/>
      <c r="P93" s="18"/>
    </row>
    <row r="94" spans="2:16">
      <c r="B94" s="24"/>
      <c r="C94" s="18"/>
      <c r="D94" s="18"/>
      <c r="E94" s="18"/>
      <c r="F94" s="18"/>
      <c r="G94" s="18"/>
      <c r="H94" s="18"/>
      <c r="I94" s="18"/>
      <c r="J94" s="18"/>
      <c r="K94" s="18"/>
      <c r="L94" s="18"/>
      <c r="M94" s="18"/>
      <c r="N94" s="18"/>
      <c r="O94" s="159"/>
      <c r="P94" s="39"/>
    </row>
    <row r="95" spans="2:16">
      <c r="B95" s="24"/>
      <c r="C95" s="18"/>
      <c r="D95" s="18"/>
      <c r="E95" s="18"/>
      <c r="F95" s="18"/>
      <c r="G95" s="18"/>
      <c r="H95" s="18"/>
      <c r="I95" s="18"/>
      <c r="J95" s="18"/>
      <c r="K95" s="18"/>
      <c r="L95" s="18"/>
      <c r="M95" s="18"/>
      <c r="N95" s="18"/>
      <c r="O95" s="160"/>
      <c r="P95" s="18"/>
    </row>
    <row r="96" spans="2:16">
      <c r="B96" s="24"/>
      <c r="C96" s="18"/>
      <c r="D96" s="18"/>
      <c r="E96" s="18"/>
      <c r="F96" s="18"/>
      <c r="G96" s="18"/>
      <c r="H96" s="18"/>
      <c r="I96" s="18"/>
      <c r="J96" s="18"/>
      <c r="K96" s="18"/>
      <c r="L96" s="18"/>
      <c r="M96" s="18"/>
      <c r="N96" s="18"/>
      <c r="O96" s="159"/>
      <c r="P96" s="39"/>
    </row>
  </sheetData>
  <mergeCells count="1">
    <mergeCell ref="D8:E8"/>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topLeftCell="H34" zoomScale="85" zoomScaleNormal="85" workbookViewId="0">
      <selection activeCell="C8" sqref="C8"/>
    </sheetView>
  </sheetViews>
  <sheetFormatPr baseColWidth="10" defaultColWidth="7.61328125" defaultRowHeight="14.5"/>
  <cols>
    <col min="1" max="1" width="15.4609375" style="5" customWidth="1"/>
    <col min="2" max="2" width="18.765625" style="5" customWidth="1"/>
    <col min="3" max="3" width="24.23046875" style="5" customWidth="1"/>
    <col min="4" max="4" width="10.3828125" style="5" bestFit="1" customWidth="1"/>
    <col min="5" max="6" width="8.3828125" style="5" customWidth="1"/>
    <col min="7" max="7" width="10.84375" style="5" bestFit="1" customWidth="1"/>
    <col min="8" max="8" width="8.3828125" style="5" customWidth="1"/>
    <col min="9" max="9" width="13.765625" style="5" customWidth="1"/>
    <col min="10" max="10" width="11.765625" style="5" customWidth="1"/>
    <col min="11" max="13" width="8.3828125" style="5" customWidth="1"/>
    <col min="14" max="14" width="11.84375" style="5" customWidth="1"/>
    <col min="15" max="15" width="12.4609375" style="5" customWidth="1"/>
    <col min="16" max="16" width="13.4609375" style="5" customWidth="1"/>
    <col min="17" max="17" width="11.84375" style="5" customWidth="1"/>
    <col min="18" max="18" width="9.23046875" style="5" bestFit="1" customWidth="1"/>
    <col min="19" max="19" width="13" style="5" customWidth="1"/>
    <col min="20" max="20" width="8.3828125" style="5" bestFit="1" customWidth="1"/>
    <col min="21" max="21" width="9.15234375" style="5" customWidth="1"/>
    <col min="22" max="22" width="11" style="5" customWidth="1"/>
    <col min="23" max="16384" width="7.61328125" style="5"/>
  </cols>
  <sheetData>
    <row r="1" spans="1:20" s="3" customFormat="1" ht="15.75" customHeight="1">
      <c r="A1" s="1" t="s">
        <v>0</v>
      </c>
      <c r="B1" s="1"/>
      <c r="C1" s="2"/>
      <c r="D1" s="2"/>
      <c r="E1" s="2"/>
      <c r="F1" s="2"/>
      <c r="G1" s="2"/>
      <c r="H1" s="2"/>
      <c r="I1" s="2"/>
      <c r="J1" s="2"/>
      <c r="K1" s="2"/>
      <c r="L1" s="2"/>
      <c r="M1" s="2"/>
      <c r="N1" s="2"/>
      <c r="O1" s="2"/>
      <c r="P1" s="2"/>
      <c r="Q1" s="2"/>
      <c r="R1" s="2"/>
    </row>
    <row r="2" spans="1:20">
      <c r="A2" s="76" t="s">
        <v>74</v>
      </c>
      <c r="B2" s="4"/>
      <c r="C2" s="4"/>
      <c r="D2" s="4"/>
      <c r="E2" s="4"/>
      <c r="F2" s="4"/>
      <c r="G2" s="4"/>
      <c r="H2" s="4"/>
      <c r="I2" s="4"/>
      <c r="J2" s="4"/>
      <c r="K2" s="4"/>
      <c r="L2" s="4"/>
      <c r="M2" s="4"/>
      <c r="N2" s="4"/>
      <c r="O2" s="4"/>
      <c r="P2" s="4"/>
      <c r="Q2" s="4"/>
      <c r="R2" s="4"/>
    </row>
    <row r="3" spans="1:20">
      <c r="A3" s="4"/>
      <c r="B3" s="4"/>
      <c r="C3" s="4"/>
      <c r="D3" s="4"/>
      <c r="E3" s="4"/>
      <c r="F3" s="4"/>
      <c r="G3" s="4"/>
      <c r="H3" s="4"/>
      <c r="I3" s="4"/>
      <c r="J3" s="4"/>
      <c r="K3" s="4"/>
      <c r="L3" s="4"/>
      <c r="M3" s="4"/>
      <c r="N3" s="4"/>
      <c r="O3" s="4"/>
      <c r="P3" s="4"/>
      <c r="Q3" s="4"/>
      <c r="R3" s="4"/>
    </row>
    <row r="4" spans="1:20" ht="15.5">
      <c r="A4" s="151" t="s">
        <v>467</v>
      </c>
      <c r="B4" s="4"/>
      <c r="C4" s="4"/>
      <c r="D4" s="4"/>
      <c r="E4" s="4"/>
      <c r="F4" s="4"/>
      <c r="G4" s="4"/>
      <c r="H4" s="4"/>
      <c r="I4" s="4"/>
      <c r="J4" s="4"/>
      <c r="K4" s="4"/>
      <c r="L4" s="4"/>
      <c r="M4" s="4"/>
      <c r="N4" s="4"/>
      <c r="O4" s="4"/>
      <c r="P4" s="4"/>
      <c r="Q4" s="4"/>
      <c r="R4" s="4"/>
    </row>
    <row r="5" spans="1:20">
      <c r="A5" s="4" t="s">
        <v>2</v>
      </c>
      <c r="B5" s="4" t="s">
        <v>75</v>
      </c>
      <c r="C5" s="4"/>
      <c r="D5" s="4"/>
      <c r="E5" s="4"/>
      <c r="F5" s="4"/>
      <c r="G5" s="4"/>
      <c r="H5" s="4"/>
      <c r="I5" s="4"/>
      <c r="J5" s="4"/>
      <c r="K5" s="4"/>
      <c r="L5" s="4"/>
      <c r="M5" s="4"/>
      <c r="N5" s="4"/>
      <c r="O5" s="4"/>
      <c r="P5" s="4"/>
      <c r="Q5" s="4"/>
      <c r="R5" s="4"/>
    </row>
    <row r="6" spans="1:20">
      <c r="A6" s="4" t="s">
        <v>3</v>
      </c>
      <c r="B6" s="6">
        <v>44151</v>
      </c>
      <c r="C6" s="4"/>
      <c r="D6" s="4"/>
      <c r="E6" s="4"/>
      <c r="F6" s="4"/>
      <c r="G6" s="4"/>
      <c r="H6" s="4"/>
      <c r="I6" s="4"/>
      <c r="J6" s="4"/>
      <c r="K6" s="4"/>
      <c r="L6" s="4"/>
      <c r="M6" s="4"/>
      <c r="N6" s="4"/>
      <c r="O6" s="4"/>
      <c r="P6" s="4"/>
      <c r="Q6" s="4"/>
      <c r="R6" s="4"/>
    </row>
    <row r="7" spans="1:20">
      <c r="A7" s="4"/>
      <c r="B7" s="4"/>
      <c r="C7" s="4"/>
      <c r="D7" s="4"/>
      <c r="E7" s="4"/>
      <c r="F7" s="4"/>
      <c r="G7" s="4"/>
      <c r="H7" s="4"/>
      <c r="I7" s="4"/>
      <c r="J7" s="4"/>
      <c r="K7" s="4"/>
      <c r="L7" s="4"/>
      <c r="M7" s="4"/>
      <c r="N7" s="4"/>
      <c r="O7" s="4"/>
      <c r="P7" s="4"/>
      <c r="Q7" s="4"/>
      <c r="R7" s="4"/>
    </row>
    <row r="8" spans="1:20" ht="27.5">
      <c r="A8" s="4"/>
      <c r="B8" s="7" t="s">
        <v>445</v>
      </c>
      <c r="C8" s="8">
        <f>ER_per_Stove!C26/12</f>
        <v>0.34824245396819592</v>
      </c>
      <c r="D8" s="258" t="s">
        <v>5</v>
      </c>
      <c r="E8" s="259"/>
      <c r="F8" s="4"/>
      <c r="G8" s="4"/>
      <c r="H8" s="4"/>
      <c r="I8" s="4"/>
      <c r="J8" s="4"/>
      <c r="K8" s="4"/>
      <c r="L8" s="4"/>
      <c r="M8" s="4"/>
      <c r="N8" s="4"/>
      <c r="O8" s="4"/>
      <c r="P8" s="4"/>
      <c r="Q8" s="4"/>
      <c r="R8" s="4"/>
    </row>
    <row r="9" spans="1:20">
      <c r="A9" s="4"/>
      <c r="B9" s="4"/>
      <c r="C9" s="4"/>
      <c r="D9" s="4"/>
      <c r="E9" s="4"/>
      <c r="F9" s="4"/>
      <c r="G9" s="4"/>
      <c r="H9" s="4"/>
      <c r="I9" s="4"/>
      <c r="J9" s="4"/>
      <c r="K9" s="4"/>
      <c r="L9" s="4"/>
      <c r="M9" s="4"/>
      <c r="N9" s="4"/>
      <c r="O9" s="4"/>
      <c r="P9" s="4"/>
      <c r="Q9" s="4"/>
      <c r="R9" s="4"/>
    </row>
    <row r="10" spans="1:20">
      <c r="A10" s="4"/>
      <c r="E10" s="4"/>
      <c r="F10" s="4"/>
      <c r="G10" s="4"/>
      <c r="H10" s="4"/>
      <c r="I10" s="4"/>
      <c r="J10" s="4"/>
      <c r="K10" s="4"/>
      <c r="L10" s="4"/>
      <c r="M10" s="4"/>
      <c r="N10" s="4"/>
      <c r="O10" s="4"/>
      <c r="P10" s="4"/>
      <c r="R10" s="4"/>
    </row>
    <row r="11" spans="1:20">
      <c r="A11" s="4"/>
      <c r="C11" s="9" t="s">
        <v>6</v>
      </c>
      <c r="D11" s="4"/>
      <c r="E11" s="4"/>
      <c r="F11" s="4"/>
      <c r="G11" s="4"/>
      <c r="H11" s="4"/>
      <c r="I11" s="4"/>
      <c r="J11" s="4"/>
      <c r="K11" s="4"/>
      <c r="L11" s="4"/>
      <c r="M11" s="4"/>
      <c r="N11" s="4"/>
      <c r="O11" s="4"/>
      <c r="P11" s="4"/>
    </row>
    <row r="12" spans="1:20">
      <c r="A12" s="4"/>
      <c r="C12" s="4"/>
      <c r="D12" s="4" t="s">
        <v>7</v>
      </c>
      <c r="E12" s="4" t="s">
        <v>8</v>
      </c>
      <c r="F12" s="4" t="s">
        <v>9</v>
      </c>
      <c r="G12" s="4" t="s">
        <v>10</v>
      </c>
      <c r="H12" s="4" t="s">
        <v>11</v>
      </c>
      <c r="I12" s="4" t="s">
        <v>12</v>
      </c>
      <c r="J12" s="4" t="s">
        <v>13</v>
      </c>
      <c r="K12" s="4" t="s">
        <v>14</v>
      </c>
      <c r="L12" s="4" t="s">
        <v>15</v>
      </c>
      <c r="M12" s="4" t="s">
        <v>16</v>
      </c>
      <c r="N12" s="4" t="s">
        <v>17</v>
      </c>
      <c r="O12" s="4" t="s">
        <v>18</v>
      </c>
      <c r="P12" s="10" t="s">
        <v>19</v>
      </c>
    </row>
    <row r="13" spans="1:20" s="12" customFormat="1">
      <c r="A13" s="11"/>
      <c r="C13" s="11">
        <v>2013</v>
      </c>
      <c r="D13" s="35">
        <v>1</v>
      </c>
      <c r="E13" s="35">
        <v>0</v>
      </c>
      <c r="F13" s="35">
        <v>0</v>
      </c>
      <c r="G13" s="35">
        <v>0</v>
      </c>
      <c r="H13" s="35">
        <v>0</v>
      </c>
      <c r="I13" s="35">
        <v>0</v>
      </c>
      <c r="J13" s="35">
        <v>0</v>
      </c>
      <c r="K13" s="35">
        <v>0</v>
      </c>
      <c r="L13" s="35">
        <v>72</v>
      </c>
      <c r="M13" s="35">
        <v>16</v>
      </c>
      <c r="N13" s="35">
        <v>28</v>
      </c>
      <c r="O13" s="35">
        <v>51</v>
      </c>
      <c r="P13" s="13">
        <f>SUM(D13:O13)</f>
        <v>168</v>
      </c>
      <c r="Q13" s="5"/>
      <c r="T13" s="14"/>
    </row>
    <row r="14" spans="1:20">
      <c r="A14" s="4"/>
      <c r="C14" s="4">
        <v>2014</v>
      </c>
      <c r="D14" s="35">
        <v>70</v>
      </c>
      <c r="E14" s="35">
        <v>40</v>
      </c>
      <c r="F14" s="35">
        <v>51</v>
      </c>
      <c r="G14" s="35">
        <v>29</v>
      </c>
      <c r="H14" s="35">
        <v>46</v>
      </c>
      <c r="I14" s="35">
        <v>22</v>
      </c>
      <c r="J14" s="35">
        <v>57</v>
      </c>
      <c r="K14" s="35">
        <v>72</v>
      </c>
      <c r="L14" s="35">
        <v>89</v>
      </c>
      <c r="M14" s="35">
        <v>63</v>
      </c>
      <c r="N14" s="35">
        <v>26</v>
      </c>
      <c r="O14" s="35">
        <v>14</v>
      </c>
      <c r="P14" s="15">
        <f>SUM(D14:O14)</f>
        <v>579</v>
      </c>
      <c r="R14" s="16"/>
      <c r="T14" s="17"/>
    </row>
    <row r="15" spans="1:20">
      <c r="A15" s="4"/>
      <c r="C15" s="4">
        <v>2015</v>
      </c>
      <c r="D15" s="35">
        <v>10</v>
      </c>
      <c r="E15" s="35">
        <v>6</v>
      </c>
      <c r="F15" s="35">
        <v>7</v>
      </c>
      <c r="G15" s="35">
        <v>2</v>
      </c>
      <c r="H15" s="35">
        <v>3</v>
      </c>
      <c r="I15" s="35">
        <v>4</v>
      </c>
      <c r="J15" s="35">
        <v>1</v>
      </c>
      <c r="K15" s="35">
        <v>8</v>
      </c>
      <c r="L15" s="35">
        <v>9</v>
      </c>
      <c r="M15" s="35">
        <v>40</v>
      </c>
      <c r="N15" s="35">
        <v>32</v>
      </c>
      <c r="O15" s="35">
        <v>50</v>
      </c>
      <c r="P15" s="15">
        <f t="shared" ref="P15:P27" si="0">SUM(D15:O15)</f>
        <v>172</v>
      </c>
      <c r="R15" s="16"/>
      <c r="T15" s="17"/>
    </row>
    <row r="16" spans="1:20">
      <c r="A16" s="4"/>
      <c r="C16" s="4">
        <v>2016</v>
      </c>
      <c r="D16" s="126">
        <v>24</v>
      </c>
      <c r="E16" s="126">
        <v>81</v>
      </c>
      <c r="F16" s="126">
        <v>53</v>
      </c>
      <c r="G16" s="126">
        <v>120</v>
      </c>
      <c r="H16" s="126">
        <v>100</v>
      </c>
      <c r="I16" s="126">
        <v>220</v>
      </c>
      <c r="J16" s="126">
        <v>601</v>
      </c>
      <c r="K16" s="126">
        <v>524</v>
      </c>
      <c r="L16" s="126">
        <v>524</v>
      </c>
      <c r="M16" s="126">
        <v>447</v>
      </c>
      <c r="N16" s="126">
        <v>177</v>
      </c>
      <c r="O16" s="126">
        <v>91</v>
      </c>
      <c r="P16" s="15">
        <f t="shared" si="0"/>
        <v>2962</v>
      </c>
      <c r="R16" s="16"/>
      <c r="T16" s="17"/>
    </row>
    <row r="17" spans="1:20">
      <c r="A17" s="4"/>
      <c r="C17" s="4">
        <v>2017</v>
      </c>
      <c r="D17" s="126">
        <v>48</v>
      </c>
      <c r="E17" s="126">
        <v>57</v>
      </c>
      <c r="F17" s="126">
        <v>235</v>
      </c>
      <c r="G17" s="126">
        <v>158</v>
      </c>
      <c r="H17" s="126">
        <v>112</v>
      </c>
      <c r="I17" s="126">
        <v>90</v>
      </c>
      <c r="J17" s="126">
        <v>127</v>
      </c>
      <c r="K17" s="126">
        <v>275</v>
      </c>
      <c r="L17" s="126">
        <v>325</v>
      </c>
      <c r="M17" s="126">
        <v>236</v>
      </c>
      <c r="N17" s="126">
        <v>115</v>
      </c>
      <c r="O17" s="126">
        <v>164</v>
      </c>
      <c r="P17" s="15">
        <f t="shared" si="0"/>
        <v>1942</v>
      </c>
      <c r="R17" s="16"/>
      <c r="T17" s="17"/>
    </row>
    <row r="18" spans="1:20">
      <c r="A18" s="4"/>
      <c r="C18" s="4">
        <v>2018</v>
      </c>
      <c r="D18" s="126">
        <v>88</v>
      </c>
      <c r="E18" s="126">
        <v>164</v>
      </c>
      <c r="F18" s="126">
        <v>179</v>
      </c>
      <c r="G18" s="126">
        <v>72</v>
      </c>
      <c r="H18" s="126">
        <v>81</v>
      </c>
      <c r="I18" s="126">
        <v>283</v>
      </c>
      <c r="J18" s="126">
        <v>571</v>
      </c>
      <c r="K18" s="126">
        <v>568</v>
      </c>
      <c r="L18" s="126">
        <v>553</v>
      </c>
      <c r="M18" s="126">
        <v>656</v>
      </c>
      <c r="N18" s="126">
        <v>335</v>
      </c>
      <c r="O18" s="126">
        <v>85</v>
      </c>
      <c r="P18" s="15">
        <f t="shared" si="0"/>
        <v>3635</v>
      </c>
      <c r="R18" s="16"/>
      <c r="T18" s="17"/>
    </row>
    <row r="19" spans="1:20">
      <c r="A19" s="4"/>
      <c r="C19" s="4">
        <v>2019</v>
      </c>
      <c r="D19" s="126">
        <v>80</v>
      </c>
      <c r="E19" s="126">
        <v>51</v>
      </c>
      <c r="F19" s="126">
        <v>101</v>
      </c>
      <c r="G19" s="126">
        <v>116</v>
      </c>
      <c r="H19" s="126">
        <v>27</v>
      </c>
      <c r="I19" s="126">
        <v>12</v>
      </c>
      <c r="J19" s="126">
        <v>177</v>
      </c>
      <c r="K19" s="126">
        <v>363</v>
      </c>
      <c r="L19" s="126">
        <v>398</v>
      </c>
      <c r="M19" s="126">
        <v>328</v>
      </c>
      <c r="N19" s="126">
        <v>426</v>
      </c>
      <c r="O19" s="126">
        <v>266</v>
      </c>
      <c r="P19" s="15">
        <f t="shared" si="0"/>
        <v>2345</v>
      </c>
      <c r="R19" s="16"/>
      <c r="T19" s="17"/>
    </row>
    <row r="20" spans="1:20">
      <c r="A20" s="4"/>
      <c r="C20" s="4">
        <v>2020</v>
      </c>
      <c r="D20" s="126">
        <v>143</v>
      </c>
      <c r="E20" s="126">
        <v>202</v>
      </c>
      <c r="F20" s="126">
        <v>375</v>
      </c>
      <c r="G20" s="126">
        <v>354</v>
      </c>
      <c r="H20" s="126">
        <v>388</v>
      </c>
      <c r="I20" s="126">
        <v>434</v>
      </c>
      <c r="J20" s="126">
        <v>434</v>
      </c>
      <c r="K20" s="126">
        <v>434</v>
      </c>
      <c r="L20" s="126">
        <v>434</v>
      </c>
      <c r="M20" s="126">
        <v>434</v>
      </c>
      <c r="N20" s="126">
        <v>434</v>
      </c>
      <c r="O20" s="126">
        <v>434</v>
      </c>
      <c r="P20" s="15">
        <f t="shared" si="0"/>
        <v>4500</v>
      </c>
      <c r="R20" s="16"/>
      <c r="T20" s="17"/>
    </row>
    <row r="21" spans="1:20" s="18" customFormat="1">
      <c r="B21" s="19" t="s">
        <v>432</v>
      </c>
      <c r="C21" s="20">
        <v>2021</v>
      </c>
      <c r="D21" s="21">
        <v>50</v>
      </c>
      <c r="E21" s="21">
        <v>50</v>
      </c>
      <c r="F21" s="21">
        <v>200</v>
      </c>
      <c r="G21" s="21">
        <v>200</v>
      </c>
      <c r="H21" s="21">
        <v>250</v>
      </c>
      <c r="I21" s="21">
        <v>300</v>
      </c>
      <c r="J21" s="21">
        <v>350</v>
      </c>
      <c r="K21" s="21">
        <v>350</v>
      </c>
      <c r="L21" s="21">
        <v>350</v>
      </c>
      <c r="M21" s="21">
        <v>350</v>
      </c>
      <c r="N21" s="21">
        <v>100</v>
      </c>
      <c r="O21" s="21">
        <v>50</v>
      </c>
      <c r="P21" s="15">
        <f t="shared" si="0"/>
        <v>2600</v>
      </c>
      <c r="Q21" s="5"/>
      <c r="T21" s="22"/>
    </row>
    <row r="22" spans="1:20">
      <c r="C22" s="20">
        <v>2022</v>
      </c>
      <c r="D22" s="21">
        <v>50</v>
      </c>
      <c r="E22" s="21">
        <v>50</v>
      </c>
      <c r="F22" s="21">
        <v>200</v>
      </c>
      <c r="G22" s="21">
        <v>200</v>
      </c>
      <c r="H22" s="21">
        <v>250</v>
      </c>
      <c r="I22" s="21">
        <v>300</v>
      </c>
      <c r="J22" s="21">
        <v>350</v>
      </c>
      <c r="K22" s="21">
        <v>350</v>
      </c>
      <c r="L22" s="21">
        <v>350</v>
      </c>
      <c r="M22" s="21">
        <v>350</v>
      </c>
      <c r="N22" s="21">
        <v>100</v>
      </c>
      <c r="O22" s="21">
        <v>50</v>
      </c>
      <c r="P22" s="15">
        <f t="shared" si="0"/>
        <v>2600</v>
      </c>
    </row>
    <row r="23" spans="1:20" ht="14.15" customHeight="1">
      <c r="C23" s="20">
        <v>2023</v>
      </c>
      <c r="D23" s="21">
        <v>50</v>
      </c>
      <c r="E23" s="21">
        <v>50</v>
      </c>
      <c r="F23" s="21">
        <v>200</v>
      </c>
      <c r="G23" s="21">
        <v>200</v>
      </c>
      <c r="H23" s="21">
        <v>250</v>
      </c>
      <c r="I23" s="21">
        <v>300</v>
      </c>
      <c r="J23" s="21">
        <v>350</v>
      </c>
      <c r="K23" s="21">
        <v>350</v>
      </c>
      <c r="L23" s="21">
        <v>350</v>
      </c>
      <c r="M23" s="21">
        <v>350</v>
      </c>
      <c r="N23" s="21">
        <v>100</v>
      </c>
      <c r="O23" s="21">
        <v>50</v>
      </c>
      <c r="P23" s="15">
        <f t="shared" si="0"/>
        <v>2600</v>
      </c>
    </row>
    <row r="24" spans="1:20" s="12" customFormat="1">
      <c r="C24" s="23">
        <v>2024</v>
      </c>
      <c r="D24" s="21">
        <v>50</v>
      </c>
      <c r="E24" s="21">
        <v>50</v>
      </c>
      <c r="F24" s="21">
        <v>200</v>
      </c>
      <c r="G24" s="21">
        <v>200</v>
      </c>
      <c r="H24" s="21">
        <v>250</v>
      </c>
      <c r="I24" s="21">
        <v>300</v>
      </c>
      <c r="J24" s="21">
        <v>350</v>
      </c>
      <c r="K24" s="21">
        <v>350</v>
      </c>
      <c r="L24" s="21">
        <v>350</v>
      </c>
      <c r="M24" s="21">
        <v>350</v>
      </c>
      <c r="N24" s="21">
        <v>100</v>
      </c>
      <c r="O24" s="21">
        <v>50</v>
      </c>
      <c r="P24" s="15">
        <f t="shared" si="0"/>
        <v>2600</v>
      </c>
      <c r="Q24" s="5"/>
    </row>
    <row r="25" spans="1:20" s="12" customFormat="1">
      <c r="C25" s="20">
        <v>2025</v>
      </c>
      <c r="D25" s="21">
        <v>50</v>
      </c>
      <c r="E25" s="21">
        <v>50</v>
      </c>
      <c r="F25" s="21">
        <v>200</v>
      </c>
      <c r="G25" s="21">
        <v>200</v>
      </c>
      <c r="H25" s="21">
        <v>250</v>
      </c>
      <c r="I25" s="21">
        <v>300</v>
      </c>
      <c r="J25" s="21">
        <v>350</v>
      </c>
      <c r="K25" s="21">
        <v>350</v>
      </c>
      <c r="L25" s="21">
        <v>350</v>
      </c>
      <c r="M25" s="21">
        <v>350</v>
      </c>
      <c r="N25" s="21">
        <v>100</v>
      </c>
      <c r="O25" s="21">
        <v>50</v>
      </c>
      <c r="P25" s="15">
        <f t="shared" si="0"/>
        <v>2600</v>
      </c>
      <c r="Q25" s="5"/>
    </row>
    <row r="26" spans="1:20" s="12" customFormat="1">
      <c r="C26" s="23">
        <v>2026</v>
      </c>
      <c r="D26" s="21">
        <v>50</v>
      </c>
      <c r="E26" s="21">
        <v>50</v>
      </c>
      <c r="F26" s="21">
        <v>200</v>
      </c>
      <c r="G26" s="21">
        <v>200</v>
      </c>
      <c r="H26" s="21">
        <v>250</v>
      </c>
      <c r="I26" s="21">
        <v>300</v>
      </c>
      <c r="J26" s="21">
        <v>350</v>
      </c>
      <c r="K26" s="21">
        <v>350</v>
      </c>
      <c r="L26" s="21">
        <v>350</v>
      </c>
      <c r="M26" s="21">
        <v>350</v>
      </c>
      <c r="N26" s="21">
        <v>100</v>
      </c>
      <c r="O26" s="21">
        <v>50</v>
      </c>
      <c r="P26" s="15">
        <f t="shared" si="0"/>
        <v>2600</v>
      </c>
      <c r="Q26" s="5"/>
    </row>
    <row r="27" spans="1:20" s="12" customFormat="1">
      <c r="C27" s="20">
        <v>2027</v>
      </c>
      <c r="D27" s="21">
        <v>50</v>
      </c>
      <c r="E27" s="21">
        <v>50</v>
      </c>
      <c r="F27" s="21">
        <v>200</v>
      </c>
      <c r="G27" s="21">
        <v>200</v>
      </c>
      <c r="H27" s="21">
        <v>250</v>
      </c>
      <c r="I27" s="21">
        <v>300</v>
      </c>
      <c r="J27" s="21">
        <v>350</v>
      </c>
      <c r="K27" s="21">
        <v>350</v>
      </c>
      <c r="L27" s="21">
        <v>350</v>
      </c>
      <c r="M27" s="21">
        <v>350</v>
      </c>
      <c r="N27" s="21">
        <v>100</v>
      </c>
      <c r="O27" s="21">
        <v>50</v>
      </c>
      <c r="P27" s="15">
        <f t="shared" si="0"/>
        <v>2600</v>
      </c>
      <c r="Q27" s="5"/>
    </row>
    <row r="28" spans="1:20">
      <c r="A28" s="24"/>
      <c r="B28" s="18"/>
      <c r="C28" s="24"/>
      <c r="D28" s="24"/>
      <c r="E28" s="24"/>
      <c r="F28" s="24"/>
      <c r="G28" s="24"/>
      <c r="H28" s="24"/>
      <c r="I28" s="24"/>
      <c r="J28" s="24"/>
      <c r="K28" s="24"/>
      <c r="L28" s="24"/>
      <c r="M28" s="24"/>
      <c r="N28" s="24"/>
      <c r="O28" s="25" t="s">
        <v>20</v>
      </c>
      <c r="P28" s="26">
        <f>SUM(P13:P27)</f>
        <v>34503</v>
      </c>
      <c r="R28" s="27"/>
      <c r="S28" s="18"/>
    </row>
    <row r="29" spans="1:20">
      <c r="A29" s="4"/>
      <c r="C29" s="4"/>
      <c r="D29" s="4"/>
      <c r="E29" s="4"/>
      <c r="F29" s="4"/>
      <c r="G29" s="4"/>
      <c r="H29" s="4"/>
      <c r="I29" s="4"/>
      <c r="J29" s="4"/>
      <c r="K29" s="4"/>
      <c r="L29" s="4"/>
      <c r="M29" s="4"/>
      <c r="N29" s="4"/>
      <c r="O29" s="4"/>
      <c r="P29" s="10"/>
      <c r="R29" s="16"/>
    </row>
    <row r="30" spans="1:20" ht="41">
      <c r="A30" s="4"/>
      <c r="C30" s="28" t="s">
        <v>470</v>
      </c>
      <c r="D30" s="4" t="s">
        <v>7</v>
      </c>
      <c r="E30" s="4" t="s">
        <v>8</v>
      </c>
      <c r="F30" s="4" t="s">
        <v>9</v>
      </c>
      <c r="G30" s="4" t="s">
        <v>10</v>
      </c>
      <c r="H30" s="4" t="s">
        <v>11</v>
      </c>
      <c r="I30" s="4" t="s">
        <v>12</v>
      </c>
      <c r="J30" s="4" t="s">
        <v>13</v>
      </c>
      <c r="K30" s="4" t="s">
        <v>14</v>
      </c>
      <c r="L30" s="4" t="s">
        <v>15</v>
      </c>
      <c r="M30" s="4" t="s">
        <v>16</v>
      </c>
      <c r="N30" s="4" t="s">
        <v>17</v>
      </c>
      <c r="O30" s="4" t="s">
        <v>18</v>
      </c>
      <c r="P30" s="10" t="s">
        <v>19</v>
      </c>
    </row>
    <row r="31" spans="1:20">
      <c r="A31" s="11"/>
      <c r="B31" s="12"/>
      <c r="C31" s="11">
        <v>2013</v>
      </c>
      <c r="D31" s="11">
        <v>0</v>
      </c>
      <c r="E31" s="11">
        <f>D13</f>
        <v>1</v>
      </c>
      <c r="F31" s="11">
        <f t="shared" ref="F31:O31" si="1">E13+E31</f>
        <v>1</v>
      </c>
      <c r="G31" s="11">
        <f t="shared" si="1"/>
        <v>1</v>
      </c>
      <c r="H31" s="11">
        <f t="shared" si="1"/>
        <v>1</v>
      </c>
      <c r="I31" s="11">
        <f t="shared" si="1"/>
        <v>1</v>
      </c>
      <c r="J31" s="11">
        <f t="shared" si="1"/>
        <v>1</v>
      </c>
      <c r="K31" s="11">
        <f t="shared" si="1"/>
        <v>1</v>
      </c>
      <c r="L31" s="11">
        <f t="shared" si="1"/>
        <v>1</v>
      </c>
      <c r="M31" s="11">
        <f t="shared" si="1"/>
        <v>73</v>
      </c>
      <c r="N31" s="11">
        <f t="shared" si="1"/>
        <v>89</v>
      </c>
      <c r="O31" s="11">
        <f t="shared" si="1"/>
        <v>117</v>
      </c>
      <c r="P31" s="13">
        <f>SUM(D31:O31)</f>
        <v>287</v>
      </c>
      <c r="R31" s="12"/>
      <c r="S31" s="12"/>
    </row>
    <row r="32" spans="1:20">
      <c r="A32" s="4"/>
      <c r="C32" s="4">
        <v>2014</v>
      </c>
      <c r="D32" s="4">
        <f t="shared" ref="D32:D38" si="2">O31+O13</f>
        <v>168</v>
      </c>
      <c r="E32" s="4">
        <f t="shared" ref="E32:P45" si="3">D32+D14</f>
        <v>238</v>
      </c>
      <c r="F32" s="4">
        <f t="shared" si="3"/>
        <v>278</v>
      </c>
      <c r="G32" s="4">
        <f t="shared" si="3"/>
        <v>329</v>
      </c>
      <c r="H32" s="4">
        <f t="shared" si="3"/>
        <v>358</v>
      </c>
      <c r="I32" s="4">
        <f t="shared" si="3"/>
        <v>404</v>
      </c>
      <c r="J32" s="4">
        <f t="shared" si="3"/>
        <v>426</v>
      </c>
      <c r="K32" s="4">
        <f t="shared" si="3"/>
        <v>483</v>
      </c>
      <c r="L32" s="4">
        <f t="shared" si="3"/>
        <v>555</v>
      </c>
      <c r="M32" s="4">
        <f t="shared" si="3"/>
        <v>644</v>
      </c>
      <c r="N32" s="4">
        <f t="shared" si="3"/>
        <v>707</v>
      </c>
      <c r="O32" s="4">
        <f t="shared" si="3"/>
        <v>733</v>
      </c>
      <c r="P32" s="15">
        <f t="shared" si="3"/>
        <v>747</v>
      </c>
      <c r="R32" s="16"/>
    </row>
    <row r="33" spans="1:19">
      <c r="A33" s="4"/>
      <c r="C33" s="4">
        <v>2015</v>
      </c>
      <c r="D33" s="4">
        <f t="shared" si="2"/>
        <v>747</v>
      </c>
      <c r="E33" s="4">
        <f t="shared" si="3"/>
        <v>757</v>
      </c>
      <c r="F33" s="4">
        <f t="shared" si="3"/>
        <v>763</v>
      </c>
      <c r="G33" s="4">
        <f t="shared" si="3"/>
        <v>770</v>
      </c>
      <c r="H33" s="4">
        <f t="shared" si="3"/>
        <v>772</v>
      </c>
      <c r="I33" s="4">
        <f t="shared" si="3"/>
        <v>775</v>
      </c>
      <c r="J33" s="4">
        <f t="shared" si="3"/>
        <v>779</v>
      </c>
      <c r="K33" s="4">
        <f t="shared" si="3"/>
        <v>780</v>
      </c>
      <c r="L33" s="4">
        <f t="shared" si="3"/>
        <v>788</v>
      </c>
      <c r="M33" s="4">
        <f t="shared" si="3"/>
        <v>797</v>
      </c>
      <c r="N33" s="4">
        <f t="shared" si="3"/>
        <v>837</v>
      </c>
      <c r="O33" s="4">
        <f t="shared" si="3"/>
        <v>869</v>
      </c>
      <c r="P33" s="15">
        <f t="shared" si="3"/>
        <v>919</v>
      </c>
      <c r="R33" s="16"/>
    </row>
    <row r="34" spans="1:19">
      <c r="A34" s="4"/>
      <c r="C34" s="4">
        <v>2016</v>
      </c>
      <c r="D34" s="4">
        <f t="shared" si="2"/>
        <v>919</v>
      </c>
      <c r="E34" s="4">
        <f t="shared" si="3"/>
        <v>943</v>
      </c>
      <c r="F34" s="4">
        <f t="shared" si="3"/>
        <v>1024</v>
      </c>
      <c r="G34" s="4">
        <f t="shared" si="3"/>
        <v>1077</v>
      </c>
      <c r="H34" s="4">
        <f t="shared" si="3"/>
        <v>1197</v>
      </c>
      <c r="I34" s="4">
        <f t="shared" si="3"/>
        <v>1297</v>
      </c>
      <c r="J34" s="4">
        <f t="shared" si="3"/>
        <v>1517</v>
      </c>
      <c r="K34" s="4">
        <f t="shared" si="3"/>
        <v>2118</v>
      </c>
      <c r="L34" s="4">
        <f t="shared" si="3"/>
        <v>2642</v>
      </c>
      <c r="M34" s="4">
        <f t="shared" si="3"/>
        <v>3166</v>
      </c>
      <c r="N34" s="4">
        <f t="shared" si="3"/>
        <v>3613</v>
      </c>
      <c r="O34" s="4">
        <f t="shared" si="3"/>
        <v>3790</v>
      </c>
      <c r="P34" s="15">
        <f t="shared" si="3"/>
        <v>3881</v>
      </c>
      <c r="R34" s="16"/>
    </row>
    <row r="35" spans="1:19">
      <c r="A35" s="4"/>
      <c r="C35" s="4">
        <v>2017</v>
      </c>
      <c r="D35" s="4">
        <f t="shared" si="2"/>
        <v>3881</v>
      </c>
      <c r="E35" s="4">
        <f t="shared" si="3"/>
        <v>3929</v>
      </c>
      <c r="F35" s="4">
        <f t="shared" si="3"/>
        <v>3986</v>
      </c>
      <c r="G35" s="4">
        <f t="shared" si="3"/>
        <v>4221</v>
      </c>
      <c r="H35" s="4">
        <f t="shared" si="3"/>
        <v>4379</v>
      </c>
      <c r="I35" s="4">
        <f t="shared" si="3"/>
        <v>4491</v>
      </c>
      <c r="J35" s="4">
        <f t="shared" si="3"/>
        <v>4581</v>
      </c>
      <c r="K35" s="4">
        <f t="shared" si="3"/>
        <v>4708</v>
      </c>
      <c r="L35" s="4">
        <f t="shared" si="3"/>
        <v>4983</v>
      </c>
      <c r="M35" s="4">
        <f t="shared" si="3"/>
        <v>5308</v>
      </c>
      <c r="N35" s="4">
        <f t="shared" si="3"/>
        <v>5544</v>
      </c>
      <c r="O35" s="4">
        <f t="shared" si="3"/>
        <v>5659</v>
      </c>
      <c r="P35" s="15">
        <f t="shared" si="3"/>
        <v>5823</v>
      </c>
      <c r="R35" s="16"/>
    </row>
    <row r="36" spans="1:19">
      <c r="A36" s="4"/>
      <c r="C36" s="4">
        <v>2018</v>
      </c>
      <c r="D36" s="4">
        <f t="shared" si="2"/>
        <v>5823</v>
      </c>
      <c r="E36" s="4">
        <f t="shared" si="3"/>
        <v>5911</v>
      </c>
      <c r="F36" s="4">
        <f t="shared" si="3"/>
        <v>6075</v>
      </c>
      <c r="G36" s="4">
        <f t="shared" si="3"/>
        <v>6254</v>
      </c>
      <c r="H36" s="4">
        <f t="shared" si="3"/>
        <v>6326</v>
      </c>
      <c r="I36" s="4">
        <f t="shared" si="3"/>
        <v>6407</v>
      </c>
      <c r="J36" s="4">
        <f t="shared" si="3"/>
        <v>6690</v>
      </c>
      <c r="K36" s="4">
        <f t="shared" si="3"/>
        <v>7261</v>
      </c>
      <c r="L36" s="4">
        <f t="shared" si="3"/>
        <v>7829</v>
      </c>
      <c r="M36" s="4">
        <f t="shared" si="3"/>
        <v>8382</v>
      </c>
      <c r="N36" s="4">
        <f t="shared" si="3"/>
        <v>9038</v>
      </c>
      <c r="O36" s="4">
        <f t="shared" si="3"/>
        <v>9373</v>
      </c>
      <c r="P36" s="15">
        <f t="shared" si="3"/>
        <v>9458</v>
      </c>
      <c r="R36" s="16"/>
    </row>
    <row r="37" spans="1:19" s="12" customFormat="1">
      <c r="A37" s="4"/>
      <c r="B37" s="5"/>
      <c r="C37" s="4">
        <v>2019</v>
      </c>
      <c r="D37" s="4">
        <f t="shared" si="2"/>
        <v>9458</v>
      </c>
      <c r="E37" s="4">
        <f t="shared" si="3"/>
        <v>9538</v>
      </c>
      <c r="F37" s="4">
        <f t="shared" si="3"/>
        <v>9589</v>
      </c>
      <c r="G37" s="4">
        <f t="shared" si="3"/>
        <v>9690</v>
      </c>
      <c r="H37" s="4">
        <f t="shared" si="3"/>
        <v>9806</v>
      </c>
      <c r="I37" s="4">
        <f t="shared" si="3"/>
        <v>9833</v>
      </c>
      <c r="J37" s="4">
        <f t="shared" si="3"/>
        <v>9845</v>
      </c>
      <c r="K37" s="4">
        <f t="shared" si="3"/>
        <v>10022</v>
      </c>
      <c r="L37" s="4">
        <f t="shared" si="3"/>
        <v>10385</v>
      </c>
      <c r="M37" s="4">
        <f t="shared" si="3"/>
        <v>10783</v>
      </c>
      <c r="N37" s="4">
        <f t="shared" si="3"/>
        <v>11111</v>
      </c>
      <c r="O37" s="4">
        <f t="shared" si="3"/>
        <v>11537</v>
      </c>
      <c r="P37" s="15">
        <f t="shared" si="3"/>
        <v>11803</v>
      </c>
      <c r="Q37" s="5"/>
      <c r="R37" s="16"/>
      <c r="S37" s="5"/>
    </row>
    <row r="38" spans="1:19">
      <c r="A38" s="4"/>
      <c r="B38" s="30"/>
      <c r="C38" s="4">
        <v>2020</v>
      </c>
      <c r="D38" s="4">
        <f t="shared" si="2"/>
        <v>11803</v>
      </c>
      <c r="E38" s="4">
        <f t="shared" si="3"/>
        <v>11946</v>
      </c>
      <c r="F38" s="4">
        <f t="shared" si="3"/>
        <v>12148</v>
      </c>
      <c r="G38" s="4">
        <f t="shared" si="3"/>
        <v>12523</v>
      </c>
      <c r="H38" s="4">
        <f t="shared" si="3"/>
        <v>12877</v>
      </c>
      <c r="I38" s="4">
        <f t="shared" si="3"/>
        <v>13265</v>
      </c>
      <c r="J38" s="4">
        <f>I38+I20</f>
        <v>13699</v>
      </c>
      <c r="K38" s="24">
        <f t="shared" si="3"/>
        <v>14133</v>
      </c>
      <c r="L38" s="4">
        <f t="shared" si="3"/>
        <v>14567</v>
      </c>
      <c r="M38" s="4">
        <f t="shared" si="3"/>
        <v>15001</v>
      </c>
      <c r="N38" s="4">
        <f t="shared" si="3"/>
        <v>15435</v>
      </c>
      <c r="O38" s="4">
        <f t="shared" si="3"/>
        <v>15869</v>
      </c>
      <c r="P38" s="15">
        <f>O38+O20</f>
        <v>16303</v>
      </c>
      <c r="R38" s="16"/>
    </row>
    <row r="39" spans="1:19">
      <c r="A39" s="4"/>
      <c r="B39" s="19" t="s">
        <v>432</v>
      </c>
      <c r="C39" s="20">
        <v>2021</v>
      </c>
      <c r="D39" s="31">
        <f t="shared" ref="D39:D45" si="4">O38+O20</f>
        <v>16303</v>
      </c>
      <c r="E39" s="31">
        <f t="shared" ref="E39:E45" si="5">D39+D21</f>
        <v>16353</v>
      </c>
      <c r="F39" s="31">
        <f t="shared" si="3"/>
        <v>16403</v>
      </c>
      <c r="G39" s="31">
        <f t="shared" si="3"/>
        <v>16603</v>
      </c>
      <c r="H39" s="31">
        <f t="shared" si="3"/>
        <v>16803</v>
      </c>
      <c r="I39" s="31">
        <f t="shared" si="3"/>
        <v>17053</v>
      </c>
      <c r="J39" s="31">
        <f t="shared" si="3"/>
        <v>17353</v>
      </c>
      <c r="K39" s="31">
        <f t="shared" si="3"/>
        <v>17703</v>
      </c>
      <c r="L39" s="31">
        <f t="shared" si="3"/>
        <v>18053</v>
      </c>
      <c r="M39" s="31">
        <f t="shared" si="3"/>
        <v>18403</v>
      </c>
      <c r="N39" s="31">
        <f t="shared" si="3"/>
        <v>18753</v>
      </c>
      <c r="O39" s="31">
        <f t="shared" si="3"/>
        <v>18853</v>
      </c>
      <c r="P39" s="15">
        <f>O39+O21</f>
        <v>18903</v>
      </c>
      <c r="R39" s="16"/>
    </row>
    <row r="40" spans="1:19">
      <c r="C40" s="20">
        <v>2022</v>
      </c>
      <c r="D40" s="31">
        <f t="shared" si="4"/>
        <v>18903</v>
      </c>
      <c r="E40" s="31">
        <f t="shared" si="5"/>
        <v>18953</v>
      </c>
      <c r="F40" s="31">
        <f t="shared" si="3"/>
        <v>19003</v>
      </c>
      <c r="G40" s="31">
        <f t="shared" si="3"/>
        <v>19203</v>
      </c>
      <c r="H40" s="31">
        <f t="shared" si="3"/>
        <v>19403</v>
      </c>
      <c r="I40" s="31">
        <f t="shared" si="3"/>
        <v>19653</v>
      </c>
      <c r="J40" s="31">
        <f t="shared" si="3"/>
        <v>19953</v>
      </c>
      <c r="K40" s="31">
        <f t="shared" si="3"/>
        <v>20303</v>
      </c>
      <c r="L40" s="31">
        <f t="shared" si="3"/>
        <v>20653</v>
      </c>
      <c r="M40" s="31">
        <f t="shared" si="3"/>
        <v>21003</v>
      </c>
      <c r="N40" s="31">
        <f t="shared" si="3"/>
        <v>21353</v>
      </c>
      <c r="O40" s="31">
        <f t="shared" si="3"/>
        <v>21453</v>
      </c>
      <c r="P40" s="15">
        <f>O40+O22</f>
        <v>21503</v>
      </c>
    </row>
    <row r="41" spans="1:19">
      <c r="C41" s="20">
        <v>2023</v>
      </c>
      <c r="D41" s="31">
        <f t="shared" si="4"/>
        <v>21503</v>
      </c>
      <c r="E41" s="31">
        <f t="shared" si="5"/>
        <v>21553</v>
      </c>
      <c r="F41" s="31">
        <f t="shared" si="3"/>
        <v>21603</v>
      </c>
      <c r="G41" s="31">
        <f t="shared" si="3"/>
        <v>21803</v>
      </c>
      <c r="H41" s="31">
        <f t="shared" si="3"/>
        <v>22003</v>
      </c>
      <c r="I41" s="31">
        <f t="shared" si="3"/>
        <v>22253</v>
      </c>
      <c r="J41" s="31">
        <f t="shared" si="3"/>
        <v>22553</v>
      </c>
      <c r="K41" s="31">
        <f t="shared" si="3"/>
        <v>22903</v>
      </c>
      <c r="L41" s="31">
        <f t="shared" si="3"/>
        <v>23253</v>
      </c>
      <c r="M41" s="31">
        <f t="shared" si="3"/>
        <v>23603</v>
      </c>
      <c r="N41" s="31">
        <f t="shared" si="3"/>
        <v>23953</v>
      </c>
      <c r="O41" s="31">
        <f t="shared" si="3"/>
        <v>24053</v>
      </c>
      <c r="P41" s="15">
        <f>O41+O23</f>
        <v>24103</v>
      </c>
    </row>
    <row r="42" spans="1:19">
      <c r="C42" s="23">
        <v>2024</v>
      </c>
      <c r="D42" s="32">
        <f t="shared" si="4"/>
        <v>24103</v>
      </c>
      <c r="E42" s="31">
        <f t="shared" si="5"/>
        <v>24153</v>
      </c>
      <c r="F42" s="31">
        <f t="shared" si="3"/>
        <v>24203</v>
      </c>
      <c r="G42" s="31">
        <f t="shared" si="3"/>
        <v>24403</v>
      </c>
      <c r="H42" s="31">
        <f t="shared" si="3"/>
        <v>24603</v>
      </c>
      <c r="I42" s="31">
        <f t="shared" si="3"/>
        <v>24853</v>
      </c>
      <c r="J42" s="31">
        <f t="shared" si="3"/>
        <v>25153</v>
      </c>
      <c r="K42" s="31">
        <f t="shared" si="3"/>
        <v>25503</v>
      </c>
      <c r="L42" s="31">
        <f t="shared" si="3"/>
        <v>25853</v>
      </c>
      <c r="M42" s="31">
        <f t="shared" si="3"/>
        <v>26203</v>
      </c>
      <c r="N42" s="31">
        <f t="shared" si="3"/>
        <v>26553</v>
      </c>
      <c r="O42" s="31">
        <f t="shared" si="3"/>
        <v>26653</v>
      </c>
      <c r="P42" s="15">
        <f>O42+O24</f>
        <v>26703</v>
      </c>
    </row>
    <row r="43" spans="1:19">
      <c r="C43" s="20">
        <v>2025</v>
      </c>
      <c r="D43" s="32">
        <f t="shared" si="4"/>
        <v>26703</v>
      </c>
      <c r="E43" s="31">
        <f t="shared" si="5"/>
        <v>26753</v>
      </c>
      <c r="F43" s="31">
        <f t="shared" si="3"/>
        <v>26803</v>
      </c>
      <c r="G43" s="31">
        <f t="shared" si="3"/>
        <v>27003</v>
      </c>
      <c r="H43" s="31">
        <f t="shared" si="3"/>
        <v>27203</v>
      </c>
      <c r="I43" s="31">
        <f t="shared" si="3"/>
        <v>27453</v>
      </c>
      <c r="J43" s="31">
        <f t="shared" si="3"/>
        <v>27753</v>
      </c>
      <c r="K43" s="31">
        <f t="shared" si="3"/>
        <v>28103</v>
      </c>
      <c r="L43" s="31">
        <f t="shared" si="3"/>
        <v>28453</v>
      </c>
      <c r="M43" s="31">
        <f t="shared" si="3"/>
        <v>28803</v>
      </c>
      <c r="N43" s="31">
        <f t="shared" si="3"/>
        <v>29153</v>
      </c>
      <c r="O43" s="31">
        <f t="shared" si="3"/>
        <v>29253</v>
      </c>
      <c r="P43" s="15">
        <f t="shared" si="3"/>
        <v>29303</v>
      </c>
    </row>
    <row r="44" spans="1:19">
      <c r="C44" s="23">
        <v>2026</v>
      </c>
      <c r="D44" s="32">
        <f t="shared" si="4"/>
        <v>29303</v>
      </c>
      <c r="E44" s="31">
        <f t="shared" si="5"/>
        <v>29353</v>
      </c>
      <c r="F44" s="31">
        <f t="shared" si="3"/>
        <v>29403</v>
      </c>
      <c r="G44" s="31">
        <f t="shared" si="3"/>
        <v>29603</v>
      </c>
      <c r="H44" s="31">
        <f t="shared" si="3"/>
        <v>29803</v>
      </c>
      <c r="I44" s="31">
        <f t="shared" si="3"/>
        <v>30053</v>
      </c>
      <c r="J44" s="31">
        <f t="shared" si="3"/>
        <v>30353</v>
      </c>
      <c r="K44" s="31">
        <f t="shared" si="3"/>
        <v>30703</v>
      </c>
      <c r="L44" s="31">
        <f t="shared" si="3"/>
        <v>31053</v>
      </c>
      <c r="M44" s="31">
        <f t="shared" si="3"/>
        <v>31403</v>
      </c>
      <c r="N44" s="31">
        <f t="shared" si="3"/>
        <v>31753</v>
      </c>
      <c r="O44" s="31">
        <f t="shared" si="3"/>
        <v>31853</v>
      </c>
      <c r="P44" s="15">
        <f t="shared" si="3"/>
        <v>31903</v>
      </c>
    </row>
    <row r="45" spans="1:19">
      <c r="C45" s="20">
        <v>2027</v>
      </c>
      <c r="D45" s="32">
        <f t="shared" si="4"/>
        <v>31903</v>
      </c>
      <c r="E45" s="32">
        <f t="shared" si="5"/>
        <v>31953</v>
      </c>
      <c r="F45" s="31">
        <f t="shared" si="3"/>
        <v>32003</v>
      </c>
      <c r="G45" s="31">
        <f t="shared" si="3"/>
        <v>32203</v>
      </c>
      <c r="H45" s="31">
        <f t="shared" si="3"/>
        <v>32403</v>
      </c>
      <c r="I45" s="31">
        <f t="shared" si="3"/>
        <v>32653</v>
      </c>
      <c r="J45" s="31">
        <f t="shared" si="3"/>
        <v>32953</v>
      </c>
      <c r="K45" s="31">
        <f t="shared" si="3"/>
        <v>33303</v>
      </c>
      <c r="L45" s="31">
        <f t="shared" si="3"/>
        <v>33653</v>
      </c>
      <c r="M45" s="31">
        <f t="shared" si="3"/>
        <v>34003</v>
      </c>
      <c r="N45" s="31">
        <f t="shared" si="3"/>
        <v>34353</v>
      </c>
      <c r="O45" s="31">
        <f t="shared" si="3"/>
        <v>34453</v>
      </c>
      <c r="P45" s="15">
        <f>O45+O27</f>
        <v>34503</v>
      </c>
    </row>
    <row r="50" spans="1:21" ht="27.5">
      <c r="A50" s="4"/>
      <c r="C50" s="33" t="s">
        <v>468</v>
      </c>
      <c r="D50" s="24" t="s">
        <v>7</v>
      </c>
      <c r="E50" s="24" t="s">
        <v>8</v>
      </c>
      <c r="F50" s="24" t="s">
        <v>9</v>
      </c>
      <c r="G50" s="24" t="s">
        <v>10</v>
      </c>
      <c r="H50" s="24" t="s">
        <v>11</v>
      </c>
      <c r="I50" s="24" t="s">
        <v>12</v>
      </c>
      <c r="J50" s="24" t="s">
        <v>13</v>
      </c>
      <c r="K50" s="24" t="s">
        <v>14</v>
      </c>
      <c r="L50" s="24" t="s">
        <v>15</v>
      </c>
      <c r="M50" s="24" t="s">
        <v>16</v>
      </c>
      <c r="N50" s="24" t="s">
        <v>17</v>
      </c>
      <c r="O50" s="24" t="s">
        <v>18</v>
      </c>
      <c r="P50" s="25" t="s">
        <v>19</v>
      </c>
      <c r="R50" s="34"/>
      <c r="S50" s="29"/>
    </row>
    <row r="51" spans="1:21">
      <c r="A51" s="11"/>
      <c r="B51" s="12"/>
      <c r="C51" s="35">
        <v>2013</v>
      </c>
      <c r="D51" s="36">
        <f t="shared" ref="D51:O65" si="6">D31*$C$8</f>
        <v>0</v>
      </c>
      <c r="E51" s="36">
        <f t="shared" si="6"/>
        <v>0.34824245396819592</v>
      </c>
      <c r="F51" s="36">
        <f t="shared" si="6"/>
        <v>0.34824245396819592</v>
      </c>
      <c r="G51" s="36">
        <f t="shared" si="6"/>
        <v>0.34824245396819592</v>
      </c>
      <c r="H51" s="36">
        <f t="shared" si="6"/>
        <v>0.34824245396819592</v>
      </c>
      <c r="I51" s="36">
        <f t="shared" si="6"/>
        <v>0.34824245396819592</v>
      </c>
      <c r="J51" s="36">
        <f t="shared" si="6"/>
        <v>0.34824245396819592</v>
      </c>
      <c r="K51" s="36">
        <f t="shared" si="6"/>
        <v>0.34824245396819592</v>
      </c>
      <c r="L51" s="36">
        <f t="shared" si="6"/>
        <v>0.34824245396819592</v>
      </c>
      <c r="M51" s="36">
        <f t="shared" si="6"/>
        <v>25.421699139678303</v>
      </c>
      <c r="N51" s="36">
        <f t="shared" si="6"/>
        <v>30.993578403169437</v>
      </c>
      <c r="O51" s="36">
        <f t="shared" si="6"/>
        <v>40.744367114278923</v>
      </c>
      <c r="P51" s="37">
        <f t="shared" ref="P51:P57" si="7">SUM(D51:O51)</f>
        <v>99.945584288872226</v>
      </c>
      <c r="R51" s="12"/>
      <c r="S51" s="12"/>
    </row>
    <row r="52" spans="1:21">
      <c r="A52" s="4"/>
      <c r="C52" s="24">
        <v>2014</v>
      </c>
      <c r="D52" s="38">
        <f t="shared" si="6"/>
        <v>58.504732266656916</v>
      </c>
      <c r="E52" s="38">
        <f t="shared" si="6"/>
        <v>82.881704044430634</v>
      </c>
      <c r="F52" s="38">
        <f t="shared" si="6"/>
        <v>96.811402203158465</v>
      </c>
      <c r="G52" s="38">
        <f t="shared" si="6"/>
        <v>114.57176735553645</v>
      </c>
      <c r="H52" s="38">
        <f t="shared" si="6"/>
        <v>124.67079852061414</v>
      </c>
      <c r="I52" s="38">
        <f t="shared" si="6"/>
        <v>140.68995140315116</v>
      </c>
      <c r="J52" s="38">
        <f t="shared" si="6"/>
        <v>148.35128539045147</v>
      </c>
      <c r="K52" s="38">
        <f t="shared" si="6"/>
        <v>168.20110526663862</v>
      </c>
      <c r="L52" s="38">
        <f t="shared" si="6"/>
        <v>193.27456195234873</v>
      </c>
      <c r="M52" s="38">
        <f t="shared" si="6"/>
        <v>224.26814035551817</v>
      </c>
      <c r="N52" s="38">
        <f t="shared" si="6"/>
        <v>246.20741495551451</v>
      </c>
      <c r="O52" s="38">
        <f t="shared" si="6"/>
        <v>255.26171875868761</v>
      </c>
      <c r="P52" s="39">
        <f>SUM(D52:O52)</f>
        <v>1853.6945824727068</v>
      </c>
      <c r="R52" s="16"/>
    </row>
    <row r="53" spans="1:21">
      <c r="A53" s="4"/>
      <c r="C53" s="24">
        <v>2015</v>
      </c>
      <c r="D53" s="38">
        <f t="shared" si="6"/>
        <v>260.13711311424237</v>
      </c>
      <c r="E53" s="38">
        <f t="shared" si="6"/>
        <v>263.61953765392428</v>
      </c>
      <c r="F53" s="38">
        <f t="shared" si="6"/>
        <v>265.70899237773347</v>
      </c>
      <c r="G53" s="38">
        <f t="shared" si="6"/>
        <v>268.14668955551087</v>
      </c>
      <c r="H53" s="38">
        <f t="shared" si="6"/>
        <v>268.84317446344727</v>
      </c>
      <c r="I53" s="38">
        <f t="shared" si="6"/>
        <v>269.88790182535183</v>
      </c>
      <c r="J53" s="38">
        <f t="shared" si="6"/>
        <v>271.28087164122462</v>
      </c>
      <c r="K53" s="38">
        <f t="shared" si="6"/>
        <v>271.62911409519279</v>
      </c>
      <c r="L53" s="38">
        <f t="shared" si="6"/>
        <v>274.41505372693837</v>
      </c>
      <c r="M53" s="38">
        <f t="shared" si="6"/>
        <v>277.54923581265217</v>
      </c>
      <c r="N53" s="38">
        <f t="shared" si="6"/>
        <v>291.47893397138</v>
      </c>
      <c r="O53" s="38">
        <f t="shared" si="6"/>
        <v>302.62269249836226</v>
      </c>
      <c r="P53" s="39">
        <f>SUM(D53:O53)</f>
        <v>3285.3193107359602</v>
      </c>
      <c r="R53" s="16"/>
    </row>
    <row r="54" spans="1:21">
      <c r="A54" s="4"/>
      <c r="C54" s="24">
        <v>2016</v>
      </c>
      <c r="D54" s="38">
        <f t="shared" si="6"/>
        <v>320.03481519677206</v>
      </c>
      <c r="E54" s="38">
        <f t="shared" si="6"/>
        <v>328.39263409200873</v>
      </c>
      <c r="F54" s="38">
        <f t="shared" si="6"/>
        <v>356.60027286343262</v>
      </c>
      <c r="G54" s="38">
        <f t="shared" si="6"/>
        <v>375.05712292374699</v>
      </c>
      <c r="H54" s="38">
        <f t="shared" si="6"/>
        <v>416.84621739993054</v>
      </c>
      <c r="I54" s="38">
        <f t="shared" si="6"/>
        <v>451.67046279675009</v>
      </c>
      <c r="J54" s="38">
        <f t="shared" si="6"/>
        <v>528.28380266975319</v>
      </c>
      <c r="K54" s="38">
        <f t="shared" si="6"/>
        <v>737.57751750463899</v>
      </c>
      <c r="L54" s="38">
        <f t="shared" si="6"/>
        <v>920.05656338397364</v>
      </c>
      <c r="M54" s="38">
        <f t="shared" si="6"/>
        <v>1102.5356092633083</v>
      </c>
      <c r="N54" s="38">
        <f t="shared" si="6"/>
        <v>1258.1999861870918</v>
      </c>
      <c r="O54" s="38">
        <f t="shared" si="6"/>
        <v>1319.8389005394624</v>
      </c>
      <c r="P54" s="39">
        <f t="shared" si="7"/>
        <v>8115.0939048208693</v>
      </c>
      <c r="R54" s="16"/>
    </row>
    <row r="55" spans="1:21">
      <c r="A55" s="4"/>
      <c r="C55" s="24">
        <v>2017</v>
      </c>
      <c r="D55" s="38">
        <f t="shared" si="6"/>
        <v>1351.5289638505683</v>
      </c>
      <c r="E55" s="38">
        <f t="shared" si="6"/>
        <v>1368.2446016410418</v>
      </c>
      <c r="F55" s="38">
        <f t="shared" si="6"/>
        <v>1388.094421517229</v>
      </c>
      <c r="G55" s="38">
        <f t="shared" si="6"/>
        <v>1469.931398199755</v>
      </c>
      <c r="H55" s="38">
        <f t="shared" si="6"/>
        <v>1524.95370592673</v>
      </c>
      <c r="I55" s="38">
        <f t="shared" si="6"/>
        <v>1563.9568607711678</v>
      </c>
      <c r="J55" s="38">
        <f t="shared" si="6"/>
        <v>1595.2986816283055</v>
      </c>
      <c r="K55" s="38">
        <f t="shared" si="6"/>
        <v>1639.5254732822664</v>
      </c>
      <c r="L55" s="38">
        <f t="shared" si="6"/>
        <v>1735.2921481235203</v>
      </c>
      <c r="M55" s="38">
        <f t="shared" si="6"/>
        <v>1848.470945663184</v>
      </c>
      <c r="N55" s="38">
        <f t="shared" si="6"/>
        <v>1930.6561647996782</v>
      </c>
      <c r="O55" s="38">
        <f t="shared" si="6"/>
        <v>1970.7040470060208</v>
      </c>
      <c r="P55" s="39">
        <f t="shared" si="7"/>
        <v>19386.65741240947</v>
      </c>
      <c r="R55" s="16"/>
    </row>
    <row r="56" spans="1:21">
      <c r="A56" s="4"/>
      <c r="C56" s="24">
        <v>2018</v>
      </c>
      <c r="D56" s="38">
        <f t="shared" si="6"/>
        <v>2027.8158094568048</v>
      </c>
      <c r="E56" s="38">
        <f t="shared" si="6"/>
        <v>2058.4611454060059</v>
      </c>
      <c r="F56" s="38">
        <f t="shared" si="6"/>
        <v>2115.5729078567902</v>
      </c>
      <c r="G56" s="38">
        <f t="shared" si="6"/>
        <v>2177.9083071170971</v>
      </c>
      <c r="H56" s="38">
        <f t="shared" si="6"/>
        <v>2202.9817638028076</v>
      </c>
      <c r="I56" s="38">
        <f t="shared" si="6"/>
        <v>2231.1894025742313</v>
      </c>
      <c r="J56" s="38">
        <f t="shared" si="6"/>
        <v>2329.7420170472305</v>
      </c>
      <c r="K56" s="38">
        <f t="shared" si="6"/>
        <v>2528.5884582630706</v>
      </c>
      <c r="L56" s="38">
        <f t="shared" si="6"/>
        <v>2726.3901721170059</v>
      </c>
      <c r="M56" s="38">
        <f t="shared" si="6"/>
        <v>2918.968249161418</v>
      </c>
      <c r="N56" s="38">
        <f t="shared" si="6"/>
        <v>3147.4152989645545</v>
      </c>
      <c r="O56" s="38">
        <f t="shared" si="6"/>
        <v>3264.0765210439004</v>
      </c>
      <c r="P56" s="39">
        <f>SUM(D56:O56)</f>
        <v>29729.110052810916</v>
      </c>
      <c r="R56" s="16"/>
    </row>
    <row r="57" spans="1:21">
      <c r="A57" s="4"/>
      <c r="C57" s="24">
        <v>2019</v>
      </c>
      <c r="D57" s="38">
        <f t="shared" si="6"/>
        <v>3293.6771296311972</v>
      </c>
      <c r="E57" s="38">
        <f t="shared" si="6"/>
        <v>3321.5365259486525</v>
      </c>
      <c r="F57" s="38">
        <f t="shared" si="6"/>
        <v>3339.2968911010307</v>
      </c>
      <c r="G57" s="38">
        <f t="shared" si="6"/>
        <v>3374.4693789518183</v>
      </c>
      <c r="H57" s="38">
        <f t="shared" si="6"/>
        <v>3414.865503612129</v>
      </c>
      <c r="I57" s="38">
        <f t="shared" si="6"/>
        <v>3424.2680498692703</v>
      </c>
      <c r="J57" s="38">
        <f t="shared" si="6"/>
        <v>3428.4469593168888</v>
      </c>
      <c r="K57" s="38">
        <f t="shared" si="6"/>
        <v>3490.0858736692594</v>
      </c>
      <c r="L57" s="38">
        <f t="shared" si="6"/>
        <v>3616.4978844597144</v>
      </c>
      <c r="M57" s="38">
        <f t="shared" si="6"/>
        <v>3755.0983811390565</v>
      </c>
      <c r="N57" s="38">
        <f t="shared" si="6"/>
        <v>3869.321906040625</v>
      </c>
      <c r="O57" s="38">
        <f t="shared" si="6"/>
        <v>4017.6731914310762</v>
      </c>
      <c r="P57" s="39">
        <f t="shared" si="7"/>
        <v>42345.23767517072</v>
      </c>
      <c r="R57" s="16"/>
      <c r="T57" s="40"/>
    </row>
    <row r="58" spans="1:21">
      <c r="A58" s="4"/>
      <c r="C58" s="24">
        <v>2020</v>
      </c>
      <c r="D58" s="38">
        <f t="shared" si="6"/>
        <v>4110.3056841866164</v>
      </c>
      <c r="E58" s="38">
        <f t="shared" si="6"/>
        <v>4160.1043551040684</v>
      </c>
      <c r="F58" s="38">
        <f t="shared" si="6"/>
        <v>4230.4493308056444</v>
      </c>
      <c r="G58" s="38">
        <f t="shared" si="6"/>
        <v>4361.0402510437179</v>
      </c>
      <c r="H58" s="38">
        <f t="shared" si="6"/>
        <v>4484.3180797484592</v>
      </c>
      <c r="I58" s="38">
        <f t="shared" si="6"/>
        <v>4619.4361518881187</v>
      </c>
      <c r="J58" s="38">
        <f t="shared" si="6"/>
        <v>4770.5733769103163</v>
      </c>
      <c r="K58" s="38">
        <f t="shared" si="6"/>
        <v>4921.7106019325129</v>
      </c>
      <c r="L58" s="38">
        <f t="shared" si="6"/>
        <v>5072.8478269547104</v>
      </c>
      <c r="M58" s="38">
        <f t="shared" si="6"/>
        <v>5223.985051976907</v>
      </c>
      <c r="N58" s="38">
        <f t="shared" si="6"/>
        <v>5375.1222769991036</v>
      </c>
      <c r="O58" s="38">
        <f t="shared" si="6"/>
        <v>5526.2595020213012</v>
      </c>
      <c r="P58" s="39">
        <f>SUM(D58:O58)</f>
        <v>56856.152489571483</v>
      </c>
    </row>
    <row r="59" spans="1:21">
      <c r="A59" s="4"/>
      <c r="B59" s="19" t="s">
        <v>432</v>
      </c>
      <c r="C59" s="20">
        <v>2021</v>
      </c>
      <c r="D59" s="41">
        <f>D39*$C$8</f>
        <v>5677.3967270434978</v>
      </c>
      <c r="E59" s="41">
        <f t="shared" si="6"/>
        <v>5694.8088497419076</v>
      </c>
      <c r="F59" s="41">
        <f t="shared" si="6"/>
        <v>5712.2209724403174</v>
      </c>
      <c r="G59" s="41">
        <f t="shared" si="6"/>
        <v>5781.8694632339566</v>
      </c>
      <c r="H59" s="41">
        <f t="shared" si="6"/>
        <v>5851.5179540275958</v>
      </c>
      <c r="I59" s="41">
        <f t="shared" si="6"/>
        <v>5938.5785675196448</v>
      </c>
      <c r="J59" s="41">
        <f t="shared" si="6"/>
        <v>6043.0513037101036</v>
      </c>
      <c r="K59" s="41">
        <f t="shared" si="6"/>
        <v>6164.9361625989723</v>
      </c>
      <c r="L59" s="41">
        <f t="shared" si="6"/>
        <v>6286.8210214878409</v>
      </c>
      <c r="M59" s="41">
        <f t="shared" si="6"/>
        <v>6408.7058803767095</v>
      </c>
      <c r="N59" s="41">
        <f t="shared" si="6"/>
        <v>6530.5907392655781</v>
      </c>
      <c r="O59" s="41">
        <f t="shared" si="6"/>
        <v>6565.4149846623977</v>
      </c>
      <c r="P59" s="39">
        <f>SUM(D59:O59)</f>
        <v>72655.912626108504</v>
      </c>
      <c r="R59" s="16"/>
      <c r="T59" s="42"/>
      <c r="U59" s="42"/>
    </row>
    <row r="60" spans="1:21">
      <c r="A60" s="4"/>
      <c r="B60" s="4"/>
      <c r="C60" s="20">
        <v>2022</v>
      </c>
      <c r="D60" s="41">
        <f t="shared" si="6"/>
        <v>6582.8271073608075</v>
      </c>
      <c r="E60" s="41">
        <f t="shared" si="6"/>
        <v>6600.2392300592173</v>
      </c>
      <c r="F60" s="41">
        <f t="shared" si="6"/>
        <v>6617.6513527576271</v>
      </c>
      <c r="G60" s="41">
        <f t="shared" si="6"/>
        <v>6687.2998435512663</v>
      </c>
      <c r="H60" s="41">
        <f t="shared" si="6"/>
        <v>6756.9483343449056</v>
      </c>
      <c r="I60" s="41">
        <f t="shared" si="6"/>
        <v>6844.0089478369546</v>
      </c>
      <c r="J60" s="41">
        <f t="shared" si="6"/>
        <v>6948.4816840274134</v>
      </c>
      <c r="K60" s="41">
        <f t="shared" si="6"/>
        <v>7070.366542916282</v>
      </c>
      <c r="L60" s="41">
        <f t="shared" si="6"/>
        <v>7192.2514018051506</v>
      </c>
      <c r="M60" s="41">
        <f t="shared" si="6"/>
        <v>7314.1362606940193</v>
      </c>
      <c r="N60" s="41">
        <f t="shared" si="6"/>
        <v>7436.0211195828879</v>
      </c>
      <c r="O60" s="41">
        <f t="shared" si="6"/>
        <v>7470.8453649797075</v>
      </c>
      <c r="P60" s="39">
        <f t="shared" ref="P60:P65" si="8">SUM(D60:O60)</f>
        <v>83521.077189916236</v>
      </c>
      <c r="R60" s="16"/>
      <c r="T60" s="42"/>
    </row>
    <row r="61" spans="1:21">
      <c r="A61" s="4"/>
      <c r="B61" s="4"/>
      <c r="C61" s="20">
        <v>2023</v>
      </c>
      <c r="D61" s="41">
        <f t="shared" si="6"/>
        <v>7488.2574876781173</v>
      </c>
      <c r="E61" s="41">
        <f t="shared" si="6"/>
        <v>7505.6696103765271</v>
      </c>
      <c r="F61" s="41">
        <f t="shared" si="6"/>
        <v>7523.0817330749369</v>
      </c>
      <c r="G61" s="41">
        <f t="shared" si="6"/>
        <v>7592.7302238685752</v>
      </c>
      <c r="H61" s="41">
        <f t="shared" si="6"/>
        <v>7662.3787146622144</v>
      </c>
      <c r="I61" s="41">
        <f t="shared" si="6"/>
        <v>7749.4393281542634</v>
      </c>
      <c r="J61" s="41">
        <f t="shared" si="6"/>
        <v>7853.9120643447222</v>
      </c>
      <c r="K61" s="41">
        <f t="shared" si="6"/>
        <v>7975.7969232335909</v>
      </c>
      <c r="L61" s="41">
        <f t="shared" si="6"/>
        <v>8097.6817821224595</v>
      </c>
      <c r="M61" s="41">
        <f t="shared" si="6"/>
        <v>8219.5666410113281</v>
      </c>
      <c r="N61" s="41">
        <f t="shared" si="6"/>
        <v>8341.4514999001967</v>
      </c>
      <c r="O61" s="41">
        <f t="shared" si="6"/>
        <v>8376.2757452970163</v>
      </c>
      <c r="P61" s="39">
        <f t="shared" si="8"/>
        <v>94386.241753723953</v>
      </c>
      <c r="R61" s="16"/>
      <c r="T61" s="42"/>
    </row>
    <row r="62" spans="1:21">
      <c r="A62" s="4"/>
      <c r="B62" s="4"/>
      <c r="C62" s="23">
        <v>2024</v>
      </c>
      <c r="D62" s="41">
        <f t="shared" si="6"/>
        <v>8393.6878679954261</v>
      </c>
      <c r="E62" s="41">
        <f t="shared" si="6"/>
        <v>8411.0999906938359</v>
      </c>
      <c r="F62" s="41">
        <f t="shared" si="6"/>
        <v>8428.5121133922457</v>
      </c>
      <c r="G62" s="41">
        <f t="shared" si="6"/>
        <v>8498.1606041858849</v>
      </c>
      <c r="H62" s="41">
        <f t="shared" si="6"/>
        <v>8567.8090949795242</v>
      </c>
      <c r="I62" s="41">
        <f t="shared" si="6"/>
        <v>8654.8697084715732</v>
      </c>
      <c r="J62" s="41">
        <f t="shared" si="6"/>
        <v>8759.342444662032</v>
      </c>
      <c r="K62" s="41">
        <f t="shared" si="6"/>
        <v>8881.2273035509006</v>
      </c>
      <c r="L62" s="41">
        <f t="shared" si="6"/>
        <v>9003.1121624397692</v>
      </c>
      <c r="M62" s="41">
        <f t="shared" si="6"/>
        <v>9124.9970213286379</v>
      </c>
      <c r="N62" s="41">
        <f t="shared" si="6"/>
        <v>9246.8818802175065</v>
      </c>
      <c r="O62" s="41">
        <f t="shared" si="6"/>
        <v>9281.7061256143261</v>
      </c>
      <c r="P62" s="39">
        <f t="shared" si="8"/>
        <v>105251.40631753166</v>
      </c>
      <c r="R62" s="16"/>
      <c r="T62" s="42"/>
    </row>
    <row r="63" spans="1:21">
      <c r="A63" s="4"/>
      <c r="B63" s="4"/>
      <c r="C63" s="20">
        <v>2025</v>
      </c>
      <c r="D63" s="41">
        <f t="shared" si="6"/>
        <v>9299.1182483127359</v>
      </c>
      <c r="E63" s="41">
        <f t="shared" si="6"/>
        <v>9316.5303710111457</v>
      </c>
      <c r="F63" s="41">
        <f t="shared" si="6"/>
        <v>9333.9424937095555</v>
      </c>
      <c r="G63" s="41">
        <f t="shared" si="6"/>
        <v>9403.5909845031947</v>
      </c>
      <c r="H63" s="41">
        <f t="shared" si="6"/>
        <v>9473.2394752968339</v>
      </c>
      <c r="I63" s="41">
        <f t="shared" si="6"/>
        <v>9560.3000887888829</v>
      </c>
      <c r="J63" s="41">
        <f t="shared" si="6"/>
        <v>9664.7728249793417</v>
      </c>
      <c r="K63" s="41">
        <f t="shared" si="6"/>
        <v>9786.6576838682104</v>
      </c>
      <c r="L63" s="41">
        <f t="shared" si="6"/>
        <v>9908.542542757079</v>
      </c>
      <c r="M63" s="41">
        <f t="shared" si="6"/>
        <v>10030.427401645948</v>
      </c>
      <c r="N63" s="41">
        <f t="shared" si="6"/>
        <v>10152.312260534816</v>
      </c>
      <c r="O63" s="41">
        <f t="shared" si="6"/>
        <v>10187.136505931636</v>
      </c>
      <c r="P63" s="39">
        <f t="shared" si="8"/>
        <v>116116.57088133937</v>
      </c>
      <c r="R63" s="16"/>
      <c r="T63" s="42"/>
    </row>
    <row r="64" spans="1:21">
      <c r="A64" s="4"/>
      <c r="B64" s="4"/>
      <c r="C64" s="23">
        <v>2026</v>
      </c>
      <c r="D64" s="41">
        <f t="shared" si="6"/>
        <v>10204.548628630046</v>
      </c>
      <c r="E64" s="41">
        <f t="shared" si="6"/>
        <v>10221.960751328455</v>
      </c>
      <c r="F64" s="41">
        <f t="shared" si="6"/>
        <v>10239.372874026865</v>
      </c>
      <c r="G64" s="41">
        <f t="shared" si="6"/>
        <v>10309.021364820504</v>
      </c>
      <c r="H64" s="41">
        <f t="shared" si="6"/>
        <v>10378.669855614144</v>
      </c>
      <c r="I64" s="41">
        <f t="shared" si="6"/>
        <v>10465.730469106193</v>
      </c>
      <c r="J64" s="41">
        <f t="shared" si="6"/>
        <v>10570.203205296652</v>
      </c>
      <c r="K64" s="41">
        <f t="shared" si="6"/>
        <v>10692.08806418552</v>
      </c>
      <c r="L64" s="41">
        <f t="shared" si="6"/>
        <v>10813.972923074389</v>
      </c>
      <c r="M64" s="41">
        <f t="shared" si="6"/>
        <v>10935.857781963257</v>
      </c>
      <c r="N64" s="41">
        <f t="shared" si="6"/>
        <v>11057.742640852124</v>
      </c>
      <c r="O64" s="41">
        <f t="shared" si="6"/>
        <v>11092.566886248944</v>
      </c>
      <c r="P64" s="39">
        <f t="shared" si="8"/>
        <v>126981.73544514709</v>
      </c>
      <c r="R64" s="16"/>
      <c r="T64" s="42"/>
    </row>
    <row r="65" spans="1:20">
      <c r="A65" s="4"/>
      <c r="B65" s="4"/>
      <c r="C65" s="20">
        <v>2027</v>
      </c>
      <c r="D65" s="41">
        <f t="shared" si="6"/>
        <v>11109.979008947354</v>
      </c>
      <c r="E65" s="41">
        <f t="shared" si="6"/>
        <v>11127.391131645763</v>
      </c>
      <c r="F65" s="41">
        <f t="shared" si="6"/>
        <v>11144.803254344173</v>
      </c>
      <c r="G65" s="41">
        <f t="shared" si="6"/>
        <v>11214.451745137812</v>
      </c>
      <c r="H65" s="41">
        <f t="shared" si="6"/>
        <v>11284.100235931452</v>
      </c>
      <c r="I65" s="41">
        <f t="shared" si="6"/>
        <v>11371.160849423501</v>
      </c>
      <c r="J65" s="41">
        <f t="shared" si="6"/>
        <v>11475.633585613959</v>
      </c>
      <c r="K65" s="41">
        <f t="shared" si="6"/>
        <v>11597.518444502828</v>
      </c>
      <c r="L65" s="41">
        <f t="shared" si="6"/>
        <v>11719.403303391697</v>
      </c>
      <c r="M65" s="41">
        <f t="shared" si="6"/>
        <v>11841.288162280565</v>
      </c>
      <c r="N65" s="41">
        <f t="shared" si="6"/>
        <v>11963.173021169434</v>
      </c>
      <c r="O65" s="41">
        <f t="shared" si="6"/>
        <v>11997.997266566254</v>
      </c>
      <c r="P65" s="39">
        <f t="shared" si="8"/>
        <v>137846.90000895481</v>
      </c>
      <c r="R65" s="16"/>
      <c r="T65" s="42"/>
    </row>
    <row r="66" spans="1:20">
      <c r="A66" s="4"/>
      <c r="B66" s="4"/>
      <c r="D66" s="38"/>
      <c r="E66" s="38"/>
      <c r="F66" s="38"/>
      <c r="G66" s="38"/>
      <c r="H66" s="38"/>
      <c r="I66" s="38"/>
      <c r="J66" s="38"/>
      <c r="K66" s="38"/>
      <c r="L66" s="38"/>
      <c r="M66" s="38"/>
      <c r="N66" s="38"/>
      <c r="O66" s="38"/>
      <c r="P66" s="39"/>
      <c r="R66" s="16"/>
      <c r="T66" s="42"/>
    </row>
    <row r="67" spans="1:20">
      <c r="A67" s="4"/>
      <c r="B67" s="4"/>
      <c r="R67" s="16"/>
      <c r="T67" s="42"/>
    </row>
    <row r="68" spans="1:20">
      <c r="A68" s="4"/>
      <c r="B68" s="4"/>
      <c r="R68" s="16"/>
      <c r="T68" s="42"/>
    </row>
    <row r="69" spans="1:20">
      <c r="A69" s="4"/>
      <c r="B69" s="4"/>
      <c r="O69" s="124" t="s">
        <v>433</v>
      </c>
      <c r="P69" s="43">
        <f>SUM(P59:P65)</f>
        <v>736759.84422272164</v>
      </c>
      <c r="R69" s="16"/>
      <c r="T69" s="42"/>
    </row>
    <row r="70" spans="1:20">
      <c r="A70" s="4"/>
      <c r="B70" s="4"/>
      <c r="O70" s="125"/>
      <c r="R70" s="16"/>
      <c r="T70" s="42"/>
    </row>
    <row r="71" spans="1:20">
      <c r="A71" s="4"/>
      <c r="B71" s="4"/>
      <c r="O71" s="124" t="s">
        <v>434</v>
      </c>
      <c r="P71" s="43">
        <f>AVERAGE(P59:P65)</f>
        <v>105251.40631753167</v>
      </c>
      <c r="R71" s="16"/>
      <c r="T71" s="42"/>
    </row>
    <row r="72" spans="1:20">
      <c r="O72" s="125"/>
    </row>
  </sheetData>
  <mergeCells count="1">
    <mergeCell ref="D8:E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topLeftCell="A5" workbookViewId="0">
      <selection activeCell="C8" sqref="C8"/>
    </sheetView>
  </sheetViews>
  <sheetFormatPr baseColWidth="10" defaultColWidth="7.61328125" defaultRowHeight="14.5"/>
  <cols>
    <col min="1" max="1" width="15.4609375" style="5" customWidth="1"/>
    <col min="2" max="2" width="18.765625" style="5" customWidth="1"/>
    <col min="3" max="3" width="24.23046875" style="5" customWidth="1"/>
    <col min="4" max="4" width="10.3828125" style="5" bestFit="1" customWidth="1"/>
    <col min="5" max="6" width="8.3828125" style="5" customWidth="1"/>
    <col min="7" max="7" width="10.84375" style="5" bestFit="1" customWidth="1"/>
    <col min="8" max="8" width="8.3828125" style="5" customWidth="1"/>
    <col min="9" max="9" width="13.765625" style="5" customWidth="1"/>
    <col min="10" max="10" width="11.765625" style="5" customWidth="1"/>
    <col min="11" max="13" width="8.3828125" style="5" customWidth="1"/>
    <col min="14" max="14" width="11.84375" style="5" customWidth="1"/>
    <col min="15" max="15" width="12.4609375" style="5" customWidth="1"/>
    <col min="16" max="16" width="13.4609375" style="5" customWidth="1"/>
    <col min="17" max="17" width="11.84375" style="5" customWidth="1"/>
    <col min="18" max="18" width="9.23046875" style="5" bestFit="1" customWidth="1"/>
    <col min="19" max="19" width="13" style="5" customWidth="1"/>
    <col min="20" max="20" width="8.3828125" style="5" bestFit="1" customWidth="1"/>
    <col min="21" max="21" width="9.15234375" style="5" customWidth="1"/>
    <col min="22" max="22" width="11" style="5" customWidth="1"/>
    <col min="23" max="16384" width="7.61328125" style="5"/>
  </cols>
  <sheetData>
    <row r="1" spans="1:20" s="3" customFormat="1" ht="15.75" customHeight="1">
      <c r="A1" s="1" t="s">
        <v>0</v>
      </c>
      <c r="B1" s="1"/>
      <c r="C1" s="2"/>
      <c r="D1" s="2"/>
      <c r="E1" s="2"/>
      <c r="F1" s="2"/>
      <c r="G1" s="2"/>
      <c r="H1" s="2"/>
      <c r="I1" s="2"/>
      <c r="J1" s="2"/>
      <c r="K1" s="2"/>
      <c r="L1" s="2"/>
      <c r="M1" s="2"/>
      <c r="N1" s="2"/>
      <c r="O1" s="2"/>
      <c r="P1" s="2"/>
      <c r="Q1" s="2"/>
      <c r="R1" s="2"/>
    </row>
    <row r="2" spans="1:20">
      <c r="A2" s="76" t="s">
        <v>74</v>
      </c>
      <c r="B2" s="4"/>
      <c r="C2" s="4"/>
      <c r="D2" s="4"/>
      <c r="E2" s="4"/>
      <c r="F2" s="4"/>
      <c r="G2" s="4"/>
      <c r="H2" s="4"/>
      <c r="I2" s="4"/>
      <c r="J2" s="4"/>
      <c r="K2" s="4"/>
      <c r="L2" s="4"/>
      <c r="M2" s="4"/>
      <c r="N2" s="4"/>
      <c r="O2" s="4"/>
      <c r="P2" s="4"/>
      <c r="Q2" s="4"/>
      <c r="R2" s="4"/>
    </row>
    <row r="3" spans="1:20">
      <c r="A3" s="4"/>
      <c r="B3" s="4"/>
      <c r="C3" s="4"/>
      <c r="D3" s="4"/>
      <c r="E3" s="4"/>
      <c r="F3" s="4"/>
      <c r="G3" s="4"/>
      <c r="H3" s="4"/>
      <c r="I3" s="4"/>
      <c r="J3" s="4"/>
      <c r="K3" s="4"/>
      <c r="L3" s="4"/>
      <c r="M3" s="4"/>
      <c r="N3" s="4"/>
      <c r="O3" s="4"/>
      <c r="P3" s="4"/>
      <c r="Q3" s="4"/>
      <c r="R3" s="4"/>
    </row>
    <row r="4" spans="1:20" ht="15.5">
      <c r="A4" s="151" t="s">
        <v>469</v>
      </c>
      <c r="B4" s="4"/>
      <c r="C4" s="4"/>
      <c r="D4" s="4"/>
      <c r="E4" s="4"/>
      <c r="F4" s="4"/>
      <c r="G4" s="4"/>
      <c r="H4" s="4"/>
      <c r="I4" s="4"/>
      <c r="J4" s="4"/>
      <c r="K4" s="4"/>
      <c r="L4" s="4"/>
      <c r="M4" s="4"/>
      <c r="N4" s="4"/>
      <c r="O4" s="4"/>
      <c r="P4" s="4"/>
      <c r="Q4" s="4"/>
      <c r="R4" s="4"/>
    </row>
    <row r="5" spans="1:20">
      <c r="A5" s="4" t="s">
        <v>2</v>
      </c>
      <c r="B5" s="4" t="s">
        <v>75</v>
      </c>
      <c r="C5" s="4"/>
      <c r="D5" s="4"/>
      <c r="E5" s="4"/>
      <c r="F5" s="4"/>
      <c r="G5" s="4"/>
      <c r="H5" s="4"/>
      <c r="I5" s="4"/>
      <c r="J5" s="4"/>
      <c r="K5" s="4"/>
      <c r="L5" s="4"/>
      <c r="M5" s="4"/>
      <c r="N5" s="4"/>
      <c r="O5" s="4"/>
      <c r="P5" s="4"/>
      <c r="Q5" s="4"/>
      <c r="R5" s="4"/>
    </row>
    <row r="6" spans="1:20">
      <c r="A6" s="4" t="s">
        <v>3</v>
      </c>
      <c r="B6" s="6">
        <v>44151</v>
      </c>
      <c r="C6" s="4"/>
      <c r="D6" s="4"/>
      <c r="E6" s="4"/>
      <c r="F6" s="4"/>
      <c r="G6" s="4"/>
      <c r="H6" s="4"/>
      <c r="I6" s="4"/>
      <c r="J6" s="4"/>
      <c r="K6" s="4"/>
      <c r="L6" s="4"/>
      <c r="M6" s="4"/>
      <c r="N6" s="4"/>
      <c r="O6" s="4"/>
      <c r="P6" s="4"/>
      <c r="Q6" s="4"/>
      <c r="R6" s="4"/>
    </row>
    <row r="7" spans="1:20">
      <c r="A7" s="4"/>
      <c r="B7" s="4"/>
      <c r="C7" s="4"/>
      <c r="D7" s="4"/>
      <c r="E7" s="4"/>
      <c r="F7" s="4"/>
      <c r="G7" s="4"/>
      <c r="H7" s="4"/>
      <c r="I7" s="4"/>
      <c r="J7" s="4"/>
      <c r="K7" s="4"/>
      <c r="L7" s="4"/>
      <c r="M7" s="4"/>
      <c r="N7" s="4"/>
      <c r="O7" s="4"/>
      <c r="P7" s="4"/>
      <c r="Q7" s="4"/>
      <c r="R7" s="4"/>
    </row>
    <row r="8" spans="1:20" ht="27.5">
      <c r="A8" s="4"/>
      <c r="B8" s="7" t="s">
        <v>446</v>
      </c>
      <c r="C8" s="8">
        <f>ER_per_Stove!C28/12</f>
        <v>0.17882198189473111</v>
      </c>
      <c r="D8" s="258" t="s">
        <v>5</v>
      </c>
      <c r="E8" s="259"/>
      <c r="F8" s="4"/>
      <c r="G8" s="4"/>
      <c r="H8" s="4"/>
      <c r="I8" s="4"/>
      <c r="J8" s="4"/>
      <c r="K8" s="4"/>
      <c r="L8" s="4"/>
      <c r="M8" s="4"/>
      <c r="N8" s="4"/>
      <c r="O8" s="4"/>
      <c r="P8" s="4"/>
      <c r="Q8" s="4"/>
      <c r="R8" s="4"/>
    </row>
    <row r="9" spans="1:20">
      <c r="A9" s="4"/>
      <c r="B9" s="4"/>
      <c r="C9" s="4"/>
      <c r="D9" s="4"/>
      <c r="E9" s="4"/>
      <c r="F9" s="4"/>
      <c r="G9" s="4"/>
      <c r="H9" s="4"/>
      <c r="I9" s="4"/>
      <c r="J9" s="4"/>
      <c r="K9" s="4"/>
      <c r="L9" s="4"/>
      <c r="M9" s="4"/>
      <c r="N9" s="4"/>
      <c r="O9" s="4"/>
      <c r="P9" s="4"/>
      <c r="Q9" s="4"/>
      <c r="R9" s="4"/>
    </row>
    <row r="10" spans="1:20">
      <c r="A10" s="4"/>
      <c r="E10" s="4"/>
      <c r="F10" s="4"/>
      <c r="G10" s="4"/>
      <c r="H10" s="4"/>
      <c r="I10" s="4"/>
      <c r="J10" s="4"/>
      <c r="K10" s="4"/>
      <c r="L10" s="4"/>
      <c r="M10" s="4"/>
      <c r="N10" s="4"/>
      <c r="O10" s="4"/>
      <c r="P10" s="4"/>
      <c r="R10" s="4"/>
    </row>
    <row r="11" spans="1:20">
      <c r="A11" s="4"/>
      <c r="C11" s="9" t="s">
        <v>6</v>
      </c>
      <c r="D11" s="4"/>
      <c r="E11" s="4"/>
      <c r="F11" s="4"/>
      <c r="G11" s="4"/>
      <c r="H11" s="4"/>
      <c r="I11" s="4"/>
      <c r="J11" s="4"/>
      <c r="K11" s="4"/>
      <c r="L11" s="4"/>
      <c r="M11" s="4"/>
      <c r="N11" s="4"/>
      <c r="O11" s="4"/>
      <c r="P11" s="4"/>
    </row>
    <row r="12" spans="1:20">
      <c r="A12" s="4"/>
      <c r="C12" s="4"/>
      <c r="D12" s="4" t="s">
        <v>7</v>
      </c>
      <c r="E12" s="4" t="s">
        <v>8</v>
      </c>
      <c r="F12" s="4" t="s">
        <v>9</v>
      </c>
      <c r="G12" s="4" t="s">
        <v>10</v>
      </c>
      <c r="H12" s="4" t="s">
        <v>11</v>
      </c>
      <c r="I12" s="4" t="s">
        <v>12</v>
      </c>
      <c r="J12" s="4" t="s">
        <v>13</v>
      </c>
      <c r="K12" s="4" t="s">
        <v>14</v>
      </c>
      <c r="L12" s="4" t="s">
        <v>15</v>
      </c>
      <c r="M12" s="4" t="s">
        <v>16</v>
      </c>
      <c r="N12" s="4" t="s">
        <v>17</v>
      </c>
      <c r="O12" s="4" t="s">
        <v>18</v>
      </c>
      <c r="P12" s="10" t="s">
        <v>19</v>
      </c>
    </row>
    <row r="13" spans="1:20" s="12" customFormat="1">
      <c r="A13" s="11"/>
      <c r="C13" s="11">
        <v>2013</v>
      </c>
      <c r="D13" s="35">
        <v>1</v>
      </c>
      <c r="E13" s="35">
        <v>0</v>
      </c>
      <c r="F13" s="35">
        <v>0</v>
      </c>
      <c r="G13" s="35">
        <v>0</v>
      </c>
      <c r="H13" s="35">
        <v>0</v>
      </c>
      <c r="I13" s="35">
        <v>0</v>
      </c>
      <c r="J13" s="35">
        <v>0</v>
      </c>
      <c r="K13" s="35">
        <v>0</v>
      </c>
      <c r="L13" s="35">
        <v>72</v>
      </c>
      <c r="M13" s="35">
        <v>16</v>
      </c>
      <c r="N13" s="35">
        <v>28</v>
      </c>
      <c r="O13" s="35">
        <v>51</v>
      </c>
      <c r="P13" s="13">
        <f>SUM(D13:O13)</f>
        <v>168</v>
      </c>
      <c r="Q13" s="5"/>
      <c r="T13" s="14"/>
    </row>
    <row r="14" spans="1:20">
      <c r="A14" s="4"/>
      <c r="C14" s="4">
        <v>2014</v>
      </c>
      <c r="D14" s="35">
        <v>70</v>
      </c>
      <c r="E14" s="35">
        <v>40</v>
      </c>
      <c r="F14" s="35">
        <v>51</v>
      </c>
      <c r="G14" s="35">
        <v>29</v>
      </c>
      <c r="H14" s="35">
        <v>46</v>
      </c>
      <c r="I14" s="35">
        <v>22</v>
      </c>
      <c r="J14" s="35">
        <v>57</v>
      </c>
      <c r="K14" s="35">
        <v>72</v>
      </c>
      <c r="L14" s="35">
        <v>89</v>
      </c>
      <c r="M14" s="35">
        <v>63</v>
      </c>
      <c r="N14" s="35">
        <v>26</v>
      </c>
      <c r="O14" s="35">
        <v>14</v>
      </c>
      <c r="P14" s="15">
        <f>SUM(D14:O14)</f>
        <v>579</v>
      </c>
      <c r="R14" s="16"/>
      <c r="T14" s="17"/>
    </row>
    <row r="15" spans="1:20">
      <c r="A15" s="4"/>
      <c r="C15" s="4">
        <v>2015</v>
      </c>
      <c r="D15" s="35">
        <v>10</v>
      </c>
      <c r="E15" s="35">
        <v>6</v>
      </c>
      <c r="F15" s="35">
        <v>7</v>
      </c>
      <c r="G15" s="35">
        <v>2</v>
      </c>
      <c r="H15" s="35">
        <v>3</v>
      </c>
      <c r="I15" s="35">
        <v>4</v>
      </c>
      <c r="J15" s="35">
        <v>1</v>
      </c>
      <c r="K15" s="35">
        <v>8</v>
      </c>
      <c r="L15" s="35">
        <v>9</v>
      </c>
      <c r="M15" s="35">
        <v>40</v>
      </c>
      <c r="N15" s="35">
        <v>32</v>
      </c>
      <c r="O15" s="35">
        <v>50</v>
      </c>
      <c r="P15" s="15">
        <f t="shared" ref="P15:P27" si="0">SUM(D15:O15)</f>
        <v>172</v>
      </c>
      <c r="R15" s="16"/>
      <c r="T15" s="17"/>
    </row>
    <row r="16" spans="1:20">
      <c r="A16" s="4"/>
      <c r="C16" s="4">
        <v>2016</v>
      </c>
      <c r="D16" s="126">
        <v>24</v>
      </c>
      <c r="E16" s="126">
        <v>81</v>
      </c>
      <c r="F16" s="126">
        <v>53</v>
      </c>
      <c r="G16" s="126">
        <v>120</v>
      </c>
      <c r="H16" s="126">
        <v>100</v>
      </c>
      <c r="I16" s="126">
        <v>220</v>
      </c>
      <c r="J16" s="126">
        <v>601</v>
      </c>
      <c r="K16" s="126">
        <v>524</v>
      </c>
      <c r="L16" s="126">
        <v>524</v>
      </c>
      <c r="M16" s="126">
        <v>447</v>
      </c>
      <c r="N16" s="126">
        <v>177</v>
      </c>
      <c r="O16" s="126">
        <v>91</v>
      </c>
      <c r="P16" s="15">
        <f t="shared" si="0"/>
        <v>2962</v>
      </c>
      <c r="R16" s="16"/>
      <c r="T16" s="17"/>
    </row>
    <row r="17" spans="1:20">
      <c r="A17" s="4"/>
      <c r="C17" s="4">
        <v>2017</v>
      </c>
      <c r="D17" s="126">
        <v>48</v>
      </c>
      <c r="E17" s="126">
        <v>57</v>
      </c>
      <c r="F17" s="126">
        <v>235</v>
      </c>
      <c r="G17" s="126">
        <v>158</v>
      </c>
      <c r="H17" s="126">
        <v>112</v>
      </c>
      <c r="I17" s="126">
        <v>90</v>
      </c>
      <c r="J17" s="126">
        <v>127</v>
      </c>
      <c r="K17" s="126">
        <v>275</v>
      </c>
      <c r="L17" s="126">
        <v>325</v>
      </c>
      <c r="M17" s="126">
        <v>236</v>
      </c>
      <c r="N17" s="126">
        <v>115</v>
      </c>
      <c r="O17" s="126">
        <v>164</v>
      </c>
      <c r="P17" s="15">
        <f t="shared" si="0"/>
        <v>1942</v>
      </c>
      <c r="R17" s="16"/>
      <c r="T17" s="17"/>
    </row>
    <row r="18" spans="1:20">
      <c r="A18" s="4"/>
      <c r="C18" s="4">
        <v>2018</v>
      </c>
      <c r="D18" s="126">
        <v>88</v>
      </c>
      <c r="E18" s="126">
        <v>164</v>
      </c>
      <c r="F18" s="126">
        <v>179</v>
      </c>
      <c r="G18" s="126">
        <v>72</v>
      </c>
      <c r="H18" s="126">
        <v>81</v>
      </c>
      <c r="I18" s="126">
        <v>283</v>
      </c>
      <c r="J18" s="126">
        <v>571</v>
      </c>
      <c r="K18" s="126">
        <v>568</v>
      </c>
      <c r="L18" s="126">
        <v>553</v>
      </c>
      <c r="M18" s="126">
        <v>656</v>
      </c>
      <c r="N18" s="126">
        <v>335</v>
      </c>
      <c r="O18" s="126">
        <v>85</v>
      </c>
      <c r="P18" s="15">
        <f t="shared" si="0"/>
        <v>3635</v>
      </c>
      <c r="R18" s="16"/>
      <c r="T18" s="17"/>
    </row>
    <row r="19" spans="1:20">
      <c r="A19" s="4"/>
      <c r="C19" s="4">
        <v>2019</v>
      </c>
      <c r="D19" s="126">
        <v>80</v>
      </c>
      <c r="E19" s="126">
        <v>51</v>
      </c>
      <c r="F19" s="126">
        <v>101</v>
      </c>
      <c r="G19" s="126">
        <v>116</v>
      </c>
      <c r="H19" s="126">
        <v>27</v>
      </c>
      <c r="I19" s="126">
        <v>12</v>
      </c>
      <c r="J19" s="126">
        <v>177</v>
      </c>
      <c r="K19" s="126">
        <v>363</v>
      </c>
      <c r="L19" s="126">
        <v>398</v>
      </c>
      <c r="M19" s="126">
        <v>328</v>
      </c>
      <c r="N19" s="126">
        <v>426</v>
      </c>
      <c r="O19" s="126">
        <v>266</v>
      </c>
      <c r="P19" s="15">
        <f t="shared" si="0"/>
        <v>2345</v>
      </c>
      <c r="R19" s="16"/>
      <c r="T19" s="17"/>
    </row>
    <row r="20" spans="1:20">
      <c r="A20" s="4"/>
      <c r="C20" s="4">
        <v>2020</v>
      </c>
      <c r="D20" s="126">
        <v>143</v>
      </c>
      <c r="E20" s="126">
        <v>202</v>
      </c>
      <c r="F20" s="126">
        <v>375</v>
      </c>
      <c r="G20" s="126">
        <v>354</v>
      </c>
      <c r="H20" s="126">
        <v>388</v>
      </c>
      <c r="I20" s="126">
        <v>434</v>
      </c>
      <c r="J20" s="126">
        <v>434</v>
      </c>
      <c r="K20" s="126">
        <v>434</v>
      </c>
      <c r="L20" s="126">
        <v>434</v>
      </c>
      <c r="M20" s="126">
        <v>434</v>
      </c>
      <c r="N20" s="126">
        <v>434</v>
      </c>
      <c r="O20" s="126">
        <v>434</v>
      </c>
      <c r="P20" s="15">
        <f t="shared" si="0"/>
        <v>4500</v>
      </c>
      <c r="R20" s="16"/>
      <c r="T20" s="17"/>
    </row>
    <row r="21" spans="1:20" s="18" customFormat="1">
      <c r="B21" s="19" t="s">
        <v>432</v>
      </c>
      <c r="C21" s="20">
        <v>2021</v>
      </c>
      <c r="D21" s="21">
        <v>50</v>
      </c>
      <c r="E21" s="21">
        <v>50</v>
      </c>
      <c r="F21" s="21">
        <v>200</v>
      </c>
      <c r="G21" s="21">
        <v>200</v>
      </c>
      <c r="H21" s="21">
        <v>250</v>
      </c>
      <c r="I21" s="21">
        <v>300</v>
      </c>
      <c r="J21" s="21">
        <v>350</v>
      </c>
      <c r="K21" s="21">
        <v>350</v>
      </c>
      <c r="L21" s="21">
        <v>350</v>
      </c>
      <c r="M21" s="21">
        <v>350</v>
      </c>
      <c r="N21" s="21">
        <v>100</v>
      </c>
      <c r="O21" s="21">
        <v>50</v>
      </c>
      <c r="P21" s="15">
        <f t="shared" si="0"/>
        <v>2600</v>
      </c>
      <c r="Q21" s="5"/>
      <c r="T21" s="22"/>
    </row>
    <row r="22" spans="1:20">
      <c r="C22" s="20">
        <v>2022</v>
      </c>
      <c r="D22" s="21">
        <v>50</v>
      </c>
      <c r="E22" s="21">
        <v>50</v>
      </c>
      <c r="F22" s="21">
        <v>200</v>
      </c>
      <c r="G22" s="21">
        <v>200</v>
      </c>
      <c r="H22" s="21">
        <v>250</v>
      </c>
      <c r="I22" s="21">
        <v>300</v>
      </c>
      <c r="J22" s="21">
        <v>350</v>
      </c>
      <c r="K22" s="21">
        <v>350</v>
      </c>
      <c r="L22" s="21">
        <v>350</v>
      </c>
      <c r="M22" s="21">
        <v>350</v>
      </c>
      <c r="N22" s="21">
        <v>100</v>
      </c>
      <c r="O22" s="21">
        <v>50</v>
      </c>
      <c r="P22" s="15">
        <f t="shared" si="0"/>
        <v>2600</v>
      </c>
    </row>
    <row r="23" spans="1:20" ht="14.15" customHeight="1">
      <c r="C23" s="20">
        <v>2023</v>
      </c>
      <c r="D23" s="21">
        <v>50</v>
      </c>
      <c r="E23" s="21">
        <v>50</v>
      </c>
      <c r="F23" s="21">
        <v>200</v>
      </c>
      <c r="G23" s="21">
        <v>200</v>
      </c>
      <c r="H23" s="21">
        <v>250</v>
      </c>
      <c r="I23" s="21">
        <v>300</v>
      </c>
      <c r="J23" s="21">
        <v>350</v>
      </c>
      <c r="K23" s="21">
        <v>350</v>
      </c>
      <c r="L23" s="21">
        <v>350</v>
      </c>
      <c r="M23" s="21">
        <v>350</v>
      </c>
      <c r="N23" s="21">
        <v>100</v>
      </c>
      <c r="O23" s="21">
        <v>50</v>
      </c>
      <c r="P23" s="15">
        <f t="shared" si="0"/>
        <v>2600</v>
      </c>
    </row>
    <row r="24" spans="1:20" s="12" customFormat="1">
      <c r="C24" s="23">
        <v>2024</v>
      </c>
      <c r="D24" s="21">
        <v>50</v>
      </c>
      <c r="E24" s="21">
        <v>50</v>
      </c>
      <c r="F24" s="21">
        <v>200</v>
      </c>
      <c r="G24" s="21">
        <v>200</v>
      </c>
      <c r="H24" s="21">
        <v>250</v>
      </c>
      <c r="I24" s="21">
        <v>300</v>
      </c>
      <c r="J24" s="21">
        <v>350</v>
      </c>
      <c r="K24" s="21">
        <v>350</v>
      </c>
      <c r="L24" s="21">
        <v>350</v>
      </c>
      <c r="M24" s="21">
        <v>350</v>
      </c>
      <c r="N24" s="21">
        <v>100</v>
      </c>
      <c r="O24" s="21">
        <v>50</v>
      </c>
      <c r="P24" s="15">
        <f t="shared" si="0"/>
        <v>2600</v>
      </c>
      <c r="Q24" s="5"/>
    </row>
    <row r="25" spans="1:20" s="12" customFormat="1">
      <c r="C25" s="20">
        <v>2025</v>
      </c>
      <c r="D25" s="21">
        <v>50</v>
      </c>
      <c r="E25" s="21">
        <v>50</v>
      </c>
      <c r="F25" s="21">
        <v>200</v>
      </c>
      <c r="G25" s="21">
        <v>200</v>
      </c>
      <c r="H25" s="21">
        <v>250</v>
      </c>
      <c r="I25" s="21">
        <v>300</v>
      </c>
      <c r="J25" s="21">
        <v>350</v>
      </c>
      <c r="K25" s="21">
        <v>350</v>
      </c>
      <c r="L25" s="21">
        <v>350</v>
      </c>
      <c r="M25" s="21">
        <v>350</v>
      </c>
      <c r="N25" s="21">
        <v>100</v>
      </c>
      <c r="O25" s="21">
        <v>50</v>
      </c>
      <c r="P25" s="15">
        <f t="shared" si="0"/>
        <v>2600</v>
      </c>
      <c r="Q25" s="5"/>
    </row>
    <row r="26" spans="1:20" s="12" customFormat="1">
      <c r="C26" s="23">
        <v>2026</v>
      </c>
      <c r="D26" s="21">
        <v>50</v>
      </c>
      <c r="E26" s="21">
        <v>50</v>
      </c>
      <c r="F26" s="21">
        <v>200</v>
      </c>
      <c r="G26" s="21">
        <v>200</v>
      </c>
      <c r="H26" s="21">
        <v>250</v>
      </c>
      <c r="I26" s="21">
        <v>300</v>
      </c>
      <c r="J26" s="21">
        <v>350</v>
      </c>
      <c r="K26" s="21">
        <v>350</v>
      </c>
      <c r="L26" s="21">
        <v>350</v>
      </c>
      <c r="M26" s="21">
        <v>350</v>
      </c>
      <c r="N26" s="21">
        <v>100</v>
      </c>
      <c r="O26" s="21">
        <v>50</v>
      </c>
      <c r="P26" s="15">
        <f t="shared" si="0"/>
        <v>2600</v>
      </c>
      <c r="Q26" s="5"/>
    </row>
    <row r="27" spans="1:20" s="12" customFormat="1">
      <c r="C27" s="20">
        <v>2027</v>
      </c>
      <c r="D27" s="21">
        <v>50</v>
      </c>
      <c r="E27" s="21">
        <v>50</v>
      </c>
      <c r="F27" s="21">
        <v>200</v>
      </c>
      <c r="G27" s="21">
        <v>200</v>
      </c>
      <c r="H27" s="21">
        <v>250</v>
      </c>
      <c r="I27" s="21">
        <v>300</v>
      </c>
      <c r="J27" s="21">
        <v>350</v>
      </c>
      <c r="K27" s="21">
        <v>350</v>
      </c>
      <c r="L27" s="21">
        <v>350</v>
      </c>
      <c r="M27" s="21">
        <v>350</v>
      </c>
      <c r="N27" s="21">
        <v>100</v>
      </c>
      <c r="O27" s="21">
        <v>50</v>
      </c>
      <c r="P27" s="15">
        <f t="shared" si="0"/>
        <v>2600</v>
      </c>
      <c r="Q27" s="5"/>
    </row>
    <row r="28" spans="1:20">
      <c r="A28" s="24"/>
      <c r="B28" s="18"/>
      <c r="C28" s="24"/>
      <c r="D28" s="24"/>
      <c r="E28" s="24"/>
      <c r="F28" s="24"/>
      <c r="G28" s="24"/>
      <c r="H28" s="24"/>
      <c r="I28" s="24"/>
      <c r="J28" s="24"/>
      <c r="K28" s="24"/>
      <c r="L28" s="24"/>
      <c r="M28" s="24"/>
      <c r="N28" s="24"/>
      <c r="O28" s="25" t="s">
        <v>20</v>
      </c>
      <c r="P28" s="26">
        <f>SUM(P13:P27)</f>
        <v>34503</v>
      </c>
      <c r="R28" s="27"/>
      <c r="S28" s="18"/>
    </row>
    <row r="29" spans="1:20">
      <c r="A29" s="4"/>
      <c r="C29" s="4"/>
      <c r="D29" s="4"/>
      <c r="E29" s="4"/>
      <c r="F29" s="4"/>
      <c r="G29" s="4"/>
      <c r="H29" s="4"/>
      <c r="I29" s="4"/>
      <c r="J29" s="4"/>
      <c r="K29" s="4"/>
      <c r="L29" s="4"/>
      <c r="M29" s="4"/>
      <c r="N29" s="4"/>
      <c r="O29" s="4"/>
      <c r="P29" s="10"/>
      <c r="R29" s="16"/>
    </row>
    <row r="30" spans="1:20" ht="27.5">
      <c r="A30" s="4"/>
      <c r="C30" s="28" t="s">
        <v>21</v>
      </c>
      <c r="D30" s="4" t="s">
        <v>7</v>
      </c>
      <c r="E30" s="4" t="s">
        <v>8</v>
      </c>
      <c r="F30" s="4" t="s">
        <v>9</v>
      </c>
      <c r="G30" s="4" t="s">
        <v>10</v>
      </c>
      <c r="H30" s="4" t="s">
        <v>11</v>
      </c>
      <c r="I30" s="4" t="s">
        <v>12</v>
      </c>
      <c r="J30" s="4" t="s">
        <v>13</v>
      </c>
      <c r="K30" s="4" t="s">
        <v>14</v>
      </c>
      <c r="L30" s="4" t="s">
        <v>15</v>
      </c>
      <c r="M30" s="4" t="s">
        <v>16</v>
      </c>
      <c r="N30" s="4" t="s">
        <v>17</v>
      </c>
      <c r="O30" s="4" t="s">
        <v>18</v>
      </c>
      <c r="P30" s="10" t="s">
        <v>19</v>
      </c>
    </row>
    <row r="31" spans="1:20">
      <c r="A31" s="11"/>
      <c r="B31" s="12"/>
      <c r="C31" s="11">
        <v>2013</v>
      </c>
      <c r="D31" s="11">
        <v>0</v>
      </c>
      <c r="E31" s="11">
        <f>D13</f>
        <v>1</v>
      </c>
      <c r="F31" s="11">
        <f t="shared" ref="F31:O31" si="1">E13+E31</f>
        <v>1</v>
      </c>
      <c r="G31" s="11">
        <f t="shared" si="1"/>
        <v>1</v>
      </c>
      <c r="H31" s="11">
        <f t="shared" si="1"/>
        <v>1</v>
      </c>
      <c r="I31" s="11">
        <f t="shared" si="1"/>
        <v>1</v>
      </c>
      <c r="J31" s="11">
        <f t="shared" si="1"/>
        <v>1</v>
      </c>
      <c r="K31" s="11">
        <f t="shared" si="1"/>
        <v>1</v>
      </c>
      <c r="L31" s="11">
        <f t="shared" si="1"/>
        <v>1</v>
      </c>
      <c r="M31" s="11">
        <f t="shared" si="1"/>
        <v>73</v>
      </c>
      <c r="N31" s="11">
        <f t="shared" si="1"/>
        <v>89</v>
      </c>
      <c r="O31" s="11">
        <f t="shared" si="1"/>
        <v>117</v>
      </c>
      <c r="P31" s="13">
        <f>SUM(D31:O31)</f>
        <v>287</v>
      </c>
      <c r="R31" s="12"/>
      <c r="S31" s="12"/>
    </row>
    <row r="32" spans="1:20">
      <c r="A32" s="4"/>
      <c r="C32" s="4">
        <v>2014</v>
      </c>
      <c r="D32" s="4">
        <f t="shared" ref="D32:D38" si="2">O31+O13</f>
        <v>168</v>
      </c>
      <c r="E32" s="4">
        <f t="shared" ref="E32:P45" si="3">D32+D14</f>
        <v>238</v>
      </c>
      <c r="F32" s="4">
        <f t="shared" si="3"/>
        <v>278</v>
      </c>
      <c r="G32" s="4">
        <f t="shared" si="3"/>
        <v>329</v>
      </c>
      <c r="H32" s="4">
        <f t="shared" si="3"/>
        <v>358</v>
      </c>
      <c r="I32" s="4">
        <f t="shared" si="3"/>
        <v>404</v>
      </c>
      <c r="J32" s="4">
        <f t="shared" si="3"/>
        <v>426</v>
      </c>
      <c r="K32" s="4">
        <f t="shared" si="3"/>
        <v>483</v>
      </c>
      <c r="L32" s="4">
        <f t="shared" si="3"/>
        <v>555</v>
      </c>
      <c r="M32" s="4">
        <f t="shared" si="3"/>
        <v>644</v>
      </c>
      <c r="N32" s="4">
        <f t="shared" si="3"/>
        <v>707</v>
      </c>
      <c r="O32" s="4">
        <f t="shared" si="3"/>
        <v>733</v>
      </c>
      <c r="P32" s="15">
        <f t="shared" si="3"/>
        <v>747</v>
      </c>
      <c r="R32" s="16"/>
    </row>
    <row r="33" spans="1:19">
      <c r="A33" s="4"/>
      <c r="C33" s="4">
        <v>2015</v>
      </c>
      <c r="D33" s="4">
        <f t="shared" si="2"/>
        <v>747</v>
      </c>
      <c r="E33" s="4">
        <f t="shared" si="3"/>
        <v>757</v>
      </c>
      <c r="F33" s="4">
        <f t="shared" si="3"/>
        <v>763</v>
      </c>
      <c r="G33" s="4">
        <f t="shared" si="3"/>
        <v>770</v>
      </c>
      <c r="H33" s="4">
        <f t="shared" si="3"/>
        <v>772</v>
      </c>
      <c r="I33" s="4">
        <f t="shared" si="3"/>
        <v>775</v>
      </c>
      <c r="J33" s="4">
        <f t="shared" si="3"/>
        <v>779</v>
      </c>
      <c r="K33" s="4">
        <f t="shared" si="3"/>
        <v>780</v>
      </c>
      <c r="L33" s="4">
        <f t="shared" si="3"/>
        <v>788</v>
      </c>
      <c r="M33" s="4">
        <f t="shared" si="3"/>
        <v>797</v>
      </c>
      <c r="N33" s="4">
        <f t="shared" si="3"/>
        <v>837</v>
      </c>
      <c r="O33" s="4">
        <f t="shared" si="3"/>
        <v>869</v>
      </c>
      <c r="P33" s="15">
        <f t="shared" si="3"/>
        <v>919</v>
      </c>
      <c r="R33" s="16"/>
    </row>
    <row r="34" spans="1:19">
      <c r="A34" s="4"/>
      <c r="C34" s="4">
        <v>2016</v>
      </c>
      <c r="D34" s="4">
        <f t="shared" si="2"/>
        <v>919</v>
      </c>
      <c r="E34" s="4">
        <f t="shared" si="3"/>
        <v>943</v>
      </c>
      <c r="F34" s="4">
        <f t="shared" si="3"/>
        <v>1024</v>
      </c>
      <c r="G34" s="4">
        <f t="shared" si="3"/>
        <v>1077</v>
      </c>
      <c r="H34" s="4">
        <f t="shared" si="3"/>
        <v>1197</v>
      </c>
      <c r="I34" s="4">
        <f t="shared" si="3"/>
        <v>1297</v>
      </c>
      <c r="J34" s="4">
        <f t="shared" si="3"/>
        <v>1517</v>
      </c>
      <c r="K34" s="4">
        <f t="shared" si="3"/>
        <v>2118</v>
      </c>
      <c r="L34" s="4">
        <f t="shared" si="3"/>
        <v>2642</v>
      </c>
      <c r="M34" s="4">
        <f t="shared" si="3"/>
        <v>3166</v>
      </c>
      <c r="N34" s="4">
        <f t="shared" si="3"/>
        <v>3613</v>
      </c>
      <c r="O34" s="4">
        <f t="shared" si="3"/>
        <v>3790</v>
      </c>
      <c r="P34" s="15">
        <f t="shared" si="3"/>
        <v>3881</v>
      </c>
      <c r="R34" s="16"/>
    </row>
    <row r="35" spans="1:19">
      <c r="A35" s="4"/>
      <c r="C35" s="4">
        <v>2017</v>
      </c>
      <c r="D35" s="4">
        <f t="shared" si="2"/>
        <v>3881</v>
      </c>
      <c r="E35" s="4">
        <f t="shared" si="3"/>
        <v>3929</v>
      </c>
      <c r="F35" s="4">
        <f t="shared" si="3"/>
        <v>3986</v>
      </c>
      <c r="G35" s="4">
        <f t="shared" si="3"/>
        <v>4221</v>
      </c>
      <c r="H35" s="4">
        <f t="shared" si="3"/>
        <v>4379</v>
      </c>
      <c r="I35" s="4">
        <f t="shared" si="3"/>
        <v>4491</v>
      </c>
      <c r="J35" s="4">
        <f t="shared" si="3"/>
        <v>4581</v>
      </c>
      <c r="K35" s="4">
        <f t="shared" si="3"/>
        <v>4708</v>
      </c>
      <c r="L35" s="4">
        <f t="shared" si="3"/>
        <v>4983</v>
      </c>
      <c r="M35" s="4">
        <f t="shared" si="3"/>
        <v>5308</v>
      </c>
      <c r="N35" s="4">
        <f t="shared" si="3"/>
        <v>5544</v>
      </c>
      <c r="O35" s="4">
        <f t="shared" si="3"/>
        <v>5659</v>
      </c>
      <c r="P35" s="15">
        <f t="shared" si="3"/>
        <v>5823</v>
      </c>
      <c r="R35" s="16"/>
    </row>
    <row r="36" spans="1:19">
      <c r="A36" s="4"/>
      <c r="C36" s="4">
        <v>2018</v>
      </c>
      <c r="D36" s="4">
        <f t="shared" si="2"/>
        <v>5823</v>
      </c>
      <c r="E36" s="4">
        <f t="shared" si="3"/>
        <v>5911</v>
      </c>
      <c r="F36" s="4">
        <f t="shared" si="3"/>
        <v>6075</v>
      </c>
      <c r="G36" s="4">
        <f t="shared" si="3"/>
        <v>6254</v>
      </c>
      <c r="H36" s="4">
        <f t="shared" si="3"/>
        <v>6326</v>
      </c>
      <c r="I36" s="4">
        <f t="shared" si="3"/>
        <v>6407</v>
      </c>
      <c r="J36" s="4">
        <f t="shared" si="3"/>
        <v>6690</v>
      </c>
      <c r="K36" s="4">
        <f t="shared" si="3"/>
        <v>7261</v>
      </c>
      <c r="L36" s="4">
        <f t="shared" si="3"/>
        <v>7829</v>
      </c>
      <c r="M36" s="4">
        <f t="shared" si="3"/>
        <v>8382</v>
      </c>
      <c r="N36" s="4">
        <f t="shared" si="3"/>
        <v>9038</v>
      </c>
      <c r="O36" s="4">
        <f t="shared" si="3"/>
        <v>9373</v>
      </c>
      <c r="P36" s="15">
        <f t="shared" si="3"/>
        <v>9458</v>
      </c>
      <c r="R36" s="16"/>
    </row>
    <row r="37" spans="1:19" s="12" customFormat="1">
      <c r="A37" s="4"/>
      <c r="B37" s="5"/>
      <c r="C37" s="4">
        <v>2019</v>
      </c>
      <c r="D37" s="4">
        <f t="shared" si="2"/>
        <v>9458</v>
      </c>
      <c r="E37" s="4">
        <f t="shared" si="3"/>
        <v>9538</v>
      </c>
      <c r="F37" s="4">
        <f t="shared" si="3"/>
        <v>9589</v>
      </c>
      <c r="G37" s="4">
        <f t="shared" si="3"/>
        <v>9690</v>
      </c>
      <c r="H37" s="4">
        <f t="shared" si="3"/>
        <v>9806</v>
      </c>
      <c r="I37" s="4">
        <f t="shared" si="3"/>
        <v>9833</v>
      </c>
      <c r="J37" s="4">
        <f t="shared" si="3"/>
        <v>9845</v>
      </c>
      <c r="K37" s="4">
        <f t="shared" si="3"/>
        <v>10022</v>
      </c>
      <c r="L37" s="4">
        <f t="shared" si="3"/>
        <v>10385</v>
      </c>
      <c r="M37" s="4">
        <f t="shared" si="3"/>
        <v>10783</v>
      </c>
      <c r="N37" s="4">
        <f t="shared" si="3"/>
        <v>11111</v>
      </c>
      <c r="O37" s="4">
        <f t="shared" si="3"/>
        <v>11537</v>
      </c>
      <c r="P37" s="15">
        <f t="shared" si="3"/>
        <v>11803</v>
      </c>
      <c r="Q37" s="5"/>
      <c r="R37" s="16"/>
      <c r="S37" s="5"/>
    </row>
    <row r="38" spans="1:19">
      <c r="A38" s="4"/>
      <c r="B38" s="30"/>
      <c r="C38" s="4">
        <v>2020</v>
      </c>
      <c r="D38" s="4">
        <f t="shared" si="2"/>
        <v>11803</v>
      </c>
      <c r="E38" s="4">
        <f t="shared" si="3"/>
        <v>11946</v>
      </c>
      <c r="F38" s="4">
        <f t="shared" si="3"/>
        <v>12148</v>
      </c>
      <c r="G38" s="4">
        <f t="shared" si="3"/>
        <v>12523</v>
      </c>
      <c r="H38" s="4">
        <f t="shared" si="3"/>
        <v>12877</v>
      </c>
      <c r="I38" s="4">
        <f t="shared" si="3"/>
        <v>13265</v>
      </c>
      <c r="J38" s="4">
        <f>I38+I20</f>
        <v>13699</v>
      </c>
      <c r="K38" s="24">
        <f t="shared" si="3"/>
        <v>14133</v>
      </c>
      <c r="L38" s="4">
        <f t="shared" si="3"/>
        <v>14567</v>
      </c>
      <c r="M38" s="4">
        <f t="shared" si="3"/>
        <v>15001</v>
      </c>
      <c r="N38" s="4">
        <f t="shared" si="3"/>
        <v>15435</v>
      </c>
      <c r="O38" s="4">
        <f t="shared" si="3"/>
        <v>15869</v>
      </c>
      <c r="P38" s="15">
        <f>O38+O20</f>
        <v>16303</v>
      </c>
      <c r="R38" s="16"/>
    </row>
    <row r="39" spans="1:19">
      <c r="A39" s="4"/>
      <c r="B39" s="19" t="s">
        <v>432</v>
      </c>
      <c r="C39" s="20">
        <v>2021</v>
      </c>
      <c r="D39" s="31">
        <f t="shared" ref="D39:D45" si="4">O38+O20</f>
        <v>16303</v>
      </c>
      <c r="E39" s="31">
        <f t="shared" ref="E39:E45" si="5">D39+D21</f>
        <v>16353</v>
      </c>
      <c r="F39" s="31">
        <f t="shared" si="3"/>
        <v>16403</v>
      </c>
      <c r="G39" s="31">
        <f t="shared" si="3"/>
        <v>16603</v>
      </c>
      <c r="H39" s="31">
        <f t="shared" si="3"/>
        <v>16803</v>
      </c>
      <c r="I39" s="31">
        <f t="shared" si="3"/>
        <v>17053</v>
      </c>
      <c r="J39" s="31">
        <f t="shared" si="3"/>
        <v>17353</v>
      </c>
      <c r="K39" s="31">
        <f t="shared" si="3"/>
        <v>17703</v>
      </c>
      <c r="L39" s="31">
        <f t="shared" si="3"/>
        <v>18053</v>
      </c>
      <c r="M39" s="31">
        <f t="shared" si="3"/>
        <v>18403</v>
      </c>
      <c r="N39" s="31">
        <f t="shared" si="3"/>
        <v>18753</v>
      </c>
      <c r="O39" s="31">
        <f t="shared" si="3"/>
        <v>18853</v>
      </c>
      <c r="P39" s="15">
        <f>O39+O21</f>
        <v>18903</v>
      </c>
      <c r="R39" s="16"/>
    </row>
    <row r="40" spans="1:19">
      <c r="C40" s="20">
        <v>2022</v>
      </c>
      <c r="D40" s="31">
        <f t="shared" si="4"/>
        <v>18903</v>
      </c>
      <c r="E40" s="31">
        <f t="shared" si="5"/>
        <v>18953</v>
      </c>
      <c r="F40" s="31">
        <f t="shared" si="3"/>
        <v>19003</v>
      </c>
      <c r="G40" s="31">
        <f t="shared" si="3"/>
        <v>19203</v>
      </c>
      <c r="H40" s="31">
        <f t="shared" si="3"/>
        <v>19403</v>
      </c>
      <c r="I40" s="31">
        <f t="shared" si="3"/>
        <v>19653</v>
      </c>
      <c r="J40" s="31">
        <f t="shared" si="3"/>
        <v>19953</v>
      </c>
      <c r="K40" s="31">
        <f t="shared" si="3"/>
        <v>20303</v>
      </c>
      <c r="L40" s="31">
        <f t="shared" si="3"/>
        <v>20653</v>
      </c>
      <c r="M40" s="31">
        <f t="shared" si="3"/>
        <v>21003</v>
      </c>
      <c r="N40" s="31">
        <f t="shared" si="3"/>
        <v>21353</v>
      </c>
      <c r="O40" s="31">
        <f t="shared" si="3"/>
        <v>21453</v>
      </c>
      <c r="P40" s="15">
        <f>O40+O22</f>
        <v>21503</v>
      </c>
    </row>
    <row r="41" spans="1:19">
      <c r="C41" s="20">
        <v>2023</v>
      </c>
      <c r="D41" s="31">
        <f t="shared" si="4"/>
        <v>21503</v>
      </c>
      <c r="E41" s="31">
        <f t="shared" si="5"/>
        <v>21553</v>
      </c>
      <c r="F41" s="31">
        <f t="shared" si="3"/>
        <v>21603</v>
      </c>
      <c r="G41" s="31">
        <f t="shared" si="3"/>
        <v>21803</v>
      </c>
      <c r="H41" s="31">
        <f t="shared" si="3"/>
        <v>22003</v>
      </c>
      <c r="I41" s="31">
        <f t="shared" si="3"/>
        <v>22253</v>
      </c>
      <c r="J41" s="31">
        <f t="shared" si="3"/>
        <v>22553</v>
      </c>
      <c r="K41" s="31">
        <f t="shared" si="3"/>
        <v>22903</v>
      </c>
      <c r="L41" s="31">
        <f t="shared" si="3"/>
        <v>23253</v>
      </c>
      <c r="M41" s="31">
        <f t="shared" si="3"/>
        <v>23603</v>
      </c>
      <c r="N41" s="31">
        <f t="shared" si="3"/>
        <v>23953</v>
      </c>
      <c r="O41" s="31">
        <f t="shared" si="3"/>
        <v>24053</v>
      </c>
      <c r="P41" s="15">
        <f>O41+O23</f>
        <v>24103</v>
      </c>
    </row>
    <row r="42" spans="1:19">
      <c r="C42" s="23">
        <v>2024</v>
      </c>
      <c r="D42" s="32">
        <f t="shared" si="4"/>
        <v>24103</v>
      </c>
      <c r="E42" s="31">
        <f t="shared" si="5"/>
        <v>24153</v>
      </c>
      <c r="F42" s="31">
        <f t="shared" si="3"/>
        <v>24203</v>
      </c>
      <c r="G42" s="31">
        <f t="shared" si="3"/>
        <v>24403</v>
      </c>
      <c r="H42" s="31">
        <f t="shared" si="3"/>
        <v>24603</v>
      </c>
      <c r="I42" s="31">
        <f t="shared" si="3"/>
        <v>24853</v>
      </c>
      <c r="J42" s="31">
        <f t="shared" si="3"/>
        <v>25153</v>
      </c>
      <c r="K42" s="31">
        <f t="shared" si="3"/>
        <v>25503</v>
      </c>
      <c r="L42" s="31">
        <f t="shared" si="3"/>
        <v>25853</v>
      </c>
      <c r="M42" s="31">
        <f t="shared" si="3"/>
        <v>26203</v>
      </c>
      <c r="N42" s="31">
        <f t="shared" si="3"/>
        <v>26553</v>
      </c>
      <c r="O42" s="31">
        <f t="shared" si="3"/>
        <v>26653</v>
      </c>
      <c r="P42" s="15">
        <f>O42+O24</f>
        <v>26703</v>
      </c>
    </row>
    <row r="43" spans="1:19">
      <c r="C43" s="20">
        <v>2025</v>
      </c>
      <c r="D43" s="32">
        <f t="shared" si="4"/>
        <v>26703</v>
      </c>
      <c r="E43" s="31">
        <f t="shared" si="5"/>
        <v>26753</v>
      </c>
      <c r="F43" s="31">
        <f t="shared" si="3"/>
        <v>26803</v>
      </c>
      <c r="G43" s="31">
        <f t="shared" si="3"/>
        <v>27003</v>
      </c>
      <c r="H43" s="31">
        <f t="shared" si="3"/>
        <v>27203</v>
      </c>
      <c r="I43" s="31">
        <f t="shared" si="3"/>
        <v>27453</v>
      </c>
      <c r="J43" s="31">
        <f t="shared" si="3"/>
        <v>27753</v>
      </c>
      <c r="K43" s="31">
        <f t="shared" si="3"/>
        <v>28103</v>
      </c>
      <c r="L43" s="31">
        <f t="shared" si="3"/>
        <v>28453</v>
      </c>
      <c r="M43" s="31">
        <f t="shared" si="3"/>
        <v>28803</v>
      </c>
      <c r="N43" s="31">
        <f t="shared" si="3"/>
        <v>29153</v>
      </c>
      <c r="O43" s="31">
        <f t="shared" si="3"/>
        <v>29253</v>
      </c>
      <c r="P43" s="15">
        <f t="shared" si="3"/>
        <v>29303</v>
      </c>
    </row>
    <row r="44" spans="1:19">
      <c r="C44" s="23">
        <v>2026</v>
      </c>
      <c r="D44" s="32">
        <f t="shared" si="4"/>
        <v>29303</v>
      </c>
      <c r="E44" s="31">
        <f t="shared" si="5"/>
        <v>29353</v>
      </c>
      <c r="F44" s="31">
        <f t="shared" si="3"/>
        <v>29403</v>
      </c>
      <c r="G44" s="31">
        <f t="shared" si="3"/>
        <v>29603</v>
      </c>
      <c r="H44" s="31">
        <f t="shared" si="3"/>
        <v>29803</v>
      </c>
      <c r="I44" s="31">
        <f t="shared" si="3"/>
        <v>30053</v>
      </c>
      <c r="J44" s="31">
        <f t="shared" si="3"/>
        <v>30353</v>
      </c>
      <c r="K44" s="31">
        <f t="shared" si="3"/>
        <v>30703</v>
      </c>
      <c r="L44" s="31">
        <f t="shared" si="3"/>
        <v>31053</v>
      </c>
      <c r="M44" s="31">
        <f t="shared" si="3"/>
        <v>31403</v>
      </c>
      <c r="N44" s="31">
        <f t="shared" si="3"/>
        <v>31753</v>
      </c>
      <c r="O44" s="31">
        <f t="shared" si="3"/>
        <v>31853</v>
      </c>
      <c r="P44" s="15">
        <f t="shared" si="3"/>
        <v>31903</v>
      </c>
    </row>
    <row r="45" spans="1:19">
      <c r="C45" s="20">
        <v>2027</v>
      </c>
      <c r="D45" s="32">
        <f t="shared" si="4"/>
        <v>31903</v>
      </c>
      <c r="E45" s="32">
        <f t="shared" si="5"/>
        <v>31953</v>
      </c>
      <c r="F45" s="31">
        <f t="shared" si="3"/>
        <v>32003</v>
      </c>
      <c r="G45" s="31">
        <f t="shared" si="3"/>
        <v>32203</v>
      </c>
      <c r="H45" s="31">
        <f t="shared" si="3"/>
        <v>32403</v>
      </c>
      <c r="I45" s="31">
        <f t="shared" si="3"/>
        <v>32653</v>
      </c>
      <c r="J45" s="31">
        <f t="shared" si="3"/>
        <v>32953</v>
      </c>
      <c r="K45" s="31">
        <f t="shared" si="3"/>
        <v>33303</v>
      </c>
      <c r="L45" s="31">
        <f t="shared" si="3"/>
        <v>33653</v>
      </c>
      <c r="M45" s="31">
        <f t="shared" si="3"/>
        <v>34003</v>
      </c>
      <c r="N45" s="31">
        <f t="shared" si="3"/>
        <v>34353</v>
      </c>
      <c r="O45" s="31">
        <f t="shared" si="3"/>
        <v>34453</v>
      </c>
      <c r="P45" s="15">
        <f>O45+O27</f>
        <v>34503</v>
      </c>
    </row>
    <row r="50" spans="1:21">
      <c r="A50" s="4"/>
      <c r="C50" s="33" t="s">
        <v>466</v>
      </c>
      <c r="D50" s="24" t="s">
        <v>7</v>
      </c>
      <c r="E50" s="24" t="s">
        <v>8</v>
      </c>
      <c r="F50" s="24" t="s">
        <v>9</v>
      </c>
      <c r="G50" s="24" t="s">
        <v>10</v>
      </c>
      <c r="H50" s="24" t="s">
        <v>11</v>
      </c>
      <c r="I50" s="24" t="s">
        <v>12</v>
      </c>
      <c r="J50" s="24" t="s">
        <v>13</v>
      </c>
      <c r="K50" s="24" t="s">
        <v>14</v>
      </c>
      <c r="L50" s="24" t="s">
        <v>15</v>
      </c>
      <c r="M50" s="24" t="s">
        <v>16</v>
      </c>
      <c r="N50" s="24" t="s">
        <v>17</v>
      </c>
      <c r="O50" s="24" t="s">
        <v>18</v>
      </c>
      <c r="P50" s="25" t="s">
        <v>19</v>
      </c>
      <c r="R50" s="34"/>
      <c r="S50" s="29"/>
    </row>
    <row r="51" spans="1:21">
      <c r="A51" s="11"/>
      <c r="B51" s="12"/>
      <c r="C51" s="35">
        <v>2013</v>
      </c>
      <c r="D51" s="36">
        <f t="shared" ref="D51:O65" si="6">D31*$C$8</f>
        <v>0</v>
      </c>
      <c r="E51" s="36">
        <f t="shared" si="6"/>
        <v>0.17882198189473111</v>
      </c>
      <c r="F51" s="36">
        <f t="shared" si="6"/>
        <v>0.17882198189473111</v>
      </c>
      <c r="G51" s="36">
        <f t="shared" si="6"/>
        <v>0.17882198189473111</v>
      </c>
      <c r="H51" s="36">
        <f t="shared" si="6"/>
        <v>0.17882198189473111</v>
      </c>
      <c r="I51" s="36">
        <f t="shared" si="6"/>
        <v>0.17882198189473111</v>
      </c>
      <c r="J51" s="36">
        <f t="shared" si="6"/>
        <v>0.17882198189473111</v>
      </c>
      <c r="K51" s="36">
        <f t="shared" si="6"/>
        <v>0.17882198189473111</v>
      </c>
      <c r="L51" s="36">
        <f t="shared" si="6"/>
        <v>0.17882198189473111</v>
      </c>
      <c r="M51" s="36">
        <f t="shared" si="6"/>
        <v>13.054004678315371</v>
      </c>
      <c r="N51" s="36">
        <f t="shared" si="6"/>
        <v>15.915156388631068</v>
      </c>
      <c r="O51" s="36">
        <f t="shared" si="6"/>
        <v>20.922171881683539</v>
      </c>
      <c r="P51" s="37">
        <f t="shared" ref="P51:P57" si="7">SUM(D51:O51)</f>
        <v>51.321908803787828</v>
      </c>
      <c r="R51" s="12"/>
      <c r="S51" s="12"/>
    </row>
    <row r="52" spans="1:21">
      <c r="A52" s="4"/>
      <c r="C52" s="24">
        <v>2014</v>
      </c>
      <c r="D52" s="38">
        <f t="shared" si="6"/>
        <v>30.042092958314829</v>
      </c>
      <c r="E52" s="38">
        <f t="shared" si="6"/>
        <v>42.559631690946006</v>
      </c>
      <c r="F52" s="38">
        <f t="shared" si="6"/>
        <v>49.712510966735252</v>
      </c>
      <c r="G52" s="38">
        <f t="shared" si="6"/>
        <v>58.832432043366538</v>
      </c>
      <c r="H52" s="38">
        <f t="shared" si="6"/>
        <v>64.018269518313744</v>
      </c>
      <c r="I52" s="38">
        <f t="shared" si="6"/>
        <v>72.244080685471374</v>
      </c>
      <c r="J52" s="38">
        <f t="shared" si="6"/>
        <v>76.178164287155454</v>
      </c>
      <c r="K52" s="38">
        <f t="shared" si="6"/>
        <v>86.371017255155124</v>
      </c>
      <c r="L52" s="38">
        <f t="shared" si="6"/>
        <v>99.246199951575761</v>
      </c>
      <c r="M52" s="38">
        <f t="shared" si="6"/>
        <v>115.16135634020684</v>
      </c>
      <c r="N52" s="38">
        <f t="shared" si="6"/>
        <v>126.42714119957489</v>
      </c>
      <c r="O52" s="38">
        <f t="shared" si="6"/>
        <v>131.07651272883791</v>
      </c>
      <c r="P52" s="39">
        <f>SUM(D52:O52)</f>
        <v>951.8694096256537</v>
      </c>
      <c r="R52" s="16"/>
    </row>
    <row r="53" spans="1:21">
      <c r="A53" s="4"/>
      <c r="C53" s="24">
        <v>2015</v>
      </c>
      <c r="D53" s="38">
        <f t="shared" si="6"/>
        <v>133.58002047536414</v>
      </c>
      <c r="E53" s="38">
        <f t="shared" si="6"/>
        <v>135.36824029431145</v>
      </c>
      <c r="F53" s="38">
        <f t="shared" si="6"/>
        <v>136.44117218567985</v>
      </c>
      <c r="G53" s="38">
        <f t="shared" si="6"/>
        <v>137.69292605894296</v>
      </c>
      <c r="H53" s="38">
        <f t="shared" si="6"/>
        <v>138.05057002273242</v>
      </c>
      <c r="I53" s="38">
        <f t="shared" si="6"/>
        <v>138.58703596841661</v>
      </c>
      <c r="J53" s="38">
        <f t="shared" si="6"/>
        <v>139.30232389599553</v>
      </c>
      <c r="K53" s="38">
        <f t="shared" si="6"/>
        <v>139.48114587789027</v>
      </c>
      <c r="L53" s="38">
        <f t="shared" si="6"/>
        <v>140.91172173304813</v>
      </c>
      <c r="M53" s="38">
        <f t="shared" si="6"/>
        <v>142.52111957010069</v>
      </c>
      <c r="N53" s="38">
        <f t="shared" si="6"/>
        <v>149.67399884588994</v>
      </c>
      <c r="O53" s="38">
        <f t="shared" si="6"/>
        <v>155.39630226652133</v>
      </c>
      <c r="P53" s="39">
        <f>SUM(D53:O53)</f>
        <v>1687.0065771948932</v>
      </c>
      <c r="R53" s="16"/>
    </row>
    <row r="54" spans="1:21">
      <c r="A54" s="4"/>
      <c r="C54" s="24">
        <v>2016</v>
      </c>
      <c r="D54" s="38">
        <f t="shared" si="6"/>
        <v>164.33740136125789</v>
      </c>
      <c r="E54" s="38">
        <f t="shared" si="6"/>
        <v>168.62912892673145</v>
      </c>
      <c r="F54" s="38">
        <f t="shared" si="6"/>
        <v>183.11370946020466</v>
      </c>
      <c r="G54" s="38">
        <f t="shared" si="6"/>
        <v>192.59127450062542</v>
      </c>
      <c r="H54" s="38">
        <f t="shared" si="6"/>
        <v>214.04991232799316</v>
      </c>
      <c r="I54" s="38">
        <f t="shared" si="6"/>
        <v>231.93211051746624</v>
      </c>
      <c r="J54" s="38">
        <f t="shared" si="6"/>
        <v>271.2729465343071</v>
      </c>
      <c r="K54" s="38">
        <f t="shared" si="6"/>
        <v>378.7449576530405</v>
      </c>
      <c r="L54" s="38">
        <f t="shared" si="6"/>
        <v>472.44767616587961</v>
      </c>
      <c r="M54" s="38">
        <f t="shared" si="6"/>
        <v>566.15039467871873</v>
      </c>
      <c r="N54" s="38">
        <f t="shared" si="6"/>
        <v>646.08382058566349</v>
      </c>
      <c r="O54" s="38">
        <f t="shared" si="6"/>
        <v>677.7353113810309</v>
      </c>
      <c r="P54" s="39">
        <f t="shared" si="7"/>
        <v>4167.0886440929189</v>
      </c>
      <c r="R54" s="16"/>
    </row>
    <row r="55" spans="1:21">
      <c r="A55" s="4"/>
      <c r="C55" s="24">
        <v>2017</v>
      </c>
      <c r="D55" s="38">
        <f t="shared" si="6"/>
        <v>694.00811173345141</v>
      </c>
      <c r="E55" s="38">
        <f t="shared" si="6"/>
        <v>702.5915668643986</v>
      </c>
      <c r="F55" s="38">
        <f t="shared" si="6"/>
        <v>712.78441983239827</v>
      </c>
      <c r="G55" s="38">
        <f t="shared" si="6"/>
        <v>754.80758557766001</v>
      </c>
      <c r="H55" s="38">
        <f t="shared" si="6"/>
        <v>783.06145871702756</v>
      </c>
      <c r="I55" s="38">
        <f t="shared" si="6"/>
        <v>803.08952068923747</v>
      </c>
      <c r="J55" s="38">
        <f t="shared" si="6"/>
        <v>819.18349905976322</v>
      </c>
      <c r="K55" s="38">
        <f t="shared" si="6"/>
        <v>841.89389076039413</v>
      </c>
      <c r="L55" s="38">
        <f t="shared" si="6"/>
        <v>891.06993578144511</v>
      </c>
      <c r="M55" s="38">
        <f t="shared" si="6"/>
        <v>949.18707989723271</v>
      </c>
      <c r="N55" s="38">
        <f t="shared" si="6"/>
        <v>991.38906762438933</v>
      </c>
      <c r="O55" s="38">
        <f t="shared" si="6"/>
        <v>1011.9535955422833</v>
      </c>
      <c r="P55" s="39">
        <f t="shared" si="7"/>
        <v>9955.0197320796815</v>
      </c>
      <c r="R55" s="16"/>
    </row>
    <row r="56" spans="1:21">
      <c r="A56" s="4"/>
      <c r="C56" s="24">
        <v>2018</v>
      </c>
      <c r="D56" s="38">
        <f t="shared" si="6"/>
        <v>1041.2804005730193</v>
      </c>
      <c r="E56" s="38">
        <f t="shared" si="6"/>
        <v>1057.0167349797557</v>
      </c>
      <c r="F56" s="38">
        <f t="shared" si="6"/>
        <v>1086.3435400104916</v>
      </c>
      <c r="G56" s="38">
        <f t="shared" si="6"/>
        <v>1118.3526747696483</v>
      </c>
      <c r="H56" s="38">
        <f t="shared" si="6"/>
        <v>1131.2278574660691</v>
      </c>
      <c r="I56" s="38">
        <f t="shared" si="6"/>
        <v>1145.7124379995423</v>
      </c>
      <c r="J56" s="38">
        <f t="shared" si="6"/>
        <v>1196.3190588757511</v>
      </c>
      <c r="K56" s="38">
        <f t="shared" si="6"/>
        <v>1298.4264105376426</v>
      </c>
      <c r="L56" s="38">
        <f t="shared" si="6"/>
        <v>1399.99729625385</v>
      </c>
      <c r="M56" s="38">
        <f t="shared" si="6"/>
        <v>1498.8858522416363</v>
      </c>
      <c r="N56" s="38">
        <f t="shared" si="6"/>
        <v>1616.1930723645798</v>
      </c>
      <c r="O56" s="38">
        <f t="shared" si="6"/>
        <v>1676.0984362993147</v>
      </c>
      <c r="P56" s="39">
        <f>SUM(D56:O56)</f>
        <v>15265.853772371302</v>
      </c>
      <c r="R56" s="16"/>
    </row>
    <row r="57" spans="1:21">
      <c r="A57" s="4"/>
      <c r="C57" s="24">
        <v>2019</v>
      </c>
      <c r="D57" s="38">
        <f t="shared" si="6"/>
        <v>1691.2983047603668</v>
      </c>
      <c r="E57" s="38">
        <f t="shared" si="6"/>
        <v>1705.6040633119453</v>
      </c>
      <c r="F57" s="38">
        <f t="shared" si="6"/>
        <v>1714.7239843885766</v>
      </c>
      <c r="G57" s="38">
        <f t="shared" si="6"/>
        <v>1732.7850045599446</v>
      </c>
      <c r="H57" s="38">
        <f t="shared" si="6"/>
        <v>1753.5283544597332</v>
      </c>
      <c r="I57" s="38">
        <f t="shared" si="6"/>
        <v>1758.3565479708911</v>
      </c>
      <c r="J57" s="38">
        <f t="shared" si="6"/>
        <v>1760.5024117536277</v>
      </c>
      <c r="K57" s="38">
        <f t="shared" si="6"/>
        <v>1792.1539025489951</v>
      </c>
      <c r="L57" s="38">
        <f t="shared" si="6"/>
        <v>1857.0662819767826</v>
      </c>
      <c r="M57" s="38">
        <f t="shared" si="6"/>
        <v>1928.2374307708856</v>
      </c>
      <c r="N57" s="38">
        <f t="shared" si="6"/>
        <v>1986.8910408323575</v>
      </c>
      <c r="O57" s="38">
        <f t="shared" si="6"/>
        <v>2063.0692051195128</v>
      </c>
      <c r="P57" s="39">
        <f t="shared" si="7"/>
        <v>21744.216532453618</v>
      </c>
      <c r="R57" s="16"/>
      <c r="T57" s="40"/>
    </row>
    <row r="58" spans="1:21">
      <c r="A58" s="4"/>
      <c r="C58" s="24">
        <v>2020</v>
      </c>
      <c r="D58" s="38">
        <f t="shared" si="6"/>
        <v>2110.6358523035115</v>
      </c>
      <c r="E58" s="38">
        <f t="shared" si="6"/>
        <v>2136.207395714458</v>
      </c>
      <c r="F58" s="38">
        <f t="shared" si="6"/>
        <v>2172.3294360571936</v>
      </c>
      <c r="G58" s="38">
        <f t="shared" si="6"/>
        <v>2239.3876792677179</v>
      </c>
      <c r="H58" s="38">
        <f t="shared" si="6"/>
        <v>2302.6906608584527</v>
      </c>
      <c r="I58" s="38">
        <f t="shared" si="6"/>
        <v>2372.0735898336084</v>
      </c>
      <c r="J58" s="38">
        <f t="shared" si="6"/>
        <v>2449.6823299759217</v>
      </c>
      <c r="K58" s="38">
        <f t="shared" si="6"/>
        <v>2527.291070118235</v>
      </c>
      <c r="L58" s="38">
        <f t="shared" si="6"/>
        <v>2604.8998102605483</v>
      </c>
      <c r="M58" s="38">
        <f t="shared" si="6"/>
        <v>2682.5085504028616</v>
      </c>
      <c r="N58" s="38">
        <f t="shared" si="6"/>
        <v>2760.1172905451749</v>
      </c>
      <c r="O58" s="38">
        <f t="shared" si="6"/>
        <v>2837.7260306874882</v>
      </c>
      <c r="P58" s="39">
        <f>SUM(D58:O58)</f>
        <v>29195.549696025169</v>
      </c>
    </row>
    <row r="59" spans="1:21">
      <c r="A59" s="4"/>
      <c r="B59" s="19" t="s">
        <v>432</v>
      </c>
      <c r="C59" s="20">
        <v>2021</v>
      </c>
      <c r="D59" s="41">
        <f>D39*$C$8</f>
        <v>2915.3347708298015</v>
      </c>
      <c r="E59" s="41">
        <f t="shared" si="6"/>
        <v>2924.2758699245378</v>
      </c>
      <c r="F59" s="41">
        <f t="shared" si="6"/>
        <v>2933.2169690192745</v>
      </c>
      <c r="G59" s="41">
        <f t="shared" si="6"/>
        <v>2968.9813653982205</v>
      </c>
      <c r="H59" s="41">
        <f t="shared" si="6"/>
        <v>3004.745761777167</v>
      </c>
      <c r="I59" s="41">
        <f t="shared" si="6"/>
        <v>3049.4512572508497</v>
      </c>
      <c r="J59" s="41">
        <f t="shared" si="6"/>
        <v>3103.0978518192692</v>
      </c>
      <c r="K59" s="41">
        <f t="shared" si="6"/>
        <v>3165.6855454824249</v>
      </c>
      <c r="L59" s="41">
        <f t="shared" si="6"/>
        <v>3228.2732391455806</v>
      </c>
      <c r="M59" s="41">
        <f t="shared" si="6"/>
        <v>3290.8609328087368</v>
      </c>
      <c r="N59" s="41">
        <f t="shared" si="6"/>
        <v>3353.4486264718926</v>
      </c>
      <c r="O59" s="41">
        <f t="shared" si="6"/>
        <v>3371.3308246613656</v>
      </c>
      <c r="P59" s="39">
        <f>SUM(D59:O59)</f>
        <v>37308.703014589119</v>
      </c>
      <c r="R59" s="16"/>
      <c r="T59" s="42"/>
      <c r="U59" s="42"/>
    </row>
    <row r="60" spans="1:21">
      <c r="A60" s="4"/>
      <c r="B60" s="4"/>
      <c r="C60" s="20">
        <v>2022</v>
      </c>
      <c r="D60" s="41">
        <f t="shared" si="6"/>
        <v>3380.2719237561023</v>
      </c>
      <c r="E60" s="41">
        <f t="shared" si="6"/>
        <v>3389.2130228508386</v>
      </c>
      <c r="F60" s="41">
        <f t="shared" si="6"/>
        <v>3398.1541219455753</v>
      </c>
      <c r="G60" s="41">
        <f t="shared" si="6"/>
        <v>3433.9185183245218</v>
      </c>
      <c r="H60" s="41">
        <f t="shared" si="6"/>
        <v>3469.6829147034678</v>
      </c>
      <c r="I60" s="41">
        <f t="shared" si="6"/>
        <v>3514.3884101771505</v>
      </c>
      <c r="J60" s="41">
        <f t="shared" si="6"/>
        <v>3568.0350047455699</v>
      </c>
      <c r="K60" s="41">
        <f t="shared" si="6"/>
        <v>3630.6226984087257</v>
      </c>
      <c r="L60" s="41">
        <f t="shared" si="6"/>
        <v>3693.2103920718819</v>
      </c>
      <c r="M60" s="41">
        <f t="shared" si="6"/>
        <v>3755.7980857350376</v>
      </c>
      <c r="N60" s="41">
        <f t="shared" si="6"/>
        <v>3818.3857793981933</v>
      </c>
      <c r="O60" s="41">
        <f t="shared" si="6"/>
        <v>3836.2679775876668</v>
      </c>
      <c r="P60" s="39">
        <f t="shared" ref="P60:P65" si="8">SUM(D60:O60)</f>
        <v>42887.948849704728</v>
      </c>
      <c r="R60" s="16"/>
      <c r="T60" s="42"/>
    </row>
    <row r="61" spans="1:21">
      <c r="A61" s="4"/>
      <c r="B61" s="4"/>
      <c r="C61" s="20">
        <v>2023</v>
      </c>
      <c r="D61" s="41">
        <f t="shared" si="6"/>
        <v>3845.2090766824031</v>
      </c>
      <c r="E61" s="41">
        <f t="shared" si="6"/>
        <v>3854.1501757771398</v>
      </c>
      <c r="F61" s="41">
        <f t="shared" si="6"/>
        <v>3863.0912748718761</v>
      </c>
      <c r="G61" s="41">
        <f t="shared" si="6"/>
        <v>3898.8556712508225</v>
      </c>
      <c r="H61" s="41">
        <f t="shared" si="6"/>
        <v>3934.6200676297685</v>
      </c>
      <c r="I61" s="41">
        <f t="shared" si="6"/>
        <v>3979.3255631034513</v>
      </c>
      <c r="J61" s="41">
        <f t="shared" si="6"/>
        <v>4032.9721576718707</v>
      </c>
      <c r="K61" s="41">
        <f t="shared" si="6"/>
        <v>4095.5598513350269</v>
      </c>
      <c r="L61" s="41">
        <f t="shared" si="6"/>
        <v>4158.1475449981826</v>
      </c>
      <c r="M61" s="41">
        <f t="shared" si="6"/>
        <v>4220.7352386613384</v>
      </c>
      <c r="N61" s="41">
        <f t="shared" si="6"/>
        <v>4283.3229323244941</v>
      </c>
      <c r="O61" s="41">
        <f t="shared" si="6"/>
        <v>4301.2051305139676</v>
      </c>
      <c r="P61" s="39">
        <f t="shared" si="8"/>
        <v>48467.194684820337</v>
      </c>
      <c r="R61" s="16"/>
      <c r="T61" s="42"/>
    </row>
    <row r="62" spans="1:21">
      <c r="A62" s="4"/>
      <c r="B62" s="4"/>
      <c r="C62" s="23">
        <v>2024</v>
      </c>
      <c r="D62" s="41">
        <f t="shared" si="6"/>
        <v>4310.1462296087038</v>
      </c>
      <c r="E62" s="41">
        <f t="shared" si="6"/>
        <v>4319.087328703441</v>
      </c>
      <c r="F62" s="41">
        <f t="shared" si="6"/>
        <v>4328.0284277981773</v>
      </c>
      <c r="G62" s="41">
        <f t="shared" si="6"/>
        <v>4363.7928241771233</v>
      </c>
      <c r="H62" s="41">
        <f t="shared" si="6"/>
        <v>4399.5572205560693</v>
      </c>
      <c r="I62" s="41">
        <f t="shared" si="6"/>
        <v>4444.2627160297525</v>
      </c>
      <c r="J62" s="41">
        <f t="shared" si="6"/>
        <v>4497.9093105981719</v>
      </c>
      <c r="K62" s="41">
        <f t="shared" si="6"/>
        <v>4560.4970042613277</v>
      </c>
      <c r="L62" s="41">
        <f t="shared" si="6"/>
        <v>4623.0846979244834</v>
      </c>
      <c r="M62" s="41">
        <f t="shared" si="6"/>
        <v>4685.6723915876391</v>
      </c>
      <c r="N62" s="41">
        <f t="shared" si="6"/>
        <v>4748.2600852507949</v>
      </c>
      <c r="O62" s="41">
        <f t="shared" si="6"/>
        <v>4766.1422834402683</v>
      </c>
      <c r="P62" s="39">
        <f t="shared" si="8"/>
        <v>54046.440519935946</v>
      </c>
      <c r="R62" s="16"/>
      <c r="T62" s="42"/>
    </row>
    <row r="63" spans="1:21">
      <c r="A63" s="4"/>
      <c r="B63" s="4"/>
      <c r="C63" s="20">
        <v>2025</v>
      </c>
      <c r="D63" s="41">
        <f t="shared" si="6"/>
        <v>4775.0833825350046</v>
      </c>
      <c r="E63" s="41">
        <f t="shared" si="6"/>
        <v>4784.0244816297418</v>
      </c>
      <c r="F63" s="41">
        <f t="shared" si="6"/>
        <v>4792.9655807244781</v>
      </c>
      <c r="G63" s="41">
        <f t="shared" si="6"/>
        <v>4828.7299771034241</v>
      </c>
      <c r="H63" s="41">
        <f t="shared" si="6"/>
        <v>4864.4943734823701</v>
      </c>
      <c r="I63" s="41">
        <f t="shared" si="6"/>
        <v>4909.1998689560533</v>
      </c>
      <c r="J63" s="41">
        <f t="shared" si="6"/>
        <v>4962.8464635244727</v>
      </c>
      <c r="K63" s="41">
        <f t="shared" si="6"/>
        <v>5025.4341571876284</v>
      </c>
      <c r="L63" s="41">
        <f t="shared" si="6"/>
        <v>5088.0218508507842</v>
      </c>
      <c r="M63" s="41">
        <f t="shared" si="6"/>
        <v>5150.6095445139399</v>
      </c>
      <c r="N63" s="41">
        <f t="shared" si="6"/>
        <v>5213.1972381770966</v>
      </c>
      <c r="O63" s="41">
        <f t="shared" si="6"/>
        <v>5231.0794363665691</v>
      </c>
      <c r="P63" s="39">
        <f t="shared" si="8"/>
        <v>59625.686355051555</v>
      </c>
      <c r="R63" s="16"/>
      <c r="T63" s="42"/>
    </row>
    <row r="64" spans="1:21">
      <c r="A64" s="4"/>
      <c r="B64" s="4"/>
      <c r="C64" s="23">
        <v>2026</v>
      </c>
      <c r="D64" s="41">
        <f t="shared" si="6"/>
        <v>5240.0205354613054</v>
      </c>
      <c r="E64" s="41">
        <f t="shared" si="6"/>
        <v>5248.9616345560426</v>
      </c>
      <c r="F64" s="41">
        <f t="shared" si="6"/>
        <v>5257.9027336507788</v>
      </c>
      <c r="G64" s="41">
        <f t="shared" si="6"/>
        <v>5293.6671300297248</v>
      </c>
      <c r="H64" s="41">
        <f t="shared" si="6"/>
        <v>5329.4315264086717</v>
      </c>
      <c r="I64" s="41">
        <f t="shared" si="6"/>
        <v>5374.137021882354</v>
      </c>
      <c r="J64" s="41">
        <f t="shared" si="6"/>
        <v>5427.7836164507735</v>
      </c>
      <c r="K64" s="41">
        <f t="shared" si="6"/>
        <v>5490.3713101139292</v>
      </c>
      <c r="L64" s="41">
        <f t="shared" si="6"/>
        <v>5552.9590037770849</v>
      </c>
      <c r="M64" s="41">
        <f t="shared" si="6"/>
        <v>5615.5466974402416</v>
      </c>
      <c r="N64" s="41">
        <f t="shared" si="6"/>
        <v>5678.1343911033973</v>
      </c>
      <c r="O64" s="41">
        <f t="shared" si="6"/>
        <v>5696.0165892928699</v>
      </c>
      <c r="P64" s="39">
        <f t="shared" si="8"/>
        <v>65204.932190167179</v>
      </c>
      <c r="R64" s="16"/>
      <c r="T64" s="42"/>
    </row>
    <row r="65" spans="1:20">
      <c r="A65" s="4"/>
      <c r="B65" s="4"/>
      <c r="C65" s="20">
        <v>2027</v>
      </c>
      <c r="D65" s="41">
        <f t="shared" si="6"/>
        <v>5704.957688387607</v>
      </c>
      <c r="E65" s="41">
        <f t="shared" si="6"/>
        <v>5713.8987874823433</v>
      </c>
      <c r="F65" s="41">
        <f t="shared" si="6"/>
        <v>5722.8398865770796</v>
      </c>
      <c r="G65" s="41">
        <f t="shared" si="6"/>
        <v>5758.6042829560256</v>
      </c>
      <c r="H65" s="41">
        <f t="shared" si="6"/>
        <v>5794.3686793349725</v>
      </c>
      <c r="I65" s="41">
        <f t="shared" si="6"/>
        <v>5839.0741748086548</v>
      </c>
      <c r="J65" s="41">
        <f t="shared" si="6"/>
        <v>5892.7207693770742</v>
      </c>
      <c r="K65" s="41">
        <f t="shared" si="6"/>
        <v>5955.30846304023</v>
      </c>
      <c r="L65" s="41">
        <f t="shared" si="6"/>
        <v>6017.8961567033857</v>
      </c>
      <c r="M65" s="41">
        <f t="shared" si="6"/>
        <v>6080.4838503665424</v>
      </c>
      <c r="N65" s="41">
        <f t="shared" si="6"/>
        <v>6143.0715440296981</v>
      </c>
      <c r="O65" s="41">
        <f t="shared" si="6"/>
        <v>6160.9537422191706</v>
      </c>
      <c r="P65" s="39">
        <f t="shared" si="8"/>
        <v>70784.178025282788</v>
      </c>
      <c r="R65" s="16"/>
      <c r="T65" s="42"/>
    </row>
    <row r="66" spans="1:20">
      <c r="A66" s="4"/>
      <c r="B66" s="4"/>
      <c r="D66" s="38"/>
      <c r="E66" s="38"/>
      <c r="F66" s="38"/>
      <c r="G66" s="38"/>
      <c r="H66" s="38"/>
      <c r="I66" s="38"/>
      <c r="J66" s="38"/>
      <c r="K66" s="38"/>
      <c r="L66" s="38"/>
      <c r="M66" s="38"/>
      <c r="N66" s="38"/>
      <c r="O66" s="38"/>
      <c r="P66" s="39"/>
      <c r="R66" s="16"/>
      <c r="T66" s="42"/>
    </row>
    <row r="67" spans="1:20">
      <c r="A67" s="4"/>
      <c r="B67" s="4"/>
      <c r="R67" s="16"/>
      <c r="T67" s="42"/>
    </row>
    <row r="68" spans="1:20">
      <c r="A68" s="4"/>
      <c r="B68" s="4"/>
      <c r="R68" s="16"/>
      <c r="T68" s="42"/>
    </row>
    <row r="69" spans="1:20">
      <c r="A69" s="4"/>
      <c r="B69" s="4"/>
      <c r="O69" s="124" t="s">
        <v>433</v>
      </c>
      <c r="P69" s="43">
        <f>SUM(P59:P65)</f>
        <v>378325.08363955165</v>
      </c>
      <c r="R69" s="16"/>
      <c r="T69" s="42"/>
    </row>
    <row r="70" spans="1:20">
      <c r="A70" s="4"/>
      <c r="B70" s="4"/>
      <c r="O70" s="125"/>
      <c r="R70" s="16"/>
      <c r="T70" s="42"/>
    </row>
    <row r="71" spans="1:20">
      <c r="A71" s="4"/>
      <c r="B71" s="4"/>
      <c r="O71" s="124" t="s">
        <v>434</v>
      </c>
      <c r="P71" s="43">
        <f>AVERAGE(P59:P65)</f>
        <v>54046.440519935953</v>
      </c>
      <c r="R71" s="16"/>
      <c r="T71" s="42"/>
    </row>
    <row r="72" spans="1:20">
      <c r="O72" s="125"/>
    </row>
  </sheetData>
  <mergeCells count="1">
    <mergeCell ref="D8:E8"/>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1"/>
  <sheetViews>
    <sheetView workbookViewId="0">
      <selection activeCell="F31" sqref="F31"/>
    </sheetView>
  </sheetViews>
  <sheetFormatPr baseColWidth="10" defaultColWidth="8.84375" defaultRowHeight="11.5"/>
  <cols>
    <col min="1" max="1" width="27.15234375" style="3" customWidth="1"/>
    <col min="2" max="2" width="13.84375" style="3" customWidth="1"/>
    <col min="3" max="3" width="9.765625" style="3" customWidth="1"/>
    <col min="4" max="4" width="31.15234375" style="3" bestFit="1" customWidth="1"/>
    <col min="5" max="5" width="9.84375" style="3" customWidth="1"/>
    <col min="6" max="6" width="13.84375" style="3" customWidth="1"/>
    <col min="7" max="7" width="9.765625" style="3" customWidth="1"/>
    <col min="8" max="8" width="21" style="3" customWidth="1"/>
    <col min="9" max="16384" width="8.84375" style="3"/>
  </cols>
  <sheetData>
    <row r="1" spans="1:6" ht="15.75" customHeight="1">
      <c r="A1" s="44" t="s">
        <v>0</v>
      </c>
      <c r="B1" s="44"/>
    </row>
    <row r="2" spans="1:6">
      <c r="A2" s="45" t="s">
        <v>74</v>
      </c>
      <c r="B2" s="45"/>
    </row>
    <row r="3" spans="1:6">
      <c r="A3" s="45" t="s">
        <v>84</v>
      </c>
      <c r="B3" s="45"/>
    </row>
    <row r="4" spans="1:6" ht="13.5">
      <c r="A4" s="1" t="s">
        <v>85</v>
      </c>
      <c r="B4" s="1"/>
    </row>
    <row r="11" spans="1:6" ht="15">
      <c r="A11" s="46"/>
      <c r="B11" s="47"/>
      <c r="C11" s="47"/>
      <c r="D11" s="47"/>
      <c r="E11" s="47"/>
    </row>
    <row r="12" spans="1:6">
      <c r="A12" s="48" t="s">
        <v>23</v>
      </c>
      <c r="B12" s="48"/>
      <c r="C12" s="49"/>
      <c r="D12" s="49"/>
      <c r="E12" s="47"/>
    </row>
    <row r="13" spans="1:6">
      <c r="A13" s="50" t="s">
        <v>24</v>
      </c>
      <c r="B13" s="50" t="s">
        <v>25</v>
      </c>
      <c r="C13" s="51" t="s">
        <v>26</v>
      </c>
      <c r="D13" s="50" t="s">
        <v>27</v>
      </c>
      <c r="E13" s="47"/>
    </row>
    <row r="14" spans="1:6">
      <c r="A14" s="52" t="s">
        <v>28</v>
      </c>
      <c r="B14" s="52" t="s">
        <v>29</v>
      </c>
      <c r="C14" s="53">
        <v>365</v>
      </c>
      <c r="D14" s="52" t="s">
        <v>30</v>
      </c>
      <c r="E14" s="47"/>
    </row>
    <row r="15" spans="1:6">
      <c r="A15" s="52" t="s">
        <v>31</v>
      </c>
      <c r="B15" s="52" t="s">
        <v>32</v>
      </c>
      <c r="C15" s="54">
        <f>Usage_Rate_Analysis!I17</f>
        <v>0.82403146234538915</v>
      </c>
      <c r="D15" s="52" t="s">
        <v>33</v>
      </c>
      <c r="E15" s="47"/>
      <c r="F15" s="74"/>
    </row>
    <row r="16" spans="1:6">
      <c r="A16" s="52" t="s">
        <v>34</v>
      </c>
      <c r="B16" s="52" t="s">
        <v>35</v>
      </c>
      <c r="C16" s="54">
        <f>C43</f>
        <v>4.2652185257664732E-3</v>
      </c>
      <c r="D16" s="52" t="s">
        <v>36</v>
      </c>
      <c r="E16" s="47"/>
    </row>
    <row r="17" spans="1:6" ht="13.5">
      <c r="A17" s="52" t="s">
        <v>37</v>
      </c>
      <c r="B17" s="52" t="s">
        <v>444</v>
      </c>
      <c r="C17" s="128">
        <f>'fNRB_Calculation '!C16/100</f>
        <v>0.8225759811129707</v>
      </c>
      <c r="D17" s="52" t="s">
        <v>420</v>
      </c>
      <c r="E17" s="75"/>
    </row>
    <row r="18" spans="1:6">
      <c r="A18" s="52" t="s">
        <v>38</v>
      </c>
      <c r="B18" s="52" t="s">
        <v>39</v>
      </c>
      <c r="C18" s="55" t="s">
        <v>40</v>
      </c>
      <c r="D18" s="52"/>
      <c r="E18" s="47"/>
    </row>
    <row r="19" spans="1:6">
      <c r="A19" s="52" t="s">
        <v>41</v>
      </c>
      <c r="B19" s="52" t="s">
        <v>42</v>
      </c>
      <c r="C19" s="55">
        <f>B54</f>
        <v>1.7471999999999999</v>
      </c>
      <c r="D19" s="52" t="s">
        <v>81</v>
      </c>
      <c r="E19" s="47"/>
      <c r="F19" s="73"/>
    </row>
    <row r="20" spans="1:6">
      <c r="A20" s="52" t="s">
        <v>43</v>
      </c>
      <c r="B20" s="52" t="s">
        <v>42</v>
      </c>
      <c r="C20" s="54">
        <f>B74</f>
        <v>0.14757599999999998</v>
      </c>
      <c r="D20" s="52" t="s">
        <v>80</v>
      </c>
      <c r="E20" s="47"/>
      <c r="F20" s="73"/>
    </row>
    <row r="21" spans="1:6">
      <c r="A21" s="52" t="s">
        <v>44</v>
      </c>
      <c r="B21" s="52" t="s">
        <v>45</v>
      </c>
      <c r="C21" s="55">
        <v>0</v>
      </c>
      <c r="D21" s="52" t="s">
        <v>46</v>
      </c>
      <c r="E21" s="47"/>
    </row>
    <row r="22" spans="1:6" ht="30" customHeight="1">
      <c r="A22" s="260" t="s">
        <v>76</v>
      </c>
      <c r="B22" s="261"/>
      <c r="C22" s="261"/>
      <c r="D22" s="261"/>
      <c r="E22" s="47"/>
    </row>
    <row r="23" spans="1:6" ht="12" thickBot="1">
      <c r="A23" s="47"/>
      <c r="B23" s="47"/>
      <c r="C23" s="47"/>
      <c r="D23" s="47"/>
      <c r="E23" s="47"/>
    </row>
    <row r="24" spans="1:6" ht="12" thickBot="1">
      <c r="A24" s="56" t="s">
        <v>47</v>
      </c>
      <c r="B24" s="57"/>
      <c r="C24" s="121">
        <f>C14*C15*C16*(C17*C19+C20)-C21</f>
        <v>2.0330456648815778</v>
      </c>
      <c r="D24" s="47"/>
      <c r="E24" s="47"/>
    </row>
    <row r="25" spans="1:6" ht="12" thickBot="1">
      <c r="A25" s="47"/>
      <c r="B25" s="47"/>
      <c r="C25" s="47"/>
      <c r="D25" s="47"/>
      <c r="E25" s="47"/>
    </row>
    <row r="26" spans="1:6" ht="12" thickBot="1">
      <c r="A26" s="58" t="s">
        <v>48</v>
      </c>
      <c r="B26" s="59"/>
      <c r="C26" s="122">
        <f>$C$14*$C$15*C33*($C$17*$C$19+$C$20)</f>
        <v>4.1789094476183513</v>
      </c>
      <c r="D26" s="47"/>
      <c r="E26" s="47"/>
    </row>
    <row r="27" spans="1:6" ht="12" thickBot="1">
      <c r="A27" s="47"/>
      <c r="B27" s="47"/>
      <c r="C27" s="60"/>
      <c r="D27" s="47"/>
      <c r="E27" s="47"/>
    </row>
    <row r="28" spans="1:6" ht="12" thickBot="1">
      <c r="A28" s="58" t="s">
        <v>49</v>
      </c>
      <c r="B28" s="59"/>
      <c r="C28" s="123">
        <f>C26-C24</f>
        <v>2.1458637827367735</v>
      </c>
      <c r="D28" s="47"/>
      <c r="E28" s="47"/>
    </row>
    <row r="29" spans="1:6">
      <c r="A29" s="47"/>
      <c r="B29" s="47"/>
      <c r="C29" s="47"/>
      <c r="D29" s="47"/>
      <c r="E29" s="47"/>
    </row>
    <row r="30" spans="1:6">
      <c r="A30" s="61" t="s">
        <v>50</v>
      </c>
      <c r="B30" s="47"/>
      <c r="C30" s="47"/>
      <c r="D30" s="47"/>
      <c r="E30" s="47"/>
    </row>
    <row r="31" spans="1:6">
      <c r="A31" s="50" t="s">
        <v>24</v>
      </c>
      <c r="B31" s="50" t="s">
        <v>25</v>
      </c>
      <c r="C31" s="50" t="s">
        <v>26</v>
      </c>
      <c r="D31" s="50" t="s">
        <v>51</v>
      </c>
      <c r="E31" s="47"/>
    </row>
    <row r="32" spans="1:6">
      <c r="A32" s="52" t="s">
        <v>52</v>
      </c>
      <c r="B32" s="52" t="s">
        <v>53</v>
      </c>
      <c r="C32" s="64">
        <v>3.2</v>
      </c>
      <c r="D32" s="52" t="s">
        <v>415</v>
      </c>
      <c r="E32" s="47"/>
      <c r="F32" s="74"/>
    </row>
    <row r="33" spans="1:6">
      <c r="A33" s="52" t="s">
        <v>52</v>
      </c>
      <c r="B33" s="52" t="s">
        <v>54</v>
      </c>
      <c r="C33" s="62">
        <f>C32/365</f>
        <v>8.767123287671234E-3</v>
      </c>
      <c r="D33" s="52" t="s">
        <v>55</v>
      </c>
      <c r="E33" s="47"/>
    </row>
    <row r="34" spans="1:6" ht="13.5">
      <c r="A34" s="63"/>
      <c r="B34" s="63"/>
      <c r="C34" s="63"/>
      <c r="D34" s="63"/>
      <c r="E34" s="47"/>
    </row>
    <row r="35" spans="1:6">
      <c r="A35" s="61" t="s">
        <v>56</v>
      </c>
      <c r="B35" s="47"/>
      <c r="C35" s="47"/>
      <c r="D35" s="47"/>
      <c r="E35" s="47"/>
    </row>
    <row r="36" spans="1:6">
      <c r="A36" s="50" t="s">
        <v>24</v>
      </c>
      <c r="B36" s="50" t="s">
        <v>25</v>
      </c>
      <c r="C36" s="50" t="s">
        <v>26</v>
      </c>
      <c r="D36" s="50" t="s">
        <v>51</v>
      </c>
      <c r="E36" s="47"/>
    </row>
    <row r="37" spans="1:6" ht="13.5">
      <c r="A37" s="52" t="s">
        <v>52</v>
      </c>
      <c r="B37" s="52" t="s">
        <v>53</v>
      </c>
      <c r="C37" s="120">
        <v>1.6431952380952377</v>
      </c>
      <c r="D37" s="52" t="s">
        <v>57</v>
      </c>
      <c r="E37" s="47"/>
      <c r="F37" s="74"/>
    </row>
    <row r="38" spans="1:6">
      <c r="A38" s="52" t="s">
        <v>52</v>
      </c>
      <c r="B38" s="52" t="s">
        <v>54</v>
      </c>
      <c r="C38" s="62">
        <f>C37/365</f>
        <v>4.5019047619047608E-3</v>
      </c>
      <c r="D38" s="52" t="s">
        <v>55</v>
      </c>
      <c r="E38" s="47"/>
    </row>
    <row r="39" spans="1:6">
      <c r="A39" s="47"/>
      <c r="B39" s="47"/>
      <c r="C39" s="47"/>
      <c r="D39" s="47"/>
      <c r="E39" s="47"/>
    </row>
    <row r="40" spans="1:6">
      <c r="A40" s="61" t="s">
        <v>58</v>
      </c>
      <c r="B40" s="47"/>
      <c r="C40" s="47"/>
      <c r="D40" s="47"/>
      <c r="E40" s="47"/>
    </row>
    <row r="41" spans="1:6">
      <c r="A41" s="50" t="s">
        <v>24</v>
      </c>
      <c r="B41" s="50" t="s">
        <v>25</v>
      </c>
      <c r="C41" s="50" t="s">
        <v>26</v>
      </c>
      <c r="D41" s="50" t="s">
        <v>51</v>
      </c>
      <c r="E41" s="47"/>
    </row>
    <row r="42" spans="1:6">
      <c r="A42" s="52" t="s">
        <v>59</v>
      </c>
      <c r="B42" s="52" t="s">
        <v>53</v>
      </c>
      <c r="C42" s="64">
        <f>C32-C37</f>
        <v>1.5568047619047625</v>
      </c>
      <c r="D42" s="52" t="s">
        <v>55</v>
      </c>
      <c r="E42" s="47"/>
    </row>
    <row r="43" spans="1:6">
      <c r="A43" s="52" t="s">
        <v>59</v>
      </c>
      <c r="B43" s="52" t="s">
        <v>54</v>
      </c>
      <c r="C43" s="62">
        <f>C33-C38</f>
        <v>4.2652185257664732E-3</v>
      </c>
      <c r="D43" s="52" t="s">
        <v>55</v>
      </c>
      <c r="E43" s="47"/>
    </row>
    <row r="44" spans="1:6">
      <c r="A44" s="47"/>
      <c r="B44" s="47"/>
      <c r="C44" s="47"/>
      <c r="D44" s="47"/>
      <c r="E44" s="47"/>
    </row>
    <row r="46" spans="1:6" ht="13.5">
      <c r="A46" s="65"/>
      <c r="B46" s="65"/>
      <c r="C46" s="65"/>
      <c r="D46" s="65"/>
      <c r="E46" s="65"/>
    </row>
    <row r="47" spans="1:6" ht="13.5">
      <c r="A47" s="65"/>
      <c r="B47" s="65"/>
      <c r="C47" s="65"/>
      <c r="D47" s="65"/>
      <c r="E47" s="65"/>
    </row>
    <row r="49" spans="1:9" ht="15">
      <c r="A49" s="66" t="s">
        <v>60</v>
      </c>
      <c r="B49" s="65"/>
      <c r="C49" s="65"/>
      <c r="D49" s="65"/>
    </row>
    <row r="50" spans="1:9" ht="13.5">
      <c r="A50" s="1" t="s">
        <v>77</v>
      </c>
      <c r="B50" s="65"/>
      <c r="C50" s="65"/>
      <c r="D50" s="65"/>
    </row>
    <row r="51" spans="1:9" ht="13.5">
      <c r="A51" s="67" t="s">
        <v>61</v>
      </c>
      <c r="B51" s="67" t="s">
        <v>62</v>
      </c>
      <c r="C51" s="65"/>
      <c r="D51" s="65"/>
    </row>
    <row r="52" spans="1:9" ht="13.5">
      <c r="A52" s="68" t="s">
        <v>63</v>
      </c>
      <c r="B52" s="68">
        <v>112</v>
      </c>
      <c r="C52" s="65" t="s">
        <v>78</v>
      </c>
      <c r="D52" s="65"/>
    </row>
    <row r="53" spans="1:9" ht="13.5">
      <c r="A53" s="68" t="s">
        <v>64</v>
      </c>
      <c r="B53" s="68">
        <v>1.5599999999999999E-2</v>
      </c>
      <c r="C53" s="65" t="s">
        <v>79</v>
      </c>
      <c r="D53" s="65"/>
    </row>
    <row r="54" spans="1:9" ht="13.5">
      <c r="A54" s="68" t="s">
        <v>65</v>
      </c>
      <c r="B54" s="68">
        <f>B52*B53</f>
        <v>1.7471999999999999</v>
      </c>
      <c r="C54" s="65" t="s">
        <v>55</v>
      </c>
      <c r="D54" s="65"/>
    </row>
    <row r="55" spans="1:9" ht="13.5">
      <c r="C55" s="65"/>
      <c r="D55" s="65"/>
    </row>
    <row r="56" spans="1:9" ht="13.5">
      <c r="A56" s="1" t="s">
        <v>66</v>
      </c>
      <c r="B56" s="65"/>
      <c r="C56" s="65"/>
      <c r="D56" s="65"/>
    </row>
    <row r="57" spans="1:9" ht="13.5">
      <c r="A57" s="69" t="s">
        <v>61</v>
      </c>
      <c r="B57" s="69" t="s">
        <v>62</v>
      </c>
      <c r="C57" s="2"/>
      <c r="D57" s="2"/>
      <c r="E57" s="2"/>
    </row>
    <row r="58" spans="1:9" ht="13.5">
      <c r="A58" s="70" t="s">
        <v>67</v>
      </c>
      <c r="B58" s="70">
        <v>0.3</v>
      </c>
      <c r="C58" s="65" t="s">
        <v>78</v>
      </c>
      <c r="D58" s="2"/>
      <c r="E58" s="2"/>
    </row>
    <row r="59" spans="1:9" ht="13.5">
      <c r="A59" s="70" t="s">
        <v>83</v>
      </c>
      <c r="B59" s="70">
        <v>28</v>
      </c>
      <c r="C59" s="2" t="s">
        <v>86</v>
      </c>
      <c r="D59" s="2"/>
      <c r="E59" s="2"/>
      <c r="I59" s="74"/>
    </row>
    <row r="60" spans="1:9" ht="13.5">
      <c r="A60" s="70" t="s">
        <v>68</v>
      </c>
      <c r="B60" s="70">
        <f>B58*B59</f>
        <v>8.4</v>
      </c>
      <c r="C60" s="2" t="s">
        <v>55</v>
      </c>
      <c r="D60" s="2"/>
      <c r="E60" s="2"/>
    </row>
    <row r="61" spans="1:9" ht="13.5">
      <c r="A61" s="70" t="s">
        <v>64</v>
      </c>
      <c r="B61" s="70">
        <v>1.5599999999999999E-2</v>
      </c>
      <c r="C61" s="65" t="s">
        <v>79</v>
      </c>
      <c r="D61" s="2"/>
      <c r="E61" s="2"/>
    </row>
    <row r="62" spans="1:9" ht="13.5">
      <c r="A62" s="70" t="s">
        <v>69</v>
      </c>
      <c r="B62" s="71">
        <f>B60*B61</f>
        <v>0.13103999999999999</v>
      </c>
      <c r="C62" s="2" t="s">
        <v>55</v>
      </c>
      <c r="D62" s="2"/>
      <c r="E62" s="2"/>
      <c r="F62" s="74"/>
    </row>
    <row r="63" spans="1:9" ht="13.5">
      <c r="A63" s="65"/>
      <c r="B63" s="65"/>
      <c r="C63" s="2"/>
      <c r="D63" s="2"/>
      <c r="E63" s="2"/>
    </row>
    <row r="64" spans="1:9" ht="13.5">
      <c r="A64" s="1" t="s">
        <v>70</v>
      </c>
      <c r="B64" s="65"/>
      <c r="D64" s="2"/>
      <c r="E64" s="2"/>
    </row>
    <row r="65" spans="1:11" ht="13.5">
      <c r="A65" s="69" t="s">
        <v>61</v>
      </c>
      <c r="B65" s="69" t="s">
        <v>62</v>
      </c>
      <c r="C65" s="2"/>
    </row>
    <row r="66" spans="1:11" ht="13.5">
      <c r="A66" s="70" t="s">
        <v>71</v>
      </c>
      <c r="B66" s="70">
        <v>4.0000000000000001E-3</v>
      </c>
      <c r="C66" s="65" t="s">
        <v>78</v>
      </c>
    </row>
    <row r="67" spans="1:11" ht="13.5">
      <c r="A67" s="70" t="s">
        <v>82</v>
      </c>
      <c r="B67" s="70">
        <v>265</v>
      </c>
      <c r="C67" s="2" t="s">
        <v>86</v>
      </c>
      <c r="D67" s="65"/>
    </row>
    <row r="68" spans="1:11" ht="13.5">
      <c r="A68" s="70" t="s">
        <v>68</v>
      </c>
      <c r="B68" s="70">
        <f>B66*B67</f>
        <v>1.06</v>
      </c>
      <c r="C68" s="2" t="s">
        <v>55</v>
      </c>
      <c r="D68" s="65"/>
      <c r="G68" s="72"/>
    </row>
    <row r="69" spans="1:11" ht="13.5">
      <c r="A69" s="70" t="s">
        <v>72</v>
      </c>
      <c r="B69" s="70">
        <v>1.5599999999999999E-2</v>
      </c>
      <c r="C69" s="65" t="s">
        <v>78</v>
      </c>
      <c r="D69" s="65"/>
      <c r="G69" s="72"/>
    </row>
    <row r="70" spans="1:11" ht="13.5">
      <c r="A70" s="70" t="s">
        <v>69</v>
      </c>
      <c r="B70" s="71">
        <f>B68*B69</f>
        <v>1.6535999999999999E-2</v>
      </c>
      <c r="C70" s="2" t="s">
        <v>55</v>
      </c>
      <c r="D70" s="65"/>
      <c r="G70" s="72"/>
    </row>
    <row r="71" spans="1:11" ht="13.5">
      <c r="D71" s="65"/>
    </row>
    <row r="72" spans="1:11" ht="13.5">
      <c r="A72" s="1" t="s">
        <v>73</v>
      </c>
      <c r="D72" s="65"/>
      <c r="H72" s="65"/>
      <c r="I72" s="65"/>
    </row>
    <row r="73" spans="1:11" ht="13.5">
      <c r="A73" s="69" t="s">
        <v>61</v>
      </c>
      <c r="B73" s="69" t="s">
        <v>62</v>
      </c>
      <c r="C73" s="2"/>
      <c r="D73" s="65"/>
      <c r="H73" s="65"/>
      <c r="I73" s="65"/>
      <c r="J73" s="65"/>
      <c r="K73" s="65"/>
    </row>
    <row r="74" spans="1:11" ht="13.5">
      <c r="A74" s="70" t="s">
        <v>69</v>
      </c>
      <c r="B74" s="71">
        <f>B62+B70</f>
        <v>0.14757599999999998</v>
      </c>
      <c r="C74" s="65" t="s">
        <v>55</v>
      </c>
      <c r="D74" s="65"/>
    </row>
    <row r="75" spans="1:11" ht="13.5">
      <c r="A75" s="65"/>
      <c r="B75" s="65"/>
      <c r="C75" s="65"/>
      <c r="D75" s="65"/>
      <c r="E75" s="65"/>
    </row>
    <row r="76" spans="1:11" ht="13.5">
      <c r="A76" s="65"/>
      <c r="B76" s="65"/>
      <c r="C76" s="65"/>
      <c r="D76" s="65"/>
      <c r="E76" s="65"/>
    </row>
    <row r="77" spans="1:11" ht="13.5">
      <c r="A77" s="184"/>
      <c r="B77" s="184"/>
      <c r="C77" s="184"/>
      <c r="D77" s="184"/>
      <c r="E77" s="184"/>
      <c r="F77" s="185"/>
      <c r="G77" s="185"/>
      <c r="H77" s="185"/>
      <c r="I77" s="185"/>
      <c r="J77" s="185"/>
      <c r="K77" s="185"/>
    </row>
    <row r="78" spans="1:11" ht="13.5">
      <c r="A78" s="184"/>
      <c r="B78" s="184"/>
      <c r="C78" s="184"/>
      <c r="D78" s="184"/>
      <c r="E78" s="184"/>
      <c r="F78" s="185"/>
      <c r="G78" s="186"/>
      <c r="H78" s="185"/>
      <c r="I78" s="185"/>
      <c r="J78" s="185"/>
      <c r="K78" s="185"/>
    </row>
    <row r="79" spans="1:11" ht="13.5">
      <c r="A79" s="187"/>
      <c r="B79" s="184"/>
      <c r="C79" s="184"/>
      <c r="D79" s="184"/>
      <c r="E79" s="184"/>
      <c r="F79" s="185"/>
      <c r="G79" s="187"/>
      <c r="H79" s="184"/>
      <c r="I79" s="184"/>
      <c r="J79" s="184"/>
      <c r="K79" s="185"/>
    </row>
    <row r="80" spans="1:11" ht="14">
      <c r="A80" s="188"/>
      <c r="B80" s="188"/>
      <c r="C80" s="188"/>
      <c r="D80" s="188"/>
      <c r="E80" s="184"/>
      <c r="F80" s="185"/>
      <c r="G80" s="188"/>
      <c r="H80" s="188"/>
      <c r="I80" s="188"/>
      <c r="J80" s="188"/>
      <c r="K80" s="185"/>
    </row>
    <row r="81" spans="1:11" ht="14">
      <c r="A81" s="189"/>
      <c r="B81" s="190"/>
      <c r="C81" s="190"/>
      <c r="D81" s="190"/>
      <c r="E81" s="184"/>
      <c r="F81" s="185"/>
      <c r="G81" s="189"/>
      <c r="H81" s="190"/>
      <c r="I81" s="190"/>
      <c r="J81" s="190"/>
      <c r="K81" s="185"/>
    </row>
    <row r="82" spans="1:11" ht="14">
      <c r="A82" s="189"/>
      <c r="B82" s="190"/>
      <c r="C82" s="190"/>
      <c r="D82" s="190"/>
      <c r="E82" s="184"/>
      <c r="F82" s="185"/>
      <c r="G82" s="189"/>
      <c r="H82" s="190"/>
      <c r="I82" s="190"/>
      <c r="J82" s="190"/>
      <c r="K82" s="185"/>
    </row>
    <row r="83" spans="1:11" ht="14">
      <c r="A83" s="189"/>
      <c r="B83" s="190"/>
      <c r="C83" s="190"/>
      <c r="D83" s="190"/>
      <c r="E83" s="184"/>
      <c r="F83" s="185"/>
      <c r="G83" s="189"/>
      <c r="H83" s="190"/>
      <c r="I83" s="190"/>
      <c r="J83" s="190"/>
      <c r="K83" s="185"/>
    </row>
    <row r="84" spans="1:11" ht="14">
      <c r="A84" s="189"/>
      <c r="B84" s="190"/>
      <c r="C84" s="190"/>
      <c r="D84" s="190"/>
      <c r="E84" s="184"/>
      <c r="F84" s="185"/>
      <c r="G84" s="189"/>
      <c r="H84" s="190"/>
      <c r="I84" s="190"/>
      <c r="J84" s="190"/>
      <c r="K84" s="185"/>
    </row>
    <row r="85" spans="1:11" ht="14">
      <c r="A85" s="189"/>
      <c r="B85" s="190"/>
      <c r="C85" s="190"/>
      <c r="D85" s="190"/>
      <c r="E85" s="184"/>
      <c r="F85" s="185"/>
      <c r="G85" s="189"/>
      <c r="H85" s="190"/>
      <c r="I85" s="190"/>
      <c r="J85" s="190"/>
      <c r="K85" s="185"/>
    </row>
    <row r="86" spans="1:11" ht="14">
      <c r="A86" s="189"/>
      <c r="B86" s="190"/>
      <c r="C86" s="190"/>
      <c r="D86" s="190"/>
      <c r="E86" s="184"/>
      <c r="F86" s="185"/>
      <c r="G86" s="189"/>
      <c r="H86" s="190"/>
      <c r="I86" s="190"/>
      <c r="J86" s="190"/>
      <c r="K86" s="185"/>
    </row>
    <row r="87" spans="1:11" ht="14">
      <c r="A87" s="189"/>
      <c r="B87" s="190"/>
      <c r="C87" s="190"/>
      <c r="D87" s="190"/>
      <c r="E87" s="184"/>
      <c r="F87" s="185"/>
      <c r="G87" s="189"/>
      <c r="H87" s="190"/>
      <c r="I87" s="190"/>
      <c r="J87" s="190"/>
      <c r="K87" s="185"/>
    </row>
    <row r="88" spans="1:11" ht="14">
      <c r="A88" s="191"/>
      <c r="B88" s="190"/>
      <c r="C88" s="190"/>
      <c r="D88" s="190"/>
      <c r="E88" s="185"/>
      <c r="F88" s="185"/>
      <c r="G88" s="191"/>
      <c r="H88" s="190"/>
      <c r="I88" s="190"/>
      <c r="J88" s="190"/>
      <c r="K88" s="185"/>
    </row>
    <row r="89" spans="1:11" ht="14">
      <c r="A89" s="191"/>
      <c r="B89" s="193"/>
      <c r="C89" s="193"/>
      <c r="D89" s="193"/>
      <c r="E89" s="185"/>
      <c r="F89" s="185"/>
      <c r="G89" s="191"/>
      <c r="H89" s="193"/>
      <c r="I89" s="193"/>
      <c r="J89" s="193"/>
      <c r="K89" s="185"/>
    </row>
    <row r="90" spans="1:11" ht="14">
      <c r="A90" s="192"/>
      <c r="B90" s="190"/>
      <c r="C90" s="190"/>
      <c r="D90" s="189"/>
      <c r="E90" s="185"/>
      <c r="F90" s="185"/>
      <c r="G90" s="192"/>
      <c r="H90" s="190"/>
      <c r="I90" s="190"/>
      <c r="J90" s="189"/>
      <c r="K90" s="185"/>
    </row>
    <row r="91" spans="1:11">
      <c r="A91" s="185"/>
      <c r="B91" s="185"/>
      <c r="C91" s="185"/>
      <c r="D91" s="185"/>
      <c r="E91" s="185"/>
      <c r="F91" s="185"/>
      <c r="G91" s="185"/>
      <c r="H91" s="185"/>
      <c r="I91" s="185"/>
      <c r="J91" s="185"/>
      <c r="K91" s="185"/>
    </row>
    <row r="92" spans="1:11">
      <c r="A92" s="185"/>
      <c r="B92" s="185"/>
      <c r="C92" s="185"/>
      <c r="D92" s="185"/>
      <c r="E92" s="185"/>
      <c r="F92" s="185"/>
      <c r="G92" s="185"/>
      <c r="H92" s="185"/>
      <c r="I92" s="185"/>
      <c r="J92" s="185"/>
      <c r="K92" s="185"/>
    </row>
    <row r="93" spans="1:11">
      <c r="A93" s="185"/>
      <c r="B93" s="185"/>
      <c r="C93" s="185"/>
      <c r="D93" s="185"/>
      <c r="E93" s="185"/>
      <c r="F93" s="185"/>
      <c r="G93" s="185"/>
      <c r="H93" s="185"/>
      <c r="I93" s="185"/>
      <c r="J93" s="185"/>
      <c r="K93" s="185"/>
    </row>
    <row r="94" spans="1:11">
      <c r="A94" s="185"/>
      <c r="B94" s="185"/>
      <c r="C94" s="185"/>
      <c r="D94" s="185"/>
      <c r="E94" s="185"/>
      <c r="F94" s="185"/>
      <c r="G94" s="185"/>
      <c r="H94" s="185"/>
      <c r="I94" s="185"/>
      <c r="J94" s="185"/>
      <c r="K94" s="185"/>
    </row>
    <row r="95" spans="1:11">
      <c r="A95" s="185"/>
      <c r="B95" s="185"/>
      <c r="C95" s="185"/>
      <c r="D95" s="185"/>
      <c r="E95" s="185"/>
      <c r="F95" s="185"/>
      <c r="G95" s="185"/>
      <c r="H95" s="185"/>
      <c r="I95" s="185"/>
      <c r="J95" s="185"/>
      <c r="K95" s="185"/>
    </row>
    <row r="96" spans="1:11">
      <c r="A96" s="185"/>
      <c r="B96" s="185"/>
      <c r="C96" s="185"/>
      <c r="D96" s="185"/>
      <c r="E96" s="185"/>
      <c r="F96" s="185"/>
      <c r="G96" s="185"/>
      <c r="H96" s="185"/>
      <c r="I96" s="185"/>
      <c r="J96" s="185"/>
      <c r="K96" s="185"/>
    </row>
    <row r="97" spans="1:11">
      <c r="A97" s="185"/>
      <c r="B97" s="185"/>
      <c r="C97" s="185"/>
      <c r="D97" s="185"/>
      <c r="E97" s="185"/>
      <c r="F97" s="185"/>
      <c r="G97" s="185"/>
      <c r="H97" s="185"/>
      <c r="I97" s="185"/>
      <c r="J97" s="185"/>
      <c r="K97" s="185"/>
    </row>
    <row r="98" spans="1:11">
      <c r="A98" s="185"/>
      <c r="B98" s="185"/>
      <c r="C98" s="185"/>
      <c r="D98" s="185"/>
      <c r="E98" s="185"/>
      <c r="F98" s="185"/>
      <c r="G98" s="185"/>
      <c r="H98" s="185"/>
      <c r="I98" s="185"/>
      <c r="J98" s="185"/>
      <c r="K98" s="185"/>
    </row>
    <row r="99" spans="1:11">
      <c r="A99" s="185"/>
      <c r="B99" s="185"/>
      <c r="C99" s="185"/>
      <c r="D99" s="185"/>
      <c r="E99" s="185"/>
      <c r="F99" s="185"/>
      <c r="G99" s="185"/>
      <c r="H99" s="185"/>
      <c r="I99" s="185"/>
      <c r="J99" s="185"/>
      <c r="K99" s="185"/>
    </row>
    <row r="100" spans="1:11">
      <c r="A100" s="185"/>
      <c r="B100" s="185"/>
      <c r="C100" s="185"/>
      <c r="D100" s="185"/>
      <c r="E100" s="185"/>
      <c r="F100" s="185"/>
      <c r="G100" s="185"/>
      <c r="H100" s="185"/>
      <c r="I100" s="185"/>
      <c r="J100" s="185"/>
      <c r="K100" s="185"/>
    </row>
    <row r="101" spans="1:11">
      <c r="A101" s="185"/>
      <c r="B101" s="185"/>
      <c r="C101" s="185"/>
      <c r="D101" s="185"/>
      <c r="E101" s="185"/>
      <c r="F101" s="185"/>
      <c r="G101" s="185"/>
      <c r="H101" s="185"/>
      <c r="I101" s="185"/>
      <c r="J101" s="185"/>
      <c r="K101" s="185"/>
    </row>
    <row r="102" spans="1:11">
      <c r="A102" s="185"/>
      <c r="B102" s="185"/>
      <c r="C102" s="185"/>
      <c r="D102" s="185"/>
      <c r="E102" s="185"/>
      <c r="F102" s="185"/>
      <c r="G102" s="185"/>
      <c r="H102" s="185"/>
      <c r="I102" s="185"/>
      <c r="J102" s="185"/>
      <c r="K102" s="185"/>
    </row>
    <row r="103" spans="1:11">
      <c r="A103" s="185"/>
      <c r="B103" s="185"/>
      <c r="C103" s="185"/>
      <c r="D103" s="185"/>
      <c r="E103" s="185"/>
      <c r="F103" s="185"/>
      <c r="G103" s="185"/>
      <c r="H103" s="185"/>
      <c r="I103" s="185"/>
      <c r="J103" s="185"/>
      <c r="K103" s="185"/>
    </row>
    <row r="104" spans="1:11">
      <c r="A104" s="185"/>
      <c r="B104" s="185"/>
      <c r="C104" s="185"/>
      <c r="D104" s="185"/>
      <c r="E104" s="185"/>
      <c r="F104" s="185"/>
      <c r="G104" s="185"/>
      <c r="H104" s="185"/>
      <c r="I104" s="185"/>
      <c r="J104" s="185"/>
      <c r="K104" s="185"/>
    </row>
    <row r="105" spans="1:11">
      <c r="A105" s="185"/>
      <c r="B105" s="185"/>
      <c r="C105" s="185"/>
      <c r="D105" s="185"/>
      <c r="E105" s="185"/>
      <c r="F105" s="185"/>
      <c r="G105" s="185"/>
      <c r="H105" s="185"/>
      <c r="I105" s="185"/>
      <c r="J105" s="185"/>
      <c r="K105" s="185"/>
    </row>
    <row r="106" spans="1:11">
      <c r="A106" s="185"/>
      <c r="B106" s="185"/>
      <c r="C106" s="185"/>
      <c r="D106" s="185"/>
      <c r="E106" s="185"/>
      <c r="F106" s="185"/>
      <c r="G106" s="185"/>
      <c r="H106" s="185"/>
      <c r="I106" s="185"/>
      <c r="J106" s="185"/>
      <c r="K106" s="185"/>
    </row>
    <row r="107" spans="1:11">
      <c r="A107" s="185"/>
      <c r="B107" s="185"/>
      <c r="C107" s="185"/>
      <c r="D107" s="185"/>
      <c r="E107" s="185"/>
      <c r="F107" s="185"/>
      <c r="G107" s="185"/>
      <c r="H107" s="185"/>
      <c r="I107" s="185"/>
      <c r="J107" s="185"/>
      <c r="K107" s="185"/>
    </row>
    <row r="108" spans="1:11">
      <c r="A108" s="185"/>
      <c r="B108" s="185"/>
      <c r="C108" s="185"/>
      <c r="D108" s="185"/>
      <c r="E108" s="185"/>
      <c r="F108" s="185"/>
      <c r="G108" s="185"/>
      <c r="H108" s="185"/>
      <c r="I108" s="185"/>
      <c r="J108" s="185"/>
      <c r="K108" s="185"/>
    </row>
    <row r="109" spans="1:11">
      <c r="A109" s="185"/>
      <c r="B109" s="185"/>
      <c r="C109" s="185"/>
      <c r="D109" s="185"/>
      <c r="E109" s="185"/>
      <c r="F109" s="185"/>
      <c r="G109" s="185"/>
      <c r="H109" s="185"/>
      <c r="I109" s="185"/>
      <c r="J109" s="185"/>
      <c r="K109" s="185"/>
    </row>
    <row r="110" spans="1:11">
      <c r="A110" s="185"/>
      <c r="B110" s="185"/>
      <c r="C110" s="185"/>
      <c r="D110" s="185"/>
      <c r="E110" s="185"/>
      <c r="F110" s="185"/>
      <c r="G110" s="185"/>
      <c r="H110" s="185"/>
      <c r="I110" s="185"/>
      <c r="J110" s="185"/>
      <c r="K110" s="185"/>
    </row>
    <row r="111" spans="1:11">
      <c r="A111" s="185"/>
      <c r="B111" s="185"/>
      <c r="C111" s="185"/>
      <c r="D111" s="185"/>
      <c r="E111" s="185"/>
      <c r="F111" s="185"/>
      <c r="G111" s="185"/>
      <c r="H111" s="185"/>
      <c r="I111" s="185"/>
      <c r="J111" s="185"/>
      <c r="K111" s="185"/>
    </row>
    <row r="112" spans="1:11">
      <c r="A112" s="185"/>
      <c r="B112" s="185"/>
      <c r="C112" s="185"/>
      <c r="D112" s="185"/>
      <c r="E112" s="185"/>
      <c r="F112" s="185"/>
      <c r="G112" s="185"/>
      <c r="H112" s="185"/>
      <c r="I112" s="185"/>
      <c r="J112" s="185"/>
      <c r="K112" s="185"/>
    </row>
    <row r="113" spans="1:11">
      <c r="A113" s="185"/>
      <c r="B113" s="185"/>
      <c r="C113" s="185"/>
      <c r="D113" s="185"/>
      <c r="E113" s="185"/>
      <c r="F113" s="185"/>
      <c r="G113" s="185"/>
      <c r="H113" s="185"/>
      <c r="I113" s="185"/>
      <c r="J113" s="185"/>
      <c r="K113" s="185"/>
    </row>
    <row r="114" spans="1:11">
      <c r="A114" s="185"/>
      <c r="B114" s="185"/>
      <c r="C114" s="185"/>
      <c r="D114" s="185"/>
      <c r="E114" s="185"/>
      <c r="F114" s="185"/>
      <c r="G114" s="185"/>
      <c r="H114" s="185"/>
      <c r="I114" s="185"/>
      <c r="J114" s="185"/>
      <c r="K114" s="185"/>
    </row>
    <row r="115" spans="1:11">
      <c r="A115" s="185"/>
      <c r="B115" s="185"/>
      <c r="C115" s="185"/>
      <c r="D115" s="185"/>
      <c r="E115" s="185"/>
      <c r="F115" s="185"/>
      <c r="G115" s="185"/>
      <c r="H115" s="185"/>
      <c r="I115" s="185"/>
      <c r="J115" s="185"/>
      <c r="K115" s="185"/>
    </row>
    <row r="116" spans="1:11">
      <c r="A116" s="185"/>
      <c r="B116" s="185"/>
      <c r="C116" s="185"/>
      <c r="D116" s="185"/>
      <c r="E116" s="185"/>
      <c r="F116" s="185"/>
      <c r="G116" s="185"/>
      <c r="H116" s="185"/>
      <c r="I116" s="185"/>
      <c r="J116" s="185"/>
      <c r="K116" s="185"/>
    </row>
    <row r="117" spans="1:11">
      <c r="A117" s="185"/>
      <c r="B117" s="185"/>
      <c r="C117" s="185"/>
      <c r="D117" s="185"/>
      <c r="E117" s="185"/>
      <c r="F117" s="185"/>
      <c r="G117" s="185"/>
      <c r="H117" s="185"/>
      <c r="I117" s="185"/>
      <c r="J117" s="185"/>
      <c r="K117" s="185"/>
    </row>
    <row r="118" spans="1:11">
      <c r="A118" s="185"/>
      <c r="B118" s="185"/>
      <c r="C118" s="185"/>
      <c r="D118" s="185"/>
      <c r="E118" s="185"/>
      <c r="F118" s="185"/>
      <c r="G118" s="185"/>
      <c r="H118" s="185"/>
      <c r="I118" s="185"/>
      <c r="J118" s="185"/>
      <c r="K118" s="185"/>
    </row>
    <row r="119" spans="1:11">
      <c r="A119" s="185"/>
      <c r="B119" s="185"/>
      <c r="C119" s="185"/>
      <c r="D119" s="185"/>
      <c r="E119" s="185"/>
      <c r="F119" s="185"/>
      <c r="G119" s="185"/>
      <c r="H119" s="185"/>
      <c r="I119" s="185"/>
      <c r="J119" s="185"/>
      <c r="K119" s="185"/>
    </row>
    <row r="120" spans="1:11">
      <c r="A120" s="185"/>
      <c r="B120" s="185"/>
      <c r="C120" s="185"/>
      <c r="D120" s="185"/>
      <c r="E120" s="185"/>
      <c r="F120" s="185"/>
      <c r="G120" s="185"/>
      <c r="H120" s="185"/>
      <c r="I120" s="185"/>
      <c r="J120" s="185"/>
      <c r="K120" s="185"/>
    </row>
    <row r="121" spans="1:11">
      <c r="A121" s="185"/>
      <c r="B121" s="185"/>
      <c r="C121" s="185"/>
      <c r="D121" s="185"/>
      <c r="E121" s="185"/>
      <c r="F121" s="185"/>
      <c r="G121" s="185"/>
      <c r="H121" s="185"/>
      <c r="I121" s="185"/>
      <c r="J121" s="185"/>
      <c r="K121" s="185"/>
    </row>
  </sheetData>
  <mergeCells count="1">
    <mergeCell ref="A22:D22"/>
  </mergeCells>
  <pageMargins left="0.7" right="0.7" top="0.75" bottom="0.75" header="0.3" footer="0.3"/>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7"/>
  <sheetViews>
    <sheetView zoomScale="85" zoomScaleNormal="85" workbookViewId="0">
      <selection activeCell="A2" sqref="A2"/>
    </sheetView>
  </sheetViews>
  <sheetFormatPr baseColWidth="10" defaultColWidth="11" defaultRowHeight="14.5"/>
  <cols>
    <col min="1" max="1" width="11" style="78"/>
    <col min="2" max="2" width="22.765625" style="78" customWidth="1"/>
    <col min="3" max="4" width="11" style="78"/>
    <col min="5" max="5" width="20.4609375" style="78" customWidth="1"/>
    <col min="6" max="16384" width="11" style="78"/>
  </cols>
  <sheetData>
    <row r="1" spans="1:5">
      <c r="A1" s="195" t="s">
        <v>489</v>
      </c>
    </row>
    <row r="4" spans="1:5">
      <c r="B4" s="95" t="s">
        <v>120</v>
      </c>
      <c r="C4" s="78" t="s">
        <v>121</v>
      </c>
      <c r="E4" s="78" t="s">
        <v>122</v>
      </c>
    </row>
    <row r="5" spans="1:5">
      <c r="B5" s="96" t="s">
        <v>123</v>
      </c>
      <c r="C5" s="97">
        <v>0.66</v>
      </c>
      <c r="D5" s="101"/>
      <c r="E5" s="102"/>
    </row>
    <row r="6" spans="1:5">
      <c r="B6" s="96" t="s">
        <v>124</v>
      </c>
      <c r="C6" s="97">
        <v>0.63</v>
      </c>
      <c r="D6" s="101"/>
      <c r="E6" s="102"/>
    </row>
    <row r="7" spans="1:5">
      <c r="B7" s="96" t="s">
        <v>125</v>
      </c>
      <c r="C7" s="97">
        <v>0.67</v>
      </c>
      <c r="D7" s="101"/>
      <c r="E7" s="102"/>
    </row>
    <row r="8" spans="1:5">
      <c r="B8" s="96" t="s">
        <v>126</v>
      </c>
      <c r="C8" s="97">
        <v>0.78</v>
      </c>
      <c r="D8" s="101"/>
      <c r="E8" s="102"/>
    </row>
    <row r="9" spans="1:5">
      <c r="B9" s="96" t="s">
        <v>127</v>
      </c>
      <c r="C9" s="97">
        <v>0.47</v>
      </c>
      <c r="D9" s="101"/>
      <c r="E9" s="102"/>
    </row>
    <row r="10" spans="1:5">
      <c r="B10" s="96" t="s">
        <v>128</v>
      </c>
      <c r="C10" s="97">
        <v>0.52</v>
      </c>
      <c r="D10" s="101"/>
      <c r="E10" s="102"/>
    </row>
    <row r="11" spans="1:5">
      <c r="B11" s="96" t="s">
        <v>129</v>
      </c>
      <c r="C11" s="97">
        <v>0.51</v>
      </c>
      <c r="D11" s="101"/>
      <c r="E11" s="102"/>
    </row>
    <row r="12" spans="1:5">
      <c r="B12" s="96" t="s">
        <v>130</v>
      </c>
      <c r="C12" s="97">
        <v>0.52</v>
      </c>
      <c r="D12" s="101"/>
      <c r="E12" s="102"/>
    </row>
    <row r="13" spans="1:5">
      <c r="B13" s="96" t="s">
        <v>131</v>
      </c>
      <c r="C13" s="97">
        <v>0.46</v>
      </c>
      <c r="D13" s="101"/>
      <c r="E13" s="102"/>
    </row>
    <row r="14" spans="1:5">
      <c r="B14" s="96" t="s">
        <v>132</v>
      </c>
      <c r="C14" s="97">
        <v>0.63</v>
      </c>
      <c r="D14" s="101"/>
      <c r="E14" s="102"/>
    </row>
    <row r="15" spans="1:5">
      <c r="B15" s="96" t="s">
        <v>133</v>
      </c>
      <c r="C15" s="97">
        <v>0.45</v>
      </c>
      <c r="D15" s="101"/>
      <c r="E15" s="102"/>
    </row>
    <row r="16" spans="1:5">
      <c r="B16" s="96" t="s">
        <v>134</v>
      </c>
      <c r="C16" s="97">
        <v>0.33</v>
      </c>
      <c r="D16" s="101"/>
      <c r="E16" s="102"/>
    </row>
    <row r="17" spans="2:5">
      <c r="B17" s="96" t="s">
        <v>135</v>
      </c>
      <c r="C17" s="97">
        <v>0.63</v>
      </c>
      <c r="D17" s="101"/>
      <c r="E17" s="102"/>
    </row>
    <row r="18" spans="2:5">
      <c r="B18" s="96" t="s">
        <v>136</v>
      </c>
      <c r="C18" s="97">
        <v>0.63</v>
      </c>
      <c r="D18" s="101"/>
      <c r="E18" s="102"/>
    </row>
    <row r="19" spans="2:5">
      <c r="B19" s="96" t="s">
        <v>137</v>
      </c>
      <c r="C19" s="97">
        <v>0.63</v>
      </c>
      <c r="D19" s="101"/>
      <c r="E19" s="102"/>
    </row>
    <row r="20" spans="2:5">
      <c r="B20" s="96" t="s">
        <v>138</v>
      </c>
      <c r="C20" s="97">
        <v>0.28999999999999998</v>
      </c>
      <c r="D20" s="101"/>
      <c r="E20" s="102"/>
    </row>
    <row r="21" spans="2:5">
      <c r="B21" s="96" t="s">
        <v>139</v>
      </c>
      <c r="C21" s="97">
        <v>0.74</v>
      </c>
      <c r="D21" s="101"/>
      <c r="E21" s="102"/>
    </row>
    <row r="22" spans="2:5">
      <c r="B22" s="96" t="s">
        <v>140</v>
      </c>
      <c r="C22" s="97">
        <v>0.5</v>
      </c>
      <c r="D22" s="101"/>
      <c r="E22" s="102"/>
    </row>
    <row r="23" spans="2:5">
      <c r="B23" s="96" t="s">
        <v>141</v>
      </c>
      <c r="C23" s="97">
        <v>0.78</v>
      </c>
      <c r="D23" s="101"/>
      <c r="E23" s="102"/>
    </row>
    <row r="24" spans="2:5">
      <c r="B24" s="96" t="s">
        <v>142</v>
      </c>
      <c r="C24" s="97">
        <v>0.32</v>
      </c>
      <c r="D24" s="101"/>
      <c r="E24" s="102"/>
    </row>
    <row r="25" spans="2:5">
      <c r="B25" s="96" t="s">
        <v>143</v>
      </c>
      <c r="C25" s="97">
        <v>0.37</v>
      </c>
      <c r="D25" s="101"/>
      <c r="E25" s="102"/>
    </row>
    <row r="26" spans="2:5">
      <c r="B26" s="96" t="s">
        <v>144</v>
      </c>
      <c r="C26" s="97">
        <v>0.38</v>
      </c>
      <c r="D26" s="101"/>
      <c r="E26" s="102"/>
    </row>
    <row r="27" spans="2:5">
      <c r="B27" s="96" t="s">
        <v>145</v>
      </c>
      <c r="C27" s="97">
        <v>0.5</v>
      </c>
      <c r="D27" s="101"/>
      <c r="E27" s="101"/>
    </row>
    <row r="28" spans="2:5">
      <c r="B28" s="96" t="s">
        <v>146</v>
      </c>
      <c r="C28" s="97">
        <v>0.37</v>
      </c>
      <c r="D28" s="101"/>
      <c r="E28" s="101"/>
    </row>
    <row r="29" spans="2:5">
      <c r="B29" s="96" t="s">
        <v>147</v>
      </c>
      <c r="C29" s="97">
        <v>0.78</v>
      </c>
      <c r="D29" s="101"/>
      <c r="E29" s="101"/>
    </row>
    <row r="30" spans="2:5">
      <c r="B30" s="96" t="s">
        <v>148</v>
      </c>
      <c r="C30" s="97">
        <v>0.71</v>
      </c>
      <c r="D30" s="101"/>
      <c r="E30" s="101"/>
    </row>
    <row r="31" spans="2:5">
      <c r="B31" s="96" t="s">
        <v>149</v>
      </c>
      <c r="C31" s="97">
        <v>0.63</v>
      </c>
      <c r="D31" s="101"/>
      <c r="E31" s="101"/>
    </row>
    <row r="32" spans="2:5">
      <c r="B32" s="96" t="s">
        <v>150</v>
      </c>
      <c r="C32" s="97">
        <v>0.93</v>
      </c>
      <c r="D32" s="101"/>
      <c r="E32" s="101"/>
    </row>
    <row r="33" spans="2:5">
      <c r="B33" s="96" t="s">
        <v>151</v>
      </c>
      <c r="C33" s="97">
        <v>0.63</v>
      </c>
      <c r="D33" s="101"/>
      <c r="E33" s="101"/>
    </row>
    <row r="34" spans="2:5">
      <c r="B34" s="96" t="s">
        <v>152</v>
      </c>
      <c r="C34" s="97">
        <v>0.63</v>
      </c>
      <c r="D34" s="101"/>
      <c r="E34" s="101"/>
    </row>
    <row r="35" spans="2:5">
      <c r="B35" s="96" t="s">
        <v>153</v>
      </c>
      <c r="C35" s="97">
        <v>0.56000000000000005</v>
      </c>
      <c r="D35" s="101"/>
      <c r="E35" s="101"/>
    </row>
    <row r="36" spans="2:5">
      <c r="B36" s="96" t="s">
        <v>154</v>
      </c>
      <c r="C36" s="97">
        <v>0.7</v>
      </c>
      <c r="D36" s="101"/>
      <c r="E36" s="101"/>
    </row>
    <row r="37" spans="2:5">
      <c r="B37" s="96" t="s">
        <v>155</v>
      </c>
      <c r="C37" s="97">
        <v>0.5</v>
      </c>
      <c r="D37" s="101"/>
      <c r="E37" s="101"/>
    </row>
    <row r="38" spans="2:5">
      <c r="B38" s="96" t="s">
        <v>156</v>
      </c>
      <c r="C38" s="97">
        <v>0.5</v>
      </c>
      <c r="D38" s="101"/>
      <c r="E38" s="101"/>
    </row>
    <row r="39" spans="2:5">
      <c r="B39" s="96" t="s">
        <v>157</v>
      </c>
      <c r="C39" s="97">
        <v>0.6</v>
      </c>
      <c r="D39" s="101"/>
      <c r="E39" s="101"/>
    </row>
    <row r="40" spans="2:5">
      <c r="B40" s="96" t="s">
        <v>158</v>
      </c>
      <c r="C40" s="97">
        <v>0.56000000000000005</v>
      </c>
      <c r="D40" s="101"/>
      <c r="E40" s="101"/>
    </row>
    <row r="41" spans="2:5">
      <c r="B41" s="96" t="s">
        <v>159</v>
      </c>
      <c r="C41" s="97">
        <v>0.57999999999999996</v>
      </c>
      <c r="D41" s="101"/>
      <c r="E41" s="101"/>
    </row>
    <row r="42" spans="2:5">
      <c r="B42" s="96" t="s">
        <v>160</v>
      </c>
      <c r="C42" s="97">
        <v>0.74</v>
      </c>
      <c r="D42" s="101"/>
      <c r="E42" s="101"/>
    </row>
    <row r="43" spans="2:5">
      <c r="B43" s="96" t="s">
        <v>161</v>
      </c>
      <c r="C43" s="97">
        <v>0.32</v>
      </c>
      <c r="D43" s="101"/>
      <c r="E43" s="101"/>
    </row>
    <row r="44" spans="2:5">
      <c r="B44" s="96" t="s">
        <v>162</v>
      </c>
      <c r="C44" s="97">
        <v>0.41</v>
      </c>
      <c r="D44" s="101"/>
      <c r="E44" s="101"/>
    </row>
    <row r="45" spans="2:5">
      <c r="B45" s="96" t="s">
        <v>163</v>
      </c>
      <c r="C45" s="97">
        <v>0.36</v>
      </c>
      <c r="D45" s="101"/>
      <c r="E45" s="101"/>
    </row>
    <row r="46" spans="2:5">
      <c r="B46" s="96" t="s">
        <v>164</v>
      </c>
      <c r="C46" s="97">
        <v>0.4</v>
      </c>
      <c r="D46" s="101"/>
      <c r="E46" s="101"/>
    </row>
    <row r="47" spans="2:5">
      <c r="B47" s="96" t="s">
        <v>165</v>
      </c>
      <c r="C47" s="97">
        <v>0.56000000000000005</v>
      </c>
      <c r="D47" s="101"/>
      <c r="E47" s="101"/>
    </row>
    <row r="48" spans="2:5">
      <c r="B48" s="96" t="s">
        <v>166</v>
      </c>
      <c r="C48" s="97">
        <v>0.45</v>
      </c>
      <c r="D48" s="101"/>
      <c r="E48" s="101"/>
    </row>
    <row r="49" spans="2:5">
      <c r="B49" s="96" t="s">
        <v>167</v>
      </c>
      <c r="C49" s="97">
        <v>0.5</v>
      </c>
      <c r="D49" s="101"/>
      <c r="E49" s="101"/>
    </row>
    <row r="50" spans="2:5">
      <c r="B50" s="96" t="s">
        <v>168</v>
      </c>
      <c r="C50" s="97">
        <v>0.52</v>
      </c>
      <c r="D50" s="101"/>
      <c r="E50" s="101"/>
    </row>
    <row r="51" spans="2:5">
      <c r="B51" s="96" t="s">
        <v>169</v>
      </c>
      <c r="C51" s="97">
        <v>0.5</v>
      </c>
      <c r="D51" s="101"/>
      <c r="E51" s="101"/>
    </row>
    <row r="52" spans="2:5">
      <c r="B52" s="96" t="s">
        <v>170</v>
      </c>
      <c r="C52" s="97">
        <v>0.47</v>
      </c>
      <c r="D52" s="101"/>
      <c r="E52" s="101"/>
    </row>
    <row r="53" spans="2:5">
      <c r="B53" s="96" t="s">
        <v>171</v>
      </c>
      <c r="C53" s="97">
        <v>0.66</v>
      </c>
      <c r="D53" s="101"/>
      <c r="E53" s="101"/>
    </row>
    <row r="54" spans="2:5">
      <c r="B54" s="96" t="s">
        <v>172</v>
      </c>
      <c r="C54" s="97">
        <v>0.63</v>
      </c>
      <c r="D54" s="101"/>
      <c r="E54" s="101"/>
    </row>
    <row r="55" spans="2:5">
      <c r="B55" s="96" t="s">
        <v>173</v>
      </c>
      <c r="C55" s="97">
        <v>0.4</v>
      </c>
      <c r="D55" s="101"/>
      <c r="E55" s="101"/>
    </row>
    <row r="56" spans="2:5">
      <c r="B56" s="96" t="s">
        <v>174</v>
      </c>
      <c r="C56" s="97">
        <v>0.63</v>
      </c>
      <c r="D56" s="101"/>
      <c r="E56" s="101"/>
    </row>
    <row r="57" spans="2:5">
      <c r="B57" s="96" t="s">
        <v>175</v>
      </c>
      <c r="C57" s="97">
        <v>0.59</v>
      </c>
      <c r="D57" s="101"/>
      <c r="E57" s="101"/>
    </row>
    <row r="58" spans="2:5">
      <c r="B58" s="96" t="s">
        <v>176</v>
      </c>
      <c r="C58" s="97">
        <v>0.5</v>
      </c>
      <c r="D58" s="101"/>
      <c r="E58" s="101"/>
    </row>
    <row r="59" spans="2:5">
      <c r="B59" s="96" t="s">
        <v>177</v>
      </c>
      <c r="C59" s="97">
        <v>0.7</v>
      </c>
      <c r="D59" s="101"/>
      <c r="E59" s="101"/>
    </row>
    <row r="60" spans="2:5">
      <c r="B60" s="96" t="s">
        <v>178</v>
      </c>
      <c r="C60" s="97">
        <v>0.59</v>
      </c>
      <c r="D60" s="101"/>
      <c r="E60" s="101"/>
    </row>
    <row r="61" spans="2:5">
      <c r="B61" s="96" t="s">
        <v>179</v>
      </c>
      <c r="C61" s="97">
        <v>0.26</v>
      </c>
      <c r="D61" s="101"/>
      <c r="E61" s="101"/>
    </row>
    <row r="62" spans="2:5">
      <c r="B62" s="96" t="s">
        <v>180</v>
      </c>
      <c r="C62" s="97">
        <v>0.5</v>
      </c>
      <c r="D62" s="101"/>
      <c r="E62" s="101"/>
    </row>
    <row r="63" spans="2:5">
      <c r="B63" s="96" t="s">
        <v>181</v>
      </c>
      <c r="C63" s="97">
        <v>0.56000000000000005</v>
      </c>
      <c r="D63" s="101"/>
      <c r="E63" s="101"/>
    </row>
    <row r="64" spans="2:5">
      <c r="B64" s="96" t="s">
        <v>182</v>
      </c>
      <c r="C64" s="97">
        <v>0.59</v>
      </c>
      <c r="D64" s="101"/>
      <c r="E64" s="101"/>
    </row>
    <row r="65" spans="2:5">
      <c r="B65" s="96" t="s">
        <v>183</v>
      </c>
      <c r="C65" s="97">
        <v>0.59</v>
      </c>
      <c r="D65" s="101"/>
      <c r="E65" s="101"/>
    </row>
    <row r="66" spans="2:5">
      <c r="B66" s="96" t="s">
        <v>184</v>
      </c>
      <c r="C66" s="97">
        <v>0.55000000000000004</v>
      </c>
      <c r="D66" s="101"/>
      <c r="E66" s="101"/>
    </row>
    <row r="67" spans="2:5">
      <c r="B67" s="96" t="s">
        <v>185</v>
      </c>
      <c r="C67" s="97">
        <v>0.56000000000000005</v>
      </c>
      <c r="D67" s="101"/>
      <c r="E67" s="101"/>
    </row>
    <row r="68" spans="2:5">
      <c r="B68" s="96" t="s">
        <v>186</v>
      </c>
      <c r="C68" s="97">
        <v>0.87</v>
      </c>
      <c r="D68" s="101"/>
      <c r="E68" s="101"/>
    </row>
    <row r="69" spans="2:5">
      <c r="B69" s="96" t="s">
        <v>187</v>
      </c>
      <c r="C69" s="97">
        <v>0.36</v>
      </c>
      <c r="D69" s="101"/>
      <c r="E69" s="101"/>
    </row>
    <row r="70" spans="2:5">
      <c r="B70" s="96" t="s">
        <v>188</v>
      </c>
      <c r="C70" s="97">
        <v>0.56000000000000005</v>
      </c>
      <c r="D70" s="101"/>
      <c r="E70" s="101"/>
    </row>
    <row r="71" spans="2:5">
      <c r="B71" s="96" t="s">
        <v>189</v>
      </c>
      <c r="C71" s="97">
        <v>0.5</v>
      </c>
      <c r="D71" s="101"/>
      <c r="E71" s="101"/>
    </row>
    <row r="72" spans="2:5">
      <c r="B72" s="96" t="s">
        <v>190</v>
      </c>
      <c r="C72" s="97">
        <v>0.46</v>
      </c>
      <c r="D72" s="101"/>
      <c r="E72" s="101"/>
    </row>
    <row r="73" spans="2:5">
      <c r="B73" s="96" t="s">
        <v>191</v>
      </c>
      <c r="C73" s="97">
        <v>0.46</v>
      </c>
      <c r="D73" s="101"/>
      <c r="E73" s="101"/>
    </row>
    <row r="74" spans="2:5">
      <c r="B74" s="96" t="s">
        <v>192</v>
      </c>
      <c r="C74" s="97">
        <v>0.7</v>
      </c>
      <c r="D74" s="101"/>
      <c r="E74" s="101"/>
    </row>
    <row r="75" spans="2:5">
      <c r="B75" s="96" t="s">
        <v>193</v>
      </c>
      <c r="C75" s="97">
        <v>0.7</v>
      </c>
      <c r="D75" s="101"/>
      <c r="E75" s="101"/>
    </row>
    <row r="76" spans="2:5">
      <c r="B76" s="96" t="s">
        <v>194</v>
      </c>
      <c r="C76" s="97">
        <v>0.7</v>
      </c>
      <c r="D76" s="101"/>
      <c r="E76" s="101"/>
    </row>
    <row r="77" spans="2:5">
      <c r="B77" s="96" t="s">
        <v>195</v>
      </c>
      <c r="C77" s="97">
        <v>0.5</v>
      </c>
      <c r="D77" s="101"/>
      <c r="E77" s="101"/>
    </row>
    <row r="78" spans="2:5">
      <c r="B78" s="96" t="s">
        <v>196</v>
      </c>
      <c r="C78" s="97">
        <v>0.63</v>
      </c>
      <c r="D78" s="101"/>
      <c r="E78" s="101"/>
    </row>
    <row r="79" spans="2:5">
      <c r="B79" s="96" t="s">
        <v>197</v>
      </c>
      <c r="C79" s="97">
        <v>0.5</v>
      </c>
      <c r="D79" s="101"/>
      <c r="E79" s="101"/>
    </row>
    <row r="80" spans="2:5">
      <c r="B80" s="96" t="s">
        <v>198</v>
      </c>
      <c r="C80" s="97">
        <v>0.4</v>
      </c>
      <c r="D80" s="101"/>
      <c r="E80" s="101"/>
    </row>
    <row r="81" spans="2:5">
      <c r="B81" s="96" t="s">
        <v>199</v>
      </c>
      <c r="C81" s="97">
        <v>0.34</v>
      </c>
      <c r="D81" s="101"/>
      <c r="E81" s="101"/>
    </row>
    <row r="82" spans="2:5">
      <c r="B82" s="96" t="s">
        <v>200</v>
      </c>
      <c r="C82" s="97">
        <v>0.36</v>
      </c>
      <c r="D82" s="101"/>
      <c r="E82" s="101"/>
    </row>
    <row r="83" spans="2:5">
      <c r="B83" s="96" t="s">
        <v>201</v>
      </c>
      <c r="C83" s="97">
        <v>0.56000000000000005</v>
      </c>
      <c r="D83" s="101"/>
      <c r="E83" s="101"/>
    </row>
    <row r="84" spans="2:5">
      <c r="B84" s="96" t="s">
        <v>202</v>
      </c>
      <c r="C84" s="97">
        <v>0.63</v>
      </c>
      <c r="D84" s="101"/>
      <c r="E84" s="101"/>
    </row>
    <row r="85" spans="2:5">
      <c r="B85" s="96" t="s">
        <v>203</v>
      </c>
      <c r="C85" s="97">
        <v>0.78</v>
      </c>
      <c r="D85" s="101"/>
      <c r="E85" s="101"/>
    </row>
    <row r="86" spans="2:5">
      <c r="B86" s="96" t="s">
        <v>204</v>
      </c>
      <c r="C86" s="97">
        <v>0.5</v>
      </c>
      <c r="D86" s="101"/>
      <c r="E86" s="101"/>
    </row>
    <row r="87" spans="2:5">
      <c r="B87" s="96" t="s">
        <v>205</v>
      </c>
      <c r="C87" s="97">
        <v>0.56999999999999995</v>
      </c>
      <c r="D87" s="101"/>
      <c r="E87" s="101"/>
    </row>
    <row r="88" spans="2:5">
      <c r="B88" s="96" t="s">
        <v>206</v>
      </c>
      <c r="C88" s="97">
        <v>0.7</v>
      </c>
      <c r="D88" s="101"/>
      <c r="E88" s="101"/>
    </row>
    <row r="89" spans="2:5">
      <c r="B89" s="96" t="s">
        <v>207</v>
      </c>
      <c r="C89" s="97">
        <v>0.78</v>
      </c>
      <c r="D89" s="101"/>
      <c r="E89" s="101"/>
    </row>
    <row r="90" spans="2:5">
      <c r="B90" s="96" t="s">
        <v>208</v>
      </c>
      <c r="C90" s="97">
        <v>0.8</v>
      </c>
      <c r="D90" s="101"/>
      <c r="E90" s="101"/>
    </row>
    <row r="91" spans="2:5">
      <c r="B91" s="96" t="s">
        <v>209</v>
      </c>
      <c r="C91" s="97">
        <v>0.74</v>
      </c>
      <c r="D91" s="101"/>
      <c r="E91" s="101"/>
    </row>
    <row r="92" spans="2:5">
      <c r="B92" s="96" t="s">
        <v>210</v>
      </c>
      <c r="C92" s="97">
        <v>0.53</v>
      </c>
      <c r="D92" s="101"/>
      <c r="E92" s="101"/>
    </row>
    <row r="93" spans="2:5">
      <c r="B93" s="96" t="s">
        <v>211</v>
      </c>
      <c r="C93" s="97">
        <v>0.5</v>
      </c>
      <c r="D93" s="101"/>
      <c r="E93" s="101"/>
    </row>
    <row r="94" spans="2:5">
      <c r="B94" s="96" t="s">
        <v>212</v>
      </c>
      <c r="C94" s="97">
        <v>0.53</v>
      </c>
      <c r="D94" s="101"/>
      <c r="E94" s="101"/>
    </row>
    <row r="95" spans="2:5">
      <c r="B95" s="96" t="s">
        <v>213</v>
      </c>
      <c r="C95" s="97">
        <v>0.7</v>
      </c>
      <c r="D95" s="101"/>
      <c r="E95" s="101"/>
    </row>
    <row r="96" spans="2:5">
      <c r="B96" s="96" t="s">
        <v>214</v>
      </c>
      <c r="C96" s="97">
        <v>0.5</v>
      </c>
      <c r="D96" s="101"/>
      <c r="E96" s="101"/>
    </row>
    <row r="97" spans="2:5">
      <c r="B97" s="96" t="s">
        <v>215</v>
      </c>
      <c r="C97" s="97">
        <v>0.5</v>
      </c>
      <c r="D97" s="101"/>
      <c r="E97" s="101"/>
    </row>
    <row r="98" spans="2:5">
      <c r="B98" s="96" t="s">
        <v>216</v>
      </c>
      <c r="C98" s="97">
        <v>0.61</v>
      </c>
      <c r="D98" s="101"/>
      <c r="E98" s="101"/>
    </row>
    <row r="99" spans="2:5">
      <c r="B99" s="96" t="s">
        <v>217</v>
      </c>
      <c r="C99" s="97">
        <v>0.45</v>
      </c>
      <c r="D99" s="101"/>
      <c r="E99" s="101"/>
    </row>
    <row r="100" spans="2:5">
      <c r="B100" s="96" t="s">
        <v>218</v>
      </c>
      <c r="C100" s="97">
        <v>0.4</v>
      </c>
      <c r="D100" s="101"/>
      <c r="E100" s="101"/>
    </row>
    <row r="101" spans="2:5">
      <c r="B101" s="96" t="s">
        <v>219</v>
      </c>
      <c r="C101" s="97">
        <v>0.45</v>
      </c>
      <c r="D101" s="101"/>
      <c r="E101" s="101"/>
    </row>
    <row r="102" spans="2:5">
      <c r="B102" s="96" t="s">
        <v>220</v>
      </c>
      <c r="C102" s="97">
        <v>0.87</v>
      </c>
      <c r="D102" s="101"/>
      <c r="E102" s="101"/>
    </row>
    <row r="103" spans="2:5">
      <c r="B103" s="96" t="s">
        <v>221</v>
      </c>
      <c r="C103" s="97">
        <v>0.63</v>
      </c>
      <c r="D103" s="101"/>
      <c r="E103" s="101"/>
    </row>
    <row r="104" spans="2:5">
      <c r="B104" s="96" t="s">
        <v>222</v>
      </c>
      <c r="C104" s="97">
        <v>0.83</v>
      </c>
      <c r="D104" s="101"/>
      <c r="E104" s="101"/>
    </row>
    <row r="105" spans="2:5">
      <c r="B105" s="96" t="s">
        <v>223</v>
      </c>
      <c r="C105" s="97">
        <v>0.72</v>
      </c>
      <c r="D105" s="101"/>
      <c r="E105" s="101"/>
    </row>
    <row r="106" spans="2:5">
      <c r="B106" s="96" t="s">
        <v>224</v>
      </c>
      <c r="C106" s="97">
        <v>0.78</v>
      </c>
      <c r="D106" s="101"/>
      <c r="E106" s="101"/>
    </row>
    <row r="107" spans="2:5">
      <c r="B107" s="96" t="s">
        <v>225</v>
      </c>
      <c r="C107" s="97">
        <v>0.78</v>
      </c>
      <c r="D107" s="101"/>
      <c r="E107" s="101"/>
    </row>
    <row r="108" spans="2:5">
      <c r="B108" s="96" t="s">
        <v>226</v>
      </c>
      <c r="C108" s="97">
        <v>0.53</v>
      </c>
      <c r="D108" s="101"/>
      <c r="E108" s="101"/>
    </row>
    <row r="109" spans="2:5">
      <c r="B109" s="96" t="s">
        <v>227</v>
      </c>
      <c r="C109" s="97">
        <v>0.5</v>
      </c>
      <c r="D109" s="101"/>
      <c r="E109" s="101"/>
    </row>
    <row r="110" spans="2:5">
      <c r="B110" s="96" t="s">
        <v>228</v>
      </c>
      <c r="C110" s="97">
        <v>0.78</v>
      </c>
      <c r="D110" s="101"/>
      <c r="E110" s="101"/>
    </row>
    <row r="111" spans="2:5">
      <c r="B111" s="96" t="s">
        <v>229</v>
      </c>
      <c r="C111" s="97">
        <v>0.82</v>
      </c>
      <c r="D111" s="101"/>
      <c r="E111" s="101"/>
    </row>
    <row r="112" spans="2:5">
      <c r="B112" s="96" t="s">
        <v>230</v>
      </c>
      <c r="C112" s="97">
        <v>0.32</v>
      </c>
      <c r="D112" s="101"/>
      <c r="E112" s="101"/>
    </row>
    <row r="113" spans="2:5">
      <c r="B113" s="96" t="s">
        <v>231</v>
      </c>
      <c r="C113" s="97">
        <v>0.57999999999999996</v>
      </c>
      <c r="D113" s="101"/>
      <c r="E113" s="101"/>
    </row>
    <row r="114" spans="2:5">
      <c r="B114" s="96" t="s">
        <v>232</v>
      </c>
      <c r="C114" s="97">
        <v>0.63</v>
      </c>
      <c r="D114" s="101"/>
      <c r="E114" s="101"/>
    </row>
    <row r="115" spans="2:5">
      <c r="B115" s="96" t="s">
        <v>233</v>
      </c>
      <c r="C115" s="97">
        <v>0.63</v>
      </c>
      <c r="D115" s="101"/>
      <c r="E115" s="101"/>
    </row>
    <row r="116" spans="2:5">
      <c r="B116" s="96" t="s">
        <v>234</v>
      </c>
      <c r="C116" s="97">
        <v>0.51</v>
      </c>
      <c r="D116" s="101"/>
      <c r="E116" s="101"/>
    </row>
    <row r="117" spans="2:5">
      <c r="B117" s="96" t="s">
        <v>235</v>
      </c>
      <c r="C117" s="97">
        <v>0.42</v>
      </c>
      <c r="D117" s="101"/>
      <c r="E117" s="101"/>
    </row>
    <row r="118" spans="2:5">
      <c r="B118" s="96" t="s">
        <v>236</v>
      </c>
      <c r="C118" s="97">
        <v>0.66</v>
      </c>
      <c r="D118" s="101"/>
      <c r="E118" s="101"/>
    </row>
    <row r="119" spans="2:5">
      <c r="B119" s="96" t="s">
        <v>237</v>
      </c>
      <c r="C119" s="97">
        <v>0.45</v>
      </c>
      <c r="D119" s="101"/>
      <c r="E119" s="101"/>
    </row>
    <row r="120" spans="2:5">
      <c r="B120" s="96" t="s">
        <v>238</v>
      </c>
      <c r="C120" s="97">
        <v>0.59</v>
      </c>
      <c r="D120" s="101"/>
      <c r="E120" s="101"/>
    </row>
    <row r="121" spans="2:5">
      <c r="B121" s="96" t="s">
        <v>239</v>
      </c>
      <c r="C121" s="97">
        <v>0.55000000000000004</v>
      </c>
      <c r="D121" s="101"/>
      <c r="E121" s="101"/>
    </row>
    <row r="122" spans="2:5">
      <c r="B122" s="96" t="s">
        <v>240</v>
      </c>
      <c r="C122" s="97">
        <v>0.53</v>
      </c>
      <c r="D122" s="101"/>
      <c r="E122" s="101"/>
    </row>
    <row r="123" spans="2:5">
      <c r="B123" s="96" t="s">
        <v>241</v>
      </c>
      <c r="C123" s="97">
        <v>0.6</v>
      </c>
      <c r="D123" s="101"/>
      <c r="E123" s="101"/>
    </row>
    <row r="124" spans="2:5">
      <c r="B124" s="96" t="s">
        <v>242</v>
      </c>
      <c r="C124" s="97">
        <v>0.5</v>
      </c>
      <c r="D124" s="101"/>
      <c r="E124" s="101"/>
    </row>
    <row r="125" spans="2:5">
      <c r="B125" s="96" t="s">
        <v>243</v>
      </c>
      <c r="C125" s="97">
        <v>0.56000000000000005</v>
      </c>
      <c r="D125" s="101"/>
      <c r="E125" s="101"/>
    </row>
    <row r="126" spans="2:5">
      <c r="B126" s="96" t="s">
        <v>244</v>
      </c>
      <c r="C126" s="97">
        <v>0.25</v>
      </c>
      <c r="D126" s="101"/>
      <c r="E126" s="101"/>
    </row>
    <row r="127" spans="2:5">
      <c r="B127" s="96" t="s">
        <v>245</v>
      </c>
      <c r="C127" s="97">
        <v>0.72</v>
      </c>
      <c r="D127" s="101"/>
      <c r="E127" s="101"/>
    </row>
    <row r="128" spans="2:5">
      <c r="B128" s="96" t="s">
        <v>246</v>
      </c>
      <c r="C128" s="97">
        <v>0.5</v>
      </c>
      <c r="D128" s="101"/>
      <c r="E128" s="101"/>
    </row>
    <row r="129" spans="2:5">
      <c r="B129" s="96" t="s">
        <v>247</v>
      </c>
      <c r="C129" s="97">
        <v>0.41</v>
      </c>
      <c r="D129" s="101"/>
      <c r="E129" s="101"/>
    </row>
    <row r="130" spans="2:5">
      <c r="B130" s="96" t="s">
        <v>248</v>
      </c>
      <c r="C130" s="97">
        <v>0.69</v>
      </c>
      <c r="D130" s="101"/>
      <c r="E130" s="101"/>
    </row>
    <row r="131" spans="2:5">
      <c r="B131" s="96" t="s">
        <v>249</v>
      </c>
      <c r="C131" s="98">
        <v>0.4</v>
      </c>
      <c r="D131" s="101"/>
      <c r="E131" s="101"/>
    </row>
    <row r="132" spans="2:5">
      <c r="B132" s="96" t="s">
        <v>250</v>
      </c>
      <c r="C132" s="98">
        <v>0.39</v>
      </c>
      <c r="D132" s="101"/>
      <c r="E132" s="101"/>
    </row>
    <row r="133" spans="2:5">
      <c r="B133" s="96" t="s">
        <v>251</v>
      </c>
      <c r="C133" s="98">
        <v>0.4</v>
      </c>
      <c r="D133" s="101"/>
      <c r="E133" s="101"/>
    </row>
    <row r="134" spans="2:5">
      <c r="B134" s="96" t="s">
        <v>252</v>
      </c>
      <c r="C134" s="98">
        <v>0.45</v>
      </c>
      <c r="D134" s="101"/>
      <c r="E134" s="101"/>
    </row>
    <row r="135" spans="2:5">
      <c r="B135" s="96" t="s">
        <v>253</v>
      </c>
      <c r="C135" s="97">
        <v>0.63</v>
      </c>
      <c r="D135" s="101"/>
      <c r="E135" s="101"/>
    </row>
    <row r="136" spans="2:5">
      <c r="B136" s="96" t="s">
        <v>254</v>
      </c>
      <c r="C136" s="98">
        <v>0.63</v>
      </c>
      <c r="D136" s="101"/>
      <c r="E136" s="101"/>
    </row>
    <row r="137" spans="2:5">
      <c r="B137" s="96" t="s">
        <v>255</v>
      </c>
      <c r="C137" s="98">
        <v>0.56000000000000005</v>
      </c>
      <c r="D137" s="101"/>
      <c r="E137" s="101"/>
    </row>
    <row r="138" spans="2:5">
      <c r="B138" s="96" t="s">
        <v>256</v>
      </c>
      <c r="C138" s="98">
        <v>0.56000000000000005</v>
      </c>
      <c r="D138" s="101"/>
      <c r="E138" s="101"/>
    </row>
    <row r="139" spans="2:5">
      <c r="B139" s="96" t="s">
        <v>257</v>
      </c>
      <c r="C139" s="98">
        <v>0.66</v>
      </c>
      <c r="D139" s="101"/>
      <c r="E139" s="101"/>
    </row>
    <row r="140" spans="2:5">
      <c r="B140" s="96" t="s">
        <v>258</v>
      </c>
      <c r="C140" s="98">
        <v>0.78</v>
      </c>
      <c r="D140" s="101"/>
      <c r="E140" s="101"/>
    </row>
    <row r="141" spans="2:5">
      <c r="B141" s="96" t="s">
        <v>259</v>
      </c>
      <c r="C141" s="98">
        <v>0.78</v>
      </c>
      <c r="D141" s="101"/>
      <c r="E141" s="101"/>
    </row>
    <row r="142" spans="2:5">
      <c r="B142" s="96" t="s">
        <v>260</v>
      </c>
      <c r="C142" s="98">
        <v>0.65</v>
      </c>
      <c r="D142" s="101"/>
      <c r="E142" s="101"/>
    </row>
    <row r="143" spans="2:5">
      <c r="B143" s="96" t="s">
        <v>261</v>
      </c>
      <c r="C143" s="98">
        <v>0.66</v>
      </c>
      <c r="D143" s="101"/>
      <c r="E143" s="101"/>
    </row>
    <row r="144" spans="2:5">
      <c r="B144" s="96" t="s">
        <v>262</v>
      </c>
      <c r="C144" s="98">
        <v>0.63</v>
      </c>
      <c r="D144" s="101"/>
      <c r="E144" s="101"/>
    </row>
    <row r="145" spans="2:5">
      <c r="B145" s="96" t="s">
        <v>263</v>
      </c>
      <c r="C145" s="98">
        <v>0.87</v>
      </c>
      <c r="D145" s="101"/>
      <c r="E145" s="101"/>
    </row>
    <row r="146" spans="2:5">
      <c r="B146" s="96" t="s">
        <v>264</v>
      </c>
      <c r="C146" s="97">
        <v>0.4</v>
      </c>
      <c r="D146" s="101"/>
      <c r="E146" s="101"/>
    </row>
    <row r="147" spans="2:5">
      <c r="B147" s="96" t="s">
        <v>265</v>
      </c>
      <c r="C147" s="97">
        <v>0.48</v>
      </c>
      <c r="D147" s="101"/>
      <c r="E147" s="101"/>
    </row>
    <row r="148" spans="2:5">
      <c r="B148" s="96" t="s">
        <v>266</v>
      </c>
      <c r="C148" s="98">
        <v>0.56000000000000005</v>
      </c>
      <c r="D148" s="101"/>
      <c r="E148" s="101"/>
    </row>
    <row r="149" spans="2:5">
      <c r="B149" s="96" t="s">
        <v>267</v>
      </c>
      <c r="C149" s="98">
        <v>0.55000000000000004</v>
      </c>
      <c r="D149" s="101"/>
      <c r="E149" s="101"/>
    </row>
    <row r="150" spans="2:5">
      <c r="B150" s="96" t="s">
        <v>268</v>
      </c>
      <c r="C150" s="97">
        <v>0.64</v>
      </c>
      <c r="D150" s="101"/>
      <c r="E150" s="101"/>
    </row>
    <row r="151" spans="2:5">
      <c r="B151" s="96" t="s">
        <v>269</v>
      </c>
      <c r="C151" s="98">
        <v>0.7</v>
      </c>
      <c r="D151" s="101"/>
      <c r="E151" s="101"/>
    </row>
    <row r="152" spans="2:5">
      <c r="B152" s="96" t="s">
        <v>270</v>
      </c>
      <c r="C152" s="97">
        <v>0.67</v>
      </c>
      <c r="D152" s="101"/>
      <c r="E152" s="101"/>
    </row>
    <row r="153" spans="2:5">
      <c r="B153" s="96" t="s">
        <v>271</v>
      </c>
      <c r="C153" s="98">
        <v>0.74</v>
      </c>
      <c r="D153" s="101"/>
      <c r="E153" s="101"/>
    </row>
    <row r="154" spans="2:5">
      <c r="B154" s="96" t="s">
        <v>272</v>
      </c>
      <c r="C154" s="97">
        <v>0.72</v>
      </c>
      <c r="D154" s="101"/>
      <c r="E154" s="101"/>
    </row>
    <row r="155" spans="2:5">
      <c r="B155" s="96" t="s">
        <v>273</v>
      </c>
      <c r="C155" s="98">
        <v>0.74</v>
      </c>
      <c r="D155" s="101"/>
      <c r="E155" s="101"/>
    </row>
    <row r="156" spans="2:5">
      <c r="B156" s="96" t="s">
        <v>274</v>
      </c>
      <c r="C156" s="98">
        <v>0.28000000000000003</v>
      </c>
      <c r="D156" s="101"/>
      <c r="E156" s="101"/>
    </row>
    <row r="157" spans="2:5">
      <c r="B157" s="96" t="s">
        <v>275</v>
      </c>
      <c r="C157" s="98">
        <v>0.45</v>
      </c>
      <c r="D157" s="101"/>
      <c r="E157" s="101"/>
    </row>
    <row r="158" spans="2:5">
      <c r="B158" s="96" t="s">
        <v>276</v>
      </c>
      <c r="C158" s="98">
        <v>0.48</v>
      </c>
      <c r="D158" s="101"/>
      <c r="E158" s="101"/>
    </row>
    <row r="159" spans="2:5">
      <c r="B159" s="96" t="s">
        <v>277</v>
      </c>
      <c r="C159" s="98">
        <v>0.59</v>
      </c>
      <c r="D159" s="101"/>
      <c r="E159" s="101"/>
    </row>
    <row r="160" spans="2:5">
      <c r="B160" s="96" t="s">
        <v>278</v>
      </c>
      <c r="C160" s="98">
        <v>0.66</v>
      </c>
      <c r="D160" s="101"/>
      <c r="E160" s="101"/>
    </row>
    <row r="161" spans="2:5">
      <c r="B161" s="96" t="s">
        <v>279</v>
      </c>
      <c r="C161" s="97">
        <v>0.7</v>
      </c>
      <c r="D161" s="101"/>
      <c r="E161" s="101"/>
    </row>
    <row r="162" spans="2:5">
      <c r="B162" s="96" t="s">
        <v>280</v>
      </c>
      <c r="C162" s="98">
        <v>0.78</v>
      </c>
      <c r="D162" s="101"/>
      <c r="E162" s="101"/>
    </row>
    <row r="163" spans="2:5">
      <c r="B163" s="96" t="s">
        <v>281</v>
      </c>
      <c r="C163" s="98">
        <v>0.78</v>
      </c>
      <c r="D163" s="101"/>
      <c r="E163" s="101"/>
    </row>
    <row r="164" spans="2:5">
      <c r="B164" s="96" t="s">
        <v>282</v>
      </c>
      <c r="C164" s="98">
        <v>0.78</v>
      </c>
      <c r="D164" s="101"/>
      <c r="E164" s="101"/>
    </row>
    <row r="165" spans="2:5">
      <c r="B165" s="96" t="s">
        <v>283</v>
      </c>
      <c r="C165" s="97">
        <v>0.71</v>
      </c>
      <c r="D165" s="101"/>
      <c r="E165" s="101"/>
    </row>
    <row r="166" spans="2:5">
      <c r="B166" s="96" t="s">
        <v>284</v>
      </c>
      <c r="C166" s="98">
        <v>0.78</v>
      </c>
      <c r="D166" s="101"/>
      <c r="E166" s="101"/>
    </row>
    <row r="167" spans="2:5">
      <c r="B167" s="96" t="s">
        <v>285</v>
      </c>
      <c r="C167" s="97">
        <v>0.78</v>
      </c>
      <c r="D167" s="101"/>
      <c r="E167" s="101"/>
    </row>
    <row r="168" spans="2:5">
      <c r="B168" s="96" t="s">
        <v>286</v>
      </c>
      <c r="C168" s="97">
        <v>0.6</v>
      </c>
      <c r="D168" s="101"/>
      <c r="E168" s="101"/>
    </row>
    <row r="169" spans="2:5">
      <c r="B169" s="96" t="s">
        <v>287</v>
      </c>
      <c r="C169" s="97">
        <v>0.44</v>
      </c>
      <c r="D169" s="101"/>
      <c r="E169" s="101"/>
    </row>
    <row r="170" spans="2:5">
      <c r="B170" s="96" t="s">
        <v>288</v>
      </c>
      <c r="C170" s="97">
        <v>0.6</v>
      </c>
      <c r="D170" s="101"/>
      <c r="E170" s="101"/>
    </row>
    <row r="171" spans="2:5">
      <c r="B171" s="96" t="s">
        <v>289</v>
      </c>
      <c r="C171" s="97">
        <v>0.87</v>
      </c>
      <c r="D171" s="101"/>
      <c r="E171" s="101"/>
    </row>
    <row r="172" spans="2:5">
      <c r="B172" s="96" t="s">
        <v>290</v>
      </c>
      <c r="C172" s="98">
        <v>0.45</v>
      </c>
      <c r="D172" s="101"/>
      <c r="E172" s="101"/>
    </row>
    <row r="173" spans="2:5">
      <c r="B173" s="96" t="s">
        <v>291</v>
      </c>
      <c r="C173" s="98">
        <v>0.78</v>
      </c>
      <c r="D173" s="101"/>
      <c r="E173" s="101"/>
    </row>
    <row r="174" spans="2:5">
      <c r="B174" s="96" t="s">
        <v>292</v>
      </c>
      <c r="C174" s="98">
        <v>0.87</v>
      </c>
      <c r="D174" s="101"/>
      <c r="E174" s="101"/>
    </row>
    <row r="175" spans="2:5">
      <c r="B175" s="96" t="s">
        <v>293</v>
      </c>
      <c r="C175" s="98">
        <v>0.87</v>
      </c>
      <c r="D175" s="101"/>
      <c r="E175" s="101"/>
    </row>
    <row r="176" spans="2:5">
      <c r="B176" s="96" t="s">
        <v>294</v>
      </c>
      <c r="C176" s="98">
        <v>0.45</v>
      </c>
      <c r="D176" s="101"/>
      <c r="E176" s="101"/>
    </row>
    <row r="177" spans="2:5">
      <c r="B177" s="96" t="s">
        <v>295</v>
      </c>
      <c r="C177" s="98">
        <v>0.4</v>
      </c>
      <c r="D177" s="101"/>
      <c r="E177" s="101"/>
    </row>
    <row r="178" spans="2:5">
      <c r="B178" s="96" t="s">
        <v>296</v>
      </c>
      <c r="C178" s="98">
        <v>0.4</v>
      </c>
      <c r="D178" s="101"/>
      <c r="E178" s="101"/>
    </row>
    <row r="179" spans="2:5">
      <c r="B179" s="96" t="s">
        <v>297</v>
      </c>
      <c r="C179" s="97">
        <v>0.41</v>
      </c>
      <c r="D179" s="101"/>
      <c r="E179" s="101"/>
    </row>
    <row r="180" spans="2:5">
      <c r="B180" s="96" t="s">
        <v>298</v>
      </c>
      <c r="C180" s="98">
        <v>0.45</v>
      </c>
      <c r="D180" s="101"/>
      <c r="E180" s="101"/>
    </row>
    <row r="181" spans="2:5">
      <c r="B181" s="96" t="s">
        <v>299</v>
      </c>
      <c r="C181" s="97">
        <v>0.62</v>
      </c>
      <c r="D181" s="101"/>
      <c r="E181" s="101"/>
    </row>
    <row r="182" spans="2:5">
      <c r="B182" s="96" t="s">
        <v>300</v>
      </c>
      <c r="C182" s="98">
        <v>0.81</v>
      </c>
      <c r="D182" s="101"/>
      <c r="E182" s="101"/>
    </row>
    <row r="183" spans="2:5">
      <c r="B183" s="96" t="s">
        <v>301</v>
      </c>
      <c r="C183" s="98">
        <v>0.78</v>
      </c>
      <c r="D183" s="101"/>
      <c r="E183" s="101"/>
    </row>
    <row r="184" spans="2:5">
      <c r="B184" s="96" t="s">
        <v>302</v>
      </c>
      <c r="C184" s="98">
        <v>0.5</v>
      </c>
      <c r="D184" s="101"/>
      <c r="E184" s="101"/>
    </row>
    <row r="185" spans="2:5">
      <c r="B185" s="96" t="s">
        <v>303</v>
      </c>
      <c r="C185" s="98">
        <v>0.45</v>
      </c>
      <c r="D185" s="101"/>
      <c r="E185" s="101"/>
    </row>
    <row r="186" spans="2:5">
      <c r="B186" s="96" t="s">
        <v>304</v>
      </c>
      <c r="C186" s="98">
        <v>0.77</v>
      </c>
      <c r="D186" s="101"/>
      <c r="E186" s="101"/>
    </row>
    <row r="187" spans="2:5">
      <c r="B187" s="96" t="s">
        <v>305</v>
      </c>
      <c r="C187" s="98">
        <v>0.63</v>
      </c>
      <c r="D187" s="101"/>
      <c r="E187" s="101"/>
    </row>
    <row r="188" spans="2:5">
      <c r="B188" s="96" t="s">
        <v>306</v>
      </c>
      <c r="C188" s="97">
        <v>0.7</v>
      </c>
      <c r="D188" s="101"/>
      <c r="E188" s="101"/>
    </row>
    <row r="189" spans="2:5">
      <c r="B189" s="96" t="s">
        <v>307</v>
      </c>
      <c r="C189" s="98">
        <v>0.42</v>
      </c>
      <c r="D189" s="101"/>
      <c r="E189" s="101"/>
    </row>
    <row r="190" spans="2:5">
      <c r="B190" s="96" t="s">
        <v>308</v>
      </c>
      <c r="C190" s="98">
        <v>0.7</v>
      </c>
      <c r="D190" s="101"/>
      <c r="E190" s="101"/>
    </row>
    <row r="191" spans="2:5">
      <c r="B191" s="96" t="s">
        <v>309</v>
      </c>
      <c r="C191" s="97">
        <v>0.72</v>
      </c>
      <c r="D191" s="101"/>
      <c r="E191" s="101"/>
    </row>
    <row r="192" spans="2:5">
      <c r="B192" s="96" t="s">
        <v>310</v>
      </c>
      <c r="C192" s="97">
        <v>0.45</v>
      </c>
      <c r="D192" s="101"/>
      <c r="E192" s="101"/>
    </row>
    <row r="193" spans="2:5">
      <c r="B193" s="96" t="s">
        <v>311</v>
      </c>
      <c r="C193" s="97">
        <v>0.47</v>
      </c>
      <c r="D193" s="101"/>
      <c r="E193" s="101"/>
    </row>
    <row r="194" spans="2:5">
      <c r="B194" s="96" t="s">
        <v>312</v>
      </c>
      <c r="C194" s="98">
        <v>0.45</v>
      </c>
      <c r="D194" s="101"/>
      <c r="E194" s="101"/>
    </row>
    <row r="195" spans="2:5">
      <c r="B195" s="96" t="s">
        <v>313</v>
      </c>
      <c r="C195" s="98">
        <v>0.5</v>
      </c>
      <c r="D195" s="101"/>
      <c r="E195" s="101"/>
    </row>
    <row r="196" spans="2:5">
      <c r="B196" s="96" t="s">
        <v>314</v>
      </c>
      <c r="C196" s="97">
        <v>0.39</v>
      </c>
      <c r="D196" s="101"/>
      <c r="E196" s="101"/>
    </row>
    <row r="197" spans="2:5">
      <c r="B197" s="96" t="s">
        <v>315</v>
      </c>
      <c r="C197" s="98">
        <v>0.5</v>
      </c>
      <c r="D197" s="101"/>
      <c r="E197" s="101"/>
    </row>
    <row r="198" spans="2:5">
      <c r="B198" s="96" t="s">
        <v>316</v>
      </c>
      <c r="C198" s="98">
        <v>0.47</v>
      </c>
      <c r="D198" s="101"/>
      <c r="E198" s="101"/>
    </row>
    <row r="199" spans="2:5">
      <c r="B199" s="96" t="s">
        <v>317</v>
      </c>
      <c r="C199" s="97">
        <v>0.23</v>
      </c>
      <c r="D199" s="101"/>
      <c r="E199" s="101"/>
    </row>
    <row r="200" spans="2:5">
      <c r="B200" s="96" t="s">
        <v>318</v>
      </c>
      <c r="C200" s="97">
        <v>0.63</v>
      </c>
      <c r="D200" s="101"/>
      <c r="E200" s="101"/>
    </row>
    <row r="201" spans="2:5">
      <c r="B201" s="96" t="s">
        <v>319</v>
      </c>
      <c r="C201" s="98">
        <v>0.32</v>
      </c>
      <c r="D201" s="101"/>
      <c r="E201" s="101"/>
    </row>
    <row r="202" spans="2:5">
      <c r="B202" s="96" t="s">
        <v>320</v>
      </c>
      <c r="C202" s="98">
        <v>0.7</v>
      </c>
      <c r="D202" s="101"/>
      <c r="E202" s="101"/>
    </row>
    <row r="203" spans="2:5">
      <c r="B203" s="96" t="s">
        <v>321</v>
      </c>
      <c r="C203" s="97">
        <v>0.65</v>
      </c>
      <c r="D203" s="101"/>
      <c r="E203" s="101"/>
    </row>
    <row r="204" spans="2:5">
      <c r="B204" s="96" t="s">
        <v>322</v>
      </c>
      <c r="C204" s="98">
        <v>0.48</v>
      </c>
      <c r="D204" s="101"/>
      <c r="E204" s="101"/>
    </row>
    <row r="205" spans="2:5">
      <c r="B205" s="96" t="s">
        <v>323</v>
      </c>
      <c r="C205" s="98">
        <v>0.74</v>
      </c>
      <c r="D205" s="101"/>
      <c r="E205" s="101"/>
    </row>
    <row r="206" spans="2:5">
      <c r="B206" s="96" t="s">
        <v>324</v>
      </c>
      <c r="C206" s="98">
        <v>0.78</v>
      </c>
      <c r="D206" s="101"/>
      <c r="E206" s="101"/>
    </row>
    <row r="207" spans="2:5">
      <c r="B207" s="96" t="s">
        <v>325</v>
      </c>
      <c r="C207" s="98">
        <v>0.32</v>
      </c>
      <c r="D207" s="101"/>
      <c r="E207" s="101"/>
    </row>
    <row r="208" spans="2:5">
      <c r="B208" s="96" t="s">
        <v>326</v>
      </c>
      <c r="C208" s="97">
        <v>0.32</v>
      </c>
      <c r="D208" s="101"/>
      <c r="E208" s="101"/>
    </row>
    <row r="209" spans="2:5">
      <c r="B209" s="96" t="s">
        <v>327</v>
      </c>
      <c r="C209" s="98">
        <v>0.78</v>
      </c>
      <c r="D209" s="101"/>
      <c r="E209" s="101"/>
    </row>
    <row r="210" spans="2:5">
      <c r="B210" s="96" t="s">
        <v>328</v>
      </c>
      <c r="C210" s="97">
        <v>0.72</v>
      </c>
      <c r="D210" s="101"/>
      <c r="E210" s="101"/>
    </row>
    <row r="211" spans="2:5">
      <c r="B211" s="96" t="s">
        <v>329</v>
      </c>
      <c r="C211" s="97">
        <v>0.53</v>
      </c>
      <c r="D211" s="101"/>
      <c r="E211" s="101"/>
    </row>
    <row r="212" spans="2:5">
      <c r="B212" s="96" t="s">
        <v>330</v>
      </c>
      <c r="C212" s="98">
        <v>0.7</v>
      </c>
      <c r="D212" s="101"/>
      <c r="E212" s="101"/>
    </row>
    <row r="213" spans="2:5">
      <c r="B213" s="96" t="s">
        <v>331</v>
      </c>
      <c r="C213" s="98">
        <v>0.57999999999999996</v>
      </c>
      <c r="D213" s="101"/>
      <c r="E213" s="101"/>
    </row>
    <row r="214" spans="2:5">
      <c r="B214" s="96" t="s">
        <v>332</v>
      </c>
      <c r="C214" s="98">
        <v>0.57999999999999996</v>
      </c>
      <c r="D214" s="101"/>
      <c r="E214" s="101"/>
    </row>
    <row r="215" spans="2:5">
      <c r="B215" s="96" t="s">
        <v>333</v>
      </c>
      <c r="C215" s="98">
        <v>0.56000000000000005</v>
      </c>
      <c r="D215" s="101"/>
      <c r="E215" s="101"/>
    </row>
    <row r="216" spans="2:5">
      <c r="B216" s="96" t="s">
        <v>334</v>
      </c>
      <c r="C216" s="97">
        <v>0.69</v>
      </c>
      <c r="D216" s="101"/>
      <c r="E216" s="101"/>
    </row>
    <row r="217" spans="2:5">
      <c r="B217" s="96" t="s">
        <v>335</v>
      </c>
      <c r="C217" s="98">
        <v>0.87</v>
      </c>
      <c r="D217" s="101"/>
      <c r="E217" s="101"/>
    </row>
    <row r="218" spans="2:5">
      <c r="B218" s="96" t="s">
        <v>336</v>
      </c>
      <c r="C218" s="98">
        <v>0.78</v>
      </c>
      <c r="D218" s="101"/>
      <c r="E218" s="101"/>
    </row>
    <row r="219" spans="2:5">
      <c r="B219" s="96" t="s">
        <v>337</v>
      </c>
      <c r="C219" s="98">
        <v>0.36</v>
      </c>
      <c r="D219" s="101"/>
      <c r="E219" s="101"/>
    </row>
    <row r="220" spans="2:5">
      <c r="B220" s="96" t="s">
        <v>338</v>
      </c>
      <c r="C220" s="98">
        <v>0.56000000000000005</v>
      </c>
      <c r="D220" s="101"/>
      <c r="E220" s="101"/>
    </row>
    <row r="221" spans="2:5">
      <c r="B221" s="96" t="s">
        <v>339</v>
      </c>
      <c r="C221" s="98">
        <v>0.56000000000000005</v>
      </c>
      <c r="D221" s="101"/>
      <c r="E221" s="101"/>
    </row>
    <row r="222" spans="2:5">
      <c r="B222" s="96" t="s">
        <v>340</v>
      </c>
      <c r="C222" s="98">
        <v>0.63</v>
      </c>
      <c r="D222" s="101"/>
      <c r="E222" s="101"/>
    </row>
    <row r="223" spans="2:5">
      <c r="B223" s="96" t="s">
        <v>341</v>
      </c>
      <c r="C223" s="98">
        <v>0.78</v>
      </c>
      <c r="D223" s="101"/>
      <c r="E223" s="101"/>
    </row>
    <row r="224" spans="2:5">
      <c r="B224" s="96" t="s">
        <v>342</v>
      </c>
      <c r="C224" s="98">
        <v>0.78</v>
      </c>
      <c r="D224" s="101"/>
      <c r="E224" s="101"/>
    </row>
    <row r="225" spans="2:5">
      <c r="B225" s="96" t="s">
        <v>343</v>
      </c>
      <c r="C225" s="98">
        <v>0.76</v>
      </c>
      <c r="D225" s="101"/>
      <c r="E225" s="101"/>
    </row>
    <row r="226" spans="2:5">
      <c r="B226" s="96" t="s">
        <v>344</v>
      </c>
      <c r="C226" s="98">
        <v>0.7</v>
      </c>
      <c r="D226" s="101"/>
      <c r="E226" s="101"/>
    </row>
    <row r="227" spans="2:5">
      <c r="B227" s="96" t="s">
        <v>345</v>
      </c>
      <c r="C227" s="98">
        <v>0.7</v>
      </c>
      <c r="D227" s="101"/>
      <c r="E227" s="101"/>
    </row>
    <row r="228" spans="2:5">
      <c r="B228" s="96" t="s">
        <v>346</v>
      </c>
      <c r="C228" s="97">
        <v>0.56000000000000005</v>
      </c>
      <c r="D228" s="101"/>
      <c r="E228" s="101"/>
    </row>
    <row r="229" spans="2:5">
      <c r="B229" s="96" t="s">
        <v>347</v>
      </c>
      <c r="C229" s="98">
        <v>0.7</v>
      </c>
      <c r="D229" s="101"/>
      <c r="E229" s="101"/>
    </row>
    <row r="230" spans="2:5">
      <c r="B230" s="96" t="s">
        <v>348</v>
      </c>
      <c r="C230" s="97">
        <v>0.36</v>
      </c>
      <c r="D230" s="101"/>
      <c r="E230" s="101"/>
    </row>
    <row r="231" spans="2:5">
      <c r="B231" s="96" t="s">
        <v>349</v>
      </c>
      <c r="C231" s="98">
        <v>0.66</v>
      </c>
      <c r="D231" s="101"/>
      <c r="E231" s="101"/>
    </row>
    <row r="232" spans="2:5">
      <c r="B232" s="96" t="s">
        <v>350</v>
      </c>
      <c r="C232" s="98">
        <v>0.63</v>
      </c>
      <c r="D232" s="101"/>
      <c r="E232" s="101"/>
    </row>
    <row r="233" spans="2:5">
      <c r="B233" s="96" t="s">
        <v>351</v>
      </c>
      <c r="C233" s="98">
        <v>0.63</v>
      </c>
      <c r="D233" s="101"/>
      <c r="E233" s="101"/>
    </row>
    <row r="234" spans="2:5">
      <c r="B234" s="96" t="s">
        <v>352</v>
      </c>
      <c r="C234" s="97">
        <v>0.59</v>
      </c>
      <c r="D234" s="101"/>
      <c r="E234" s="101"/>
    </row>
    <row r="235" spans="2:5">
      <c r="B235" s="96" t="s">
        <v>353</v>
      </c>
      <c r="C235" s="97">
        <v>0.61</v>
      </c>
      <c r="D235" s="101"/>
      <c r="E235" s="101"/>
    </row>
    <row r="236" spans="2:5">
      <c r="B236" s="96" t="s">
        <v>354</v>
      </c>
      <c r="C236" s="98">
        <v>0.56000000000000005</v>
      </c>
      <c r="D236" s="101"/>
      <c r="E236" s="101"/>
    </row>
    <row r="237" spans="2:5">
      <c r="B237" s="96" t="s">
        <v>355</v>
      </c>
      <c r="C237" s="97">
        <v>0.52</v>
      </c>
      <c r="D237" s="101"/>
      <c r="E237" s="101"/>
    </row>
    <row r="238" spans="2:5">
      <c r="B238" s="96" t="s">
        <v>356</v>
      </c>
      <c r="C238" s="97">
        <v>0.4</v>
      </c>
      <c r="D238" s="101"/>
      <c r="E238" s="101"/>
    </row>
    <row r="239" spans="2:5">
      <c r="B239" s="96" t="s">
        <v>357</v>
      </c>
      <c r="C239" s="98">
        <v>0.78</v>
      </c>
      <c r="D239" s="101"/>
      <c r="E239" s="101"/>
    </row>
    <row r="240" spans="2:5">
      <c r="B240" s="96" t="s">
        <v>358</v>
      </c>
      <c r="C240" s="98">
        <v>0.47</v>
      </c>
      <c r="D240" s="101"/>
      <c r="E240" s="101"/>
    </row>
    <row r="241" spans="2:5">
      <c r="B241" s="96" t="s">
        <v>359</v>
      </c>
      <c r="C241" s="97">
        <v>0.2</v>
      </c>
      <c r="D241" s="101"/>
      <c r="E241" s="101"/>
    </row>
    <row r="242" spans="2:5">
      <c r="B242" s="96" t="s">
        <v>360</v>
      </c>
      <c r="C242" s="98">
        <v>0.74</v>
      </c>
      <c r="D242" s="101"/>
      <c r="E242" s="101"/>
    </row>
    <row r="243" spans="2:5">
      <c r="B243" s="96" t="s">
        <v>361</v>
      </c>
      <c r="C243" s="98">
        <v>0.53</v>
      </c>
      <c r="D243" s="101"/>
      <c r="E243" s="101"/>
    </row>
    <row r="244" spans="2:5">
      <c r="B244" s="96" t="s">
        <v>362</v>
      </c>
      <c r="C244" s="98">
        <v>0.5</v>
      </c>
      <c r="D244" s="101"/>
      <c r="E244" s="101"/>
    </row>
    <row r="245" spans="2:5">
      <c r="B245" s="96" t="s">
        <v>363</v>
      </c>
      <c r="C245" s="98">
        <v>0.63</v>
      </c>
      <c r="D245" s="101"/>
      <c r="E245" s="101"/>
    </row>
    <row r="246" spans="2:5">
      <c r="B246" s="96" t="s">
        <v>364</v>
      </c>
      <c r="C246" s="98">
        <v>0.68</v>
      </c>
      <c r="D246" s="101"/>
      <c r="E246" s="101"/>
    </row>
    <row r="247" spans="2:5">
      <c r="B247" s="96" t="s">
        <v>365</v>
      </c>
      <c r="C247" s="98">
        <v>0.5</v>
      </c>
      <c r="D247" s="101"/>
      <c r="E247" s="101"/>
    </row>
    <row r="248" spans="2:5">
      <c r="B248" s="96" t="s">
        <v>366</v>
      </c>
      <c r="C248" s="97">
        <v>0.56000000000000005</v>
      </c>
      <c r="D248" s="101"/>
      <c r="E248" s="101"/>
    </row>
    <row r="249" spans="2:5">
      <c r="B249" s="96" t="s">
        <v>367</v>
      </c>
      <c r="C249" s="97">
        <v>0.48</v>
      </c>
      <c r="D249" s="101"/>
      <c r="E249" s="101"/>
    </row>
    <row r="250" spans="2:5">
      <c r="B250" s="96" t="s">
        <v>368</v>
      </c>
      <c r="C250" s="98">
        <v>0.56000000000000005</v>
      </c>
      <c r="D250" s="101"/>
      <c r="E250" s="101"/>
    </row>
    <row r="251" spans="2:5">
      <c r="B251" s="96" t="s">
        <v>369</v>
      </c>
      <c r="C251" s="98">
        <v>0.56000000000000005</v>
      </c>
      <c r="D251" s="101"/>
      <c r="E251" s="101"/>
    </row>
    <row r="252" spans="2:5">
      <c r="B252" s="96" t="s">
        <v>370</v>
      </c>
      <c r="C252" s="97">
        <v>0.75</v>
      </c>
      <c r="D252" s="101"/>
      <c r="E252" s="101"/>
    </row>
    <row r="253" spans="2:5">
      <c r="B253" s="96" t="s">
        <v>371</v>
      </c>
      <c r="C253" s="98">
        <v>0.56000000000000005</v>
      </c>
      <c r="D253" s="101"/>
      <c r="E253" s="101"/>
    </row>
    <row r="254" spans="2:5">
      <c r="B254" s="96" t="s">
        <v>372</v>
      </c>
      <c r="C254" s="97">
        <v>0.61</v>
      </c>
      <c r="D254" s="101"/>
      <c r="E254" s="101"/>
    </row>
    <row r="255" spans="2:5">
      <c r="B255" s="96" t="s">
        <v>373</v>
      </c>
      <c r="C255" s="97">
        <v>0.64</v>
      </c>
      <c r="D255" s="101"/>
      <c r="E255" s="101"/>
    </row>
    <row r="256" spans="2:5">
      <c r="B256" s="96" t="s">
        <v>374</v>
      </c>
      <c r="C256" s="98">
        <v>0.56000000000000005</v>
      </c>
      <c r="D256" s="101"/>
      <c r="E256" s="101"/>
    </row>
    <row r="257" spans="2:5">
      <c r="B257" s="96" t="s">
        <v>375</v>
      </c>
      <c r="C257" s="97">
        <v>0.8</v>
      </c>
      <c r="D257" s="101"/>
      <c r="E257" s="101"/>
    </row>
    <row r="258" spans="2:5">
      <c r="B258" s="96" t="s">
        <v>376</v>
      </c>
      <c r="C258" s="98">
        <v>0.74</v>
      </c>
      <c r="D258" s="101"/>
      <c r="E258" s="101"/>
    </row>
    <row r="259" spans="2:5">
      <c r="B259" s="96" t="s">
        <v>377</v>
      </c>
      <c r="C259" s="98">
        <v>0.63</v>
      </c>
      <c r="D259" s="101"/>
      <c r="E259" s="101"/>
    </row>
    <row r="260" spans="2:5">
      <c r="B260" s="96" t="s">
        <v>378</v>
      </c>
      <c r="C260" s="97">
        <v>0.82</v>
      </c>
      <c r="D260" s="101"/>
      <c r="E260" s="101"/>
    </row>
    <row r="261" spans="2:5">
      <c r="B261" s="96" t="s">
        <v>379</v>
      </c>
      <c r="C261" s="98">
        <v>0.57999999999999996</v>
      </c>
      <c r="D261" s="101"/>
      <c r="E261" s="101"/>
    </row>
    <row r="262" spans="2:5">
      <c r="B262" s="96" t="s">
        <v>380</v>
      </c>
      <c r="C262" s="98">
        <v>0.59</v>
      </c>
      <c r="D262" s="101"/>
      <c r="E262" s="101"/>
    </row>
    <row r="263" spans="2:5">
      <c r="B263" s="96" t="s">
        <v>381</v>
      </c>
      <c r="C263" s="97">
        <v>0.63</v>
      </c>
      <c r="D263" s="101"/>
      <c r="E263" s="101"/>
    </row>
    <row r="264" spans="2:5">
      <c r="B264" s="96" t="s">
        <v>382</v>
      </c>
      <c r="C264" s="98">
        <v>0.54</v>
      </c>
      <c r="D264" s="101"/>
      <c r="E264" s="101"/>
    </row>
    <row r="265" spans="2:5">
      <c r="B265" s="96" t="s">
        <v>383</v>
      </c>
      <c r="C265" s="97">
        <v>0.45</v>
      </c>
      <c r="D265" s="101"/>
      <c r="E265" s="101"/>
    </row>
    <row r="266" spans="2:5">
      <c r="B266" s="96" t="s">
        <v>384</v>
      </c>
      <c r="C266" s="98">
        <v>0.85</v>
      </c>
      <c r="D266" s="101"/>
      <c r="E266" s="101"/>
    </row>
    <row r="267" spans="2:5">
      <c r="B267" s="96" t="s">
        <v>385</v>
      </c>
      <c r="C267" s="97">
        <v>0.6</v>
      </c>
      <c r="D267" s="101"/>
      <c r="E267" s="101"/>
    </row>
    <row r="268" spans="2:5">
      <c r="B268" s="96" t="s">
        <v>386</v>
      </c>
      <c r="C268" s="98">
        <v>0.54</v>
      </c>
      <c r="D268" s="101"/>
      <c r="E268" s="101"/>
    </row>
    <row r="269" spans="2:5">
      <c r="B269" s="96" t="s">
        <v>387</v>
      </c>
      <c r="C269" s="98">
        <v>0.6</v>
      </c>
      <c r="D269" s="101"/>
      <c r="E269" s="101"/>
    </row>
    <row r="270" spans="2:5">
      <c r="B270" s="96" t="s">
        <v>388</v>
      </c>
      <c r="C270" s="98">
        <v>0.5</v>
      </c>
      <c r="D270" s="101"/>
      <c r="E270" s="101"/>
    </row>
    <row r="271" spans="2:5">
      <c r="B271" s="96" t="s">
        <v>389</v>
      </c>
      <c r="C271" s="97">
        <v>0.55000000000000004</v>
      </c>
      <c r="D271" s="101"/>
      <c r="E271" s="101"/>
    </row>
    <row r="272" spans="2:5">
      <c r="B272" s="96" t="s">
        <v>390</v>
      </c>
      <c r="C272" s="98">
        <v>0.55000000000000004</v>
      </c>
      <c r="D272" s="101"/>
      <c r="E272" s="101"/>
    </row>
    <row r="273" spans="2:5">
      <c r="B273" s="96" t="s">
        <v>391</v>
      </c>
      <c r="C273" s="98">
        <v>0.4</v>
      </c>
      <c r="D273" s="101"/>
      <c r="E273" s="101"/>
    </row>
    <row r="274" spans="2:5">
      <c r="B274" s="96" t="s">
        <v>392</v>
      </c>
      <c r="C274" s="98">
        <v>0.4</v>
      </c>
      <c r="D274" s="101"/>
      <c r="E274" s="101"/>
    </row>
    <row r="275" spans="2:5">
      <c r="B275" s="96" t="s">
        <v>393</v>
      </c>
      <c r="C275" s="98">
        <v>0.5</v>
      </c>
      <c r="D275" s="101"/>
      <c r="E275" s="101"/>
    </row>
    <row r="276" spans="2:5">
      <c r="B276" s="96" t="s">
        <v>394</v>
      </c>
      <c r="C276" s="98">
        <v>0.63</v>
      </c>
      <c r="D276" s="101"/>
      <c r="E276" s="101"/>
    </row>
    <row r="277" spans="2:5">
      <c r="B277" s="96" t="s">
        <v>395</v>
      </c>
      <c r="C277" s="98">
        <v>0.59</v>
      </c>
      <c r="D277" s="101"/>
      <c r="E277" s="101"/>
    </row>
    <row r="278" spans="2:5">
      <c r="B278" s="96" t="s">
        <v>396</v>
      </c>
      <c r="C278" s="97">
        <v>0.32</v>
      </c>
      <c r="D278" s="101"/>
      <c r="E278" s="101"/>
    </row>
    <row r="279" spans="2:5">
      <c r="B279" s="96" t="s">
        <v>397</v>
      </c>
      <c r="C279" s="97">
        <v>0.6</v>
      </c>
      <c r="D279" s="101"/>
      <c r="E279" s="101"/>
    </row>
    <row r="280" spans="2:5">
      <c r="B280" s="96" t="s">
        <v>398</v>
      </c>
      <c r="C280" s="98">
        <v>0.7</v>
      </c>
      <c r="D280" s="101"/>
      <c r="E280" s="101"/>
    </row>
    <row r="281" spans="2:5">
      <c r="B281" s="96" t="s">
        <v>399</v>
      </c>
      <c r="C281" s="97">
        <v>0.4</v>
      </c>
      <c r="D281" s="101"/>
      <c r="E281" s="101"/>
    </row>
    <row r="282" spans="2:5">
      <c r="B282" s="96" t="s">
        <v>400</v>
      </c>
      <c r="C282" s="98">
        <v>0.5</v>
      </c>
      <c r="D282" s="101"/>
      <c r="E282" s="101"/>
    </row>
    <row r="283" spans="2:5">
      <c r="B283" s="96" t="s">
        <v>401</v>
      </c>
      <c r="C283" s="98">
        <v>0.7</v>
      </c>
      <c r="D283" s="101"/>
      <c r="E283" s="101"/>
    </row>
    <row r="284" spans="2:5">
      <c r="B284" s="96" t="s">
        <v>402</v>
      </c>
      <c r="C284" s="98">
        <v>0.63</v>
      </c>
      <c r="D284" s="101"/>
      <c r="E284" s="101"/>
    </row>
    <row r="285" spans="2:5">
      <c r="B285" s="96" t="s">
        <v>403</v>
      </c>
      <c r="C285" s="98">
        <v>0.7</v>
      </c>
      <c r="D285" s="101"/>
      <c r="E285" s="101"/>
    </row>
    <row r="286" spans="2:5">
      <c r="B286" s="96" t="s">
        <v>404</v>
      </c>
      <c r="C286" s="98">
        <v>0.36</v>
      </c>
      <c r="D286" s="101"/>
      <c r="E286" s="101"/>
    </row>
    <row r="287" spans="2:5">
      <c r="B287" s="99" t="s">
        <v>405</v>
      </c>
      <c r="C287" s="100">
        <f>AVERAGE(C5:C286)</f>
        <v>0.58117021276595759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1"/>
  <sheetViews>
    <sheetView tabSelected="1" topLeftCell="F28" zoomScale="85" zoomScaleNormal="85" workbookViewId="0">
      <selection activeCell="J47" sqref="J47"/>
    </sheetView>
  </sheetViews>
  <sheetFormatPr baseColWidth="10" defaultColWidth="9.61328125" defaultRowHeight="15.5"/>
  <cols>
    <col min="1" max="1" width="80.3828125" style="77" customWidth="1"/>
    <col min="2" max="2" width="20.15234375" style="77" customWidth="1"/>
    <col min="3" max="3" width="16" style="77" customWidth="1"/>
    <col min="4" max="5" width="9.61328125" style="77"/>
    <col min="6" max="6" width="12.23046875" style="77" bestFit="1" customWidth="1"/>
    <col min="7" max="7" width="42.23046875" style="77" customWidth="1"/>
    <col min="8" max="8" width="22" style="77" customWidth="1"/>
    <col min="9" max="9" width="26.15234375" style="77" customWidth="1"/>
    <col min="10" max="10" width="76.4609375" style="77" customWidth="1"/>
    <col min="11" max="12" width="9.61328125" style="77"/>
    <col min="13" max="13" width="40.61328125" style="77" customWidth="1"/>
    <col min="14" max="14" width="15.4609375" style="77" customWidth="1"/>
    <col min="15" max="15" width="72.4609375" style="77" customWidth="1"/>
    <col min="16" max="16" width="14.3828125" style="77" customWidth="1"/>
    <col min="17" max="16384" width="9.61328125" style="77"/>
  </cols>
  <sheetData>
    <row r="1" spans="1:12" ht="21">
      <c r="A1" s="108" t="s">
        <v>418</v>
      </c>
      <c r="B1" s="109"/>
      <c r="C1" s="109"/>
      <c r="D1" s="109"/>
      <c r="E1" s="109"/>
      <c r="F1" s="109"/>
      <c r="G1" s="109"/>
      <c r="H1" s="109"/>
      <c r="I1" s="109"/>
      <c r="J1" s="109"/>
    </row>
    <row r="2" spans="1:12">
      <c r="A2" s="77" t="s">
        <v>416</v>
      </c>
    </row>
    <row r="8" spans="1:12">
      <c r="G8" s="196"/>
      <c r="H8" s="197"/>
      <c r="I8" s="197"/>
      <c r="J8" s="198"/>
      <c r="K8" s="198"/>
      <c r="L8" s="198"/>
    </row>
    <row r="9" spans="1:12">
      <c r="G9" s="196"/>
      <c r="H9" s="197"/>
      <c r="I9" s="197"/>
      <c r="J9" s="198"/>
      <c r="K9" s="198"/>
      <c r="L9" s="198"/>
    </row>
    <row r="10" spans="1:12">
      <c r="G10" s="196"/>
      <c r="H10" s="197"/>
      <c r="I10" s="197"/>
      <c r="J10" s="198"/>
      <c r="K10" s="198"/>
      <c r="L10" s="198"/>
    </row>
    <row r="11" spans="1:12">
      <c r="G11" s="197"/>
      <c r="H11" s="197"/>
      <c r="I11" s="197"/>
      <c r="J11" s="198"/>
      <c r="K11" s="198"/>
      <c r="L11" s="198"/>
    </row>
    <row r="12" spans="1:12">
      <c r="G12" s="199"/>
      <c r="H12" s="200"/>
      <c r="I12" s="197"/>
      <c r="J12" s="198"/>
      <c r="K12" s="198"/>
      <c r="L12" s="198"/>
    </row>
    <row r="13" spans="1:12">
      <c r="G13" s="196"/>
      <c r="H13" s="197"/>
      <c r="I13" s="197"/>
      <c r="J13" s="198"/>
      <c r="K13" s="198"/>
      <c r="L13" s="198"/>
    </row>
    <row r="14" spans="1:12">
      <c r="G14" s="199"/>
      <c r="H14" s="201"/>
      <c r="I14" s="197"/>
      <c r="J14" s="198"/>
      <c r="K14" s="198"/>
      <c r="L14" s="198"/>
    </row>
    <row r="15" spans="1:12">
      <c r="A15" s="79" t="s">
        <v>87</v>
      </c>
      <c r="C15" s="79" t="s">
        <v>88</v>
      </c>
      <c r="G15" s="196"/>
      <c r="H15" s="202"/>
      <c r="I15" s="197"/>
      <c r="J15" s="198"/>
      <c r="K15" s="198"/>
      <c r="L15" s="198"/>
    </row>
    <row r="16" spans="1:12" ht="59.25" customHeight="1">
      <c r="A16" s="80" t="s">
        <v>490</v>
      </c>
      <c r="B16" s="81"/>
      <c r="C16" s="82">
        <f>C34/(C34+C107)*100</f>
        <v>82.257598111297071</v>
      </c>
      <c r="G16" s="199"/>
      <c r="H16" s="202"/>
      <c r="I16" s="198"/>
      <c r="J16" s="198"/>
      <c r="K16" s="198"/>
      <c r="L16" s="198"/>
    </row>
    <row r="17" spans="7:12">
      <c r="G17" s="198"/>
      <c r="H17" s="198"/>
      <c r="I17" s="198"/>
      <c r="J17" s="198"/>
      <c r="K17" s="198"/>
      <c r="L17" s="198"/>
    </row>
    <row r="33" spans="1:10">
      <c r="A33" s="79" t="s">
        <v>89</v>
      </c>
      <c r="C33" s="79" t="s">
        <v>90</v>
      </c>
    </row>
    <row r="34" spans="1:10" ht="31">
      <c r="A34" s="80" t="s">
        <v>417</v>
      </c>
      <c r="B34" s="81"/>
      <c r="C34" s="104">
        <f>C62-C107</f>
        <v>31418721.451000001</v>
      </c>
    </row>
    <row r="35" spans="1:10">
      <c r="A35" s="80"/>
      <c r="B35" s="81"/>
      <c r="C35" s="84"/>
      <c r="F35" s="112"/>
      <c r="G35" s="112"/>
      <c r="H35" s="111"/>
      <c r="I35" s="113"/>
    </row>
    <row r="36" spans="1:10">
      <c r="F36" s="112"/>
      <c r="G36" s="115"/>
      <c r="H36" s="111"/>
      <c r="I36" s="112"/>
    </row>
    <row r="37" spans="1:10">
      <c r="F37" s="112"/>
      <c r="G37" s="112"/>
      <c r="H37" s="112"/>
      <c r="I37" s="112"/>
    </row>
    <row r="38" spans="1:10">
      <c r="F38" s="112"/>
      <c r="G38" s="112"/>
      <c r="H38" s="112"/>
      <c r="I38" s="112"/>
    </row>
    <row r="39" spans="1:10">
      <c r="F39" s="112"/>
      <c r="G39" s="115"/>
      <c r="H39" s="112"/>
      <c r="I39" s="112"/>
    </row>
    <row r="40" spans="1:10">
      <c r="F40" s="112"/>
      <c r="G40" s="112"/>
      <c r="H40" s="112"/>
      <c r="I40" s="112"/>
    </row>
    <row r="41" spans="1:10" ht="17.5">
      <c r="G41" s="85"/>
      <c r="H41" s="203"/>
    </row>
    <row r="42" spans="1:10">
      <c r="G42" s="85"/>
      <c r="H42" s="85"/>
      <c r="J42" s="86"/>
    </row>
    <row r="43" spans="1:10">
      <c r="G43" s="79" t="s">
        <v>91</v>
      </c>
      <c r="I43" s="204"/>
    </row>
    <row r="44" spans="1:10">
      <c r="H44" s="86"/>
    </row>
    <row r="45" spans="1:10">
      <c r="G45" s="79" t="s">
        <v>92</v>
      </c>
      <c r="H45" s="87" t="s">
        <v>93</v>
      </c>
      <c r="I45" s="87" t="s">
        <v>94</v>
      </c>
      <c r="J45" s="79" t="s">
        <v>95</v>
      </c>
    </row>
    <row r="46" spans="1:10" ht="31">
      <c r="G46" s="205" t="s">
        <v>491</v>
      </c>
      <c r="H46" s="234">
        <f>H60</f>
        <v>28911175</v>
      </c>
      <c r="I46" s="110" t="s">
        <v>98</v>
      </c>
      <c r="J46" s="111" t="s">
        <v>506</v>
      </c>
    </row>
    <row r="47" spans="1:10" ht="41">
      <c r="G47" s="206" t="s">
        <v>406</v>
      </c>
      <c r="H47" s="235">
        <v>12806000</v>
      </c>
      <c r="I47" s="206" t="s">
        <v>492</v>
      </c>
      <c r="J47" s="236" t="s">
        <v>493</v>
      </c>
    </row>
    <row r="48" spans="1:10" ht="31.5" customHeight="1">
      <c r="G48" s="110" t="s">
        <v>406</v>
      </c>
      <c r="H48" s="119">
        <f>H47*H52</f>
        <v>9284350</v>
      </c>
      <c r="I48" s="110" t="s">
        <v>98</v>
      </c>
      <c r="J48" s="91" t="s">
        <v>55</v>
      </c>
    </row>
    <row r="49" spans="1:13">
      <c r="G49" s="117" t="s">
        <v>97</v>
      </c>
      <c r="H49" s="207">
        <f>H46+H48</f>
        <v>38195525</v>
      </c>
      <c r="I49" s="117" t="s">
        <v>98</v>
      </c>
      <c r="J49" s="85" t="s">
        <v>55</v>
      </c>
    </row>
    <row r="50" spans="1:13">
      <c r="I50" s="127"/>
      <c r="M50" s="127"/>
    </row>
    <row r="51" spans="1:13" ht="93">
      <c r="G51" s="208" t="s">
        <v>110</v>
      </c>
      <c r="H51" s="209">
        <v>6</v>
      </c>
      <c r="I51" s="210" t="s">
        <v>494</v>
      </c>
    </row>
    <row r="52" spans="1:13" ht="31">
      <c r="G52" s="211" t="s">
        <v>495</v>
      </c>
      <c r="H52" s="212">
        <v>0.72499999999999998</v>
      </c>
      <c r="I52" s="210" t="s">
        <v>494</v>
      </c>
      <c r="J52" s="198"/>
    </row>
    <row r="53" spans="1:13">
      <c r="F53" s="93"/>
      <c r="G53" s="213"/>
      <c r="H53" s="214"/>
      <c r="I53" s="215"/>
      <c r="J53" s="216"/>
      <c r="K53" s="93"/>
    </row>
    <row r="54" spans="1:13">
      <c r="F54" s="93"/>
      <c r="G54" s="93"/>
      <c r="H54" s="93"/>
      <c r="I54" s="93"/>
      <c r="J54" s="93"/>
      <c r="K54" s="93"/>
    </row>
    <row r="55" spans="1:13">
      <c r="F55" s="93"/>
      <c r="G55" s="217" t="s">
        <v>496</v>
      </c>
      <c r="H55" s="218" t="s">
        <v>62</v>
      </c>
      <c r="I55" s="218" t="s">
        <v>497</v>
      </c>
      <c r="J55" s="218" t="s">
        <v>27</v>
      </c>
      <c r="K55" s="93"/>
    </row>
    <row r="56" spans="1:13" ht="41">
      <c r="F56" s="93"/>
      <c r="G56" s="219" t="s">
        <v>498</v>
      </c>
      <c r="H56" s="220">
        <v>3924000</v>
      </c>
      <c r="I56" s="2" t="s">
        <v>494</v>
      </c>
      <c r="J56" s="242" t="s">
        <v>499</v>
      </c>
      <c r="K56" s="93"/>
    </row>
    <row r="57" spans="1:13" ht="15.75" customHeight="1">
      <c r="F57" s="93"/>
      <c r="G57" s="221" t="s">
        <v>505</v>
      </c>
      <c r="H57" s="114">
        <f>H56*H51</f>
        <v>23544000</v>
      </c>
      <c r="I57" s="114" t="s">
        <v>494</v>
      </c>
      <c r="J57" s="243" t="s">
        <v>55</v>
      </c>
      <c r="K57" s="93"/>
    </row>
    <row r="58" spans="1:13" ht="41">
      <c r="F58" s="93"/>
      <c r="G58" s="222" t="s">
        <v>500</v>
      </c>
      <c r="H58" s="223">
        <v>7403000</v>
      </c>
      <c r="I58" s="223" t="s">
        <v>501</v>
      </c>
      <c r="J58" s="242" t="s">
        <v>502</v>
      </c>
      <c r="K58" s="93"/>
    </row>
    <row r="59" spans="1:13">
      <c r="F59" s="93"/>
      <c r="G59" s="224" t="s">
        <v>500</v>
      </c>
      <c r="H59" s="225">
        <f>H58*H52</f>
        <v>5367175</v>
      </c>
      <c r="I59" s="225" t="s">
        <v>494</v>
      </c>
      <c r="J59" s="244" t="s">
        <v>55</v>
      </c>
      <c r="K59" s="93"/>
    </row>
    <row r="60" spans="1:13" ht="18.5">
      <c r="F60" s="93"/>
      <c r="G60" s="237" t="s">
        <v>503</v>
      </c>
      <c r="H60" s="238">
        <f>H57+H59</f>
        <v>28911175</v>
      </c>
      <c r="I60" s="239" t="s">
        <v>494</v>
      </c>
      <c r="J60" s="245" t="s">
        <v>55</v>
      </c>
      <c r="K60" s="93"/>
    </row>
    <row r="61" spans="1:13">
      <c r="A61" s="79" t="s">
        <v>99</v>
      </c>
      <c r="B61" s="93"/>
      <c r="C61" s="116"/>
      <c r="F61" s="93"/>
      <c r="G61" s="240"/>
      <c r="H61" s="241"/>
      <c r="I61" s="241"/>
      <c r="J61" s="241"/>
      <c r="K61" s="93"/>
    </row>
    <row r="62" spans="1:13" ht="31">
      <c r="A62" s="80" t="s">
        <v>417</v>
      </c>
      <c r="B62" s="81"/>
      <c r="C62" s="83">
        <f>H49</f>
        <v>38195525</v>
      </c>
      <c r="F62" s="93"/>
      <c r="G62" s="226"/>
      <c r="H62" s="112"/>
      <c r="I62" s="112"/>
      <c r="J62" s="112"/>
      <c r="K62" s="93"/>
    </row>
    <row r="63" spans="1:13" ht="46.5" customHeight="1">
      <c r="F63" s="93"/>
      <c r="G63" s="227"/>
      <c r="H63" s="228"/>
      <c r="I63" s="112"/>
      <c r="J63" s="112"/>
      <c r="K63" s="93"/>
    </row>
    <row r="64" spans="1:13">
      <c r="F64" s="229"/>
      <c r="G64" s="93"/>
      <c r="H64" s="93"/>
      <c r="I64" s="93"/>
      <c r="J64" s="93"/>
      <c r="K64" s="93"/>
    </row>
    <row r="65" spans="1:10">
      <c r="F65" s="229"/>
      <c r="G65" s="93"/>
      <c r="H65" s="93"/>
      <c r="I65" s="93"/>
      <c r="J65" s="93"/>
    </row>
    <row r="66" spans="1:10" ht="29.25" customHeight="1">
      <c r="F66" s="229"/>
    </row>
    <row r="67" spans="1:10">
      <c r="F67" s="229"/>
    </row>
    <row r="68" spans="1:10">
      <c r="F68" s="229"/>
    </row>
    <row r="69" spans="1:10">
      <c r="F69" s="229"/>
    </row>
    <row r="70" spans="1:10" ht="40.5" customHeight="1">
      <c r="F70" s="229"/>
    </row>
    <row r="71" spans="1:10" ht="32.25" customHeight="1">
      <c r="F71" s="229"/>
    </row>
    <row r="72" spans="1:10">
      <c r="F72" s="118"/>
    </row>
    <row r="73" spans="1:10">
      <c r="F73" s="118"/>
    </row>
    <row r="74" spans="1:10">
      <c r="F74" s="118"/>
    </row>
    <row r="78" spans="1:10">
      <c r="A78" s="89"/>
      <c r="B78" s="90"/>
    </row>
    <row r="79" spans="1:10">
      <c r="A79" s="89"/>
      <c r="B79" s="90"/>
    </row>
    <row r="80" spans="1:10">
      <c r="A80" s="89"/>
      <c r="B80" s="90"/>
    </row>
    <row r="81" spans="1:10">
      <c r="A81" s="89"/>
      <c r="B81" s="90"/>
    </row>
    <row r="82" spans="1:10">
      <c r="A82" s="89"/>
      <c r="B82" s="90"/>
    </row>
    <row r="83" spans="1:10">
      <c r="A83" s="89"/>
      <c r="B83" s="90"/>
    </row>
    <row r="84" spans="1:10">
      <c r="A84" s="89"/>
      <c r="B84" s="90"/>
    </row>
    <row r="85" spans="1:10">
      <c r="A85" s="89"/>
      <c r="B85" s="90"/>
      <c r="G85" s="77" t="s">
        <v>113</v>
      </c>
    </row>
    <row r="86" spans="1:10">
      <c r="A86" s="89"/>
      <c r="B86" s="90"/>
    </row>
    <row r="87" spans="1:10">
      <c r="A87" s="89"/>
      <c r="B87" s="90"/>
      <c r="G87" s="204"/>
    </row>
    <row r="88" spans="1:10">
      <c r="A88" s="89"/>
      <c r="B88" s="90"/>
    </row>
    <row r="89" spans="1:10">
      <c r="A89" s="89"/>
      <c r="B89" s="90"/>
      <c r="G89" s="79" t="s">
        <v>100</v>
      </c>
    </row>
    <row r="90" spans="1:10">
      <c r="A90" s="89"/>
      <c r="B90" s="90"/>
      <c r="G90" s="91" t="s">
        <v>115</v>
      </c>
      <c r="H90" s="230">
        <f>3611090</f>
        <v>3611090</v>
      </c>
      <c r="I90" s="91" t="s">
        <v>101</v>
      </c>
      <c r="J90" s="91" t="s">
        <v>114</v>
      </c>
    </row>
    <row r="91" spans="1:10">
      <c r="A91" s="89"/>
      <c r="B91" s="90"/>
      <c r="G91" s="85" t="s">
        <v>116</v>
      </c>
      <c r="H91" s="231">
        <v>32271450</v>
      </c>
      <c r="I91" s="85" t="s">
        <v>101</v>
      </c>
      <c r="J91" s="91" t="s">
        <v>112</v>
      </c>
    </row>
    <row r="92" spans="1:10">
      <c r="A92" s="89"/>
      <c r="B92" s="90"/>
      <c r="G92" s="85" t="s">
        <v>117</v>
      </c>
      <c r="H92" s="231">
        <v>21031460</v>
      </c>
      <c r="I92" s="85" t="s">
        <v>101</v>
      </c>
      <c r="J92" s="91" t="s">
        <v>112</v>
      </c>
    </row>
    <row r="93" spans="1:10">
      <c r="A93" s="89"/>
      <c r="B93" s="90"/>
    </row>
    <row r="94" spans="1:10">
      <c r="A94" s="89"/>
      <c r="B94" s="90"/>
      <c r="G94" s="79" t="s">
        <v>102</v>
      </c>
    </row>
    <row r="95" spans="1:10" ht="93">
      <c r="A95" s="89"/>
      <c r="B95" s="90"/>
      <c r="G95" s="85" t="s">
        <v>409</v>
      </c>
      <c r="H95" s="77">
        <f>AVERAGE(1.3,0.64,0.44)</f>
        <v>0.79333333333333333</v>
      </c>
      <c r="I95" s="85" t="s">
        <v>103</v>
      </c>
      <c r="J95" s="88" t="s">
        <v>118</v>
      </c>
    </row>
    <row r="96" spans="1:10" ht="93">
      <c r="A96" s="89"/>
      <c r="B96" s="90"/>
      <c r="G96" s="85" t="s">
        <v>408</v>
      </c>
      <c r="H96" s="77">
        <f>0.25</f>
        <v>0.25</v>
      </c>
      <c r="I96" s="85" t="s">
        <v>103</v>
      </c>
      <c r="J96" s="88" t="s">
        <v>119</v>
      </c>
    </row>
    <row r="97" spans="1:15" ht="77.5">
      <c r="A97" s="89"/>
      <c r="B97" s="90"/>
      <c r="G97" s="85" t="s">
        <v>407</v>
      </c>
      <c r="H97" s="77">
        <v>0.08</v>
      </c>
      <c r="I97" s="85" t="s">
        <v>103</v>
      </c>
      <c r="J97" s="88" t="s">
        <v>106</v>
      </c>
    </row>
    <row r="98" spans="1:15">
      <c r="A98" s="89"/>
      <c r="B98" s="90"/>
      <c r="G98" s="85" t="s">
        <v>409</v>
      </c>
      <c r="H98" s="252">
        <f>H95*H52</f>
        <v>0.5751666666666666</v>
      </c>
      <c r="I98" s="91" t="s">
        <v>107</v>
      </c>
      <c r="J98" s="262" t="s">
        <v>504</v>
      </c>
      <c r="N98" s="93"/>
      <c r="O98" s="93"/>
    </row>
    <row r="99" spans="1:15">
      <c r="A99" s="89"/>
      <c r="B99" s="90"/>
      <c r="G99" s="85" t="s">
        <v>408</v>
      </c>
      <c r="H99" s="252">
        <f>H96*H52</f>
        <v>0.18124999999999999</v>
      </c>
      <c r="I99" s="91" t="s">
        <v>107</v>
      </c>
      <c r="J99" s="262"/>
    </row>
    <row r="100" spans="1:15">
      <c r="A100" s="89"/>
      <c r="B100" s="90"/>
      <c r="G100" s="85" t="s">
        <v>407</v>
      </c>
      <c r="H100" s="252">
        <f>H97*H52</f>
        <v>5.7999999999999996E-2</v>
      </c>
      <c r="I100" s="91" t="s">
        <v>107</v>
      </c>
      <c r="J100" s="262"/>
    </row>
    <row r="101" spans="1:15">
      <c r="A101" s="89"/>
      <c r="B101" s="90"/>
    </row>
    <row r="102" spans="1:15">
      <c r="A102" s="89"/>
      <c r="B102" s="90"/>
      <c r="G102" s="105" t="s">
        <v>108</v>
      </c>
      <c r="H102" s="93"/>
      <c r="I102" s="93"/>
      <c r="J102" s="194"/>
    </row>
    <row r="103" spans="1:15">
      <c r="A103" s="89"/>
      <c r="B103" s="90"/>
      <c r="G103" s="91" t="s">
        <v>412</v>
      </c>
      <c r="H103" s="230">
        <v>2705513</v>
      </c>
      <c r="I103" s="91" t="s">
        <v>101</v>
      </c>
      <c r="J103" s="262" t="s">
        <v>419</v>
      </c>
    </row>
    <row r="104" spans="1:15">
      <c r="A104" s="89"/>
      <c r="B104" s="90"/>
      <c r="G104" s="91" t="s">
        <v>411</v>
      </c>
      <c r="H104" s="230">
        <v>1740336</v>
      </c>
      <c r="I104" s="91" t="s">
        <v>101</v>
      </c>
      <c r="J104" s="262"/>
    </row>
    <row r="105" spans="1:15">
      <c r="A105" s="89"/>
      <c r="B105" s="90"/>
      <c r="G105" s="91" t="s">
        <v>410</v>
      </c>
      <c r="H105" s="230">
        <v>8580056</v>
      </c>
      <c r="I105" s="91" t="s">
        <v>101</v>
      </c>
      <c r="J105" s="262"/>
    </row>
    <row r="106" spans="1:15" ht="109.5" customHeight="1">
      <c r="A106" s="79" t="s">
        <v>104</v>
      </c>
      <c r="C106" s="79" t="s">
        <v>105</v>
      </c>
      <c r="G106" s="79" t="s">
        <v>109</v>
      </c>
      <c r="H106" s="103">
        <f>H98*(H90-H103)+H99*(H91-H104)+H100*(H92-H105)</f>
        <v>6776803.5489999996</v>
      </c>
      <c r="I106" s="85" t="s">
        <v>98</v>
      </c>
      <c r="J106" s="85" t="s">
        <v>96</v>
      </c>
    </row>
    <row r="107" spans="1:15" ht="86.25" customHeight="1">
      <c r="A107" s="263" t="s">
        <v>111</v>
      </c>
      <c r="B107" s="81"/>
      <c r="C107" s="232">
        <f>H106</f>
        <v>6776803.5489999996</v>
      </c>
      <c r="F107" s="93"/>
    </row>
    <row r="108" spans="1:15">
      <c r="A108" s="263"/>
      <c r="H108" s="233"/>
    </row>
    <row r="109" spans="1:15">
      <c r="A109" s="263"/>
      <c r="H109" s="92"/>
    </row>
    <row r="111" spans="1:15">
      <c r="H111" s="106"/>
      <c r="I111" s="92"/>
    </row>
    <row r="113" spans="6:18" ht="27" customHeight="1"/>
    <row r="114" spans="6:18" ht="27" customHeight="1">
      <c r="K114" s="93"/>
      <c r="L114" s="93"/>
    </row>
    <row r="115" spans="6:18" ht="27" customHeight="1">
      <c r="G115" s="93"/>
      <c r="H115" s="93"/>
      <c r="I115" s="93"/>
      <c r="J115" s="93"/>
    </row>
    <row r="116" spans="6:18">
      <c r="M116" s="79"/>
      <c r="P116" s="93"/>
    </row>
    <row r="117" spans="6:18">
      <c r="P117" s="93"/>
    </row>
    <row r="118" spans="6:18">
      <c r="M118" s="94"/>
      <c r="N118" s="93"/>
      <c r="O118" s="93"/>
      <c r="P118" s="93"/>
    </row>
    <row r="119" spans="6:18">
      <c r="P119" s="93"/>
    </row>
    <row r="120" spans="6:18">
      <c r="P120" s="93"/>
    </row>
    <row r="124" spans="6:18">
      <c r="M124" s="93"/>
    </row>
    <row r="125" spans="6:18">
      <c r="F125" s="93"/>
    </row>
    <row r="127" spans="6:18">
      <c r="R127" s="93"/>
    </row>
    <row r="128" spans="6:18">
      <c r="R128" s="93"/>
    </row>
    <row r="129" spans="1:18">
      <c r="M129" s="79"/>
      <c r="P129" s="93"/>
      <c r="R129" s="93"/>
    </row>
    <row r="130" spans="1:18">
      <c r="P130" s="93"/>
      <c r="R130" s="93"/>
    </row>
    <row r="131" spans="1:18">
      <c r="M131" s="94"/>
      <c r="N131" s="93"/>
      <c r="O131" s="93"/>
      <c r="P131" s="93"/>
      <c r="R131" s="93"/>
    </row>
    <row r="132" spans="1:18">
      <c r="P132" s="93"/>
      <c r="R132" s="93"/>
    </row>
    <row r="133" spans="1:18">
      <c r="A133" s="79"/>
      <c r="P133" s="93"/>
      <c r="R133" s="93"/>
    </row>
    <row r="134" spans="1:18">
      <c r="R134" s="93"/>
    </row>
    <row r="135" spans="1:18">
      <c r="R135" s="93"/>
    </row>
    <row r="136" spans="1:18">
      <c r="R136" s="93"/>
    </row>
    <row r="137" spans="1:18">
      <c r="M137" s="93"/>
      <c r="R137" s="93"/>
    </row>
    <row r="138" spans="1:18">
      <c r="R138" s="93"/>
    </row>
    <row r="139" spans="1:18">
      <c r="R139" s="93"/>
    </row>
    <row r="140" spans="1:18">
      <c r="R140" s="93"/>
    </row>
    <row r="141" spans="1:18">
      <c r="R141" s="93"/>
    </row>
  </sheetData>
  <mergeCells count="3">
    <mergeCell ref="J98:J100"/>
    <mergeCell ref="J103:J105"/>
    <mergeCell ref="A107:A109"/>
  </mergeCells>
  <hyperlinks>
    <hyperlink ref="J56" r:id="rId1"/>
    <hyperlink ref="J58" r:id="rId2"/>
    <hyperlink ref="J47" r:id="rId3"/>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7"/>
  <sheetViews>
    <sheetView zoomScale="115" zoomScaleNormal="115" workbookViewId="0">
      <selection activeCell="E19" sqref="E19"/>
    </sheetView>
  </sheetViews>
  <sheetFormatPr baseColWidth="10" defaultColWidth="11" defaultRowHeight="13.5"/>
  <cols>
    <col min="1" max="1" width="21.23046875" customWidth="1"/>
    <col min="2" max="8" width="24.4609375" customWidth="1"/>
    <col min="9" max="9" width="11.4609375" bestFit="1" customWidth="1"/>
    <col min="10" max="10" width="13" bestFit="1" customWidth="1"/>
  </cols>
  <sheetData>
    <row r="3" spans="1:9" ht="15">
      <c r="A3" s="150" t="s">
        <v>465</v>
      </c>
    </row>
    <row r="4" spans="1:9">
      <c r="A4" s="129" t="s">
        <v>436</v>
      </c>
      <c r="B4" s="129" t="s">
        <v>437</v>
      </c>
      <c r="C4" s="129" t="s">
        <v>438</v>
      </c>
      <c r="D4" s="129" t="s">
        <v>439</v>
      </c>
      <c r="E4" s="129" t="s">
        <v>440</v>
      </c>
      <c r="F4" s="129" t="s">
        <v>441</v>
      </c>
      <c r="G4" s="129" t="s">
        <v>442</v>
      </c>
      <c r="H4" s="129" t="s">
        <v>443</v>
      </c>
    </row>
    <row r="5" spans="1:9">
      <c r="A5" s="130">
        <v>2013</v>
      </c>
      <c r="B5" s="107">
        <v>0</v>
      </c>
      <c r="C5" s="107">
        <v>0</v>
      </c>
      <c r="D5" s="107">
        <v>0</v>
      </c>
      <c r="E5" s="107">
        <v>0</v>
      </c>
      <c r="F5" s="107">
        <v>0</v>
      </c>
      <c r="G5" s="107">
        <v>0</v>
      </c>
      <c r="H5" s="107">
        <v>76</v>
      </c>
    </row>
    <row r="6" spans="1:9">
      <c r="A6" s="130">
        <v>2014</v>
      </c>
      <c r="B6" s="107">
        <v>0</v>
      </c>
      <c r="C6" s="107">
        <v>0</v>
      </c>
      <c r="D6" s="107">
        <v>0</v>
      </c>
      <c r="E6" s="107">
        <v>0</v>
      </c>
      <c r="F6" s="107">
        <v>0</v>
      </c>
      <c r="G6" s="107">
        <v>39</v>
      </c>
      <c r="H6" s="107">
        <v>538</v>
      </c>
    </row>
    <row r="7" spans="1:9">
      <c r="A7" s="130">
        <v>2015</v>
      </c>
      <c r="B7" s="107">
        <v>0</v>
      </c>
      <c r="C7" s="107">
        <v>0</v>
      </c>
      <c r="D7" s="107">
        <v>0</v>
      </c>
      <c r="E7" s="107">
        <v>0</v>
      </c>
      <c r="F7" s="107">
        <v>82</v>
      </c>
      <c r="G7" s="107">
        <v>88</v>
      </c>
      <c r="H7" s="107">
        <v>0</v>
      </c>
    </row>
    <row r="8" spans="1:9">
      <c r="A8" s="130">
        <v>2016</v>
      </c>
      <c r="B8" s="107">
        <v>0</v>
      </c>
      <c r="C8" s="107">
        <v>0</v>
      </c>
      <c r="D8" s="107">
        <v>0</v>
      </c>
      <c r="E8" s="107">
        <v>260</v>
      </c>
      <c r="F8" s="107">
        <v>2628</v>
      </c>
      <c r="G8" s="107">
        <v>0</v>
      </c>
      <c r="H8" s="107">
        <v>0</v>
      </c>
    </row>
    <row r="9" spans="1:9">
      <c r="A9" s="130">
        <v>2017</v>
      </c>
      <c r="B9" s="107">
        <v>0</v>
      </c>
      <c r="C9" s="107">
        <v>0</v>
      </c>
      <c r="D9" s="107">
        <v>278</v>
      </c>
      <c r="E9" s="107">
        <v>1663</v>
      </c>
      <c r="F9" s="107">
        <v>0</v>
      </c>
      <c r="G9" s="107">
        <v>0</v>
      </c>
      <c r="H9" s="107">
        <v>0</v>
      </c>
    </row>
    <row r="10" spans="1:9">
      <c r="A10" s="130">
        <v>2018</v>
      </c>
      <c r="B10" s="107">
        <v>0</v>
      </c>
      <c r="C10" s="107">
        <v>402</v>
      </c>
      <c r="D10" s="107">
        <v>3171</v>
      </c>
      <c r="E10" s="107">
        <v>0</v>
      </c>
      <c r="F10" s="107">
        <v>0</v>
      </c>
      <c r="G10" s="107">
        <v>0</v>
      </c>
      <c r="H10" s="107">
        <v>0</v>
      </c>
    </row>
    <row r="11" spans="1:9">
      <c r="A11" s="130">
        <v>2019</v>
      </c>
      <c r="B11" s="107">
        <v>649</v>
      </c>
      <c r="C11" s="107">
        <v>1623</v>
      </c>
      <c r="D11" s="107">
        <v>0</v>
      </c>
      <c r="E11" s="107">
        <v>0</v>
      </c>
      <c r="F11" s="107">
        <v>0</v>
      </c>
      <c r="G11" s="107">
        <v>0</v>
      </c>
      <c r="H11" s="107">
        <v>0</v>
      </c>
    </row>
    <row r="12" spans="1:9">
      <c r="A12" s="130">
        <v>2020</v>
      </c>
      <c r="B12" s="107">
        <v>1277</v>
      </c>
      <c r="C12" s="107">
        <v>0</v>
      </c>
      <c r="D12" s="107">
        <v>0</v>
      </c>
      <c r="E12" s="107">
        <v>0</v>
      </c>
      <c r="F12" s="107">
        <v>0</v>
      </c>
      <c r="G12" s="107">
        <v>0</v>
      </c>
      <c r="H12" s="107">
        <v>0</v>
      </c>
    </row>
    <row r="13" spans="1:9" ht="14" thickBot="1">
      <c r="A13" s="132" t="s">
        <v>19</v>
      </c>
      <c r="B13" s="133">
        <v>1926</v>
      </c>
      <c r="C13" s="133">
        <v>2025</v>
      </c>
      <c r="D13" s="133">
        <v>3449</v>
      </c>
      <c r="E13" s="133">
        <v>1923</v>
      </c>
      <c r="F13" s="133">
        <v>2710</v>
      </c>
      <c r="G13" s="133">
        <v>127</v>
      </c>
      <c r="H13" s="133">
        <v>614</v>
      </c>
      <c r="I13" s="134">
        <v>12774</v>
      </c>
    </row>
    <row r="16" spans="1:9" ht="27">
      <c r="A16" s="131" t="s">
        <v>435</v>
      </c>
      <c r="B16" s="107">
        <v>0.8286</v>
      </c>
      <c r="C16">
        <v>0.9</v>
      </c>
      <c r="D16">
        <v>0.78380000000000005</v>
      </c>
      <c r="E16">
        <v>0.71430000000000005</v>
      </c>
      <c r="F16">
        <v>0.9</v>
      </c>
      <c r="G16">
        <v>0.9</v>
      </c>
      <c r="H16">
        <v>0.77780000000000005</v>
      </c>
    </row>
    <row r="17" spans="8:9" ht="14.5">
      <c r="H17" s="152" t="s">
        <v>414</v>
      </c>
      <c r="I17" s="153">
        <f>(B13*B16+C13*C16+D13*D16+E13*E16+F13*F16+G13*G16+H13*H16)/I13</f>
        <v>0.82403146234538915</v>
      </c>
    </row>
  </sheetData>
  <pageMargins left="0.7" right="0.7" top="0.75" bottom="0.75" header="0.3" footer="0.3"/>
  <pageSetup paperSize="9"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2"/>
  <sheetViews>
    <sheetView topLeftCell="A15" zoomScale="145" zoomScaleNormal="145" workbookViewId="0">
      <selection activeCell="A25" sqref="A25"/>
    </sheetView>
  </sheetViews>
  <sheetFormatPr baseColWidth="10" defaultColWidth="11" defaultRowHeight="13.5"/>
  <cols>
    <col min="1" max="1" width="63.765625" style="136" customWidth="1"/>
    <col min="2" max="2" width="29.23046875" style="136" bestFit="1" customWidth="1"/>
    <col min="3" max="3" width="39.61328125" style="136" bestFit="1" customWidth="1"/>
    <col min="4" max="16384" width="11" style="136"/>
  </cols>
  <sheetData>
    <row r="2" spans="1:3" ht="15">
      <c r="A2" s="135" t="s">
        <v>447</v>
      </c>
    </row>
    <row r="3" spans="1:3">
      <c r="A3" s="136" t="s">
        <v>74</v>
      </c>
    </row>
    <row r="4" spans="1:3">
      <c r="A4" s="137" t="s">
        <v>479</v>
      </c>
    </row>
    <row r="5" spans="1:3">
      <c r="A5" s="137"/>
    </row>
    <row r="6" spans="1:3">
      <c r="A6" s="165" t="s">
        <v>480</v>
      </c>
      <c r="B6" s="166"/>
      <c r="C6" s="166"/>
    </row>
    <row r="7" spans="1:3">
      <c r="A7" s="138" t="s">
        <v>477</v>
      </c>
    </row>
    <row r="8" spans="1:3">
      <c r="A8" s="139" t="s">
        <v>24</v>
      </c>
      <c r="B8" s="139" t="s">
        <v>448</v>
      </c>
      <c r="C8" s="139" t="s">
        <v>27</v>
      </c>
    </row>
    <row r="9" spans="1:3">
      <c r="A9" s="140" t="s">
        <v>449</v>
      </c>
      <c r="B9" s="168">
        <f>ER_per_Stove!C37</f>
        <v>1.6431952380952377</v>
      </c>
      <c r="C9" s="140" t="s">
        <v>450</v>
      </c>
    </row>
    <row r="11" spans="1:3">
      <c r="A11" s="138" t="s">
        <v>451</v>
      </c>
    </row>
    <row r="12" spans="1:3">
      <c r="A12" s="139" t="s">
        <v>24</v>
      </c>
      <c r="B12" s="139" t="s">
        <v>448</v>
      </c>
      <c r="C12" s="139" t="s">
        <v>27</v>
      </c>
    </row>
    <row r="13" spans="1:3" ht="27">
      <c r="A13" s="141" t="s">
        <v>452</v>
      </c>
      <c r="B13" s="167">
        <v>1.4999999999999999E-2</v>
      </c>
      <c r="C13" s="142" t="s">
        <v>453</v>
      </c>
    </row>
    <row r="16" spans="1:3">
      <c r="A16" s="138" t="s">
        <v>454</v>
      </c>
    </row>
    <row r="17" spans="1:3">
      <c r="A17" s="139" t="s">
        <v>24</v>
      </c>
      <c r="B17" s="139" t="s">
        <v>448</v>
      </c>
      <c r="C17" s="139" t="s">
        <v>27</v>
      </c>
    </row>
    <row r="18" spans="1:3">
      <c r="A18" s="143" t="s">
        <v>455</v>
      </c>
      <c r="B18" s="144">
        <f>B9*B13/365</f>
        <v>6.7528571428571407E-5</v>
      </c>
      <c r="C18" s="140" t="s">
        <v>456</v>
      </c>
    </row>
    <row r="19" spans="1:3">
      <c r="A19" s="143" t="s">
        <v>472</v>
      </c>
      <c r="B19" s="144">
        <f>B9*B13</f>
        <v>2.4647928571428564E-2</v>
      </c>
      <c r="C19" s="140" t="s">
        <v>456</v>
      </c>
    </row>
    <row r="20" spans="1:3">
      <c r="A20" s="143" t="s">
        <v>457</v>
      </c>
      <c r="B20" s="144">
        <f>B18/3.6</f>
        <v>1.8757936507936501E-5</v>
      </c>
      <c r="C20" s="145" t="s">
        <v>55</v>
      </c>
    </row>
    <row r="21" spans="1:3">
      <c r="A21" s="143" t="s">
        <v>473</v>
      </c>
      <c r="B21" s="144">
        <f>B19/3.6</f>
        <v>6.8466468253968234E-3</v>
      </c>
      <c r="C21" s="140" t="s">
        <v>456</v>
      </c>
    </row>
    <row r="22" spans="1:3">
      <c r="A22" s="140" t="s">
        <v>458</v>
      </c>
      <c r="B22" s="146">
        <f>B20*1000000</f>
        <v>18.757936507936499</v>
      </c>
      <c r="C22" s="140" t="s">
        <v>456</v>
      </c>
    </row>
    <row r="23" spans="1:3">
      <c r="A23" s="140" t="s">
        <v>459</v>
      </c>
      <c r="B23" s="143">
        <v>1.5</v>
      </c>
      <c r="C23" s="140" t="s">
        <v>460</v>
      </c>
    </row>
    <row r="24" spans="1:3">
      <c r="A24" s="147" t="s">
        <v>488</v>
      </c>
      <c r="B24" s="148">
        <f>B22/B23</f>
        <v>12.505291005290999</v>
      </c>
      <c r="C24" s="149" t="s">
        <v>456</v>
      </c>
    </row>
    <row r="25" spans="1:3">
      <c r="A25" s="155"/>
      <c r="B25" s="154"/>
    </row>
    <row r="28" spans="1:3">
      <c r="A28" s="138" t="s">
        <v>461</v>
      </c>
    </row>
    <row r="29" spans="1:3">
      <c r="A29" s="136" t="s">
        <v>462</v>
      </c>
    </row>
    <row r="30" spans="1:3">
      <c r="A30" s="136" t="s">
        <v>463</v>
      </c>
    </row>
    <row r="31" spans="1:3">
      <c r="A31" s="136" t="s">
        <v>464</v>
      </c>
    </row>
    <row r="36" spans="1:3">
      <c r="A36" s="165" t="s">
        <v>478</v>
      </c>
      <c r="B36" s="166"/>
      <c r="C36" s="166"/>
    </row>
    <row r="37" spans="1:3">
      <c r="A37" s="138" t="s">
        <v>471</v>
      </c>
    </row>
    <row r="38" spans="1:3">
      <c r="A38" s="139" t="s">
        <v>24</v>
      </c>
      <c r="B38" s="139" t="s">
        <v>448</v>
      </c>
      <c r="C38" s="139" t="s">
        <v>27</v>
      </c>
    </row>
    <row r="39" spans="1:3">
      <c r="A39" s="140" t="s">
        <v>449</v>
      </c>
      <c r="B39" s="168">
        <f>ER_per_Stove!C42</f>
        <v>1.5568047619047625</v>
      </c>
      <c r="C39" s="140" t="s">
        <v>450</v>
      </c>
    </row>
    <row r="41" spans="1:3">
      <c r="A41" s="138" t="s">
        <v>451</v>
      </c>
    </row>
    <row r="42" spans="1:3">
      <c r="A42" s="139" t="s">
        <v>24</v>
      </c>
      <c r="B42" s="139" t="s">
        <v>448</v>
      </c>
      <c r="C42" s="139" t="s">
        <v>27</v>
      </c>
    </row>
    <row r="43" spans="1:3" ht="27">
      <c r="A43" s="141" t="s">
        <v>452</v>
      </c>
      <c r="B43" s="167">
        <v>1.4999999999999999E-2</v>
      </c>
      <c r="C43" s="142" t="s">
        <v>453</v>
      </c>
    </row>
    <row r="46" spans="1:3">
      <c r="A46" s="138" t="s">
        <v>454</v>
      </c>
    </row>
    <row r="47" spans="1:3">
      <c r="A47" s="139" t="s">
        <v>24</v>
      </c>
      <c r="B47" s="139" t="s">
        <v>448</v>
      </c>
      <c r="C47" s="139" t="s">
        <v>27</v>
      </c>
    </row>
    <row r="48" spans="1:3">
      <c r="A48" s="143" t="s">
        <v>455</v>
      </c>
      <c r="B48" s="144">
        <f>B39*B43/365</f>
        <v>6.3978277886497087E-5</v>
      </c>
      <c r="C48" s="140" t="s">
        <v>456</v>
      </c>
    </row>
    <row r="49" spans="1:3">
      <c r="A49" s="143" t="s">
        <v>472</v>
      </c>
      <c r="B49" s="144">
        <f>B39*B43</f>
        <v>2.3352071428571437E-2</v>
      </c>
      <c r="C49" s="140" t="s">
        <v>456</v>
      </c>
    </row>
    <row r="50" spans="1:3">
      <c r="A50" s="143" t="s">
        <v>457</v>
      </c>
      <c r="B50" s="144">
        <f>B48/3.6</f>
        <v>1.77717438573603E-5</v>
      </c>
      <c r="C50" s="145" t="s">
        <v>55</v>
      </c>
    </row>
    <row r="51" spans="1:3">
      <c r="A51" s="143" t="s">
        <v>473</v>
      </c>
      <c r="B51" s="144">
        <f>B49/3.6</f>
        <v>6.4866865079365099E-3</v>
      </c>
      <c r="C51" s="140" t="s">
        <v>456</v>
      </c>
    </row>
    <row r="52" spans="1:3" ht="27">
      <c r="A52" s="164" t="s">
        <v>481</v>
      </c>
      <c r="B52" s="148">
        <f>B51*'Project_ER_per Year'!P45</f>
        <v>223.8101445833334</v>
      </c>
      <c r="C52" s="149" t="s">
        <v>456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overview BE_PE_ER estimations</vt:lpstr>
      <vt:lpstr>Project_ER_per Year</vt:lpstr>
      <vt:lpstr>BE</vt:lpstr>
      <vt:lpstr>PE</vt:lpstr>
      <vt:lpstr>ER_per_Stove</vt:lpstr>
      <vt:lpstr>fNRB_Tree_Density</vt:lpstr>
      <vt:lpstr>fNRB_Calculation </vt:lpstr>
      <vt:lpstr>Usage_Rate_Analysis</vt:lpstr>
      <vt:lpstr>UPDATED2020_energy_output</vt:lpstr>
      <vt:lpstr>ER_per_Stove!_ftn1</vt:lpstr>
      <vt:lpstr>ER_per_Stove!_ftnref1</vt:lpstr>
      <vt:lpstr>'fNRB_Calculation '!_GoBack</vt:lpstr>
    </vt:vector>
  </TitlesOfParts>
  <Company>Fastenopfer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Jander</dc:creator>
  <cp:lastModifiedBy>Leon Jander</cp:lastModifiedBy>
  <dcterms:created xsi:type="dcterms:W3CDTF">2020-10-14T06:43:51Z</dcterms:created>
  <dcterms:modified xsi:type="dcterms:W3CDTF">2021-08-12T07:16:42Z</dcterms:modified>
</cp:coreProperties>
</file>