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Active/Village_Water/Mozambique_Manica_SWS/4_Reviews/5_Re-validation/GS_CP_renewal/R2 GS7135/"/>
    </mc:Choice>
  </mc:AlternateContent>
  <xr:revisionPtr revIDLastSave="67" documentId="13_ncr:1_{E08C967B-2A9E-4937-8F31-259C8C9FBC25}" xr6:coauthVersionLast="47" xr6:coauthVersionMax="47" xr10:uidLastSave="{582D5212-4163-45CB-ABFE-4AE6FA6D1D99}"/>
  <bookViews>
    <workbookView xWindow="43095" yWindow="0" windowWidth="14610" windowHeight="15585" activeTab="1" xr2:uid="{00000000-000D-0000-FFFF-FFFF00000000}"/>
  </bookViews>
  <sheets>
    <sheet name="GS7135 Households" sheetId="5" r:id="rId1"/>
    <sheet name="Ex-antes" sheetId="2" r:id="rId2"/>
    <sheet name="SDG contributions" sheetId="4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B50" i="5" l="1"/>
  <c r="G23" i="4" l="1"/>
  <c r="M8" i="4" l="1"/>
  <c r="F54" i="5"/>
  <c r="F62" i="4"/>
  <c r="F33" i="4"/>
  <c r="F27" i="2" l="1"/>
  <c r="F26" i="2"/>
  <c r="I3" i="2"/>
  <c r="F52" i="5"/>
  <c r="G52" i="5"/>
  <c r="M9" i="4"/>
  <c r="F23" i="4" s="1"/>
  <c r="I8" i="2"/>
  <c r="E28" i="2" l="1"/>
  <c r="E13" i="2"/>
  <c r="F25" i="4"/>
  <c r="F15" i="4" l="1"/>
  <c r="M4" i="4" l="1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6" i="5"/>
  <c r="F36" i="5"/>
  <c r="G35" i="5"/>
  <c r="F35" i="5"/>
  <c r="G34" i="5"/>
  <c r="F34" i="5"/>
  <c r="G33" i="5"/>
  <c r="F33" i="5"/>
  <c r="G17" i="5"/>
  <c r="F17" i="5"/>
  <c r="G12" i="5"/>
  <c r="F12" i="5"/>
  <c r="G11" i="5"/>
  <c r="F11" i="5"/>
  <c r="G10" i="5"/>
  <c r="F10" i="5"/>
  <c r="G9" i="5"/>
  <c r="F9" i="5"/>
  <c r="G5" i="5"/>
  <c r="F5" i="5"/>
  <c r="G3" i="5"/>
  <c r="F3" i="5"/>
  <c r="F50" i="5" s="1"/>
  <c r="F51" i="5" s="1"/>
  <c r="I4" i="2" s="1"/>
  <c r="M5" i="4" s="1"/>
  <c r="G2" i="5"/>
  <c r="F2" i="5"/>
  <c r="G50" i="5" l="1"/>
  <c r="G51" i="5" s="1"/>
  <c r="I7" i="2" s="1"/>
  <c r="M7" i="4" l="1"/>
  <c r="F70" i="4"/>
  <c r="F71" i="4"/>
  <c r="F24" i="4"/>
  <c r="F22" i="4" s="1"/>
  <c r="F8" i="4"/>
  <c r="F7" i="4"/>
  <c r="F14" i="4"/>
  <c r="F67" i="4" l="1"/>
  <c r="E64" i="2"/>
  <c r="F56" i="4"/>
  <c r="F38" i="4" l="1"/>
  <c r="F6" i="4"/>
  <c r="F45" i="4" l="1"/>
  <c r="E36" i="2" l="1"/>
  <c r="E39" i="2" l="1"/>
  <c r="E32" i="2" l="1"/>
  <c r="F32" i="2" s="1"/>
  <c r="E33" i="2"/>
  <c r="E6" i="2"/>
  <c r="E37" i="2" l="1"/>
  <c r="E22" i="2"/>
  <c r="E21" i="2"/>
  <c r="E20" i="2"/>
  <c r="E15" i="2"/>
  <c r="E14" i="2"/>
  <c r="E9" i="2"/>
  <c r="E12" i="2" l="1"/>
  <c r="E8" i="2"/>
  <c r="E5" i="2" l="1"/>
  <c r="E63" i="2" s="1"/>
  <c r="F51" i="4" l="1"/>
  <c r="F50" i="4" s="1"/>
  <c r="F46" i="4" s="1"/>
  <c r="F44" i="4" s="1"/>
  <c r="F39" i="4" s="1"/>
  <c r="F37" i="4" s="1"/>
  <c r="F32" i="4" s="1"/>
  <c r="F31" i="4" s="1"/>
  <c r="F74" i="4" s="1"/>
  <c r="E67" i="2"/>
  <c r="E68" i="2" s="1"/>
  <c r="E69" i="2" s="1"/>
  <c r="F68" i="4" l="1"/>
  <c r="F66" i="4" s="1"/>
  <c r="F61" i="4" s="1"/>
  <c r="F60" i="4" s="1"/>
  <c r="F76" i="4" s="1"/>
  <c r="F7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tc={106702F0-FAC6-4D6D-BE0C-E20A17877562}</author>
    <author>tc={3DA6FCFB-B0AC-4471-9632-1E9E23B94D72}</author>
    <author>tc={2E08A8FB-3045-4CBF-B919-80983909D3D9}</author>
  </authors>
  <commentList>
    <comment ref="E74" authorId="0" shapeId="0" xr:uid="{106702F0-FAC6-4D6D-BE0C-E20A1787756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baseline usage of wood-fuel.</t>
      </text>
    </comment>
    <comment ref="E75" authorId="1" shapeId="0" xr:uid="{3DA6FCFB-B0AC-4471-9632-1E9E23B94D7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project estimate in the SDG Impact Tool.</t>
      </text>
    </comment>
    <comment ref="E76" authorId="2" shapeId="0" xr:uid="{2E08A8FB-3045-4CBF-B919-80983909D3D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wood-fuel 'saved' shown in the SDG Impact Tool as the 'difference' between baseline and project usage.</t>
      </text>
    </comment>
  </commentList>
</comments>
</file>

<file path=xl/sharedStrings.xml><?xml version="1.0" encoding="utf-8"?>
<sst xmlns="http://schemas.openxmlformats.org/spreadsheetml/2006/main" count="503" uniqueCount="323">
  <si>
    <t>Borehole ID</t>
  </si>
  <si>
    <t>Village</t>
  </si>
  <si>
    <t>Latitude</t>
  </si>
  <si>
    <t>Longitude</t>
  </si>
  <si>
    <t>Rehabilitation Date</t>
  </si>
  <si>
    <t>HH List people &lt;1 km uncapped</t>
  </si>
  <si>
    <t>No. HHs</t>
  </si>
  <si>
    <t>CHI00012</t>
  </si>
  <si>
    <t>Agostinho Neto-B</t>
  </si>
  <si>
    <t>SUS01090</t>
  </si>
  <si>
    <t>Sanguene</t>
  </si>
  <si>
    <t>SUS01087</t>
  </si>
  <si>
    <t>Madudu</t>
  </si>
  <si>
    <t>SUS01093</t>
  </si>
  <si>
    <t>Zinguena School</t>
  </si>
  <si>
    <t>SUS01091</t>
  </si>
  <si>
    <t>Maquawaio</t>
  </si>
  <si>
    <t>SUS01094</t>
  </si>
  <si>
    <t>Sanguene School</t>
  </si>
  <si>
    <t>SUS01086</t>
  </si>
  <si>
    <t>Maquina</t>
  </si>
  <si>
    <t>CHI00011</t>
  </si>
  <si>
    <t>Agostinho Neto-A</t>
  </si>
  <si>
    <t>CHI00013</t>
  </si>
  <si>
    <t>Francisco Manyanga</t>
  </si>
  <si>
    <t>CHI00014</t>
  </si>
  <si>
    <t>1 de Maio</t>
  </si>
  <si>
    <t>CHI00018</t>
  </si>
  <si>
    <t>7 de Abril</t>
  </si>
  <si>
    <t>SUS00008</t>
  </si>
  <si>
    <t>Mucombe School</t>
  </si>
  <si>
    <t>SUS00023</t>
  </si>
  <si>
    <t xml:space="preserve">Magaro </t>
  </si>
  <si>
    <t>SUS00009</t>
  </si>
  <si>
    <t>Matongua</t>
  </si>
  <si>
    <t>CHI00045</t>
  </si>
  <si>
    <t>1 de Junho</t>
  </si>
  <si>
    <t>CHI00033</t>
  </si>
  <si>
    <t>Venceremos</t>
  </si>
  <si>
    <t>GON02957</t>
  </si>
  <si>
    <t>Tique-Tique Moagem</t>
  </si>
  <si>
    <t>GON02958</t>
  </si>
  <si>
    <t>Mapranhanga Marfuro</t>
  </si>
  <si>
    <t>GON02959</t>
  </si>
  <si>
    <t>Mapranhanga Serra EPC</t>
  </si>
  <si>
    <t>GON02966</t>
  </si>
  <si>
    <t>Sanga EPC</t>
  </si>
  <si>
    <t>GON02969</t>
  </si>
  <si>
    <t>Nhandare</t>
  </si>
  <si>
    <t>GON02964</t>
  </si>
  <si>
    <t>Mudima Sede EPC</t>
  </si>
  <si>
    <t>GON02968</t>
  </si>
  <si>
    <t>Nhacurerwha</t>
  </si>
  <si>
    <t>CHI03003</t>
  </si>
  <si>
    <t>Bairro Tembwe Zona 11</t>
  </si>
  <si>
    <t>GON02965</t>
  </si>
  <si>
    <t>Djeque</t>
  </si>
  <si>
    <t>GON02971</t>
  </si>
  <si>
    <t>Ruzara</t>
  </si>
  <si>
    <t>MAN03068</t>
  </si>
  <si>
    <t>Bairro EPC Cacarue</t>
  </si>
  <si>
    <t>MAN03070</t>
  </si>
  <si>
    <t>Bairro Cacarue Estrada</t>
  </si>
  <si>
    <t>MAN03108</t>
  </si>
  <si>
    <t>Bairro Jecua Citrinos</t>
  </si>
  <si>
    <t>MAN03112</t>
  </si>
  <si>
    <t>Bairro Jecua Muzongo D</t>
  </si>
  <si>
    <t>MAN03109</t>
  </si>
  <si>
    <t>Bairro Jecua Riacho</t>
  </si>
  <si>
    <t>MAN03055</t>
  </si>
  <si>
    <t>Bairro 7 de Abril Raca Moagem</t>
  </si>
  <si>
    <t>MAN03107</t>
  </si>
  <si>
    <t>Bairro dos Professores Jecua</t>
  </si>
  <si>
    <t>MAN03110</t>
  </si>
  <si>
    <t>Bairro EPC de Jecua</t>
  </si>
  <si>
    <t>MAN03111</t>
  </si>
  <si>
    <t>Bairro Jecua R. Munene</t>
  </si>
  <si>
    <t>MAN03054</t>
  </si>
  <si>
    <t>Bairro 7 de Abril Raca</t>
  </si>
  <si>
    <t>MAN03059</t>
  </si>
  <si>
    <t>Bairro 7 de Abril Cemiterio</t>
  </si>
  <si>
    <t>MAN03067</t>
  </si>
  <si>
    <t>Bairro 7 de Abril Zona Alta</t>
  </si>
  <si>
    <t>MAN03066</t>
  </si>
  <si>
    <t>Bairro Manhate Nhautata</t>
  </si>
  <si>
    <t>MAN03053</t>
  </si>
  <si>
    <t>Chinhagore Celula D</t>
  </si>
  <si>
    <t>MAN03052</t>
  </si>
  <si>
    <t>EPC de Chinhagore</t>
  </si>
  <si>
    <t>MAN03060</t>
  </si>
  <si>
    <t>Bairro 7 de Abril Seias Ponte</t>
  </si>
  <si>
    <t>MAN03071</t>
  </si>
  <si>
    <t>Bairro Cacarue Raca</t>
  </si>
  <si>
    <t>MAN03084</t>
  </si>
  <si>
    <t>Bairro EPC de 5 de Dezembro Chinhamapere</t>
  </si>
  <si>
    <t>MAN03090</t>
  </si>
  <si>
    <t>Bairro 4 Congresso Sambae</t>
  </si>
  <si>
    <t>MAN03085</t>
  </si>
  <si>
    <t>Bairro Chinhamapere Esquadra</t>
  </si>
  <si>
    <t>MAN03087</t>
  </si>
  <si>
    <t>Bairro EP1 Chinhamarombe 4 Congresso</t>
  </si>
  <si>
    <t>MAN03078</t>
  </si>
  <si>
    <t>Bairro Manhate Celula A3</t>
  </si>
  <si>
    <t>Total number of villages</t>
  </si>
  <si>
    <t>Avg no of HHs across this VPA</t>
  </si>
  <si>
    <t>Average number of users</t>
  </si>
  <si>
    <t>Total HHs in the VPA</t>
  </si>
  <si>
    <t>ERSDWS</t>
  </si>
  <si>
    <t>Equation number</t>
  </si>
  <si>
    <t>Baseline Emissions (BEy)</t>
  </si>
  <si>
    <t xml:space="preserve">Project Inputs </t>
  </si>
  <si>
    <t>Source</t>
  </si>
  <si>
    <t xml:space="preserve">Number of Boreholes </t>
  </si>
  <si>
    <t>project database</t>
  </si>
  <si>
    <t>Equation 3</t>
  </si>
  <si>
    <t>BEy = EFb x (1 - Cb - Xcleanboil,y) x Qy x Mq,y</t>
  </si>
  <si>
    <t>Number of Users/BH</t>
  </si>
  <si>
    <t>household list average</t>
  </si>
  <si>
    <t>=</t>
  </si>
  <si>
    <r>
      <t>Baseline emissions from the use of fuel to obtain safe water in the baseline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e)</t>
    </r>
  </si>
  <si>
    <t>Average L/day/BH</t>
  </si>
  <si>
    <t>estimate</t>
  </si>
  <si>
    <t>Proportion of project households who in the baseline were already using a safe water supply that did not require boiling it (%)</t>
  </si>
  <si>
    <t xml:space="preserve">HH Size </t>
  </si>
  <si>
    <t>baseline survey</t>
  </si>
  <si>
    <r>
      <t xml:space="preserve">Proportion of project households that boil safe water in the project year </t>
    </r>
    <r>
      <rPr>
        <i/>
        <sz val="12"/>
        <color theme="1"/>
        <rFont val="Calibri"/>
        <family val="2"/>
      </rPr>
      <t xml:space="preserve">y </t>
    </r>
    <r>
      <rPr>
        <sz val="12"/>
        <color theme="1"/>
        <rFont val="Calibri"/>
        <family val="2"/>
      </rPr>
      <t>(%)</t>
    </r>
  </si>
  <si>
    <t>Average Number of HHs in 1 community</t>
  </si>
  <si>
    <r>
      <t xml:space="preserve">Quantity of safe drinking water provided by the project in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(L)</t>
    </r>
  </si>
  <si>
    <t xml:space="preserve">Total number of HHs </t>
  </si>
  <si>
    <t>Total HHs</t>
  </si>
  <si>
    <r>
      <t xml:space="preserve">Modifier for the water quality in year </t>
    </r>
    <r>
      <rPr>
        <i/>
        <sz val="12"/>
        <color theme="1"/>
        <rFont val="Calibri"/>
        <family val="2"/>
      </rPr>
      <t>y</t>
    </r>
  </si>
  <si>
    <t>Equation 1</t>
  </si>
  <si>
    <t>EFb = SEw,b,y x ∑f (xf x EFb,f,co2 x fnrb,f,y + EFb,f,nonCO2) / 10^9</t>
  </si>
  <si>
    <r>
      <t>Emission factor for the use of fuel to obtain safe water in the baseline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e/L)</t>
    </r>
  </si>
  <si>
    <t>Specific energy required to boil water (kJ/L), to be calculated as per the paragraph below</t>
  </si>
  <si>
    <t>Cb - baseline access to safe water</t>
  </si>
  <si>
    <t>Proportion of wood fuel used in the baseline (fraction)</t>
  </si>
  <si>
    <t>baseline</t>
  </si>
  <si>
    <t>Mq,y - water quality modifier</t>
  </si>
  <si>
    <t>estimate (min. requirement from year 3)</t>
  </si>
  <si>
    <t>Proportion of charcoal fuel used in the baseline (fraction)</t>
  </si>
  <si>
    <t>fNRB</t>
  </si>
  <si>
    <t>calculation (supporting documents)</t>
  </si>
  <si>
    <r>
      <t>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emission factor from use of wood fuel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/TJ)</t>
    </r>
  </si>
  <si>
    <t>default</t>
  </si>
  <si>
    <t xml:space="preserve">f - index for wood fuel </t>
  </si>
  <si>
    <t>proportion of users - baseline survey</t>
  </si>
  <si>
    <r>
      <rPr>
        <sz val="12"/>
        <color rgb="FF000000"/>
        <rFont val="Calibri"/>
        <family val="2"/>
      </rPr>
      <t>CO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emission factor from use of charcoal fuel (tCO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/TJ)</t>
    </r>
  </si>
  <si>
    <t xml:space="preserve">f - index for charcoal fuel </t>
  </si>
  <si>
    <r>
      <rPr>
        <sz val="12"/>
        <color rgb="FF000000"/>
        <rFont val="Calibri"/>
        <family val="2"/>
      </rPr>
      <t>Non-CO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emission factor arising from use of wood fuel, when the baseline fuel </t>
    </r>
    <r>
      <rPr>
        <i/>
        <sz val="12"/>
        <color rgb="FF000000"/>
        <rFont val="Calibri"/>
        <family val="2"/>
      </rPr>
      <t>f</t>
    </r>
    <r>
      <rPr>
        <sz val="12"/>
        <color rgb="FF000000"/>
        <rFont val="Calibri"/>
        <family val="2"/>
      </rPr>
      <t xml:space="preserve"> is biomass or charcoal (tCO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e/TJ). This parameter is omitted when </t>
    </r>
    <r>
      <rPr>
        <i/>
        <sz val="12"/>
        <color rgb="FF000000"/>
        <rFont val="Calibri"/>
        <family val="2"/>
      </rPr>
      <t>f</t>
    </r>
    <r>
      <rPr>
        <sz val="12"/>
        <color rgb="FF000000"/>
        <rFont val="Calibri"/>
        <family val="2"/>
      </rPr>
      <t xml:space="preserve"> is a fossil fuel.</t>
    </r>
  </si>
  <si>
    <t>Functionality</t>
  </si>
  <si>
    <t>conservative estimate</t>
  </si>
  <si>
    <r>
      <rPr>
        <sz val="12"/>
        <color rgb="FF000000"/>
        <rFont val="Calibri"/>
        <family val="2"/>
      </rPr>
      <t>Non-CO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emission factor arising from use of charcoal fuel, when the baseline fuel </t>
    </r>
    <r>
      <rPr>
        <i/>
        <sz val="12"/>
        <color rgb="FF000000"/>
        <rFont val="Calibri"/>
        <family val="2"/>
      </rPr>
      <t>f</t>
    </r>
    <r>
      <rPr>
        <sz val="12"/>
        <color rgb="FF000000"/>
        <rFont val="Calibri"/>
        <family val="2"/>
      </rPr>
      <t xml:space="preserve"> is biomass or charcoal (tCO</t>
    </r>
    <r>
      <rPr>
        <vertAlign val="sub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e/TJ). This parameter is omitted when </t>
    </r>
    <r>
      <rPr>
        <i/>
        <sz val="12"/>
        <color rgb="FF000000"/>
        <rFont val="Calibri"/>
        <family val="2"/>
      </rPr>
      <t>f</t>
    </r>
    <r>
      <rPr>
        <sz val="12"/>
        <color rgb="FF000000"/>
        <rFont val="Calibri"/>
        <family val="2"/>
      </rPr>
      <t xml:space="preserve"> is a fossil fuel.</t>
    </r>
  </si>
  <si>
    <t>nwb - 3SF</t>
  </si>
  <si>
    <r>
      <t xml:space="preserve">Fractional non-renewability status of woody biomass fuel during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(fraction). For biomass, it is the fraction of woody biomass that can be established as non-renewable. This parameter is omitted when </t>
    </r>
    <r>
      <rPr>
        <i/>
        <sz val="12"/>
        <color theme="1"/>
        <rFont val="Calibri"/>
        <family val="2"/>
      </rPr>
      <t>f</t>
    </r>
    <r>
      <rPr>
        <sz val="12"/>
        <color theme="1"/>
        <rFont val="Calibri"/>
        <family val="2"/>
      </rPr>
      <t xml:space="preserve"> is a fossil fuel.</t>
    </r>
  </si>
  <si>
    <t>nwb - Conventional Woody Biomass (charcoal)</t>
  </si>
  <si>
    <t>f</t>
  </si>
  <si>
    <t>Index for baseline wood fuel</t>
  </si>
  <si>
    <t>Index for baseline charcoal fuel</t>
  </si>
  <si>
    <t>Equation 2</t>
  </si>
  <si>
    <t>SEw,b,y = 360.83/nwb</t>
  </si>
  <si>
    <t>Default amount of energy required to obtain 1 L of water after 5 minutes of boiling from a first principles approach kJ/l</t>
  </si>
  <si>
    <t>3SF - Efficiency of the baseline water boiling (%). Weighted average of baseline stove types.</t>
  </si>
  <si>
    <t>(from users with woodfuel three stone fires only)</t>
  </si>
  <si>
    <t>ICS - Efficiency of the baseline water boiling (%). Weighted average of baseline stove types.</t>
  </si>
  <si>
    <t>(from users with charcoal stoves)</t>
  </si>
  <si>
    <t>Weighted efficiency</t>
  </si>
  <si>
    <t>Equation 4</t>
  </si>
  <si>
    <t>Qy = min (Qm,y, Qpop,y)</t>
  </si>
  <si>
    <r>
      <t xml:space="preserve">Monitored quantity of safe water provided by the project in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(L). </t>
    </r>
    <r>
      <rPr>
        <sz val="8"/>
        <color theme="1"/>
        <rFont val="Calibri"/>
        <family val="2"/>
      </rPr>
      <t> </t>
    </r>
  </si>
  <si>
    <r>
      <t xml:space="preserve">Quantity of safe drinking water that could be consumed by project households in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(L)</t>
    </r>
  </si>
  <si>
    <t>Equation 5</t>
  </si>
  <si>
    <t>Qpop,y = ∑p HHp,y x HNp,y x QPWp x DOp,y</t>
  </si>
  <si>
    <r>
      <t xml:space="preserve">Number of premises type p served by the project in year </t>
    </r>
    <r>
      <rPr>
        <i/>
        <sz val="12"/>
        <color theme="1"/>
        <rFont val="Calibri"/>
        <family val="2"/>
      </rPr>
      <t>y</t>
    </r>
  </si>
  <si>
    <t xml:space="preserve">Number of individuals per premises type p in year y </t>
  </si>
  <si>
    <r>
      <rPr>
        <sz val="12"/>
        <color rgb="FF000000"/>
        <rFont val="Calibri"/>
        <family val="2"/>
      </rPr>
      <t>Volume of drinking water per person per day for premises type p (L)</t>
    </r>
    <r>
      <rPr>
        <sz val="8"/>
        <color rgb="FF000000"/>
        <rFont val="Calibri"/>
        <family val="2"/>
      </rPr>
      <t> </t>
    </r>
    <r>
      <rPr>
        <sz val="12"/>
        <color rgb="FF000000"/>
        <rFont val="Calibri"/>
        <family val="2"/>
      </rPr>
      <t xml:space="preserve">. Apply the default value or monitored value through water consumption field tests in the project scenario, capped at 5.5L per person per day </t>
    </r>
  </si>
  <si>
    <r>
      <t xml:space="preserve">Days the project technology is operational in year </t>
    </r>
    <r>
      <rPr>
        <i/>
        <sz val="12"/>
        <color theme="1"/>
        <rFont val="Calibri"/>
        <family val="2"/>
      </rPr>
      <t>y</t>
    </r>
  </si>
  <si>
    <t>Project Emissions (PEy)</t>
  </si>
  <si>
    <t>Equation 8</t>
  </si>
  <si>
    <t>PEy = PEff,p,y + PEec,p,y</t>
  </si>
  <si>
    <r>
      <t xml:space="preserve">Project emissions in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)</t>
    </r>
  </si>
  <si>
    <r>
      <t xml:space="preserve">Project emissions from fossil fuel use in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)</t>
    </r>
  </si>
  <si>
    <r>
      <t xml:space="preserve">Project emissions from electricity use in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)</t>
    </r>
  </si>
  <si>
    <t>Equation 9</t>
  </si>
  <si>
    <t>PEff,p,y = ∑ Pp,f,y x NCVf x EFf</t>
  </si>
  <si>
    <r>
      <t xml:space="preserve">Quantity of fossil fuel </t>
    </r>
    <r>
      <rPr>
        <i/>
        <sz val="12"/>
        <color theme="1"/>
        <rFont val="Calibri"/>
        <family val="2"/>
      </rPr>
      <t>f</t>
    </r>
    <r>
      <rPr>
        <sz val="12"/>
        <color theme="1"/>
        <rFont val="Calibri"/>
        <family val="2"/>
      </rPr>
      <t xml:space="preserve"> that is consumed in the project during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(mass or volume units)</t>
    </r>
  </si>
  <si>
    <r>
      <t xml:space="preserve">Net calorific value of fossil fuel </t>
    </r>
    <r>
      <rPr>
        <i/>
        <sz val="12"/>
        <color theme="1"/>
        <rFont val="Calibri"/>
        <family val="2"/>
      </rPr>
      <t>f</t>
    </r>
    <r>
      <rPr>
        <sz val="12"/>
        <color theme="1"/>
        <rFont val="Calibri"/>
        <family val="2"/>
      </rPr>
      <t xml:space="preserve"> (TJ/fuel units)</t>
    </r>
  </si>
  <si>
    <t>Net calorific value of charcoal(TJ/fuel units)</t>
  </si>
  <si>
    <r>
      <t xml:space="preserve">Emission factor of fossil fuel </t>
    </r>
    <r>
      <rPr>
        <i/>
        <sz val="12"/>
        <color theme="1"/>
        <rFont val="Calibri"/>
        <family val="2"/>
      </rPr>
      <t>f</t>
    </r>
    <r>
      <rPr>
        <sz val="12"/>
        <color theme="1"/>
        <rFont val="Calibri"/>
        <family val="2"/>
      </rPr>
      <t xml:space="preserve">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/TJ)</t>
    </r>
  </si>
  <si>
    <t>Emission factor of charcoal (tCO2/TJ)</t>
  </si>
  <si>
    <t>Equation 10</t>
  </si>
  <si>
    <t>PEec,p,y = ∑ECp,y x Efec * (1+TDLec)</t>
  </si>
  <si>
    <r>
      <t xml:space="preserve">Quantity of electricity that is used by the project during year </t>
    </r>
    <r>
      <rPr>
        <i/>
        <sz val="12"/>
        <color theme="1"/>
        <rFont val="Calibri"/>
        <family val="2"/>
      </rPr>
      <t>y</t>
    </r>
    <r>
      <rPr>
        <sz val="12"/>
        <color theme="1"/>
        <rFont val="Calibri"/>
        <family val="2"/>
      </rPr>
      <t xml:space="preserve"> (kWh)</t>
    </r>
  </si>
  <si>
    <r>
      <t>Emission factor associated with the electricity use (tCO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/kWh)</t>
    </r>
  </si>
  <si>
    <t>TDLec</t>
  </si>
  <si>
    <t>Transmission and distribution losses associated with the electricity use (%)</t>
  </si>
  <si>
    <t xml:space="preserve">Emission Reductions </t>
  </si>
  <si>
    <t>Equation 11</t>
  </si>
  <si>
    <t>ERy = BEy - PEy * LEy</t>
  </si>
  <si>
    <t>LEy</t>
  </si>
  <si>
    <t>Leakage (default 95% fraction)</t>
  </si>
  <si>
    <t>Leakage (tCo2e)</t>
  </si>
  <si>
    <t>ERy</t>
  </si>
  <si>
    <t>Emission Reductions (rounded down)</t>
  </si>
  <si>
    <t>per Borehole</t>
  </si>
  <si>
    <t>TOTAL ERS</t>
  </si>
  <si>
    <t xml:space="preserve">Equation (1.) </t>
  </si>
  <si>
    <t>SDG 1 (% people with access to safe water)</t>
  </si>
  <si>
    <t>Paccess =  Baseline (basic) - Project (basic)</t>
  </si>
  <si>
    <t>Parameter</t>
  </si>
  <si>
    <t>Description</t>
  </si>
  <si>
    <t>Unit</t>
  </si>
  <si>
    <t>Value</t>
  </si>
  <si>
    <t>estimate based on 15 L per person per day</t>
  </si>
  <si>
    <t>Paccess</t>
  </si>
  <si>
    <t>Proportion of population living in HHs with access to basic service</t>
  </si>
  <si>
    <t>percentage</t>
  </si>
  <si>
    <t>Calculation</t>
  </si>
  <si>
    <t>Baseline: Basic (Baseline survey)</t>
  </si>
  <si>
    <t>Drinking water from an improved source, provided collection time is not more than 30 minutes for a round trip, including queuing.</t>
  </si>
  <si>
    <t>Baseline Survey</t>
  </si>
  <si>
    <t xml:space="preserve"> Project: Basic (assumed in advance of project data)</t>
  </si>
  <si>
    <t>Drinking water from an improved source, provided collection time is not more than 30 minutes for a round trip, including queuing</t>
  </si>
  <si>
    <t>Project Survey (assumption)</t>
  </si>
  <si>
    <t>Py estimate</t>
  </si>
  <si>
    <t>Total HHs estimate</t>
  </si>
  <si>
    <t>SDG 5 (average time saved)</t>
  </si>
  <si>
    <t>TRy=(Tb,y-Tp,y)/Tb,y</t>
  </si>
  <si>
    <t>TRy</t>
  </si>
  <si>
    <t>Total reduction time per week spent in fuel &amp; water collection in project activity</t>
  </si>
  <si>
    <t>Project Assumptions</t>
  </si>
  <si>
    <t>Tb,y</t>
  </si>
  <si>
    <t>Baseline time spent collecting fuel &amp; water per household per week</t>
  </si>
  <si>
    <t>hours</t>
  </si>
  <si>
    <t>Revalidation Baseline Survey</t>
  </si>
  <si>
    <t>Tp,y</t>
  </si>
  <si>
    <t>Project time spent collecting fuel &amp; water per household per week</t>
  </si>
  <si>
    <t xml:space="preserve">Annual Monitoring </t>
  </si>
  <si>
    <t>SDG 7 (households with access to safe water)</t>
  </si>
  <si>
    <t>HHaccess=HHp,y*(1-Cb)*Up,y</t>
  </si>
  <si>
    <t>Up,y</t>
  </si>
  <si>
    <t>project survey assumption</t>
  </si>
  <si>
    <t>HHaccess</t>
  </si>
  <si>
    <t>Number of households that are beneficiaries in project activity</t>
  </si>
  <si>
    <t>number</t>
  </si>
  <si>
    <t>Estimation based on surveys</t>
  </si>
  <si>
    <t>HHp,y</t>
  </si>
  <si>
    <t xml:space="preserve">Number of premises type p served by the project in year y  </t>
  </si>
  <si>
    <t>Project Database</t>
  </si>
  <si>
    <t>Cb</t>
  </si>
  <si>
    <t>Portion of users of the project technology j who in the baseline were already consuming Clean safe water without boiling it.</t>
  </si>
  <si>
    <t>%</t>
  </si>
  <si>
    <r>
      <t>U</t>
    </r>
    <r>
      <rPr>
        <vertAlign val="subscript"/>
        <sz val="9"/>
        <color theme="1"/>
        <rFont val="Calibri"/>
        <family val="2"/>
        <scheme val="minor"/>
      </rPr>
      <t>p,y</t>
    </r>
    <r>
      <rPr>
        <sz val="9"/>
        <color theme="1"/>
        <rFont val="Calibri"/>
        <family val="2"/>
        <scheme val="minor"/>
      </rPr>
      <t xml:space="preserve"> (estimated usage rate)</t>
    </r>
  </si>
  <si>
    <t>Usage rate in project scenario p during year y</t>
  </si>
  <si>
    <t>Annual monitoring</t>
  </si>
  <si>
    <t>Eq. Number (VPA-DD)</t>
  </si>
  <si>
    <t>SDG 15 (Life on Land)</t>
  </si>
  <si>
    <t>Wb, NRB = Wb,n * fNRB</t>
  </si>
  <si>
    <t>Wb, NRB</t>
  </si>
  <si>
    <t xml:space="preserve">Baseline non-renewable firewood usage </t>
  </si>
  <si>
    <t>tonnes/year</t>
  </si>
  <si>
    <t>calculated</t>
  </si>
  <si>
    <t>Wb,n</t>
  </si>
  <si>
    <t>Baseline average firewood usage for boiling water</t>
  </si>
  <si>
    <t>tonnes</t>
  </si>
  <si>
    <t>fractional non-renewablity status of woody biomaas fuel during year y</t>
  </si>
  <si>
    <t>fNRB report</t>
  </si>
  <si>
    <t>Wb,n = Np,y * Pb,y * DOp,y</t>
  </si>
  <si>
    <t>Wb, n</t>
  </si>
  <si>
    <t xml:space="preserve">Baseline average firewood usage for boiling water by project population </t>
  </si>
  <si>
    <t>Np,y</t>
  </si>
  <si>
    <t>Number of People served by the project in year y</t>
  </si>
  <si>
    <t>Pb,y</t>
  </si>
  <si>
    <t>Quantity of fuel that is consumed in the baseline scenario b during year y</t>
  </si>
  <si>
    <t>Tonnes/person-day</t>
  </si>
  <si>
    <t>Dop,y</t>
  </si>
  <si>
    <t>Days the project technology is operational for end-users in premises p in 
year y</t>
  </si>
  <si>
    <t>conservative assumption of 95% functionality</t>
  </si>
  <si>
    <t>Pb,y= QPw,p*Wb,y</t>
  </si>
  <si>
    <t>QPw,p</t>
  </si>
  <si>
    <t>Quantity of safe water supplied in the project scenario p during year y, 
using the “zero or low” emissions’ clean water supply technology</t>
  </si>
  <si>
    <t>Litres</t>
  </si>
  <si>
    <t>project default</t>
  </si>
  <si>
    <t>Wb,y</t>
  </si>
  <si>
    <t>Average firewood usage (tonnes) for boiling 1 litre of water</t>
  </si>
  <si>
    <t>Tonnes/L</t>
  </si>
  <si>
    <t>Wb,y = SEw,b,y ÷ ((NVCwood * xfwood) + (NCVcharcoal * xfcharcoal))</t>
  </si>
  <si>
    <t>Average biomass usage for boiling 1 liter of water</t>
  </si>
  <si>
    <t>kg/L</t>
  </si>
  <si>
    <t>SEw,b,y</t>
  </si>
  <si>
    <t>Specific energy required to boil water, based on baseline fuel/technlogy use</t>
  </si>
  <si>
    <t>kJ/L</t>
  </si>
  <si>
    <t>NCVwood</t>
  </si>
  <si>
    <t xml:space="preserve">Net calorific value of wood </t>
  </si>
  <si>
    <t>kJ/kg</t>
  </si>
  <si>
    <t>IPCC default</t>
  </si>
  <si>
    <t>Xfwood</t>
  </si>
  <si>
    <t xml:space="preserve">Proportion of wood fuel used in the baseline of wood </t>
  </si>
  <si>
    <t>NCVcharcoal</t>
  </si>
  <si>
    <t>Net calorific value of charcoal</t>
  </si>
  <si>
    <t>Xfcharcoal</t>
  </si>
  <si>
    <t xml:space="preserve">Proportion of charcoal fuel used in the baseline of wood </t>
  </si>
  <si>
    <t>NCV weighted</t>
  </si>
  <si>
    <t>weighted average of NCV values</t>
  </si>
  <si>
    <t>Wp, NRB = Wp,n * fNRB</t>
  </si>
  <si>
    <t>Wp, NRB</t>
  </si>
  <si>
    <t xml:space="preserve">Project non-renewable firewood saved </t>
  </si>
  <si>
    <t>Wp,n</t>
  </si>
  <si>
    <t>Project average firewood saved for boiling water</t>
  </si>
  <si>
    <t>Equation 6</t>
  </si>
  <si>
    <t>Wp,n = Np,y * Pb,y * DOp,y* Up,y * (1- Cb)</t>
  </si>
  <si>
    <t>Wp, n</t>
  </si>
  <si>
    <t xml:space="preserve">Project firewood saved for boiling water </t>
  </si>
  <si>
    <t>tonnes/person-day</t>
  </si>
  <si>
    <t>DOp,y</t>
  </si>
  <si>
    <t>calculated (95% functionality for one year operation)</t>
  </si>
  <si>
    <t>Up,y ( estimated usage rate)</t>
  </si>
  <si>
    <t>annual monitoring</t>
  </si>
  <si>
    <t>Expressed as a percentage, proportion of project end users who in the 
baseline were already using a safe water supply that did not require 
boiling.</t>
  </si>
  <si>
    <t>SDG 15 - Summary</t>
  </si>
  <si>
    <t>Wb,NRB - tonnes/year used in baseline</t>
  </si>
  <si>
    <t>Calculated tonnes/year usage in project</t>
  </si>
  <si>
    <t>Wp,NRB - tonnes/year saved in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</si>
</sst>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6" formatCode="_-* #,##0.000000_-;\-* #,##0.000000_-;_-* &quot;-&quot;??_-;_-@_-"/>
    <numFmt numFmtId="167" formatCode="0.000000"/>
    <numFmt numFmtId="168" formatCode="0.00000000"/>
    <numFmt numFmtId="169" formatCode="_-* #,##0.00000000_-;\-* #,##0.00000000_-;_-* &quot;-&quot;??_-;_-@_-"/>
    <numFmt numFmtId="170" formatCode="0.0000"/>
    <numFmt numFmtId="171" formatCode="_-* #,##0.0000000_-;\-* #,##0.0000000_-;_-* &quot;-&quot;??_-;_-@_-"/>
    <numFmt numFmtId="172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i/>
      <sz val="12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0"/>
      <name val="Calibri"/>
      <family val="2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3" fillId="0" borderId="0" xfId="1" applyFont="1"/>
    <xf numFmtId="0" fontId="3" fillId="0" borderId="1" xfId="1" applyFont="1" applyBorder="1"/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center" wrapText="1"/>
    </xf>
    <xf numFmtId="164" fontId="3" fillId="0" borderId="1" xfId="1" applyNumberFormat="1" applyFont="1" applyBorder="1"/>
    <xf numFmtId="164" fontId="7" fillId="0" borderId="1" xfId="2" applyNumberFormat="1" applyFont="1" applyFill="1" applyBorder="1"/>
    <xf numFmtId="9" fontId="3" fillId="0" borderId="1" xfId="1" applyNumberFormat="1" applyFont="1" applyBorder="1"/>
    <xf numFmtId="9" fontId="7" fillId="0" borderId="1" xfId="3" applyFont="1" applyFill="1" applyBorder="1"/>
    <xf numFmtId="0" fontId="6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/>
    <xf numFmtId="1" fontId="3" fillId="0" borderId="0" xfId="1" applyNumberFormat="1" applyFont="1"/>
    <xf numFmtId="3" fontId="3" fillId="0" borderId="0" xfId="1" applyNumberFormat="1" applyFont="1"/>
    <xf numFmtId="43" fontId="3" fillId="0" borderId="0" xfId="1" applyNumberFormat="1" applyFont="1"/>
    <xf numFmtId="164" fontId="7" fillId="0" borderId="1" xfId="2" applyNumberFormat="1" applyFont="1" applyBorder="1"/>
    <xf numFmtId="164" fontId="3" fillId="0" borderId="0" xfId="1" applyNumberFormat="1" applyFont="1"/>
    <xf numFmtId="0" fontId="4" fillId="0" borderId="0" xfId="1" applyFont="1" applyAlignment="1">
      <alignment vertical="center"/>
    </xf>
    <xf numFmtId="165" fontId="3" fillId="0" borderId="0" xfId="1" applyNumberFormat="1" applyFont="1"/>
    <xf numFmtId="166" fontId="3" fillId="0" borderId="0" xfId="1" applyNumberFormat="1" applyFont="1"/>
    <xf numFmtId="0" fontId="6" fillId="0" borderId="1" xfId="1" applyFont="1" applyBorder="1" applyAlignment="1">
      <alignment vertical="top" wrapText="1"/>
    </xf>
    <xf numFmtId="0" fontId="3" fillId="0" borderId="0" xfId="1" applyFont="1" applyAlignment="1">
      <alignment vertical="center"/>
    </xf>
    <xf numFmtId="0" fontId="7" fillId="0" borderId="0" xfId="0" applyFont="1"/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vertical="center" textRotation="90"/>
    </xf>
    <xf numFmtId="0" fontId="10" fillId="0" borderId="0" xfId="1" applyFont="1" applyAlignment="1">
      <alignment vertical="center"/>
    </xf>
    <xf numFmtId="2" fontId="3" fillId="0" borderId="0" xfId="1" applyNumberFormat="1" applyFont="1"/>
    <xf numFmtId="10" fontId="3" fillId="0" borderId="1" xfId="1" applyNumberFormat="1" applyFont="1" applyBorder="1"/>
    <xf numFmtId="10" fontId="3" fillId="0" borderId="0" xfId="5" applyNumberFormat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164" fontId="9" fillId="0" borderId="1" xfId="1" applyNumberFormat="1" applyFont="1" applyBorder="1"/>
    <xf numFmtId="0" fontId="9" fillId="0" borderId="0" xfId="1" applyFont="1"/>
    <xf numFmtId="164" fontId="9" fillId="3" borderId="5" xfId="1" applyNumberFormat="1" applyFont="1" applyFill="1" applyBorder="1"/>
    <xf numFmtId="0" fontId="9" fillId="3" borderId="5" xfId="1" applyFont="1" applyFill="1" applyBorder="1"/>
    <xf numFmtId="0" fontId="12" fillId="0" borderId="1" xfId="1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2" fontId="16" fillId="0" borderId="1" xfId="0" applyNumberFormat="1" applyFont="1" applyBorder="1"/>
    <xf numFmtId="0" fontId="16" fillId="0" borderId="0" xfId="0" applyFont="1"/>
    <xf numFmtId="0" fontId="16" fillId="0" borderId="0" xfId="0" applyFont="1" applyAlignment="1">
      <alignment vertical="top" wrapText="1"/>
    </xf>
    <xf numFmtId="2" fontId="16" fillId="0" borderId="0" xfId="0" applyNumberFormat="1" applyFont="1"/>
    <xf numFmtId="0" fontId="3" fillId="0" borderId="0" xfId="1" applyFont="1" applyAlignment="1">
      <alignment wrapText="1"/>
    </xf>
    <xf numFmtId="10" fontId="0" fillId="0" borderId="0" xfId="0" applyNumberFormat="1"/>
    <xf numFmtId="2" fontId="16" fillId="0" borderId="1" xfId="5" applyNumberFormat="1" applyFont="1" applyFill="1" applyBorder="1"/>
    <xf numFmtId="0" fontId="11" fillId="0" borderId="0" xfId="1" applyFont="1" applyAlignment="1">
      <alignment vertical="center"/>
    </xf>
    <xf numFmtId="0" fontId="16" fillId="0" borderId="0" xfId="0" applyFont="1" applyAlignment="1">
      <alignment horizontal="center" wrapText="1"/>
    </xf>
    <xf numFmtId="164" fontId="16" fillId="0" borderId="1" xfId="6" applyNumberFormat="1" applyFont="1" applyBorder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9" fontId="3" fillId="0" borderId="0" xfId="1" applyNumberFormat="1" applyFont="1"/>
    <xf numFmtId="167" fontId="3" fillId="0" borderId="1" xfId="1" applyNumberFormat="1" applyFont="1" applyBorder="1"/>
    <xf numFmtId="0" fontId="0" fillId="0" borderId="0" xfId="0" applyAlignment="1">
      <alignment wrapText="1"/>
    </xf>
    <xf numFmtId="10" fontId="3" fillId="0" borderId="1" xfId="5" applyNumberFormat="1" applyFont="1" applyBorder="1"/>
    <xf numFmtId="14" fontId="3" fillId="0" borderId="0" xfId="1" applyNumberFormat="1" applyFont="1"/>
    <xf numFmtId="43" fontId="7" fillId="0" borderId="1" xfId="2" applyFont="1" applyBorder="1"/>
    <xf numFmtId="43" fontId="16" fillId="0" borderId="1" xfId="6" applyFont="1" applyBorder="1"/>
    <xf numFmtId="168" fontId="18" fillId="0" borderId="1" xfId="5" applyNumberFormat="1" applyFont="1" applyFill="1" applyBorder="1" applyAlignment="1">
      <alignment horizontal="right"/>
    </xf>
    <xf numFmtId="169" fontId="16" fillId="0" borderId="1" xfId="6" applyNumberFormat="1" applyFont="1" applyBorder="1"/>
    <xf numFmtId="0" fontId="19" fillId="0" borderId="0" xfId="0" applyFont="1"/>
    <xf numFmtId="0" fontId="20" fillId="0" borderId="0" xfId="0" applyFont="1"/>
    <xf numFmtId="10" fontId="16" fillId="0" borderId="1" xfId="5" applyNumberFormat="1" applyFont="1" applyFill="1" applyBorder="1"/>
    <xf numFmtId="10" fontId="16" fillId="0" borderId="1" xfId="6" applyNumberFormat="1" applyFont="1" applyBorder="1"/>
    <xf numFmtId="0" fontId="21" fillId="0" borderId="1" xfId="7" applyFont="1" applyBorder="1" applyAlignment="1">
      <alignment wrapText="1"/>
    </xf>
    <xf numFmtId="0" fontId="21" fillId="0" borderId="1" xfId="7" applyFont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21" fillId="0" borderId="1" xfId="0" applyFont="1" applyBorder="1"/>
    <xf numFmtId="0" fontId="21" fillId="0" borderId="1" xfId="0" applyFont="1" applyBorder="1" applyAlignment="1">
      <alignment vertical="top" wrapText="1"/>
    </xf>
    <xf numFmtId="0" fontId="0" fillId="0" borderId="1" xfId="0" applyBorder="1"/>
    <xf numFmtId="9" fontId="21" fillId="0" borderId="1" xfId="5" applyFont="1" applyBorder="1"/>
    <xf numFmtId="0" fontId="16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3" fillId="2" borderId="0" xfId="1" applyFont="1" applyFill="1"/>
    <xf numFmtId="164" fontId="3" fillId="0" borderId="1" xfId="6" applyNumberFormat="1" applyFont="1" applyBorder="1"/>
    <xf numFmtId="9" fontId="16" fillId="0" borderId="1" xfId="5" applyFont="1" applyBorder="1"/>
    <xf numFmtId="0" fontId="16" fillId="0" borderId="1" xfId="0" applyFont="1" applyBorder="1" applyAlignment="1">
      <alignment horizontal="left" vertical="center" wrapText="1"/>
    </xf>
    <xf numFmtId="43" fontId="18" fillId="0" borderId="1" xfId="6" applyFont="1" applyFill="1" applyBorder="1" applyAlignment="1">
      <alignment horizontal="right"/>
    </xf>
    <xf numFmtId="43" fontId="16" fillId="0" borderId="1" xfId="6" applyFont="1" applyFill="1" applyBorder="1"/>
    <xf numFmtId="164" fontId="16" fillId="0" borderId="1" xfId="6" applyNumberFormat="1" applyFont="1" applyBorder="1" applyAlignment="1">
      <alignment horizontal="center"/>
    </xf>
    <xf numFmtId="10" fontId="16" fillId="0" borderId="1" xfId="5" applyNumberFormat="1" applyFont="1" applyBorder="1"/>
    <xf numFmtId="0" fontId="16" fillId="0" borderId="6" xfId="0" applyFont="1" applyBorder="1"/>
    <xf numFmtId="43" fontId="16" fillId="0" borderId="0" xfId="6" applyFont="1" applyBorder="1"/>
    <xf numFmtId="0" fontId="16" fillId="0" borderId="0" xfId="0" applyFont="1" applyAlignment="1">
      <alignment horizontal="left" vertical="center" wrapText="1"/>
    </xf>
    <xf numFmtId="170" fontId="18" fillId="0" borderId="1" xfId="5" applyNumberFormat="1" applyFont="1" applyFill="1" applyBorder="1" applyAlignment="1">
      <alignment horizontal="right"/>
    </xf>
    <xf numFmtId="171" fontId="16" fillId="0" borderId="1" xfId="6" applyNumberFormat="1" applyFont="1" applyBorder="1"/>
    <xf numFmtId="0" fontId="3" fillId="2" borderId="0" xfId="1" applyFont="1" applyFill="1" applyAlignment="1">
      <alignment horizontal="center" vertical="center"/>
    </xf>
    <xf numFmtId="0" fontId="0" fillId="10" borderId="0" xfId="0" applyFill="1"/>
    <xf numFmtId="0" fontId="3" fillId="10" borderId="0" xfId="1" applyFont="1" applyFill="1"/>
    <xf numFmtId="0" fontId="11" fillId="10" borderId="0" xfId="1" applyFont="1" applyFill="1"/>
    <xf numFmtId="0" fontId="9" fillId="3" borderId="0" xfId="1" applyFont="1" applyFill="1"/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9" fontId="0" fillId="0" borderId="1" xfId="0" applyNumberFormat="1" applyBorder="1"/>
    <xf numFmtId="43" fontId="18" fillId="3" borderId="1" xfId="6" applyFont="1" applyFill="1" applyBorder="1" applyAlignment="1">
      <alignment horizontal="right"/>
    </xf>
    <xf numFmtId="43" fontId="0" fillId="0" borderId="0" xfId="0" applyNumberFormat="1"/>
    <xf numFmtId="43" fontId="0" fillId="0" borderId="1" xfId="0" applyNumberFormat="1" applyBorder="1"/>
    <xf numFmtId="0" fontId="16" fillId="0" borderId="0" xfId="0" applyFont="1" applyAlignment="1">
      <alignment horizontal="center"/>
    </xf>
    <xf numFmtId="2" fontId="0" fillId="0" borderId="0" xfId="0" applyNumberFormat="1"/>
    <xf numFmtId="1" fontId="3" fillId="0" borderId="1" xfId="1" applyNumberFormat="1" applyFont="1" applyBorder="1"/>
    <xf numFmtId="0" fontId="25" fillId="11" borderId="7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center"/>
    </xf>
    <xf numFmtId="172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13" borderId="1" xfId="0" applyFill="1" applyBorder="1"/>
    <xf numFmtId="172" fontId="0" fillId="13" borderId="1" xfId="0" applyNumberFormat="1" applyFill="1" applyBorder="1"/>
    <xf numFmtId="14" fontId="0" fillId="0" borderId="1" xfId="0" applyNumberFormat="1" applyBorder="1" applyAlignment="1">
      <alignment horizontal="right"/>
    </xf>
    <xf numFmtId="14" fontId="0" fillId="13" borderId="1" xfId="0" applyNumberFormat="1" applyFill="1" applyBorder="1" applyAlignment="1">
      <alignment horizontal="right"/>
    </xf>
    <xf numFmtId="14" fontId="0" fillId="13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14" fontId="26" fillId="0" borderId="1" xfId="0" applyNumberFormat="1" applyFont="1" applyBorder="1" applyAlignment="1">
      <alignment horizontal="right"/>
    </xf>
    <xf numFmtId="164" fontId="21" fillId="0" borderId="1" xfId="6" applyNumberFormat="1" applyFont="1" applyFill="1" applyBorder="1"/>
    <xf numFmtId="164" fontId="18" fillId="12" borderId="1" xfId="6" applyNumberFormat="1" applyFont="1" applyFill="1" applyBorder="1" applyAlignment="1">
      <alignment horizontal="center"/>
    </xf>
    <xf numFmtId="10" fontId="18" fillId="12" borderId="1" xfId="5" applyNumberFormat="1" applyFont="1" applyFill="1" applyBorder="1" applyAlignment="1">
      <alignment horizontal="right"/>
    </xf>
    <xf numFmtId="0" fontId="0" fillId="3" borderId="0" xfId="0" applyFill="1"/>
    <xf numFmtId="0" fontId="0" fillId="12" borderId="0" xfId="0" applyFill="1"/>
    <xf numFmtId="10" fontId="18" fillId="12" borderId="1" xfId="5" applyNumberFormat="1" applyFont="1" applyFill="1" applyBorder="1"/>
    <xf numFmtId="43" fontId="3" fillId="0" borderId="1" xfId="1" applyNumberFormat="1" applyFont="1" applyBorder="1"/>
    <xf numFmtId="10" fontId="21" fillId="0" borderId="1" xfId="5" applyNumberFormat="1" applyFont="1" applyBorder="1"/>
    <xf numFmtId="164" fontId="0" fillId="0" borderId="0" xfId="0" applyNumberFormat="1"/>
    <xf numFmtId="0" fontId="4" fillId="3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22" fillId="8" borderId="2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</cellXfs>
  <cellStyles count="8">
    <cellStyle name="Comma" xfId="6" builtinId="3"/>
    <cellStyle name="Comma 2" xfId="2" xr:uid="{2CA75458-9F9A-48A8-820C-378CB662FD9C}"/>
    <cellStyle name="Hyperlink 2" xfId="4" xr:uid="{28822FB9-BF90-4E11-B401-CA009055B51A}"/>
    <cellStyle name="Normal" xfId="0" builtinId="0"/>
    <cellStyle name="Normal 2" xfId="1" xr:uid="{63D57A29-A7C6-47B3-BF3E-16AEF0C01CFE}"/>
    <cellStyle name="Normal 3" xfId="7" xr:uid="{1F9EF76F-F148-4E0F-8E26-CB9565585099}"/>
    <cellStyle name="Percent" xfId="5" builtinId="5"/>
    <cellStyle name="Percent 2" xfId="3" xr:uid="{8F4C97A9-B89E-4AA6-983F-A154C07CA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247650</xdr:colOff>
      <xdr:row>11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2FFD01-9134-478F-B8E2-9AC2F96F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114675"/>
          <a:ext cx="24765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447675</xdr:colOff>
      <xdr:row>12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E1FAC-5145-4F15-B6ED-011D33B4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33775"/>
          <a:ext cx="4445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142875</xdr:colOff>
      <xdr:row>13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8401A5-E5EE-4BDF-9522-024B3E72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924300"/>
          <a:ext cx="139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561975</xdr:colOff>
      <xdr:row>16</xdr:row>
      <xdr:rowOff>200025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3822DB-00CC-4A3B-A892-15C4D684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543425"/>
          <a:ext cx="5588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152400</xdr:colOff>
      <xdr:row>18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F4BCE7-E2E3-4E79-8039-67053D8F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400675"/>
          <a:ext cx="88582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476250</xdr:colOff>
      <xdr:row>19</xdr:row>
      <xdr:rowOff>200025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B203E0-CF88-4E4F-8265-94582977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4762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138546</xdr:colOff>
      <xdr:row>25</xdr:row>
      <xdr:rowOff>34637</xdr:rowOff>
    </xdr:from>
    <xdr:to>
      <xdr:col>1</xdr:col>
      <xdr:colOff>373496</xdr:colOff>
      <xdr:row>25</xdr:row>
      <xdr:rowOff>212437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2BBE02-4652-4ACD-A277-50538734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69" y="7992342"/>
          <a:ext cx="23495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266700</xdr:colOff>
      <xdr:row>4</xdr:row>
      <xdr:rowOff>200025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70D1AB-D0E6-466E-96E2-2510C25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42950"/>
          <a:ext cx="266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152400</xdr:colOff>
      <xdr:row>5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1230DF-9192-497D-983D-7197140B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62050"/>
          <a:ext cx="15240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76200</xdr:colOff>
      <xdr:row>6</xdr:row>
      <xdr:rowOff>200025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A585FA6-A56C-406E-BA33-BAE272B4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752600"/>
          <a:ext cx="80962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171450</xdr:colOff>
      <xdr:row>7</xdr:row>
      <xdr:rowOff>200025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738EFF0-7F02-417E-8321-160273824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143125"/>
          <a:ext cx="1714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285750</xdr:colOff>
      <xdr:row>8</xdr:row>
      <xdr:rowOff>200025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FF9584-566F-48ED-A76B-9DBCF34D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33650"/>
          <a:ext cx="2857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304800</xdr:colOff>
      <xdr:row>31</xdr:row>
      <xdr:rowOff>200025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BB36BC-2B3C-4CFB-AAD4-E60A73B5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9544050"/>
          <a:ext cx="3048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400050</xdr:colOff>
      <xdr:row>32</xdr:row>
      <xdr:rowOff>200025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BE11FC5-A04F-481A-8E12-6147702A8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9934575"/>
          <a:ext cx="4000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381000</xdr:colOff>
      <xdr:row>35</xdr:row>
      <xdr:rowOff>200025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9704A4C-8773-4F87-B902-C438A336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0706100"/>
          <a:ext cx="3810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285750</xdr:colOff>
      <xdr:row>36</xdr:row>
      <xdr:rowOff>200025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5FB3811-A9B3-4CD8-AF4B-ACBA06A6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0906125"/>
          <a:ext cx="2857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381000</xdr:colOff>
      <xdr:row>37</xdr:row>
      <xdr:rowOff>200025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08E2D5-28E7-494A-A6FB-27C60C1A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106150"/>
          <a:ext cx="3810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266700</xdr:colOff>
      <xdr:row>38</xdr:row>
      <xdr:rowOff>200025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C3F6A7D-83E0-424A-9452-35B1ED670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896725"/>
          <a:ext cx="266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381000</xdr:colOff>
      <xdr:row>37</xdr:row>
      <xdr:rowOff>200025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E7E16EF-B456-46DF-860B-7AB2105A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106150"/>
          <a:ext cx="3810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257175</xdr:colOff>
      <xdr:row>43</xdr:row>
      <xdr:rowOff>200025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7229810-61F5-46F3-A92E-9DACE38C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2858750"/>
          <a:ext cx="2540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495300</xdr:colOff>
      <xdr:row>44</xdr:row>
      <xdr:rowOff>200025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32312E9-4F9F-416E-9271-73E89730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077825"/>
          <a:ext cx="4953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485775</xdr:colOff>
      <xdr:row>45</xdr:row>
      <xdr:rowOff>200025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823D25B-25E9-46EC-B579-CB73DB49D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296900"/>
          <a:ext cx="4826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333375</xdr:colOff>
      <xdr:row>48</xdr:row>
      <xdr:rowOff>200025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69A126E-63FE-4B84-847C-DB1112ED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896975"/>
          <a:ext cx="3302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342900</xdr:colOff>
      <xdr:row>49</xdr:row>
      <xdr:rowOff>200025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75188B-08F5-47FC-A239-46BD7732D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287500"/>
          <a:ext cx="3429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238125</xdr:colOff>
      <xdr:row>51</xdr:row>
      <xdr:rowOff>200025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97F19C9-954A-4D19-96AE-781126E4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487525"/>
          <a:ext cx="2349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342900</xdr:colOff>
      <xdr:row>55</xdr:row>
      <xdr:rowOff>200025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1A021EA-90C1-4A43-8DEF-83217E2B2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5087600"/>
          <a:ext cx="3429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83155</xdr:colOff>
      <xdr:row>55</xdr:row>
      <xdr:rowOff>370417</xdr:rowOff>
    </xdr:from>
    <xdr:to>
      <xdr:col>1</xdr:col>
      <xdr:colOff>368905</xdr:colOff>
      <xdr:row>56</xdr:row>
      <xdr:rowOff>158296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F2B1DD3-5A19-4116-949A-A0054FF7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15" y="15398750"/>
          <a:ext cx="285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266700</xdr:colOff>
      <xdr:row>62</xdr:row>
      <xdr:rowOff>200025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CEB2266-588C-4F17-850D-51D05B77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459200"/>
          <a:ext cx="266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257175</xdr:colOff>
      <xdr:row>63</xdr:row>
      <xdr:rowOff>200025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0D659C-A5A2-49BC-8415-47083A760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878300"/>
          <a:ext cx="2540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238125</xdr:colOff>
      <xdr:row>27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E13C2F1-BCDB-4836-880C-EFC6E50B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763000"/>
          <a:ext cx="23495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142875</xdr:colOff>
      <xdr:row>14</xdr:row>
      <xdr:rowOff>200025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04A8879-C537-4E50-AC24-148D938E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124325"/>
          <a:ext cx="139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561975</xdr:colOff>
      <xdr:row>15</xdr:row>
      <xdr:rowOff>200025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0A59F49-20E2-4E7B-9343-020CB2B9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324350"/>
          <a:ext cx="5588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152400</xdr:colOff>
      <xdr:row>17</xdr:row>
      <xdr:rowOff>200025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2235AC1-864A-4F4C-A4CA-7C9F3530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00"/>
          <a:ext cx="88582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152400</xdr:colOff>
      <xdr:row>17</xdr:row>
      <xdr:rowOff>200025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F0E06EC-E416-4E6E-BB82-572825C6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00"/>
          <a:ext cx="88582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26</xdr:row>
      <xdr:rowOff>88900</xdr:rowOff>
    </xdr:from>
    <xdr:to>
      <xdr:col>1</xdr:col>
      <xdr:colOff>371475</xdr:colOff>
      <xdr:row>26</xdr:row>
      <xdr:rowOff>269875</xdr:rowOff>
    </xdr:to>
    <xdr:pic>
      <xdr:nvPicPr>
        <xdr:cNvPr id="38" name="Picture 35">
          <a:extLst>
            <a:ext uri="{FF2B5EF4-FFF2-40B4-BE49-F238E27FC236}">
              <a16:creationId xmlns:a16="http://schemas.microsoft.com/office/drawing/2014/main" id="{17B47BC2-C683-465E-9303-89532ECB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" y="8274050"/>
          <a:ext cx="238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2balance.sharepoint.com/Shared%20Documents/Projects/Active/Village_Water/Mozambique_Manica_SWS/0_Project_Management/ER_Projections/ERSDWS%20bundling/GS7132-36_GS7470-74_ER_MP5.xlsx" TargetMode="External"/><Relationship Id="rId1" Type="http://schemas.openxmlformats.org/officeDocument/2006/relationships/externalLinkPath" Target="/Shared%20Documents/Projects/Active/Village_Water/Mozambique_Manica_SWS/0_Project_Management/ER_Projections/ERSDWS%20bundling/GS7132-36_GS7470-74_ER_M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VPAs Summary"/>
      <sheetName val="GS7132-Summary"/>
      <sheetName val="GS7132-PTDs"/>
      <sheetName val="GS7132-Household List"/>
      <sheetName val="GS7132- ER Calcs"/>
      <sheetName val="GS7132-SDGs Calculations"/>
      <sheetName val="GS7132 WQTS + Maintainence Days"/>
      <sheetName val="GS7133-Summary"/>
      <sheetName val="GS7133- PTDs"/>
      <sheetName val="GS7133-ER Calcs"/>
      <sheetName val="GS7133 Household List"/>
      <sheetName val="GS7133-SDGs Calculations"/>
      <sheetName val="GS7133_WQTs +Maintainence Days"/>
      <sheetName val="GS7134-Summary"/>
      <sheetName val="GS7134-PTDs"/>
      <sheetName val="GS7134-ER Calcs"/>
      <sheetName val="GS7134 Household List"/>
      <sheetName val="GS7134-SDGs Calculations"/>
      <sheetName val="GS7134-WQTs+Maintainence Days"/>
      <sheetName val="GS7135-Summary"/>
      <sheetName val="GS7135-PTDs"/>
      <sheetName val="GS7135-ER Calcs"/>
      <sheetName val="GS7135-WQTs+ Maintaince Days"/>
      <sheetName val="GS7135 Household List"/>
      <sheetName val="GS7135-SDGs Calculations"/>
      <sheetName val="GS7136-Summary"/>
      <sheetName val="GS7136-PTDs"/>
      <sheetName val="GS7136-Household List"/>
      <sheetName val="GS7136-ER Calcs"/>
      <sheetName val="GS7136-SDGs Calculations"/>
      <sheetName val="GS7136-WQTs+Maintainence Days"/>
      <sheetName val="GS7470-Summary"/>
      <sheetName val="GS7470-PTDs"/>
      <sheetName val="GS7470-Household List"/>
      <sheetName val="GS7470-ER Calcs"/>
      <sheetName val="GS7470-SDGs Calculations"/>
      <sheetName val="GS7470-WQTs + Maintainence Days"/>
      <sheetName val="GS7471-Summary"/>
      <sheetName val="GS7471-PTDs"/>
      <sheetName val="GS7471-Household List"/>
      <sheetName val="GS7471-ER Calcs"/>
      <sheetName val="GS7471-SDGs Calculations"/>
      <sheetName val="GS7471-WQTs+Maintainence Days"/>
      <sheetName val="GS7472-Summary"/>
      <sheetName val="GS7472-PTDs"/>
      <sheetName val="GS7472-Household List"/>
      <sheetName val="GS7472-ER Calcs"/>
      <sheetName val="GS7472-SDGs Calculations"/>
      <sheetName val="GS7472-WQTs+Maintainence Days"/>
      <sheetName val="GS7473-Summary"/>
      <sheetName val="GS7473-PTDs"/>
      <sheetName val="GS7473-Household List"/>
      <sheetName val="GS7473-ER Calcs"/>
      <sheetName val="GS7473-SDGs Calculations"/>
      <sheetName val="GS7473-WQTs+Maintainence"/>
      <sheetName val="GS7474-Summary"/>
      <sheetName val="GS7474-PTDs"/>
      <sheetName val="GS7474-Household List"/>
      <sheetName val="GS7474-ER Calcs"/>
      <sheetName val="GS7474- SDGs Calculations"/>
      <sheetName val="GS7474-WQTs + Maintain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8">
          <cell r="D78">
            <v>76</v>
          </cell>
          <cell r="J78">
            <v>412</v>
          </cell>
        </row>
        <row r="172">
          <cell r="D172">
            <v>93</v>
          </cell>
          <cell r="J172">
            <v>511</v>
          </cell>
        </row>
        <row r="216">
          <cell r="D216">
            <v>43</v>
          </cell>
          <cell r="J216">
            <v>404</v>
          </cell>
        </row>
        <row r="300">
          <cell r="D300">
            <v>83</v>
          </cell>
          <cell r="J300">
            <v>282</v>
          </cell>
        </row>
        <row r="369">
          <cell r="D369">
            <v>68</v>
          </cell>
          <cell r="J369">
            <v>501</v>
          </cell>
        </row>
        <row r="435">
          <cell r="D435">
            <v>65</v>
          </cell>
          <cell r="J435">
            <v>454</v>
          </cell>
        </row>
        <row r="529">
          <cell r="D529">
            <v>93</v>
          </cell>
          <cell r="J529">
            <v>506</v>
          </cell>
        </row>
        <row r="623">
          <cell r="D623">
            <v>93</v>
          </cell>
          <cell r="J623">
            <v>424</v>
          </cell>
        </row>
        <row r="677">
          <cell r="D677">
            <v>53</v>
          </cell>
          <cell r="J677">
            <v>318</v>
          </cell>
        </row>
        <row r="720">
          <cell r="D720">
            <v>42</v>
          </cell>
          <cell r="J720">
            <v>303</v>
          </cell>
        </row>
        <row r="799">
          <cell r="D799">
            <v>78</v>
          </cell>
          <cell r="J799">
            <v>447</v>
          </cell>
        </row>
        <row r="853">
          <cell r="D853">
            <v>53</v>
          </cell>
          <cell r="J853">
            <v>321</v>
          </cell>
        </row>
        <row r="891">
          <cell r="D891">
            <v>37</v>
          </cell>
          <cell r="J891">
            <v>301</v>
          </cell>
        </row>
        <row r="968">
          <cell r="D968">
            <v>76</v>
          </cell>
          <cell r="J968">
            <v>469</v>
          </cell>
        </row>
        <row r="1012">
          <cell r="D1012">
            <v>43</v>
          </cell>
          <cell r="J1012">
            <v>535</v>
          </cell>
        </row>
        <row r="1066">
          <cell r="D1066">
            <v>53</v>
          </cell>
          <cell r="J1066">
            <v>313</v>
          </cell>
        </row>
        <row r="1118">
          <cell r="D1118">
            <v>51</v>
          </cell>
          <cell r="J1118">
            <v>323</v>
          </cell>
        </row>
        <row r="1203">
          <cell r="D1203">
            <v>84</v>
          </cell>
          <cell r="J1203">
            <v>568</v>
          </cell>
        </row>
        <row r="1245">
          <cell r="D1245">
            <v>41</v>
          </cell>
          <cell r="J1245">
            <v>382</v>
          </cell>
        </row>
        <row r="1287">
          <cell r="D1287">
            <v>41</v>
          </cell>
          <cell r="J1287">
            <v>326</v>
          </cell>
        </row>
        <row r="1330">
          <cell r="D1330">
            <v>42</v>
          </cell>
          <cell r="J1330">
            <v>374</v>
          </cell>
        </row>
        <row r="1365">
          <cell r="D1365">
            <v>34</v>
          </cell>
          <cell r="J1365">
            <v>343</v>
          </cell>
        </row>
        <row r="1397">
          <cell r="D1397">
            <v>31</v>
          </cell>
          <cell r="J1397">
            <v>324</v>
          </cell>
        </row>
        <row r="1451">
          <cell r="D1451">
            <v>53</v>
          </cell>
          <cell r="J1451">
            <v>374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erena Coccioli" id="{DCA1354E-00AE-4BD0-85F7-28ED90B68A30}" userId="S::serena.coccioli@co2balance.com::cb334bf0-aa77-49dc-8007-b12bf1653e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4" dT="2024-04-04T13:41:43.78" personId="{DCA1354E-00AE-4BD0-85F7-28ED90B68A30}" id="{106702F0-FAC6-4D6D-BE0C-E20A17877562}">
    <text>The baseline usage of wood-fuel.</text>
  </threadedComment>
  <threadedComment ref="E75" dT="2024-04-04T13:40:17.49" personId="{DCA1354E-00AE-4BD0-85F7-28ED90B68A30}" id="{3DA6FCFB-B0AC-4471-9632-1E9E23B94D72}">
    <text>The project estimate in the SDG Impact Tool.</text>
  </threadedComment>
  <threadedComment ref="E76" dT="2024-04-04T13:41:13.59" personId="{DCA1354E-00AE-4BD0-85F7-28ED90B68A30}" id="{2E08A8FB-3045-4CBF-B919-80983909D3D9}">
    <text>The wood-fuel 'saved' shown in the SDG Impact Tool as the 'difference' between baseline and project usage.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5B2E-1372-4C2F-A53B-4180E8AA4689}">
  <dimension ref="A1:H54"/>
  <sheetViews>
    <sheetView topLeftCell="A42" workbookViewId="0">
      <selection activeCell="C54" sqref="C54"/>
    </sheetView>
  </sheetViews>
  <sheetFormatPr defaultRowHeight="14.5" x14ac:dyDescent="0.35"/>
  <cols>
    <col min="1" max="1" width="12.7265625" customWidth="1"/>
    <col min="2" max="2" width="39" bestFit="1" customWidth="1"/>
    <col min="3" max="4" width="9.453125" bestFit="1" customWidth="1"/>
    <col min="5" max="5" width="18.453125" customWidth="1"/>
    <col min="6" max="6" width="27.54296875" bestFit="1" customWidth="1"/>
    <col min="7" max="7" width="15.54296875" customWidth="1"/>
  </cols>
  <sheetData>
    <row r="1" spans="1:7" x14ac:dyDescent="0.35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2" t="s">
        <v>5</v>
      </c>
      <c r="G1" t="s">
        <v>6</v>
      </c>
    </row>
    <row r="2" spans="1:7" x14ac:dyDescent="0.35">
      <c r="A2" s="70" t="s">
        <v>7</v>
      </c>
      <c r="B2" s="70" t="s">
        <v>8</v>
      </c>
      <c r="C2" s="103">
        <v>-19.058209999999999</v>
      </c>
      <c r="D2" s="103">
        <v>33.452689999999997</v>
      </c>
      <c r="E2" s="105">
        <v>43564</v>
      </c>
      <c r="F2" s="104">
        <f>'[1]GS7135 Household List'!$J$435</f>
        <v>454</v>
      </c>
      <c r="G2">
        <f>'[1]GS7135 Household List'!$D$435</f>
        <v>65</v>
      </c>
    </row>
    <row r="3" spans="1:7" x14ac:dyDescent="0.35">
      <c r="A3" s="70" t="s">
        <v>9</v>
      </c>
      <c r="B3" s="70" t="s">
        <v>10</v>
      </c>
      <c r="C3" s="103">
        <v>-19.805050000000001</v>
      </c>
      <c r="D3" s="103">
        <v>33.355339999999998</v>
      </c>
      <c r="E3" s="105">
        <v>43598</v>
      </c>
      <c r="F3" s="104">
        <f>'[1]GS7135 Household List'!$J$300</f>
        <v>282</v>
      </c>
      <c r="G3">
        <f>'[1]GS7135 Household List'!$D$300</f>
        <v>83</v>
      </c>
    </row>
    <row r="4" spans="1:7" x14ac:dyDescent="0.35">
      <c r="A4" s="106" t="s">
        <v>11</v>
      </c>
      <c r="B4" s="106" t="s">
        <v>12</v>
      </c>
      <c r="C4" s="107">
        <v>-19.967079999999999</v>
      </c>
      <c r="D4" s="107">
        <v>33.280410000000003</v>
      </c>
      <c r="E4" s="114">
        <v>43599</v>
      </c>
      <c r="F4" s="70">
        <v>469</v>
      </c>
      <c r="G4">
        <v>93</v>
      </c>
    </row>
    <row r="5" spans="1:7" x14ac:dyDescent="0.35">
      <c r="A5" s="70" t="s">
        <v>13</v>
      </c>
      <c r="B5" s="70" t="s">
        <v>14</v>
      </c>
      <c r="C5" s="103">
        <v>-19.753779999999999</v>
      </c>
      <c r="D5" s="103">
        <v>33.432119999999998</v>
      </c>
      <c r="E5" s="108">
        <v>43600</v>
      </c>
      <c r="F5" s="104">
        <f>'[1]GS7135 Household List'!$J$78</f>
        <v>412</v>
      </c>
      <c r="G5">
        <f>'[1]GS7135 Household List'!$D$78</f>
        <v>76</v>
      </c>
    </row>
    <row r="6" spans="1:7" x14ac:dyDescent="0.35">
      <c r="A6" s="106" t="s">
        <v>15</v>
      </c>
      <c r="B6" s="106" t="s">
        <v>16</v>
      </c>
      <c r="C6" s="107">
        <v>-19.814080000000001</v>
      </c>
      <c r="D6" s="107">
        <v>33.315820000000002</v>
      </c>
      <c r="E6" s="109">
        <v>43600</v>
      </c>
      <c r="F6" s="70">
        <v>417</v>
      </c>
      <c r="G6">
        <v>55</v>
      </c>
    </row>
    <row r="7" spans="1:7" x14ac:dyDescent="0.35">
      <c r="A7" s="106" t="s">
        <v>17</v>
      </c>
      <c r="B7" s="106" t="s">
        <v>18</v>
      </c>
      <c r="C7" s="107">
        <v>-19.782730000000001</v>
      </c>
      <c r="D7" s="107">
        <v>33.379570000000001</v>
      </c>
      <c r="E7" s="109">
        <v>43600</v>
      </c>
      <c r="F7" s="70">
        <v>392</v>
      </c>
      <c r="G7">
        <v>89</v>
      </c>
    </row>
    <row r="8" spans="1:7" x14ac:dyDescent="0.35">
      <c r="A8" s="106" t="s">
        <v>19</v>
      </c>
      <c r="B8" s="106" t="s">
        <v>20</v>
      </c>
      <c r="C8" s="107">
        <v>-19.89499</v>
      </c>
      <c r="D8" s="107">
        <v>33.328139999999998</v>
      </c>
      <c r="E8" s="109">
        <v>43601</v>
      </c>
      <c r="F8" s="70">
        <v>354</v>
      </c>
      <c r="G8">
        <v>93</v>
      </c>
    </row>
    <row r="9" spans="1:7" x14ac:dyDescent="0.35">
      <c r="A9" s="70" t="s">
        <v>21</v>
      </c>
      <c r="B9" s="70" t="s">
        <v>22</v>
      </c>
      <c r="C9" s="103">
        <v>-19.057639999999999</v>
      </c>
      <c r="D9" s="103">
        <v>33.448030000000003</v>
      </c>
      <c r="E9" s="108">
        <v>43613</v>
      </c>
      <c r="F9" s="104">
        <f>'[1]GS7135 Household List'!$J$369</f>
        <v>501</v>
      </c>
      <c r="G9">
        <f>'[1]GS7135 Household List'!$D$369</f>
        <v>68</v>
      </c>
    </row>
    <row r="10" spans="1:7" x14ac:dyDescent="0.35">
      <c r="A10" s="70" t="s">
        <v>23</v>
      </c>
      <c r="B10" s="70" t="s">
        <v>24</v>
      </c>
      <c r="C10" s="103">
        <v>-19.13316</v>
      </c>
      <c r="D10" s="103">
        <v>33.493200000000002</v>
      </c>
      <c r="E10" s="108">
        <v>43614</v>
      </c>
      <c r="F10" s="104">
        <f>'[1]GS7135 Household List'!$J$529</f>
        <v>506</v>
      </c>
      <c r="G10">
        <f>'[1]GS7135 Household List'!$D$529</f>
        <v>93</v>
      </c>
    </row>
    <row r="11" spans="1:7" x14ac:dyDescent="0.35">
      <c r="A11" s="70" t="s">
        <v>25</v>
      </c>
      <c r="B11" s="70" t="s">
        <v>26</v>
      </c>
      <c r="C11" s="103">
        <v>-19.138570000000001</v>
      </c>
      <c r="D11" s="103">
        <v>33.49353</v>
      </c>
      <c r="E11" s="108">
        <v>43615</v>
      </c>
      <c r="F11" s="104">
        <f>'[1]GS7135 Household List'!$J$172</f>
        <v>511</v>
      </c>
      <c r="G11">
        <f>'[1]GS7135 Household List'!$D$172</f>
        <v>93</v>
      </c>
    </row>
    <row r="12" spans="1:7" x14ac:dyDescent="0.35">
      <c r="A12" s="70" t="s">
        <v>27</v>
      </c>
      <c r="B12" s="70" t="s">
        <v>28</v>
      </c>
      <c r="C12" s="103">
        <v>-19.131810000000002</v>
      </c>
      <c r="D12" s="103">
        <v>33.487630000000003</v>
      </c>
      <c r="E12" s="108">
        <v>43623</v>
      </c>
      <c r="F12" s="104">
        <f>'[1]GS7135 Household List'!$J$216</f>
        <v>404</v>
      </c>
      <c r="G12">
        <f>'[1]GS7135 Household List'!$D$216</f>
        <v>43</v>
      </c>
    </row>
    <row r="13" spans="1:7" x14ac:dyDescent="0.35">
      <c r="A13" s="106" t="s">
        <v>29</v>
      </c>
      <c r="B13" s="106" t="s">
        <v>30</v>
      </c>
      <c r="C13" s="107">
        <v>-19.966100000000001</v>
      </c>
      <c r="D13" s="107">
        <v>33.428870000000003</v>
      </c>
      <c r="E13" s="109">
        <v>43678</v>
      </c>
      <c r="F13" s="70">
        <v>314</v>
      </c>
      <c r="G13">
        <v>72</v>
      </c>
    </row>
    <row r="14" spans="1:7" x14ac:dyDescent="0.35">
      <c r="A14" s="106" t="s">
        <v>31</v>
      </c>
      <c r="B14" s="106" t="s">
        <v>32</v>
      </c>
      <c r="C14" s="107">
        <v>-19.998640000000002</v>
      </c>
      <c r="D14" s="107">
        <v>33.349829999999997</v>
      </c>
      <c r="E14" s="109">
        <v>43690</v>
      </c>
      <c r="F14" s="70">
        <v>422</v>
      </c>
      <c r="G14">
        <v>93</v>
      </c>
    </row>
    <row r="15" spans="1:7" x14ac:dyDescent="0.35">
      <c r="A15" s="106" t="s">
        <v>33</v>
      </c>
      <c r="B15" s="106" t="s">
        <v>34</v>
      </c>
      <c r="C15" s="107">
        <v>-19.789159999999999</v>
      </c>
      <c r="D15" s="107">
        <v>33.351010000000002</v>
      </c>
      <c r="E15" s="109">
        <v>43690</v>
      </c>
      <c r="F15" s="70">
        <v>491</v>
      </c>
      <c r="G15">
        <v>89</v>
      </c>
    </row>
    <row r="16" spans="1:7" x14ac:dyDescent="0.35">
      <c r="A16" s="106" t="s">
        <v>35</v>
      </c>
      <c r="B16" s="106" t="s">
        <v>36</v>
      </c>
      <c r="C16" s="107">
        <v>-19.152349999999998</v>
      </c>
      <c r="D16" s="107">
        <v>33.493609999999997</v>
      </c>
      <c r="E16" s="110">
        <v>43706</v>
      </c>
      <c r="F16" s="70">
        <v>308</v>
      </c>
      <c r="G16">
        <v>41</v>
      </c>
    </row>
    <row r="17" spans="1:7" x14ac:dyDescent="0.35">
      <c r="A17" s="70" t="s">
        <v>37</v>
      </c>
      <c r="B17" s="70" t="s">
        <v>38</v>
      </c>
      <c r="C17" s="103">
        <v>-19.100290000000001</v>
      </c>
      <c r="D17" s="103">
        <v>33.565190000000001</v>
      </c>
      <c r="E17" s="108">
        <v>43707</v>
      </c>
      <c r="F17" s="104">
        <f>'[1]GS7135 Household List'!$J$623</f>
        <v>424</v>
      </c>
      <c r="G17">
        <f>'[1]GS7135 Household List'!$D$623</f>
        <v>93</v>
      </c>
    </row>
    <row r="18" spans="1:7" x14ac:dyDescent="0.35">
      <c r="A18" s="70" t="s">
        <v>39</v>
      </c>
      <c r="B18" s="70" t="s">
        <v>40</v>
      </c>
      <c r="C18" s="70">
        <v>-19.20598</v>
      </c>
      <c r="D18" s="70">
        <v>33.662889999999997</v>
      </c>
      <c r="E18" s="105">
        <v>44529</v>
      </c>
      <c r="F18" s="70">
        <v>329</v>
      </c>
      <c r="G18">
        <v>40</v>
      </c>
    </row>
    <row r="19" spans="1:7" x14ac:dyDescent="0.35">
      <c r="A19" s="111" t="s">
        <v>41</v>
      </c>
      <c r="B19" s="111" t="s">
        <v>42</v>
      </c>
      <c r="C19" s="112">
        <v>-19.24051</v>
      </c>
      <c r="D19" s="112">
        <v>33.678289999999997</v>
      </c>
      <c r="E19" s="113">
        <v>44529</v>
      </c>
      <c r="F19" s="70">
        <v>336</v>
      </c>
      <c r="G19">
        <v>36</v>
      </c>
    </row>
    <row r="20" spans="1:7" x14ac:dyDescent="0.35">
      <c r="A20" s="70" t="s">
        <v>43</v>
      </c>
      <c r="B20" s="70" t="s">
        <v>44</v>
      </c>
      <c r="C20" s="70">
        <v>-19.24682</v>
      </c>
      <c r="D20" s="70">
        <v>33.698790000000002</v>
      </c>
      <c r="E20" s="105">
        <v>44530</v>
      </c>
      <c r="F20" s="70">
        <v>391</v>
      </c>
      <c r="G20">
        <v>53</v>
      </c>
    </row>
    <row r="21" spans="1:7" x14ac:dyDescent="0.35">
      <c r="A21" s="70" t="s">
        <v>45</v>
      </c>
      <c r="B21" s="70" t="s">
        <v>46</v>
      </c>
      <c r="C21" s="70">
        <v>-19.004049999999999</v>
      </c>
      <c r="D21" s="70">
        <v>33.695419999999999</v>
      </c>
      <c r="E21" s="105">
        <v>44530</v>
      </c>
      <c r="F21" s="70">
        <v>319</v>
      </c>
      <c r="G21">
        <v>53</v>
      </c>
    </row>
    <row r="22" spans="1:7" x14ac:dyDescent="0.35">
      <c r="A22" s="70" t="s">
        <v>47</v>
      </c>
      <c r="B22" s="70" t="s">
        <v>48</v>
      </c>
      <c r="C22" s="70">
        <v>-18.89236</v>
      </c>
      <c r="D22" s="70">
        <v>33.759880000000003</v>
      </c>
      <c r="E22" s="105">
        <v>44530</v>
      </c>
      <c r="F22" s="70">
        <v>351</v>
      </c>
      <c r="G22">
        <v>36</v>
      </c>
    </row>
    <row r="23" spans="1:7" x14ac:dyDescent="0.35">
      <c r="A23" s="70" t="s">
        <v>49</v>
      </c>
      <c r="B23" s="70" t="s">
        <v>50</v>
      </c>
      <c r="C23" s="70">
        <v>-19.026209999999999</v>
      </c>
      <c r="D23" s="70">
        <v>33.65831</v>
      </c>
      <c r="E23" s="105">
        <v>44531</v>
      </c>
      <c r="F23" s="70">
        <v>385</v>
      </c>
      <c r="G23">
        <v>53</v>
      </c>
    </row>
    <row r="24" spans="1:7" x14ac:dyDescent="0.35">
      <c r="A24" s="70" t="s">
        <v>51</v>
      </c>
      <c r="B24" s="70" t="s">
        <v>52</v>
      </c>
      <c r="C24" s="70">
        <v>-18.996960000000001</v>
      </c>
      <c r="D24" s="70">
        <v>33.722549999999998</v>
      </c>
      <c r="E24" s="105">
        <v>44531</v>
      </c>
      <c r="F24" s="70">
        <v>340</v>
      </c>
      <c r="G24">
        <v>53</v>
      </c>
    </row>
    <row r="25" spans="1:7" x14ac:dyDescent="0.35">
      <c r="A25" s="70" t="s">
        <v>53</v>
      </c>
      <c r="B25" s="70" t="s">
        <v>54</v>
      </c>
      <c r="C25" s="70">
        <v>-19.094809999999999</v>
      </c>
      <c r="D25" s="70">
        <v>33.435920000000003</v>
      </c>
      <c r="E25" s="105">
        <v>44531</v>
      </c>
      <c r="F25" s="70">
        <v>322</v>
      </c>
      <c r="G25">
        <v>53</v>
      </c>
    </row>
    <row r="26" spans="1:7" x14ac:dyDescent="0.35">
      <c r="A26" s="70" t="s">
        <v>55</v>
      </c>
      <c r="B26" s="70" t="s">
        <v>56</v>
      </c>
      <c r="C26" s="70">
        <v>-19.039159999999999</v>
      </c>
      <c r="D26" s="70">
        <v>33.702489999999997</v>
      </c>
      <c r="E26" s="105">
        <v>44532</v>
      </c>
      <c r="F26" s="70">
        <v>426</v>
      </c>
      <c r="G26">
        <v>50</v>
      </c>
    </row>
    <row r="27" spans="1:7" x14ac:dyDescent="0.35">
      <c r="A27" s="70" t="s">
        <v>57</v>
      </c>
      <c r="B27" s="70" t="s">
        <v>58</v>
      </c>
      <c r="C27" s="70">
        <v>-18.92726</v>
      </c>
      <c r="D27" s="70">
        <v>33.728169999999999</v>
      </c>
      <c r="E27" s="105">
        <v>44533</v>
      </c>
      <c r="F27" s="70">
        <v>367</v>
      </c>
      <c r="G27">
        <v>41</v>
      </c>
    </row>
    <row r="28" spans="1:7" x14ac:dyDescent="0.35">
      <c r="A28" s="70" t="s">
        <v>59</v>
      </c>
      <c r="B28" s="70" t="s">
        <v>60</v>
      </c>
      <c r="C28" s="70">
        <v>-18.89912</v>
      </c>
      <c r="D28" s="70">
        <v>32.861409999999999</v>
      </c>
      <c r="E28" s="105">
        <v>44621</v>
      </c>
      <c r="F28" s="70">
        <v>391</v>
      </c>
      <c r="G28">
        <v>36</v>
      </c>
    </row>
    <row r="29" spans="1:7" x14ac:dyDescent="0.35">
      <c r="A29" s="70" t="s">
        <v>61</v>
      </c>
      <c r="B29" s="70" t="s">
        <v>62</v>
      </c>
      <c r="C29" s="70">
        <v>-18.90241</v>
      </c>
      <c r="D29" s="70">
        <v>32.863230000000001</v>
      </c>
      <c r="E29" s="105">
        <v>44621</v>
      </c>
      <c r="F29" s="70">
        <v>418</v>
      </c>
      <c r="G29">
        <v>33</v>
      </c>
    </row>
    <row r="30" spans="1:7" x14ac:dyDescent="0.35">
      <c r="A30" s="70" t="s">
        <v>63</v>
      </c>
      <c r="B30" s="70" t="s">
        <v>64</v>
      </c>
      <c r="C30" s="70">
        <v>-18.963850000000001</v>
      </c>
      <c r="D30" s="70">
        <v>32.82685</v>
      </c>
      <c r="E30" s="105">
        <v>44622</v>
      </c>
      <c r="F30" s="70">
        <v>335</v>
      </c>
      <c r="G30">
        <v>45</v>
      </c>
    </row>
    <row r="31" spans="1:7" x14ac:dyDescent="0.35">
      <c r="A31" s="70" t="s">
        <v>65</v>
      </c>
      <c r="B31" s="70" t="s">
        <v>66</v>
      </c>
      <c r="C31" s="70">
        <v>-18.96856</v>
      </c>
      <c r="D31" s="70">
        <v>32.833060000000003</v>
      </c>
      <c r="E31" s="105">
        <v>44622</v>
      </c>
      <c r="F31" s="70">
        <v>429</v>
      </c>
      <c r="G31">
        <v>76</v>
      </c>
    </row>
    <row r="32" spans="1:7" x14ac:dyDescent="0.35">
      <c r="A32" s="70" t="s">
        <v>67</v>
      </c>
      <c r="B32" s="70" t="s">
        <v>68</v>
      </c>
      <c r="C32" s="103">
        <v>-18.96161</v>
      </c>
      <c r="D32" s="103">
        <v>32.828879999999998</v>
      </c>
      <c r="E32" s="105">
        <v>44622</v>
      </c>
      <c r="F32" s="70">
        <v>312</v>
      </c>
      <c r="G32">
        <v>45</v>
      </c>
    </row>
    <row r="33" spans="1:7" x14ac:dyDescent="0.35">
      <c r="A33" s="70" t="s">
        <v>69</v>
      </c>
      <c r="B33" s="70" t="s">
        <v>70</v>
      </c>
      <c r="C33" s="103">
        <v>-18.917529999999999</v>
      </c>
      <c r="D33" s="103">
        <v>32.885770000000001</v>
      </c>
      <c r="E33" s="105">
        <v>44623</v>
      </c>
      <c r="F33" s="104">
        <f>'[1]GS7135 Household List'!$J$677</f>
        <v>318</v>
      </c>
      <c r="G33">
        <f>'[1]GS7135 Household List'!$D$677</f>
        <v>53</v>
      </c>
    </row>
    <row r="34" spans="1:7" x14ac:dyDescent="0.35">
      <c r="A34" s="70" t="s">
        <v>71</v>
      </c>
      <c r="B34" s="70" t="s">
        <v>72</v>
      </c>
      <c r="C34" s="103">
        <v>-18.97587</v>
      </c>
      <c r="D34" s="103">
        <v>32.829120000000003</v>
      </c>
      <c r="E34" s="105">
        <v>44623</v>
      </c>
      <c r="F34" s="104">
        <f>'[1]GS7135 Household List'!$J$720</f>
        <v>303</v>
      </c>
      <c r="G34">
        <f>'[1]GS7135 Household List'!$D$720</f>
        <v>42</v>
      </c>
    </row>
    <row r="35" spans="1:7" x14ac:dyDescent="0.35">
      <c r="A35" s="70" t="s">
        <v>73</v>
      </c>
      <c r="B35" s="70" t="s">
        <v>74</v>
      </c>
      <c r="C35" s="103">
        <v>-18.96142</v>
      </c>
      <c r="D35" s="103">
        <v>32.834159999999997</v>
      </c>
      <c r="E35" s="105">
        <v>44623</v>
      </c>
      <c r="F35" s="104">
        <f>'[1]GS7135 Household List'!$J$799</f>
        <v>447</v>
      </c>
      <c r="G35">
        <f>'[1]GS7135 Household List'!$D$799</f>
        <v>78</v>
      </c>
    </row>
    <row r="36" spans="1:7" x14ac:dyDescent="0.35">
      <c r="A36" s="70" t="s">
        <v>75</v>
      </c>
      <c r="B36" s="70" t="s">
        <v>76</v>
      </c>
      <c r="C36" s="103">
        <v>-18.95814</v>
      </c>
      <c r="D36" s="103">
        <v>32.832599999999999</v>
      </c>
      <c r="E36" s="105">
        <v>44623</v>
      </c>
      <c r="F36" s="104">
        <f>'[1]GS7135 Household List'!$J$853</f>
        <v>321</v>
      </c>
      <c r="G36">
        <f>'[1]GS7135 Household List'!$D$853</f>
        <v>53</v>
      </c>
    </row>
    <row r="37" spans="1:7" x14ac:dyDescent="0.35">
      <c r="A37" s="70" t="s">
        <v>77</v>
      </c>
      <c r="B37" s="70" t="s">
        <v>78</v>
      </c>
      <c r="C37" s="103">
        <v>-18.91433</v>
      </c>
      <c r="D37" s="103">
        <v>32.891069999999999</v>
      </c>
      <c r="E37" s="105">
        <v>44623</v>
      </c>
      <c r="F37" s="70">
        <v>403</v>
      </c>
      <c r="G37">
        <v>55</v>
      </c>
    </row>
    <row r="38" spans="1:7" x14ac:dyDescent="0.35">
      <c r="A38" s="70" t="s">
        <v>79</v>
      </c>
      <c r="B38" s="70" t="s">
        <v>80</v>
      </c>
      <c r="C38" s="103">
        <v>-18.92313</v>
      </c>
      <c r="D38" s="103">
        <v>32.872639999999997</v>
      </c>
      <c r="E38" s="105">
        <v>44624</v>
      </c>
      <c r="F38" s="104">
        <f>'[1]GS7135 Household List'!$J$891</f>
        <v>301</v>
      </c>
      <c r="G38">
        <f>'[1]GS7135 Household List'!$D$891</f>
        <v>37</v>
      </c>
    </row>
    <row r="39" spans="1:7" x14ac:dyDescent="0.35">
      <c r="A39" s="70" t="s">
        <v>81</v>
      </c>
      <c r="B39" s="70" t="s">
        <v>82</v>
      </c>
      <c r="C39" s="103">
        <v>-18.92417</v>
      </c>
      <c r="D39" s="103">
        <v>32.879570000000001</v>
      </c>
      <c r="E39" s="105">
        <v>44624</v>
      </c>
      <c r="F39" s="104">
        <f>'[1]GS7135 Household List'!$J$968</f>
        <v>469</v>
      </c>
      <c r="G39">
        <f>'[1]GS7135 Household List'!$D$968</f>
        <v>76</v>
      </c>
    </row>
    <row r="40" spans="1:7" x14ac:dyDescent="0.35">
      <c r="A40" s="70" t="s">
        <v>83</v>
      </c>
      <c r="B40" s="70" t="s">
        <v>84</v>
      </c>
      <c r="C40" s="103">
        <v>-18.918109999999999</v>
      </c>
      <c r="D40" s="103">
        <v>32.848419999999997</v>
      </c>
      <c r="E40" s="105">
        <v>44624</v>
      </c>
      <c r="F40" s="104">
        <f>'[1]GS7135 Household List'!$J$1012</f>
        <v>535</v>
      </c>
      <c r="G40">
        <f>'[1]GS7135 Household List'!$D$1012</f>
        <v>43</v>
      </c>
    </row>
    <row r="41" spans="1:7" x14ac:dyDescent="0.35">
      <c r="A41" s="70" t="s">
        <v>85</v>
      </c>
      <c r="B41" s="70" t="s">
        <v>86</v>
      </c>
      <c r="C41" s="103">
        <v>-18.925090000000001</v>
      </c>
      <c r="D41" s="103">
        <v>32.92192</v>
      </c>
      <c r="E41" s="105">
        <v>44624</v>
      </c>
      <c r="F41" s="104">
        <f>'[1]GS7135 Household List'!$J$1066</f>
        <v>313</v>
      </c>
      <c r="G41">
        <f>'[1]GS7135 Household List'!$D$1066</f>
        <v>53</v>
      </c>
    </row>
    <row r="42" spans="1:7" x14ac:dyDescent="0.35">
      <c r="A42" s="70" t="s">
        <v>87</v>
      </c>
      <c r="B42" s="70" t="s">
        <v>88</v>
      </c>
      <c r="C42" s="103">
        <v>-18.91545</v>
      </c>
      <c r="D42" s="103">
        <v>32.926670000000001</v>
      </c>
      <c r="E42" s="105">
        <v>44624</v>
      </c>
      <c r="F42" s="104">
        <f>'[1]GS7135 Household List'!$J$1118</f>
        <v>323</v>
      </c>
      <c r="G42">
        <f>'[1]GS7135 Household List'!$D$1118</f>
        <v>51</v>
      </c>
    </row>
    <row r="43" spans="1:7" x14ac:dyDescent="0.35">
      <c r="A43" s="70" t="s">
        <v>89</v>
      </c>
      <c r="B43" s="70" t="s">
        <v>90</v>
      </c>
      <c r="C43" s="103">
        <v>-18.924289999999999</v>
      </c>
      <c r="D43" s="103">
        <v>32.869770000000003</v>
      </c>
      <c r="E43" s="105">
        <v>44627</v>
      </c>
      <c r="F43" s="104">
        <f>'[1]GS7135 Household List'!$J$1203</f>
        <v>568</v>
      </c>
      <c r="G43">
        <f>'[1]GS7135 Household List'!$D$1203</f>
        <v>84</v>
      </c>
    </row>
    <row r="44" spans="1:7" x14ac:dyDescent="0.35">
      <c r="A44" s="70" t="s">
        <v>91</v>
      </c>
      <c r="B44" s="70" t="s">
        <v>92</v>
      </c>
      <c r="C44" s="103">
        <v>-18.906369999999999</v>
      </c>
      <c r="D44" s="103">
        <v>32.874760000000002</v>
      </c>
      <c r="E44" s="105">
        <v>44627</v>
      </c>
      <c r="F44" s="104">
        <f>'[1]GS7135 Household List'!$J$1245</f>
        <v>382</v>
      </c>
      <c r="G44">
        <f>'[1]GS7135 Household List'!$D$1245</f>
        <v>41</v>
      </c>
    </row>
    <row r="45" spans="1:7" x14ac:dyDescent="0.35">
      <c r="A45" s="70" t="s">
        <v>93</v>
      </c>
      <c r="B45" s="70" t="s">
        <v>94</v>
      </c>
      <c r="C45" s="70">
        <v>-18.955770000000001</v>
      </c>
      <c r="D45" s="70">
        <v>32.854559999999999</v>
      </c>
      <c r="E45" s="105">
        <v>44628</v>
      </c>
      <c r="F45" s="104">
        <f>'[1]GS7135 Household List'!$J$1287</f>
        <v>326</v>
      </c>
      <c r="G45">
        <f>'[1]GS7135 Household List'!$D$1287</f>
        <v>41</v>
      </c>
    </row>
    <row r="46" spans="1:7" x14ac:dyDescent="0.35">
      <c r="A46" s="70" t="s">
        <v>95</v>
      </c>
      <c r="B46" s="70" t="s">
        <v>96</v>
      </c>
      <c r="C46" s="70">
        <v>-18.954329999999999</v>
      </c>
      <c r="D46" s="70">
        <v>32.841830000000002</v>
      </c>
      <c r="E46" s="105">
        <v>44629</v>
      </c>
      <c r="F46" s="104">
        <f>'[1]GS7135 Household List'!$J$1330</f>
        <v>374</v>
      </c>
      <c r="G46">
        <f>'[1]GS7135 Household List'!$D$1330</f>
        <v>42</v>
      </c>
    </row>
    <row r="47" spans="1:7" x14ac:dyDescent="0.35">
      <c r="A47" s="70" t="s">
        <v>97</v>
      </c>
      <c r="B47" s="70" t="s">
        <v>98</v>
      </c>
      <c r="C47" s="70">
        <v>-18.953790000000001</v>
      </c>
      <c r="D47" s="70">
        <v>32.848399999999998</v>
      </c>
      <c r="E47" s="105">
        <v>44629</v>
      </c>
      <c r="F47" s="104">
        <f>'[1]GS7135 Household List'!$J$1365</f>
        <v>343</v>
      </c>
      <c r="G47">
        <f>'[1]GS7135 Household List'!$D$1365</f>
        <v>34</v>
      </c>
    </row>
    <row r="48" spans="1:7" x14ac:dyDescent="0.35">
      <c r="A48" s="70" t="s">
        <v>99</v>
      </c>
      <c r="B48" s="70" t="s">
        <v>100</v>
      </c>
      <c r="C48" s="70">
        <v>-18.95026</v>
      </c>
      <c r="D48" s="70">
        <v>32.841340000000002</v>
      </c>
      <c r="E48" s="105">
        <v>44629</v>
      </c>
      <c r="F48" s="104">
        <f>'[1]GS7135 Household List'!$J$1397</f>
        <v>324</v>
      </c>
      <c r="G48">
        <f>'[1]GS7135 Household List'!$D$1397</f>
        <v>31</v>
      </c>
    </row>
    <row r="49" spans="1:8" x14ac:dyDescent="0.35">
      <c r="A49" s="70" t="s">
        <v>101</v>
      </c>
      <c r="B49" s="70" t="s">
        <v>102</v>
      </c>
      <c r="C49" s="70">
        <v>-18.924779999999998</v>
      </c>
      <c r="D49" s="70">
        <v>32.867040000000003</v>
      </c>
      <c r="E49" s="105">
        <v>44630</v>
      </c>
      <c r="F49" s="104">
        <f>'[1]GS7135 Household List'!$J$1451</f>
        <v>374</v>
      </c>
      <c r="G49">
        <f>'[1]GS7135 Household List'!$D$1451</f>
        <v>53</v>
      </c>
    </row>
    <row r="50" spans="1:8" x14ac:dyDescent="0.35">
      <c r="B50" s="119">
        <f>COUNTA(B2:B49)</f>
        <v>48</v>
      </c>
      <c r="F50" s="99">
        <f>AVERAGE(F2:F49)</f>
        <v>386.16666666666669</v>
      </c>
      <c r="G50" s="99">
        <f>AVERAGE(G2:G49)</f>
        <v>58.520833333333336</v>
      </c>
    </row>
    <row r="51" spans="1:8" x14ac:dyDescent="0.35">
      <c r="B51" t="s">
        <v>103</v>
      </c>
      <c r="F51" s="99">
        <f>ROUNDDOWN(F50,0)</f>
        <v>386</v>
      </c>
      <c r="G51" s="99">
        <f>ROUNDDOWN(G50,0)</f>
        <v>58</v>
      </c>
      <c r="H51" t="s">
        <v>104</v>
      </c>
    </row>
    <row r="52" spans="1:8" x14ac:dyDescent="0.35">
      <c r="E52" t="s">
        <v>105</v>
      </c>
      <c r="F52" s="119">
        <f>IF(F51&gt; 400, 400,F51)</f>
        <v>386</v>
      </c>
      <c r="G52" s="118">
        <f>SUM(G2:G49)</f>
        <v>2809</v>
      </c>
      <c r="H52" t="s">
        <v>106</v>
      </c>
    </row>
    <row r="54" spans="1:8" x14ac:dyDescent="0.35">
      <c r="F54">
        <f>SUM(F2:F49)</f>
        <v>18536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52C6-3197-49C5-BA17-2D7B9B931860}">
  <dimension ref="A1:R103"/>
  <sheetViews>
    <sheetView tabSelected="1" topLeftCell="A36" zoomScale="80" zoomScaleNormal="80" workbookViewId="0">
      <selection activeCell="E66" sqref="E66"/>
    </sheetView>
  </sheetViews>
  <sheetFormatPr defaultColWidth="8.7265625" defaultRowHeight="14.5" x14ac:dyDescent="0.35"/>
  <cols>
    <col min="1" max="1" width="13.7265625" style="1" customWidth="1"/>
    <col min="2" max="2" width="8" style="1" bestFit="1" customWidth="1"/>
    <col min="3" max="3" width="8.7265625" style="1"/>
    <col min="4" max="4" width="61.26953125" style="1" customWidth="1"/>
    <col min="5" max="5" width="18.26953125" style="1" bestFit="1" customWidth="1"/>
    <col min="6" max="6" width="11.54296875" style="1" bestFit="1" customWidth="1"/>
    <col min="7" max="7" width="11.54296875" style="1" customWidth="1"/>
    <col min="8" max="8" width="32.26953125" style="1" bestFit="1" customWidth="1"/>
    <col min="9" max="9" width="13.54296875" style="1" bestFit="1" customWidth="1"/>
    <col min="10" max="10" width="39.54296875" style="1" bestFit="1" customWidth="1"/>
    <col min="11" max="11" width="9" style="1" bestFit="1" customWidth="1"/>
    <col min="12" max="12" width="10.26953125" style="1" bestFit="1" customWidth="1"/>
    <col min="13" max="13" width="9" style="1" bestFit="1" customWidth="1"/>
    <col min="14" max="14" width="9.7265625" style="1" bestFit="1" customWidth="1"/>
    <col min="15" max="15" width="9" style="1" bestFit="1" customWidth="1"/>
    <col min="16" max="16" width="10.453125" style="1" bestFit="1" customWidth="1"/>
    <col min="17" max="18" width="9" style="1" bestFit="1" customWidth="1"/>
    <col min="19" max="16384" width="8.7265625" style="1"/>
  </cols>
  <sheetData>
    <row r="1" spans="1:16" x14ac:dyDescent="0.35">
      <c r="A1" s="90" t="s">
        <v>107</v>
      </c>
      <c r="B1" s="89"/>
      <c r="C1" s="89"/>
      <c r="D1" s="89"/>
      <c r="E1" s="89"/>
      <c r="F1" s="89"/>
      <c r="G1" s="89"/>
      <c r="H1" s="89"/>
      <c r="I1" s="89"/>
      <c r="J1" s="89"/>
    </row>
    <row r="2" spans="1:16" ht="29" x14ac:dyDescent="0.35">
      <c r="A2" s="44" t="s">
        <v>108</v>
      </c>
      <c r="B2" s="125" t="s">
        <v>109</v>
      </c>
      <c r="C2" s="125"/>
      <c r="D2" s="125"/>
      <c r="E2" s="125"/>
      <c r="F2" s="92"/>
      <c r="H2" s="125" t="s">
        <v>110</v>
      </c>
      <c r="I2" s="125"/>
      <c r="J2" s="87" t="s">
        <v>111</v>
      </c>
      <c r="P2" s="56"/>
    </row>
    <row r="3" spans="1:16" x14ac:dyDescent="0.35">
      <c r="H3" s="2" t="s">
        <v>112</v>
      </c>
      <c r="I3" s="100">
        <f>'GS7135 Households'!B50</f>
        <v>48</v>
      </c>
      <c r="J3" s="2" t="s">
        <v>113</v>
      </c>
      <c r="P3" s="56"/>
    </row>
    <row r="4" spans="1:16" ht="15.5" x14ac:dyDescent="0.35">
      <c r="A4" s="1" t="s">
        <v>114</v>
      </c>
      <c r="B4" s="124" t="s">
        <v>115</v>
      </c>
      <c r="C4" s="124"/>
      <c r="D4" s="124"/>
      <c r="E4" s="124"/>
      <c r="H4" s="2" t="s">
        <v>116</v>
      </c>
      <c r="I4" s="100">
        <f>'GS7135 Households'!F52</f>
        <v>386</v>
      </c>
      <c r="J4" s="2" t="s">
        <v>117</v>
      </c>
    </row>
    <row r="5" spans="1:16" ht="33" customHeight="1" x14ac:dyDescent="0.35">
      <c r="B5" s="3"/>
      <c r="C5" s="4" t="s">
        <v>118</v>
      </c>
      <c r="D5" s="4" t="s">
        <v>119</v>
      </c>
      <c r="E5" s="5">
        <f>E12*(1-E6-E7)*E8*E9</f>
        <v>202.53552288762432</v>
      </c>
      <c r="H5" s="2" t="s">
        <v>120</v>
      </c>
      <c r="I5" s="100">
        <v>6000</v>
      </c>
      <c r="J5" s="2" t="s">
        <v>121</v>
      </c>
      <c r="K5" s="47"/>
      <c r="L5" s="47"/>
      <c r="M5" s="47"/>
      <c r="N5" s="47"/>
      <c r="O5" s="47"/>
    </row>
    <row r="6" spans="1:16" ht="31" x14ac:dyDescent="0.35">
      <c r="B6" s="3"/>
      <c r="C6" s="4" t="s">
        <v>118</v>
      </c>
      <c r="D6" s="4" t="s">
        <v>122</v>
      </c>
      <c r="E6" s="27">
        <f>I13</f>
        <v>1.2500000000000001E-2</v>
      </c>
      <c r="H6" s="2" t="s">
        <v>123</v>
      </c>
      <c r="I6" s="100">
        <v>8</v>
      </c>
      <c r="J6" s="2" t="s">
        <v>124</v>
      </c>
    </row>
    <row r="7" spans="1:16" ht="31" x14ac:dyDescent="0.35">
      <c r="B7" s="3"/>
      <c r="C7" s="4" t="s">
        <v>118</v>
      </c>
      <c r="D7" s="4" t="s">
        <v>125</v>
      </c>
      <c r="E7" s="2">
        <v>0</v>
      </c>
      <c r="H7" s="2" t="s">
        <v>126</v>
      </c>
      <c r="I7" s="100">
        <f>'GS7135 Households'!G51</f>
        <v>58</v>
      </c>
      <c r="J7" s="2" t="s">
        <v>117</v>
      </c>
    </row>
    <row r="8" spans="1:16" ht="31" x14ac:dyDescent="0.35">
      <c r="B8" s="3"/>
      <c r="C8" s="4" t="s">
        <v>118</v>
      </c>
      <c r="D8" s="4" t="s">
        <v>127</v>
      </c>
      <c r="E8" s="6">
        <f>MIN(E32,E33)</f>
        <v>643568</v>
      </c>
      <c r="H8" s="2" t="s">
        <v>128</v>
      </c>
      <c r="I8" s="75">
        <f>'GS7135 Households'!G52</f>
        <v>2809</v>
      </c>
      <c r="J8" s="2" t="s">
        <v>129</v>
      </c>
    </row>
    <row r="9" spans="1:16" ht="15.5" x14ac:dyDescent="0.35">
      <c r="B9" s="3"/>
      <c r="C9" s="4" t="s">
        <v>118</v>
      </c>
      <c r="D9" s="4" t="s">
        <v>130</v>
      </c>
      <c r="E9" s="7">
        <f>I14</f>
        <v>0.9</v>
      </c>
    </row>
    <row r="11" spans="1:16" ht="15.5" x14ac:dyDescent="0.35">
      <c r="A11" s="1" t="s">
        <v>131</v>
      </c>
      <c r="B11" s="124" t="s">
        <v>132</v>
      </c>
      <c r="C11" s="124"/>
      <c r="D11" s="124"/>
      <c r="E11" s="124"/>
    </row>
    <row r="12" spans="1:16" ht="33" x14ac:dyDescent="0.35">
      <c r="B12" s="3"/>
      <c r="C12" s="4" t="s">
        <v>118</v>
      </c>
      <c r="D12" s="4" t="s">
        <v>133</v>
      </c>
      <c r="E12" s="53">
        <f>E13*((E14*(E16*E20+E18))+((E15*(E17*E20+E19))))/10^9</f>
        <v>3.5410099750086011E-4</v>
      </c>
      <c r="H12" s="125" t="s">
        <v>110</v>
      </c>
      <c r="I12" s="125"/>
      <c r="J12" s="87" t="s">
        <v>111</v>
      </c>
    </row>
    <row r="13" spans="1:16" ht="31" x14ac:dyDescent="0.35">
      <c r="B13" s="3"/>
      <c r="C13" s="4" t="s">
        <v>118</v>
      </c>
      <c r="D13" s="4" t="s">
        <v>134</v>
      </c>
      <c r="E13" s="11">
        <f>E25/E28</f>
        <v>3519.2626548327316</v>
      </c>
      <c r="H13" s="2" t="s">
        <v>135</v>
      </c>
      <c r="I13" s="27">
        <v>1.2500000000000001E-2</v>
      </c>
      <c r="J13" s="2" t="s">
        <v>124</v>
      </c>
    </row>
    <row r="14" spans="1:16" ht="15.5" x14ac:dyDescent="0.35">
      <c r="B14" s="3"/>
      <c r="C14" s="4" t="s">
        <v>118</v>
      </c>
      <c r="D14" s="4" t="s">
        <v>136</v>
      </c>
      <c r="E14" s="27">
        <f>I16</f>
        <v>0.9506</v>
      </c>
      <c r="F14" s="1" t="s">
        <v>137</v>
      </c>
      <c r="H14" s="2" t="s">
        <v>138</v>
      </c>
      <c r="I14" s="7">
        <v>0.9</v>
      </c>
      <c r="J14" s="2" t="s">
        <v>139</v>
      </c>
    </row>
    <row r="15" spans="1:16" ht="15.5" x14ac:dyDescent="0.35">
      <c r="B15" s="3"/>
      <c r="C15" s="4" t="s">
        <v>118</v>
      </c>
      <c r="D15" s="4" t="s">
        <v>140</v>
      </c>
      <c r="E15" s="27">
        <f>I17</f>
        <v>4.9399999999999999E-2</v>
      </c>
      <c r="F15" s="1" t="s">
        <v>137</v>
      </c>
      <c r="H15" s="2" t="s">
        <v>141</v>
      </c>
      <c r="I15" s="7">
        <v>0.78</v>
      </c>
      <c r="J15" s="2" t="s">
        <v>142</v>
      </c>
    </row>
    <row r="16" spans="1:16" ht="17.5" x14ac:dyDescent="0.35">
      <c r="B16" s="3"/>
      <c r="C16" s="4" t="s">
        <v>118</v>
      </c>
      <c r="D16" s="4" t="s">
        <v>143</v>
      </c>
      <c r="E16" s="2">
        <v>112</v>
      </c>
      <c r="F16" s="1" t="s">
        <v>144</v>
      </c>
      <c r="H16" s="2" t="s">
        <v>145</v>
      </c>
      <c r="I16" s="27">
        <v>0.9506</v>
      </c>
      <c r="J16" s="2" t="s">
        <v>146</v>
      </c>
    </row>
    <row r="17" spans="1:14" ht="17.5" x14ac:dyDescent="0.35">
      <c r="B17" s="3"/>
      <c r="C17" s="4" t="s">
        <v>118</v>
      </c>
      <c r="D17" s="35" t="s">
        <v>147</v>
      </c>
      <c r="E17" s="2">
        <v>165.22</v>
      </c>
      <c r="F17" s="1" t="s">
        <v>144</v>
      </c>
      <c r="H17" s="2" t="s">
        <v>148</v>
      </c>
      <c r="I17" s="27">
        <v>4.9399999999999999E-2</v>
      </c>
      <c r="J17" s="2" t="s">
        <v>146</v>
      </c>
    </row>
    <row r="18" spans="1:14" ht="50.5" x14ac:dyDescent="0.35">
      <c r="B18" s="3"/>
      <c r="C18" s="4" t="s">
        <v>118</v>
      </c>
      <c r="D18" s="35" t="s">
        <v>149</v>
      </c>
      <c r="E18" s="2">
        <v>9.4600000000000009</v>
      </c>
      <c r="F18" s="1" t="s">
        <v>144</v>
      </c>
      <c r="H18" s="2" t="s">
        <v>150</v>
      </c>
      <c r="I18" s="7">
        <v>0.95</v>
      </c>
      <c r="J18" s="2" t="s">
        <v>151</v>
      </c>
    </row>
    <row r="19" spans="1:14" ht="50.5" x14ac:dyDescent="0.35">
      <c r="B19" s="3"/>
      <c r="C19" s="4" t="s">
        <v>118</v>
      </c>
      <c r="D19" s="35" t="s">
        <v>152</v>
      </c>
      <c r="E19" s="2">
        <v>44.83</v>
      </c>
      <c r="F19" s="1" t="s">
        <v>144</v>
      </c>
      <c r="H19" s="2" t="s">
        <v>153</v>
      </c>
      <c r="I19" s="28">
        <v>0.97470000000000001</v>
      </c>
    </row>
    <row r="20" spans="1:14" ht="62" x14ac:dyDescent="0.35">
      <c r="B20" s="3"/>
      <c r="C20" s="4" t="s">
        <v>118</v>
      </c>
      <c r="D20" s="4" t="s">
        <v>154</v>
      </c>
      <c r="E20" s="8">
        <f>I15</f>
        <v>0.78</v>
      </c>
      <c r="H20" s="2" t="s">
        <v>155</v>
      </c>
      <c r="I20" s="28">
        <v>2.53E-2</v>
      </c>
    </row>
    <row r="21" spans="1:14" ht="15.5" x14ac:dyDescent="0.35">
      <c r="B21" s="9" t="s">
        <v>156</v>
      </c>
      <c r="C21" s="4" t="s">
        <v>118</v>
      </c>
      <c r="D21" s="4" t="s">
        <v>157</v>
      </c>
      <c r="E21" s="27">
        <f>I16</f>
        <v>0.9506</v>
      </c>
    </row>
    <row r="22" spans="1:14" ht="15.5" x14ac:dyDescent="0.35">
      <c r="B22" s="9" t="s">
        <v>156</v>
      </c>
      <c r="C22" s="4" t="s">
        <v>118</v>
      </c>
      <c r="D22" s="4" t="s">
        <v>158</v>
      </c>
      <c r="E22" s="27">
        <f>I17</f>
        <v>4.9399999999999999E-2</v>
      </c>
    </row>
    <row r="24" spans="1:14" ht="15.5" x14ac:dyDescent="0.35">
      <c r="A24" s="1" t="s">
        <v>159</v>
      </c>
      <c r="B24" s="124" t="s">
        <v>160</v>
      </c>
      <c r="C24" s="124"/>
      <c r="D24" s="124"/>
      <c r="E24" s="124"/>
    </row>
    <row r="25" spans="1:14" ht="29" x14ac:dyDescent="0.35">
      <c r="B25" s="10">
        <v>360.83</v>
      </c>
      <c r="C25" s="4" t="s">
        <v>118</v>
      </c>
      <c r="D25" s="54" t="s">
        <v>161</v>
      </c>
      <c r="E25" s="11">
        <v>360.83</v>
      </c>
    </row>
    <row r="26" spans="1:14" ht="31" x14ac:dyDescent="0.35">
      <c r="B26" s="3"/>
      <c r="C26" s="4" t="s">
        <v>118</v>
      </c>
      <c r="D26" s="4" t="s">
        <v>162</v>
      </c>
      <c r="E26" s="11">
        <v>0.1</v>
      </c>
      <c r="F26" s="28">
        <f>I19</f>
        <v>0.97470000000000001</v>
      </c>
      <c r="G26" s="1" t="s">
        <v>163</v>
      </c>
      <c r="K26" s="12"/>
    </row>
    <row r="27" spans="1:14" ht="31" x14ac:dyDescent="0.35">
      <c r="B27" s="3"/>
      <c r="C27" s="4" t="s">
        <v>118</v>
      </c>
      <c r="D27" s="4" t="s">
        <v>164</v>
      </c>
      <c r="E27" s="11">
        <v>0.2</v>
      </c>
      <c r="F27" s="28">
        <f>I20</f>
        <v>2.53E-2</v>
      </c>
      <c r="G27" s="1" t="s">
        <v>165</v>
      </c>
      <c r="K27" s="12"/>
    </row>
    <row r="28" spans="1:14" ht="15.5" x14ac:dyDescent="0.35">
      <c r="B28" s="3"/>
      <c r="C28" s="4"/>
      <c r="D28" s="4" t="s">
        <v>166</v>
      </c>
      <c r="E28" s="55">
        <f>(E26*F26)+(E27*F27)</f>
        <v>0.10253</v>
      </c>
      <c r="K28" s="12"/>
    </row>
    <row r="29" spans="1:14" ht="15.5" x14ac:dyDescent="0.35">
      <c r="B29" s="29"/>
      <c r="C29" s="30"/>
      <c r="D29" s="30"/>
      <c r="K29" s="12"/>
    </row>
    <row r="31" spans="1:14" ht="15.5" x14ac:dyDescent="0.35">
      <c r="A31" s="1" t="s">
        <v>167</v>
      </c>
      <c r="B31" s="127" t="s">
        <v>168</v>
      </c>
      <c r="C31" s="128"/>
      <c r="D31" s="128"/>
      <c r="E31" s="129"/>
      <c r="K31" s="13"/>
      <c r="L31" s="14"/>
    </row>
    <row r="32" spans="1:14" ht="31" x14ac:dyDescent="0.35">
      <c r="B32" s="3"/>
      <c r="C32" s="4" t="s">
        <v>118</v>
      </c>
      <c r="D32" s="4" t="s">
        <v>169</v>
      </c>
      <c r="E32" s="15">
        <f>1*I5*E39</f>
        <v>2080500</v>
      </c>
      <c r="F32" s="16">
        <f>E32*I3</f>
        <v>99864000</v>
      </c>
      <c r="N32" s="14"/>
    </row>
    <row r="33" spans="1:14" ht="31" x14ac:dyDescent="0.35">
      <c r="B33" s="3"/>
      <c r="C33" s="4" t="s">
        <v>118</v>
      </c>
      <c r="D33" s="4" t="s">
        <v>170</v>
      </c>
      <c r="E33" s="15">
        <f>I7*I6*E38*E39</f>
        <v>643568</v>
      </c>
      <c r="N33" s="14"/>
    </row>
    <row r="35" spans="1:14" ht="15.5" x14ac:dyDescent="0.35">
      <c r="A35" s="1" t="s">
        <v>171</v>
      </c>
      <c r="B35" s="127" t="s">
        <v>172</v>
      </c>
      <c r="C35" s="128"/>
      <c r="D35" s="128"/>
      <c r="E35" s="129"/>
    </row>
    <row r="36" spans="1:14" ht="15.5" x14ac:dyDescent="0.35">
      <c r="B36" s="3"/>
      <c r="C36" s="4" t="s">
        <v>118</v>
      </c>
      <c r="D36" s="4" t="s">
        <v>173</v>
      </c>
      <c r="E36" s="57">
        <f>I7</f>
        <v>58</v>
      </c>
      <c r="M36" s="16"/>
    </row>
    <row r="37" spans="1:14" ht="15.5" x14ac:dyDescent="0.35">
      <c r="B37" s="3"/>
      <c r="C37" s="4" t="s">
        <v>118</v>
      </c>
      <c r="D37" s="4" t="s">
        <v>174</v>
      </c>
      <c r="E37" s="2">
        <f>I6</f>
        <v>8</v>
      </c>
      <c r="K37" s="17"/>
      <c r="M37" s="16"/>
    </row>
    <row r="38" spans="1:14" ht="62" x14ac:dyDescent="0.35">
      <c r="B38" s="3"/>
      <c r="C38" s="4" t="s">
        <v>118</v>
      </c>
      <c r="D38" s="35" t="s">
        <v>175</v>
      </c>
      <c r="E38" s="2">
        <v>4</v>
      </c>
      <c r="M38" s="16"/>
    </row>
    <row r="39" spans="1:14" ht="15.5" x14ac:dyDescent="0.35">
      <c r="B39" s="3"/>
      <c r="C39" s="4" t="s">
        <v>118</v>
      </c>
      <c r="D39" s="4" t="s">
        <v>176</v>
      </c>
      <c r="E39" s="100">
        <f>365*I18</f>
        <v>346.75</v>
      </c>
      <c r="M39" s="16"/>
    </row>
    <row r="40" spans="1:14" x14ac:dyDescent="0.35">
      <c r="M40" s="16"/>
    </row>
    <row r="41" spans="1:14" x14ac:dyDescent="0.35">
      <c r="B41" s="130" t="s">
        <v>177</v>
      </c>
      <c r="C41" s="130"/>
      <c r="D41" s="130"/>
      <c r="E41" s="130"/>
      <c r="M41" s="14"/>
    </row>
    <row r="42" spans="1:14" ht="15.5" x14ac:dyDescent="0.35">
      <c r="B42" s="17"/>
    </row>
    <row r="43" spans="1:14" ht="15.5" x14ac:dyDescent="0.35">
      <c r="A43" s="1" t="s">
        <v>178</v>
      </c>
      <c r="B43" s="124" t="s">
        <v>179</v>
      </c>
      <c r="C43" s="124"/>
      <c r="D43" s="124"/>
      <c r="E43" s="124"/>
      <c r="M43" s="18"/>
    </row>
    <row r="44" spans="1:14" ht="17.5" x14ac:dyDescent="0.35">
      <c r="B44" s="3"/>
      <c r="C44" s="4" t="s">
        <v>118</v>
      </c>
      <c r="D44" s="4" t="s">
        <v>180</v>
      </c>
      <c r="E44" s="2">
        <v>0</v>
      </c>
      <c r="N44" s="19"/>
    </row>
    <row r="45" spans="1:14" ht="17.5" x14ac:dyDescent="0.35">
      <c r="B45" s="20"/>
      <c r="C45" s="4" t="s">
        <v>118</v>
      </c>
      <c r="D45" s="4" t="s">
        <v>181</v>
      </c>
      <c r="E45" s="2">
        <v>0</v>
      </c>
      <c r="N45" s="14"/>
    </row>
    <row r="46" spans="1:14" ht="17.5" x14ac:dyDescent="0.35">
      <c r="B46" s="20"/>
      <c r="C46" s="4" t="s">
        <v>118</v>
      </c>
      <c r="D46" s="4" t="s">
        <v>182</v>
      </c>
      <c r="E46" s="2">
        <v>0</v>
      </c>
    </row>
    <row r="48" spans="1:14" ht="15.5" x14ac:dyDescent="0.35">
      <c r="A48" s="1" t="s">
        <v>183</v>
      </c>
      <c r="B48" s="124" t="s">
        <v>184</v>
      </c>
      <c r="C48" s="124"/>
      <c r="D48" s="124"/>
      <c r="E48" s="124"/>
    </row>
    <row r="49" spans="1:16" ht="31" x14ac:dyDescent="0.35">
      <c r="B49" s="3"/>
      <c r="C49" s="4" t="s">
        <v>118</v>
      </c>
      <c r="D49" s="4" t="s">
        <v>185</v>
      </c>
      <c r="E49" s="2">
        <v>0</v>
      </c>
    </row>
    <row r="50" spans="1:16" ht="15.5" x14ac:dyDescent="0.35">
      <c r="B50" s="20"/>
      <c r="C50" s="4" t="s">
        <v>118</v>
      </c>
      <c r="D50" s="4" t="s">
        <v>186</v>
      </c>
      <c r="E50" s="2">
        <v>1.5599999999999999E-2</v>
      </c>
      <c r="H50" s="14"/>
    </row>
    <row r="51" spans="1:16" ht="15.5" x14ac:dyDescent="0.35">
      <c r="B51" s="20"/>
      <c r="C51" s="4"/>
      <c r="D51" s="4" t="s">
        <v>187</v>
      </c>
      <c r="E51" s="2">
        <v>2.9499999999999998E-2</v>
      </c>
      <c r="H51" s="14"/>
    </row>
    <row r="52" spans="1:16" ht="17.5" x14ac:dyDescent="0.35">
      <c r="B52" s="20"/>
      <c r="C52" s="4" t="s">
        <v>118</v>
      </c>
      <c r="D52" s="4" t="s">
        <v>188</v>
      </c>
      <c r="E52" s="2">
        <v>112</v>
      </c>
      <c r="F52" s="21"/>
      <c r="G52" s="21"/>
    </row>
    <row r="53" spans="1:16" ht="15.5" x14ac:dyDescent="0.35">
      <c r="B53" s="20"/>
      <c r="C53" s="4" t="s">
        <v>118</v>
      </c>
      <c r="D53" s="4" t="s">
        <v>189</v>
      </c>
      <c r="E53" s="2">
        <v>165.22</v>
      </c>
      <c r="F53" s="21"/>
      <c r="G53" s="21"/>
    </row>
    <row r="55" spans="1:16" ht="15.5" x14ac:dyDescent="0.35">
      <c r="A55" s="1" t="s">
        <v>190</v>
      </c>
      <c r="B55" s="124" t="s">
        <v>191</v>
      </c>
      <c r="C55" s="124"/>
      <c r="D55" s="124"/>
      <c r="E55" s="124"/>
      <c r="K55" s="17"/>
    </row>
    <row r="56" spans="1:16" ht="31" x14ac:dyDescent="0.35">
      <c r="B56" s="3"/>
      <c r="C56" s="4" t="s">
        <v>118</v>
      </c>
      <c r="D56" s="4" t="s">
        <v>192</v>
      </c>
      <c r="E56" s="2">
        <v>0</v>
      </c>
    </row>
    <row r="57" spans="1:16" ht="17.5" x14ac:dyDescent="0.35">
      <c r="B57" s="20"/>
      <c r="C57" s="4" t="s">
        <v>118</v>
      </c>
      <c r="D57" s="4" t="s">
        <v>193</v>
      </c>
      <c r="E57" s="2">
        <v>0</v>
      </c>
    </row>
    <row r="58" spans="1:16" ht="31" x14ac:dyDescent="0.35">
      <c r="B58" s="20" t="s">
        <v>194</v>
      </c>
      <c r="C58" s="4" t="s">
        <v>118</v>
      </c>
      <c r="D58" s="4" t="s">
        <v>195</v>
      </c>
      <c r="E58" s="2">
        <v>0</v>
      </c>
    </row>
    <row r="60" spans="1:16" x14ac:dyDescent="0.35">
      <c r="B60" s="126" t="s">
        <v>196</v>
      </c>
      <c r="C60" s="126"/>
      <c r="D60" s="126"/>
      <c r="E60" s="126"/>
    </row>
    <row r="61" spans="1:16" ht="15.5" x14ac:dyDescent="0.35">
      <c r="B61" s="17"/>
    </row>
    <row r="62" spans="1:16" ht="15.5" x14ac:dyDescent="0.35">
      <c r="A62" s="1" t="s">
        <v>197</v>
      </c>
      <c r="B62" s="124" t="s">
        <v>198</v>
      </c>
      <c r="C62" s="124"/>
      <c r="D62" s="124"/>
      <c r="E62" s="124"/>
      <c r="I62" s="17"/>
    </row>
    <row r="63" spans="1:16" ht="33" x14ac:dyDescent="0.35">
      <c r="B63" s="3"/>
      <c r="C63" s="4" t="s">
        <v>118</v>
      </c>
      <c r="D63" s="4" t="s">
        <v>119</v>
      </c>
      <c r="E63" s="5">
        <f>E5</f>
        <v>202.53552288762432</v>
      </c>
    </row>
    <row r="64" spans="1:16" ht="17.5" x14ac:dyDescent="0.35">
      <c r="B64" s="3"/>
      <c r="C64" s="4" t="s">
        <v>118</v>
      </c>
      <c r="D64" s="4" t="s">
        <v>180</v>
      </c>
      <c r="E64" s="2">
        <f>E44</f>
        <v>0</v>
      </c>
      <c r="N64" s="22"/>
      <c r="O64" s="22"/>
      <c r="P64" s="22"/>
    </row>
    <row r="65" spans="1:18" ht="15.5" x14ac:dyDescent="0.35">
      <c r="B65" s="23" t="s">
        <v>199</v>
      </c>
      <c r="C65" s="2" t="s">
        <v>118</v>
      </c>
      <c r="D65" s="2" t="s">
        <v>200</v>
      </c>
      <c r="E65" s="11">
        <v>0.95</v>
      </c>
      <c r="H65" s="14"/>
      <c r="N65" s="22"/>
      <c r="O65" s="22"/>
      <c r="P65" s="22"/>
    </row>
    <row r="66" spans="1:18" ht="15.5" x14ac:dyDescent="0.35">
      <c r="B66" s="23" t="s">
        <v>199</v>
      </c>
      <c r="C66" s="2" t="s">
        <v>118</v>
      </c>
      <c r="D66" s="2" t="s">
        <v>201</v>
      </c>
      <c r="E66" s="5">
        <f>E63*(1-E65)</f>
        <v>10.126776144381225</v>
      </c>
      <c r="N66" s="22"/>
      <c r="O66" s="22"/>
      <c r="P66" s="22"/>
    </row>
    <row r="67" spans="1:18" ht="16.399999999999999" customHeight="1" x14ac:dyDescent="0.35">
      <c r="A67" s="24"/>
      <c r="B67" s="23" t="s">
        <v>202</v>
      </c>
      <c r="C67" s="2" t="s">
        <v>118</v>
      </c>
      <c r="D67" s="2" t="s">
        <v>196</v>
      </c>
      <c r="E67" s="121">
        <f>(E63-E64-E66)</f>
        <v>192.40874674324311</v>
      </c>
      <c r="N67" s="22"/>
      <c r="O67" s="22"/>
      <c r="P67" s="22"/>
    </row>
    <row r="68" spans="1:18" ht="15.5" x14ac:dyDescent="0.35">
      <c r="A68" s="24"/>
      <c r="B68" s="23" t="s">
        <v>202</v>
      </c>
      <c r="C68" s="2" t="s">
        <v>118</v>
      </c>
      <c r="D68" s="2" t="s">
        <v>203</v>
      </c>
      <c r="E68" s="31">
        <f>ROUNDDOWN(E67,0)</f>
        <v>192</v>
      </c>
      <c r="F68" s="32" t="s">
        <v>204</v>
      </c>
      <c r="G68" s="32"/>
      <c r="N68" s="22"/>
      <c r="O68" s="22"/>
      <c r="P68" s="22"/>
    </row>
    <row r="69" spans="1:18" ht="15" thickBot="1" x14ac:dyDescent="0.4">
      <c r="A69" s="24"/>
      <c r="E69" s="33">
        <f>E68*I3</f>
        <v>9216</v>
      </c>
      <c r="F69" s="34" t="s">
        <v>205</v>
      </c>
      <c r="G69" s="91"/>
      <c r="N69" s="22"/>
      <c r="O69" s="22"/>
      <c r="P69" s="22"/>
    </row>
    <row r="70" spans="1:18" ht="15" thickTop="1" x14ac:dyDescent="0.35">
      <c r="E70" s="16"/>
      <c r="N70" s="22"/>
      <c r="O70" s="22"/>
      <c r="P70" s="22"/>
    </row>
    <row r="71" spans="1:18" ht="15.5" x14ac:dyDescent="0.35">
      <c r="B71" s="25"/>
      <c r="D71" s="16"/>
      <c r="E71" s="16"/>
    </row>
    <row r="72" spans="1:18" ht="15.5" x14ac:dyDescent="0.35">
      <c r="B72" s="17"/>
      <c r="R72" s="26"/>
    </row>
    <row r="73" spans="1:18" ht="15.5" x14ac:dyDescent="0.35">
      <c r="B73" s="17"/>
      <c r="H73" s="16"/>
    </row>
    <row r="74" spans="1:18" x14ac:dyDescent="0.35">
      <c r="E74" s="16"/>
    </row>
    <row r="76" spans="1:18" ht="15.5" x14ac:dyDescent="0.35">
      <c r="K76" s="17"/>
    </row>
    <row r="78" spans="1:18" x14ac:dyDescent="0.35">
      <c r="L78" s="14"/>
    </row>
    <row r="84" spans="11:11" ht="15.5" x14ac:dyDescent="0.35">
      <c r="K84" s="17"/>
    </row>
    <row r="93" spans="11:11" ht="15.5" x14ac:dyDescent="0.35">
      <c r="K93" s="17"/>
    </row>
    <row r="102" spans="5:11" ht="15.5" x14ac:dyDescent="0.35">
      <c r="H102" s="16"/>
      <c r="K102" s="17" t="s">
        <v>206</v>
      </c>
    </row>
    <row r="103" spans="5:11" x14ac:dyDescent="0.35">
      <c r="E103" s="16"/>
    </row>
  </sheetData>
  <mergeCells count="14">
    <mergeCell ref="B55:E55"/>
    <mergeCell ref="B60:E60"/>
    <mergeCell ref="B62:E62"/>
    <mergeCell ref="B24:E24"/>
    <mergeCell ref="B31:E31"/>
    <mergeCell ref="B35:E35"/>
    <mergeCell ref="B41:E41"/>
    <mergeCell ref="B43:E43"/>
    <mergeCell ref="B48:E48"/>
    <mergeCell ref="B11:E11"/>
    <mergeCell ref="B2:E2"/>
    <mergeCell ref="H2:I2"/>
    <mergeCell ref="B4:E4"/>
    <mergeCell ref="H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2C52-37DC-49F4-B9CB-ED9345F04C34}">
  <dimension ref="A1:V81"/>
  <sheetViews>
    <sheetView topLeftCell="F47" zoomScale="84" zoomScaleNormal="84" workbookViewId="0">
      <selection activeCell="L29" sqref="L29"/>
    </sheetView>
  </sheetViews>
  <sheetFormatPr defaultRowHeight="14.5" x14ac:dyDescent="0.35"/>
  <cols>
    <col min="1" max="1" width="19.54296875" style="93" bestFit="1" customWidth="1"/>
    <col min="2" max="2" width="30.453125" customWidth="1"/>
    <col min="3" max="3" width="57.26953125" customWidth="1"/>
    <col min="4" max="4" width="28.26953125" customWidth="1"/>
    <col min="5" max="5" width="39.453125" bestFit="1" customWidth="1"/>
    <col min="6" max="6" width="28.7265625" customWidth="1"/>
    <col min="7" max="7" width="10.7265625" bestFit="1" customWidth="1"/>
    <col min="8" max="8" width="9.54296875" bestFit="1" customWidth="1"/>
    <col min="12" max="12" width="29.7265625" bestFit="1" customWidth="1"/>
    <col min="13" max="13" width="13.453125" bestFit="1" customWidth="1"/>
    <col min="14" max="14" width="48.7265625" customWidth="1"/>
    <col min="15" max="15" width="14.54296875" customWidth="1"/>
    <col min="16" max="16" width="17.7265625" customWidth="1"/>
    <col min="18" max="18" width="17.54296875" customWidth="1"/>
    <col min="19" max="19" width="11.26953125" customWidth="1"/>
    <col min="20" max="20" width="13.26953125" bestFit="1" customWidth="1"/>
    <col min="21" max="21" width="11.26953125" customWidth="1"/>
  </cols>
  <sheetData>
    <row r="1" spans="2:22" x14ac:dyDescent="0.3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3" spans="2:22" x14ac:dyDescent="0.35">
      <c r="B3" s="138" t="s">
        <v>207</v>
      </c>
      <c r="C3" s="138"/>
      <c r="D3" s="138"/>
      <c r="E3" s="138"/>
      <c r="F3" s="138"/>
      <c r="L3" s="133" t="s">
        <v>110</v>
      </c>
      <c r="M3" s="133"/>
      <c r="N3" s="74" t="s">
        <v>111</v>
      </c>
      <c r="O3" s="1"/>
      <c r="P3" s="1"/>
      <c r="Q3" s="1"/>
      <c r="R3" s="1"/>
      <c r="S3" s="1"/>
      <c r="T3" s="1"/>
      <c r="U3" s="1"/>
      <c r="V3" s="1"/>
    </row>
    <row r="4" spans="2:22" x14ac:dyDescent="0.35">
      <c r="B4" s="139" t="s">
        <v>208</v>
      </c>
      <c r="C4" s="140"/>
      <c r="D4" s="140"/>
      <c r="E4" s="140"/>
      <c r="F4" s="141"/>
      <c r="L4" s="2" t="s">
        <v>112</v>
      </c>
      <c r="M4" s="75">
        <f>'Ex-antes'!I3</f>
        <v>48</v>
      </c>
      <c r="N4" s="2" t="s">
        <v>113</v>
      </c>
      <c r="O4" s="1"/>
      <c r="P4" s="1"/>
      <c r="Q4" s="1"/>
      <c r="R4" s="1"/>
      <c r="S4" s="1"/>
      <c r="T4" s="1"/>
      <c r="U4" s="1"/>
      <c r="V4" s="1"/>
    </row>
    <row r="5" spans="2:22" x14ac:dyDescent="0.35">
      <c r="B5" s="36" t="s">
        <v>209</v>
      </c>
      <c r="C5" s="36" t="s">
        <v>210</v>
      </c>
      <c r="D5" s="36" t="s">
        <v>211</v>
      </c>
      <c r="E5" s="36" t="s">
        <v>111</v>
      </c>
      <c r="F5" s="36" t="s">
        <v>212</v>
      </c>
      <c r="L5" s="2" t="s">
        <v>116</v>
      </c>
      <c r="M5" s="75">
        <f>'Ex-antes'!I4</f>
        <v>386</v>
      </c>
      <c r="N5" s="2" t="s">
        <v>213</v>
      </c>
      <c r="O5" s="1"/>
    </row>
    <row r="6" spans="2:22" x14ac:dyDescent="0.35">
      <c r="B6" s="50" t="s">
        <v>214</v>
      </c>
      <c r="C6" s="67" t="s">
        <v>215</v>
      </c>
      <c r="D6" s="37" t="s">
        <v>216</v>
      </c>
      <c r="E6" s="39" t="s">
        <v>217</v>
      </c>
      <c r="F6" s="117">
        <f>F8-F7</f>
        <v>0.88750000000000007</v>
      </c>
      <c r="L6" s="2" t="s">
        <v>123</v>
      </c>
      <c r="M6" s="75">
        <v>8</v>
      </c>
      <c r="N6" s="2" t="s">
        <v>124</v>
      </c>
      <c r="O6" s="1"/>
    </row>
    <row r="7" spans="2:22" ht="24" x14ac:dyDescent="0.35">
      <c r="B7" s="65" t="s">
        <v>218</v>
      </c>
      <c r="C7" s="66" t="s">
        <v>219</v>
      </c>
      <c r="D7" s="37" t="s">
        <v>216</v>
      </c>
      <c r="E7" s="39" t="s">
        <v>220</v>
      </c>
      <c r="F7" s="63">
        <f>M15</f>
        <v>1.2500000000000001E-2</v>
      </c>
      <c r="G7" s="41"/>
      <c r="L7" s="2" t="s">
        <v>126</v>
      </c>
      <c r="M7" s="75">
        <f>'Ex-antes'!I7</f>
        <v>58</v>
      </c>
      <c r="N7" s="2" t="s">
        <v>121</v>
      </c>
      <c r="O7" s="1"/>
    </row>
    <row r="8" spans="2:22" ht="24.5" x14ac:dyDescent="0.35">
      <c r="B8" s="65" t="s">
        <v>221</v>
      </c>
      <c r="C8" s="66" t="s">
        <v>222</v>
      </c>
      <c r="D8" s="37" t="s">
        <v>216</v>
      </c>
      <c r="E8" s="37" t="s">
        <v>223</v>
      </c>
      <c r="F8" s="64">
        <f>M20</f>
        <v>0.9</v>
      </c>
      <c r="L8" s="2" t="s">
        <v>224</v>
      </c>
      <c r="M8" s="75">
        <f>'GS7135 Households'!F54</f>
        <v>18536</v>
      </c>
      <c r="N8" s="2" t="s">
        <v>121</v>
      </c>
      <c r="O8" s="1"/>
    </row>
    <row r="9" spans="2:22" x14ac:dyDescent="0.35">
      <c r="L9" s="2" t="s">
        <v>128</v>
      </c>
      <c r="M9" s="11">
        <f>'GS7135 Households'!G52</f>
        <v>2809</v>
      </c>
      <c r="N9" s="2" t="s">
        <v>225</v>
      </c>
      <c r="O9" s="1"/>
    </row>
    <row r="10" spans="2:22" x14ac:dyDescent="0.35">
      <c r="O10" s="1"/>
    </row>
    <row r="11" spans="2:22" x14ac:dyDescent="0.35">
      <c r="B11" s="137" t="s">
        <v>226</v>
      </c>
      <c r="C11" s="137"/>
      <c r="D11" s="137"/>
      <c r="E11" s="137"/>
      <c r="F11" s="137"/>
      <c r="N11" s="1"/>
      <c r="O11" s="1"/>
    </row>
    <row r="12" spans="2:22" x14ac:dyDescent="0.35">
      <c r="B12" s="134" t="s">
        <v>227</v>
      </c>
      <c r="C12" s="135"/>
      <c r="D12" s="135"/>
      <c r="E12" s="135"/>
      <c r="F12" s="136"/>
      <c r="N12" s="1"/>
      <c r="O12" s="1"/>
    </row>
    <row r="13" spans="2:22" x14ac:dyDescent="0.35">
      <c r="B13" s="36" t="s">
        <v>209</v>
      </c>
      <c r="C13" s="36" t="s">
        <v>210</v>
      </c>
      <c r="D13" s="36" t="s">
        <v>211</v>
      </c>
      <c r="E13" s="36" t="s">
        <v>111</v>
      </c>
      <c r="F13" s="36" t="s">
        <v>212</v>
      </c>
      <c r="L13" s="1"/>
      <c r="M13" s="12"/>
      <c r="N13" s="1"/>
      <c r="O13" s="1"/>
    </row>
    <row r="14" spans="2:22" ht="26.15" customHeight="1" x14ac:dyDescent="0.35">
      <c r="B14" s="51" t="s">
        <v>228</v>
      </c>
      <c r="C14" s="38" t="s">
        <v>229</v>
      </c>
      <c r="D14" s="39" t="s">
        <v>216</v>
      </c>
      <c r="E14" s="39" t="s">
        <v>217</v>
      </c>
      <c r="F14" s="120">
        <f>(F15-F16)/F15</f>
        <v>0.27508650519031141</v>
      </c>
      <c r="H14" s="99"/>
      <c r="L14" s="133" t="s">
        <v>230</v>
      </c>
      <c r="M14" s="133"/>
      <c r="N14" s="74" t="s">
        <v>111</v>
      </c>
      <c r="O14" s="1"/>
    </row>
    <row r="15" spans="2:22" x14ac:dyDescent="0.35">
      <c r="B15" s="37" t="s">
        <v>231</v>
      </c>
      <c r="C15" s="38" t="s">
        <v>232</v>
      </c>
      <c r="D15" s="37" t="s">
        <v>233</v>
      </c>
      <c r="E15" s="39" t="s">
        <v>234</v>
      </c>
      <c r="F15" s="40">
        <f>(10.17+7.17)</f>
        <v>17.34</v>
      </c>
      <c r="L15" s="2" t="s">
        <v>135</v>
      </c>
      <c r="M15" s="27">
        <v>1.2500000000000001E-2</v>
      </c>
      <c r="N15" s="2" t="s">
        <v>124</v>
      </c>
      <c r="O15" s="1"/>
      <c r="P15" s="1"/>
      <c r="Q15" s="1"/>
      <c r="R15" s="1"/>
      <c r="S15" s="1"/>
      <c r="T15" s="1"/>
      <c r="U15" s="1"/>
      <c r="V15" s="1"/>
    </row>
    <row r="16" spans="2:22" x14ac:dyDescent="0.35">
      <c r="B16" s="37" t="s">
        <v>235</v>
      </c>
      <c r="C16" s="38" t="s">
        <v>236</v>
      </c>
      <c r="D16" s="37" t="s">
        <v>233</v>
      </c>
      <c r="E16" s="39" t="s">
        <v>237</v>
      </c>
      <c r="F16" s="40">
        <v>12.57</v>
      </c>
      <c r="L16" s="2" t="s">
        <v>138</v>
      </c>
      <c r="M16" s="7">
        <v>0.9</v>
      </c>
      <c r="N16" s="2" t="s">
        <v>139</v>
      </c>
      <c r="O16" s="1"/>
      <c r="P16" s="1"/>
      <c r="Q16" s="1"/>
      <c r="R16" s="1"/>
      <c r="S16" s="1"/>
      <c r="T16" s="1"/>
      <c r="U16" s="1"/>
      <c r="V16" s="1"/>
    </row>
    <row r="17" spans="1:22" x14ac:dyDescent="0.35">
      <c r="L17" s="2" t="s">
        <v>141</v>
      </c>
      <c r="M17" s="7">
        <v>0.78</v>
      </c>
      <c r="N17" s="2" t="s">
        <v>142</v>
      </c>
      <c r="O17" s="1"/>
      <c r="P17" s="1"/>
      <c r="Q17" s="1"/>
      <c r="R17" s="1"/>
      <c r="S17" s="1"/>
      <c r="T17" s="1"/>
      <c r="U17" s="1"/>
      <c r="V17" s="1"/>
    </row>
    <row r="18" spans="1:22" x14ac:dyDescent="0.35">
      <c r="B18" s="41"/>
      <c r="C18" s="42"/>
      <c r="D18" s="41"/>
      <c r="E18" s="41"/>
      <c r="F18" s="43"/>
      <c r="L18" s="2" t="s">
        <v>145</v>
      </c>
      <c r="M18" s="27">
        <v>0.9506</v>
      </c>
      <c r="N18" s="2" t="s">
        <v>124</v>
      </c>
      <c r="O18" s="1"/>
      <c r="P18" s="1"/>
      <c r="Q18" s="1"/>
      <c r="R18" s="1"/>
      <c r="S18" s="1"/>
      <c r="T18" s="1"/>
      <c r="U18" s="1"/>
      <c r="V18" s="1"/>
    </row>
    <row r="19" spans="1:22" x14ac:dyDescent="0.35">
      <c r="B19" s="142" t="s">
        <v>238</v>
      </c>
      <c r="C19" s="143"/>
      <c r="D19" s="143"/>
      <c r="E19" s="143"/>
      <c r="F19" s="144"/>
      <c r="L19" s="2" t="s">
        <v>148</v>
      </c>
      <c r="M19" s="27">
        <v>4.9399999999999999E-2</v>
      </c>
      <c r="N19" s="2" t="s">
        <v>124</v>
      </c>
      <c r="O19" s="1"/>
      <c r="P19" s="1"/>
      <c r="Q19" s="1"/>
      <c r="R19" s="1"/>
      <c r="S19" s="1"/>
      <c r="T19" s="1"/>
      <c r="U19" s="1"/>
      <c r="V19" s="1"/>
    </row>
    <row r="20" spans="1:22" x14ac:dyDescent="0.35">
      <c r="B20" s="145" t="s">
        <v>239</v>
      </c>
      <c r="C20" s="146"/>
      <c r="D20" s="146"/>
      <c r="E20" s="146"/>
      <c r="F20" s="147"/>
      <c r="L20" s="2" t="s">
        <v>240</v>
      </c>
      <c r="M20" s="94">
        <v>0.9</v>
      </c>
      <c r="N20" s="70" t="s">
        <v>241</v>
      </c>
      <c r="O20" s="1"/>
      <c r="P20" s="1"/>
      <c r="Q20" s="1"/>
      <c r="R20" s="1"/>
      <c r="S20" s="1"/>
      <c r="T20" s="1"/>
      <c r="U20" s="1"/>
      <c r="V20" s="1"/>
    </row>
    <row r="21" spans="1:22" x14ac:dyDescent="0.35">
      <c r="B21" s="36" t="s">
        <v>209</v>
      </c>
      <c r="C21" s="36" t="s">
        <v>210</v>
      </c>
      <c r="D21" s="36" t="s">
        <v>211</v>
      </c>
      <c r="E21" s="36" t="s">
        <v>111</v>
      </c>
      <c r="F21" s="36" t="s">
        <v>212</v>
      </c>
      <c r="O21" s="1"/>
      <c r="P21" s="1"/>
      <c r="Q21" s="1"/>
      <c r="R21" s="1"/>
      <c r="S21" s="1"/>
      <c r="T21" s="1"/>
      <c r="U21" s="1"/>
      <c r="V21" s="1"/>
    </row>
    <row r="22" spans="1:22" x14ac:dyDescent="0.35">
      <c r="B22" s="50" t="s">
        <v>242</v>
      </c>
      <c r="C22" s="67" t="s">
        <v>243</v>
      </c>
      <c r="D22" s="72" t="s">
        <v>244</v>
      </c>
      <c r="E22" s="72" t="s">
        <v>245</v>
      </c>
      <c r="F22" s="116">
        <f>F23*(1-F24)*F25</f>
        <v>2496.4987500000002</v>
      </c>
      <c r="O22" s="1"/>
      <c r="P22" s="1"/>
      <c r="Q22" s="1"/>
      <c r="R22" s="1"/>
      <c r="S22" s="1"/>
      <c r="T22" s="1"/>
      <c r="U22" s="1"/>
      <c r="V22" s="1"/>
    </row>
    <row r="23" spans="1:22" x14ac:dyDescent="0.35">
      <c r="B23" s="73" t="s">
        <v>246</v>
      </c>
      <c r="C23" s="69" t="s">
        <v>247</v>
      </c>
      <c r="D23" s="68" t="s">
        <v>244</v>
      </c>
      <c r="E23" s="73" t="s">
        <v>248</v>
      </c>
      <c r="F23" s="115">
        <f>M9</f>
        <v>2809</v>
      </c>
      <c r="G23" s="123">
        <f>F23-F22</f>
        <v>312.5012499999998</v>
      </c>
      <c r="L23" s="1"/>
      <c r="M23" s="52"/>
      <c r="N23" s="1"/>
      <c r="O23" s="1"/>
      <c r="P23" s="1"/>
      <c r="Q23" s="1"/>
      <c r="R23" s="1"/>
      <c r="S23" s="1"/>
      <c r="T23" s="1"/>
      <c r="U23" s="1"/>
      <c r="V23" s="1"/>
    </row>
    <row r="24" spans="1:22" ht="24" x14ac:dyDescent="0.35">
      <c r="B24" s="68" t="s">
        <v>249</v>
      </c>
      <c r="C24" s="69" t="s">
        <v>250</v>
      </c>
      <c r="D24" s="68" t="s">
        <v>251</v>
      </c>
      <c r="E24" s="67" t="s">
        <v>234</v>
      </c>
      <c r="F24" s="122">
        <f>M15</f>
        <v>1.2500000000000001E-2</v>
      </c>
      <c r="L24" s="1"/>
      <c r="M24" s="52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5">
      <c r="B25" s="68" t="s">
        <v>252</v>
      </c>
      <c r="C25" s="69" t="s">
        <v>253</v>
      </c>
      <c r="D25" s="68" t="s">
        <v>251</v>
      </c>
      <c r="E25" s="73" t="s">
        <v>254</v>
      </c>
      <c r="F25" s="71">
        <f>M20</f>
        <v>0.9</v>
      </c>
    </row>
    <row r="28" spans="1:22" x14ac:dyDescent="0.35">
      <c r="A28" s="93" t="s">
        <v>255</v>
      </c>
      <c r="B28" s="152" t="s">
        <v>256</v>
      </c>
      <c r="C28" s="152"/>
      <c r="D28" s="152"/>
      <c r="E28" s="152"/>
      <c r="F28" s="152"/>
    </row>
    <row r="29" spans="1:22" x14ac:dyDescent="0.35">
      <c r="A29" s="93" t="s">
        <v>131</v>
      </c>
      <c r="B29" s="149" t="s">
        <v>257</v>
      </c>
      <c r="C29" s="153"/>
      <c r="D29" s="153"/>
      <c r="E29" s="153"/>
      <c r="F29" s="154"/>
      <c r="G29" s="41"/>
    </row>
    <row r="30" spans="1:22" x14ac:dyDescent="0.35">
      <c r="B30" s="36" t="s">
        <v>209</v>
      </c>
      <c r="C30" s="36" t="s">
        <v>210</v>
      </c>
      <c r="D30" s="36" t="s">
        <v>211</v>
      </c>
      <c r="E30" s="36" t="s">
        <v>111</v>
      </c>
      <c r="F30" s="36" t="s">
        <v>212</v>
      </c>
      <c r="H30" s="98"/>
    </row>
    <row r="31" spans="1:22" x14ac:dyDescent="0.35">
      <c r="B31" s="50" t="s">
        <v>258</v>
      </c>
      <c r="C31" s="77" t="s">
        <v>259</v>
      </c>
      <c r="D31" s="37" t="s">
        <v>260</v>
      </c>
      <c r="E31" s="39" t="s">
        <v>261</v>
      </c>
      <c r="F31" s="95">
        <f>F32*F33</f>
        <v>4336.3041921647919</v>
      </c>
      <c r="H31" s="96"/>
    </row>
    <row r="32" spans="1:22" x14ac:dyDescent="0.35">
      <c r="B32" s="37" t="s">
        <v>262</v>
      </c>
      <c r="C32" s="77" t="s">
        <v>263</v>
      </c>
      <c r="D32" s="37" t="s">
        <v>264</v>
      </c>
      <c r="E32" s="39" t="s">
        <v>261</v>
      </c>
      <c r="F32" s="79">
        <f>F37</f>
        <v>5559.3643489292199</v>
      </c>
    </row>
    <row r="33" spans="1:10" x14ac:dyDescent="0.35">
      <c r="B33" s="37" t="s">
        <v>141</v>
      </c>
      <c r="C33" s="77" t="s">
        <v>265</v>
      </c>
      <c r="D33" s="37" t="s">
        <v>216</v>
      </c>
      <c r="E33" s="37" t="s">
        <v>266</v>
      </c>
      <c r="F33" s="76">
        <f>M17</f>
        <v>0.78</v>
      </c>
    </row>
    <row r="35" spans="1:10" x14ac:dyDescent="0.35">
      <c r="A35" s="93" t="s">
        <v>159</v>
      </c>
      <c r="B35" s="149" t="s">
        <v>267</v>
      </c>
      <c r="C35" s="153"/>
      <c r="D35" s="153"/>
      <c r="E35" s="153"/>
      <c r="F35" s="154"/>
      <c r="J35" s="45"/>
    </row>
    <row r="36" spans="1:10" x14ac:dyDescent="0.35">
      <c r="B36" s="36" t="s">
        <v>209</v>
      </c>
      <c r="C36" s="36" t="s">
        <v>210</v>
      </c>
      <c r="D36" s="36" t="s">
        <v>211</v>
      </c>
      <c r="E36" s="36" t="s">
        <v>111</v>
      </c>
      <c r="F36" s="80" t="s">
        <v>212</v>
      </c>
    </row>
    <row r="37" spans="1:10" x14ac:dyDescent="0.35">
      <c r="B37" s="50" t="s">
        <v>268</v>
      </c>
      <c r="C37" s="77" t="s">
        <v>269</v>
      </c>
      <c r="D37" s="37" t="s">
        <v>264</v>
      </c>
      <c r="E37" s="39" t="s">
        <v>261</v>
      </c>
      <c r="F37" s="78">
        <f>F38*F39*F40</f>
        <v>5559.3643489292199</v>
      </c>
    </row>
    <row r="38" spans="1:10" x14ac:dyDescent="0.35">
      <c r="B38" s="37" t="s">
        <v>270</v>
      </c>
      <c r="C38" s="77" t="s">
        <v>271</v>
      </c>
      <c r="D38" s="37" t="s">
        <v>244</v>
      </c>
      <c r="E38" s="39" t="s">
        <v>261</v>
      </c>
      <c r="F38" s="79">
        <f>M8</f>
        <v>18536</v>
      </c>
    </row>
    <row r="39" spans="1:10" x14ac:dyDescent="0.35">
      <c r="B39" s="37" t="s">
        <v>272</v>
      </c>
      <c r="C39" s="77" t="s">
        <v>273</v>
      </c>
      <c r="D39" s="37" t="s">
        <v>274</v>
      </c>
      <c r="E39" s="37" t="s">
        <v>261</v>
      </c>
      <c r="F39" s="60">
        <f>F44</f>
        <v>8.6433010938589787E-4</v>
      </c>
    </row>
    <row r="40" spans="1:10" ht="24" x14ac:dyDescent="0.35">
      <c r="B40" s="37" t="s">
        <v>275</v>
      </c>
      <c r="C40" s="77" t="s">
        <v>276</v>
      </c>
      <c r="D40" s="37" t="s">
        <v>244</v>
      </c>
      <c r="E40" s="37" t="s">
        <v>277</v>
      </c>
      <c r="F40" s="49">
        <v>347</v>
      </c>
    </row>
    <row r="41" spans="1:10" x14ac:dyDescent="0.35">
      <c r="G41" s="48"/>
    </row>
    <row r="42" spans="1:10" x14ac:dyDescent="0.35">
      <c r="A42" s="93" t="s">
        <v>114</v>
      </c>
      <c r="B42" s="149" t="s">
        <v>278</v>
      </c>
      <c r="C42" s="153"/>
      <c r="D42" s="153"/>
      <c r="E42" s="153"/>
      <c r="F42" s="154"/>
    </row>
    <row r="43" spans="1:10" x14ac:dyDescent="0.35">
      <c r="B43" s="36" t="s">
        <v>209</v>
      </c>
      <c r="C43" s="36" t="s">
        <v>210</v>
      </c>
      <c r="D43" s="36" t="s">
        <v>211</v>
      </c>
      <c r="E43" s="36" t="s">
        <v>111</v>
      </c>
      <c r="F43" s="36" t="s">
        <v>212</v>
      </c>
    </row>
    <row r="44" spans="1:10" x14ac:dyDescent="0.35">
      <c r="B44" s="50" t="s">
        <v>272</v>
      </c>
      <c r="C44" s="77" t="s">
        <v>273</v>
      </c>
      <c r="D44" s="37" t="s">
        <v>274</v>
      </c>
      <c r="E44" s="39" t="s">
        <v>261</v>
      </c>
      <c r="F44" s="59">
        <f>F45*F46</f>
        <v>8.6433010938589787E-4</v>
      </c>
    </row>
    <row r="45" spans="1:10" ht="24" x14ac:dyDescent="0.35">
      <c r="B45" s="37" t="s">
        <v>279</v>
      </c>
      <c r="C45" s="77" t="s">
        <v>280</v>
      </c>
      <c r="D45" s="37" t="s">
        <v>281</v>
      </c>
      <c r="E45" s="39" t="s">
        <v>282</v>
      </c>
      <c r="F45" s="46">
        <f>'Ex-antes'!E38</f>
        <v>4</v>
      </c>
    </row>
    <row r="46" spans="1:10" x14ac:dyDescent="0.35">
      <c r="B46" s="37" t="s">
        <v>283</v>
      </c>
      <c r="C46" s="77" t="s">
        <v>284</v>
      </c>
      <c r="D46" s="37" t="s">
        <v>285</v>
      </c>
      <c r="E46" s="37" t="s">
        <v>261</v>
      </c>
      <c r="F46" s="86">
        <f>F50/1000</f>
        <v>2.1608252734647447E-4</v>
      </c>
    </row>
    <row r="48" spans="1:10" x14ac:dyDescent="0.35">
      <c r="A48" s="93" t="s">
        <v>167</v>
      </c>
      <c r="B48" s="149" t="s">
        <v>286</v>
      </c>
      <c r="C48" s="153"/>
      <c r="D48" s="153"/>
      <c r="E48" s="153"/>
      <c r="F48" s="154"/>
    </row>
    <row r="49" spans="1:7" x14ac:dyDescent="0.35">
      <c r="B49" s="36" t="s">
        <v>209</v>
      </c>
      <c r="C49" s="36" t="s">
        <v>210</v>
      </c>
      <c r="D49" s="36" t="s">
        <v>211</v>
      </c>
      <c r="E49" s="36" t="s">
        <v>111</v>
      </c>
      <c r="F49" s="36" t="s">
        <v>212</v>
      </c>
    </row>
    <row r="50" spans="1:7" x14ac:dyDescent="0.35">
      <c r="B50" s="50" t="s">
        <v>283</v>
      </c>
      <c r="C50" s="77" t="s">
        <v>287</v>
      </c>
      <c r="D50" s="37" t="s">
        <v>288</v>
      </c>
      <c r="E50" s="39" t="s">
        <v>261</v>
      </c>
      <c r="F50" s="85">
        <f>F51/F56</f>
        <v>0.21608252734647446</v>
      </c>
    </row>
    <row r="51" spans="1:7" ht="24.65" customHeight="1" x14ac:dyDescent="0.35">
      <c r="B51" s="37" t="s">
        <v>289</v>
      </c>
      <c r="C51" s="77" t="s">
        <v>290</v>
      </c>
      <c r="D51" s="37" t="s">
        <v>291</v>
      </c>
      <c r="E51" s="39" t="s">
        <v>261</v>
      </c>
      <c r="F51" s="79">
        <f>'Ex-antes'!E13</f>
        <v>3519.2626548327316</v>
      </c>
    </row>
    <row r="52" spans="1:7" x14ac:dyDescent="0.35">
      <c r="B52" s="37" t="s">
        <v>292</v>
      </c>
      <c r="C52" s="77" t="s">
        <v>293</v>
      </c>
      <c r="D52" s="37" t="s">
        <v>294</v>
      </c>
      <c r="E52" s="37" t="s">
        <v>295</v>
      </c>
      <c r="F52" s="58">
        <v>15600</v>
      </c>
    </row>
    <row r="53" spans="1:7" x14ac:dyDescent="0.35">
      <c r="B53" s="37" t="s">
        <v>296</v>
      </c>
      <c r="C53" s="77" t="s">
        <v>297</v>
      </c>
      <c r="D53" s="37" t="s">
        <v>216</v>
      </c>
      <c r="E53" s="37" t="s">
        <v>124</v>
      </c>
      <c r="F53" s="81">
        <v>0.9506</v>
      </c>
    </row>
    <row r="54" spans="1:7" x14ac:dyDescent="0.35">
      <c r="B54" s="37" t="s">
        <v>298</v>
      </c>
      <c r="C54" s="77" t="s">
        <v>299</v>
      </c>
      <c r="D54" s="37" t="s">
        <v>294</v>
      </c>
      <c r="E54" s="37" t="s">
        <v>295</v>
      </c>
      <c r="F54" s="58">
        <v>29500</v>
      </c>
      <c r="G54" s="82"/>
    </row>
    <row r="55" spans="1:7" x14ac:dyDescent="0.35">
      <c r="B55" s="37" t="s">
        <v>300</v>
      </c>
      <c r="C55" s="77" t="s">
        <v>301</v>
      </c>
      <c r="D55" s="37" t="s">
        <v>216</v>
      </c>
      <c r="E55" s="37" t="s">
        <v>124</v>
      </c>
      <c r="F55" s="81">
        <v>4.9399999999999999E-2</v>
      </c>
    </row>
    <row r="56" spans="1:7" x14ac:dyDescent="0.35">
      <c r="B56" s="37" t="s">
        <v>302</v>
      </c>
      <c r="C56" s="77" t="s">
        <v>303</v>
      </c>
      <c r="D56" s="37" t="s">
        <v>294</v>
      </c>
      <c r="E56" s="37" t="s">
        <v>261</v>
      </c>
      <c r="F56" s="58">
        <f>(F52*F53)+(F54*F55)</f>
        <v>16286.66</v>
      </c>
    </row>
    <row r="57" spans="1:7" x14ac:dyDescent="0.35">
      <c r="B57" s="41"/>
      <c r="C57" s="84"/>
      <c r="D57" s="41"/>
      <c r="E57" s="41"/>
      <c r="F57" s="83"/>
    </row>
    <row r="58" spans="1:7" x14ac:dyDescent="0.35">
      <c r="A58" s="93" t="s">
        <v>171</v>
      </c>
      <c r="B58" s="148" t="s">
        <v>304</v>
      </c>
      <c r="C58" s="148"/>
      <c r="D58" s="148"/>
      <c r="E58" s="148"/>
      <c r="F58" s="148"/>
    </row>
    <row r="59" spans="1:7" x14ac:dyDescent="0.35">
      <c r="B59" s="36" t="s">
        <v>209</v>
      </c>
      <c r="C59" s="36" t="s">
        <v>210</v>
      </c>
      <c r="D59" s="36" t="s">
        <v>211</v>
      </c>
      <c r="E59" s="36" t="s">
        <v>111</v>
      </c>
      <c r="F59" s="36" t="s">
        <v>212</v>
      </c>
    </row>
    <row r="60" spans="1:7" x14ac:dyDescent="0.35">
      <c r="B60" s="50" t="s">
        <v>305</v>
      </c>
      <c r="C60" s="77" t="s">
        <v>306</v>
      </c>
      <c r="D60" s="37" t="s">
        <v>260</v>
      </c>
      <c r="E60" s="39" t="s">
        <v>261</v>
      </c>
      <c r="F60" s="95">
        <f>F61*F62</f>
        <v>3853.8903507864584</v>
      </c>
    </row>
    <row r="61" spans="1:7" x14ac:dyDescent="0.35">
      <c r="B61" s="37" t="s">
        <v>307</v>
      </c>
      <c r="C61" s="77" t="s">
        <v>308</v>
      </c>
      <c r="D61" s="37" t="s">
        <v>264</v>
      </c>
      <c r="E61" s="39" t="s">
        <v>261</v>
      </c>
      <c r="F61" s="79">
        <f>F66</f>
        <v>4940.8850651108442</v>
      </c>
    </row>
    <row r="62" spans="1:7" x14ac:dyDescent="0.35">
      <c r="B62" s="37" t="s">
        <v>141</v>
      </c>
      <c r="C62" s="77" t="s">
        <v>265</v>
      </c>
      <c r="D62" s="37" t="s">
        <v>216</v>
      </c>
      <c r="E62" s="37" t="s">
        <v>266</v>
      </c>
      <c r="F62" s="76">
        <f>M17</f>
        <v>0.78</v>
      </c>
    </row>
    <row r="64" spans="1:7" x14ac:dyDescent="0.35">
      <c r="A64" s="93" t="s">
        <v>309</v>
      </c>
      <c r="B64" s="149" t="s">
        <v>310</v>
      </c>
      <c r="C64" s="150"/>
      <c r="D64" s="150"/>
      <c r="E64" s="150"/>
      <c r="F64" s="151"/>
    </row>
    <row r="65" spans="2:7" x14ac:dyDescent="0.35">
      <c r="B65" s="36" t="s">
        <v>209</v>
      </c>
      <c r="C65" s="36" t="s">
        <v>210</v>
      </c>
      <c r="D65" s="36" t="s">
        <v>211</v>
      </c>
      <c r="E65" s="36" t="s">
        <v>111</v>
      </c>
      <c r="F65" s="36" t="s">
        <v>212</v>
      </c>
    </row>
    <row r="66" spans="2:7" x14ac:dyDescent="0.35">
      <c r="B66" s="50" t="s">
        <v>311</v>
      </c>
      <c r="C66" s="77" t="s">
        <v>312</v>
      </c>
      <c r="D66" s="37" t="s">
        <v>264</v>
      </c>
      <c r="E66" s="39" t="s">
        <v>261</v>
      </c>
      <c r="F66" s="78">
        <f>F67*F68*F69*F70*(1-F71)</f>
        <v>4940.8850651108442</v>
      </c>
    </row>
    <row r="67" spans="2:7" x14ac:dyDescent="0.35">
      <c r="B67" s="37" t="s">
        <v>270</v>
      </c>
      <c r="C67" s="77" t="s">
        <v>271</v>
      </c>
      <c r="D67" s="37" t="s">
        <v>244</v>
      </c>
      <c r="E67" s="39" t="s">
        <v>261</v>
      </c>
      <c r="F67" s="79">
        <f>M8</f>
        <v>18536</v>
      </c>
    </row>
    <row r="68" spans="2:7" x14ac:dyDescent="0.35">
      <c r="B68" s="37" t="s">
        <v>272</v>
      </c>
      <c r="C68" s="77" t="s">
        <v>273</v>
      </c>
      <c r="D68" s="37" t="s">
        <v>313</v>
      </c>
      <c r="E68" s="37" t="s">
        <v>261</v>
      </c>
      <c r="F68" s="60">
        <f>F44</f>
        <v>8.6433010938589787E-4</v>
      </c>
    </row>
    <row r="69" spans="2:7" ht="24" x14ac:dyDescent="0.35">
      <c r="B69" s="37" t="s">
        <v>314</v>
      </c>
      <c r="C69" s="77" t="s">
        <v>276</v>
      </c>
      <c r="D69" s="37" t="s">
        <v>244</v>
      </c>
      <c r="E69" s="37" t="s">
        <v>315</v>
      </c>
      <c r="F69" s="49">
        <v>347</v>
      </c>
    </row>
    <row r="70" spans="2:7" x14ac:dyDescent="0.35">
      <c r="B70" s="37" t="s">
        <v>316</v>
      </c>
      <c r="C70" s="77" t="s">
        <v>253</v>
      </c>
      <c r="D70" s="37" t="s">
        <v>216</v>
      </c>
      <c r="E70" s="37" t="s">
        <v>317</v>
      </c>
      <c r="F70" s="76">
        <f>M20</f>
        <v>0.9</v>
      </c>
    </row>
    <row r="71" spans="2:7" ht="36" x14ac:dyDescent="0.35">
      <c r="B71" s="37" t="s">
        <v>249</v>
      </c>
      <c r="C71" s="77" t="s">
        <v>318</v>
      </c>
      <c r="D71" s="37" t="s">
        <v>216</v>
      </c>
      <c r="E71" s="37" t="s">
        <v>124</v>
      </c>
      <c r="F71" s="81">
        <f>M15</f>
        <v>1.2500000000000001E-2</v>
      </c>
    </row>
    <row r="72" spans="2:7" ht="22.15" customHeight="1" x14ac:dyDescent="0.35"/>
    <row r="73" spans="2:7" x14ac:dyDescent="0.35">
      <c r="B73" s="62"/>
      <c r="C73" s="61"/>
      <c r="E73" s="131" t="s">
        <v>319</v>
      </c>
      <c r="F73" s="132"/>
    </row>
    <row r="74" spans="2:7" x14ac:dyDescent="0.35">
      <c r="E74" s="37" t="s">
        <v>320</v>
      </c>
      <c r="F74" s="97">
        <f>F31</f>
        <v>4336.3041921647919</v>
      </c>
      <c r="G74" s="96"/>
    </row>
    <row r="75" spans="2:7" x14ac:dyDescent="0.35">
      <c r="E75" s="37" t="s">
        <v>321</v>
      </c>
      <c r="F75" s="97">
        <f>F74-F76</f>
        <v>482.41384137833347</v>
      </c>
    </row>
    <row r="76" spans="2:7" x14ac:dyDescent="0.35">
      <c r="E76" s="37" t="s">
        <v>322</v>
      </c>
      <c r="F76" s="97">
        <f>F60</f>
        <v>3853.8903507864584</v>
      </c>
    </row>
    <row r="79" spans="2:7" x14ac:dyDescent="0.35">
      <c r="F79" s="99"/>
    </row>
    <row r="80" spans="2:7" x14ac:dyDescent="0.35">
      <c r="F80" s="99"/>
    </row>
    <row r="81" spans="6:6" x14ac:dyDescent="0.35">
      <c r="F81" s="99"/>
    </row>
  </sheetData>
  <mergeCells count="16">
    <mergeCell ref="E73:F73"/>
    <mergeCell ref="L14:M14"/>
    <mergeCell ref="B12:F12"/>
    <mergeCell ref="B11:F11"/>
    <mergeCell ref="B3:F3"/>
    <mergeCell ref="B4:F4"/>
    <mergeCell ref="L3:M3"/>
    <mergeCell ref="B19:F19"/>
    <mergeCell ref="B20:F20"/>
    <mergeCell ref="B58:F58"/>
    <mergeCell ref="B64:F64"/>
    <mergeCell ref="B28:F28"/>
    <mergeCell ref="B29:F29"/>
    <mergeCell ref="B35:F35"/>
    <mergeCell ref="B42:F42"/>
    <mergeCell ref="B48:F48"/>
  </mergeCells>
  <phoneticPr fontId="17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  <PublishingExpirationDate xmlns="http://schemas.microsoft.com/sharepoint/v3" xsi:nil="true"/>
    <PublishingStartDate xmlns="http://schemas.microsoft.com/sharepoint/v3" xsi:nil="true"/>
    <SharedWithUsers xmlns="83a6049c-05c8-4e22-bd03-2c19a5f84a8b">
      <UserInfo>
        <DisplayName>Nathaniel Attenborough</DisplayName>
        <AccountId>1106</AccountId>
        <AccountType/>
      </UserInfo>
      <UserInfo>
        <DisplayName>Matthew Pike</DisplayName>
        <AccountId>177</AccountId>
        <AccountType/>
      </UserInfo>
      <UserInfo>
        <DisplayName>George Syder</DisplayName>
        <AccountId>215</AccountId>
        <AccountType/>
      </UserInfo>
      <UserInfo>
        <DisplayName>Katienne Miranda</DisplayName>
        <AccountId>957</AccountId>
        <AccountType/>
      </UserInfo>
      <UserInfo>
        <DisplayName>Serena Coccioli</DisplayName>
        <AccountId>411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20" ma:contentTypeDescription="Create a new document." ma:contentTypeScope="" ma:versionID="b90a2884cd42007396de3630e108290f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938c967ed9652d0c0fd2f59bc407e766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F185B-B13D-406B-8B78-691929CFB7F9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terms/"/>
    <ds:schemaRef ds:uri="8bcd9205-aa71-43b1-82fe-dcc00a36dd04"/>
    <ds:schemaRef ds:uri="http://schemas.microsoft.com/office/2006/metadata/properties"/>
    <ds:schemaRef ds:uri="http://schemas.openxmlformats.org/package/2006/metadata/core-properties"/>
    <ds:schemaRef ds:uri="83a6049c-05c8-4e22-bd03-2c19a5f84a8b"/>
  </ds:schemaRefs>
</ds:datastoreItem>
</file>

<file path=customXml/itemProps2.xml><?xml version="1.0" encoding="utf-8"?>
<ds:datastoreItem xmlns:ds="http://schemas.openxmlformats.org/officeDocument/2006/customXml" ds:itemID="{A055D26D-62E3-43C4-BA13-FAA264A78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020A10-4BF6-4025-A2D4-016CF8CEB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GS7135 Households</vt:lpstr>
      <vt:lpstr>Ex-antes</vt:lpstr>
      <vt:lpstr>SDG 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CO2 Laptop</dc:creator>
  <cp:keywords/>
  <dc:description/>
  <cp:lastModifiedBy>Katienne Miranda</cp:lastModifiedBy>
  <cp:revision/>
  <dcterms:created xsi:type="dcterms:W3CDTF">2015-06-05T18:17:20Z</dcterms:created>
  <dcterms:modified xsi:type="dcterms:W3CDTF">2025-09-30T11:55:19Z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